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Assumptions" sheetId="2" state="visible" r:id="rId2"/>
    <sheet xmlns:r="http://schemas.openxmlformats.org/officeDocument/2006/relationships" name="Year 1 Monthly" sheetId="3" state="visible" r:id="rId3"/>
    <sheet xmlns:r="http://schemas.openxmlformats.org/officeDocument/2006/relationships" name="Years 2 &amp; 3" sheetId="4" state="visible" r:id="rId4"/>
    <sheet xmlns:r="http://schemas.openxmlformats.org/officeDocument/2006/relationships" name="Summary &amp; Ratios" sheetId="5" state="visible" r:id="rId5"/>
    <sheet xmlns:r="http://schemas.openxmlformats.org/officeDocument/2006/relationships" name="How It Works" sheetId="6" state="visible" r:id="rId6"/>
  </sheets>
  <definedNames/>
  <calcPr calcId="124519" fullCalcOnLoad="1"/>
</workbook>
</file>

<file path=xl/styles.xml><?xml version="1.0" encoding="utf-8"?>
<styleSheet xmlns="http://schemas.openxmlformats.org/spreadsheetml/2006/main">
  <numFmts count="4">
    <numFmt numFmtId="164" formatCode="#,##,##0"/>
    <numFmt numFmtId="165" formatCode="0.0%"/>
    <numFmt numFmtId="166" formatCode="&quot;M&quot;0"/>
    <numFmt numFmtId="167" formatCode="0&quot; months&quot;"/>
  </numFmts>
  <fonts count="9">
    <font>
      <name val="Calibri"/>
      <family val="2"/>
      <color theme="1"/>
      <sz val="11"/>
      <scheme val="minor"/>
    </font>
    <font>
      <name val="Calibri"/>
      <b val="1"/>
      <color rgb="001F2937"/>
      <sz val="14"/>
    </font>
    <font>
      <name val="Calibri"/>
      <i val="1"/>
      <color rgb="006B7280"/>
      <sz val="10"/>
    </font>
    <font>
      <name val="Calibri"/>
      <b val="1"/>
      <color rgb="00C52031"/>
      <sz val="12"/>
    </font>
    <font>
      <name val="Calibri"/>
      <color rgb="001F2937"/>
      <sz val="11"/>
    </font>
    <font>
      <name val="Calibri"/>
      <b val="1"/>
      <color rgb="001F2937"/>
      <sz val="11"/>
    </font>
    <font>
      <name val="Calibri"/>
      <b val="1"/>
      <color rgb="00FFFFFF"/>
      <sz val="11"/>
    </font>
    <font>
      <name val="Calibri"/>
      <b val="1"/>
      <color rgb="00059669"/>
      <sz val="11"/>
    </font>
    <font>
      <name val="Calibri"/>
      <b val="1"/>
      <color rgb="00C52031"/>
      <sz val="13"/>
    </font>
  </fonts>
  <fills count="8">
    <fill>
      <patternFill/>
    </fill>
    <fill>
      <patternFill patternType="gray125"/>
    </fill>
    <fill>
      <patternFill patternType="solid">
        <fgColor rgb="00C52031"/>
        <bgColor rgb="00C52031"/>
      </patternFill>
    </fill>
    <fill>
      <patternFill patternType="solid">
        <fgColor rgb="00EFF6FF"/>
        <bgColor rgb="00EFF6FF"/>
      </patternFill>
    </fill>
    <fill>
      <patternFill patternType="solid">
        <fgColor rgb="00F3F4F6"/>
        <bgColor rgb="00F3F4F6"/>
      </patternFill>
    </fill>
    <fill>
      <patternFill patternType="solid">
        <fgColor rgb="00ECFDF5"/>
        <bgColor rgb="00ECFDF5"/>
      </patternFill>
    </fill>
    <fill>
      <patternFill patternType="solid">
        <fgColor rgb="00F9FAFB"/>
        <bgColor rgb="00F9FAFB"/>
      </patternFill>
    </fill>
    <fill>
      <patternFill patternType="solid">
        <fgColor rgb="00FFFBEB"/>
        <bgColor rgb="00FFFBEB"/>
      </patternFill>
    </fill>
  </fills>
  <borders count="6">
    <border>
      <left/>
      <right/>
      <top/>
      <bottom/>
      <diagonal/>
    </border>
    <border>
      <left style="thin">
        <color rgb="00E5E7EB"/>
      </left>
      <right style="thin">
        <color rgb="00E5E7EB"/>
      </right>
      <top style="thin">
        <color rgb="00E5E7EB"/>
      </top>
      <bottom style="thin">
        <color rgb="00E5E7EB"/>
      </bottom>
    </border>
    <border>
      <left/>
      <right/>
      <top style="thin">
        <color rgb="00E5E7EB"/>
      </top>
      <bottom/>
      <diagonal/>
    </border>
    <border>
      <left/>
      <right style="thin">
        <color rgb="00E5E7EB"/>
      </right>
      <top style="thin">
        <color rgb="00E5E7EB"/>
      </top>
      <bottom/>
      <diagonal/>
    </border>
    <border>
      <left/>
      <right/>
      <top style="thin">
        <color rgb="00E5E7EB"/>
      </top>
      <bottom style="thin">
        <color rgb="00E5E7EB"/>
      </bottom>
      <diagonal/>
    </border>
    <border>
      <left/>
      <right style="thin">
        <color rgb="00E5E7EB"/>
      </right>
      <top style="thin">
        <color rgb="00E5E7EB"/>
      </top>
      <bottom style="thin">
        <color rgb="00E5E7EB"/>
      </bottom>
      <diagonal/>
    </border>
  </borders>
  <cellStyleXfs count="1">
    <xf numFmtId="0" fontId="0" fillId="0" borderId="0"/>
  </cellStyleXfs>
  <cellXfs count="4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horizontal="left" vertical="center" wrapText="1"/>
    </xf>
    <xf numFmtId="0" fontId="5" fillId="0" borderId="0" pivotButton="0" quotePrefix="0" xfId="0"/>
    <xf numFmtId="0" fontId="6" fillId="2" borderId="1" applyAlignment="1" pivotButton="0" quotePrefix="0" xfId="0">
      <alignment horizontal="center" vertical="center" wrapText="1"/>
    </xf>
    <xf numFmtId="0" fontId="5" fillId="3" borderId="1" applyAlignment="1" pivotButton="0" quotePrefix="0" xfId="0">
      <alignment horizontal="center" vertical="center" wrapText="1"/>
    </xf>
    <xf numFmtId="0" fontId="5" fillId="4" borderId="1" applyAlignment="1" pivotButton="0" quotePrefix="0" xfId="0">
      <alignment horizontal="center" vertical="center" wrapText="1"/>
    </xf>
    <xf numFmtId="0" fontId="5" fillId="5" borderId="1" applyAlignment="1" pivotButton="0" quotePrefix="0" xfId="0">
      <alignment horizontal="center" vertical="center" wrapText="1"/>
    </xf>
    <xf numFmtId="0" fontId="2" fillId="0" borderId="0" applyAlignment="1" pivotButton="0" quotePrefix="0" xfId="0">
      <alignment horizontal="left" vertical="center" wrapText="1"/>
    </xf>
    <xf numFmtId="0" fontId="2" fillId="0" borderId="0" applyAlignment="1" pivotButton="0" quotePrefix="0" xfId="0">
      <alignment horizontal="center"/>
    </xf>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5" fillId="6" borderId="1" applyAlignment="1" pivotButton="0" quotePrefix="0" xfId="0">
      <alignment horizontal="left" vertical="center" wrapText="1"/>
    </xf>
    <xf numFmtId="0" fontId="4" fillId="3" borderId="1" applyAlignment="1" applyProtection="1" pivotButton="0" quotePrefix="0" xfId="0">
      <alignment horizontal="center" vertical="center" wrapText="1"/>
      <protection locked="0" hidden="0"/>
    </xf>
    <xf numFmtId="3" fontId="4" fillId="3" borderId="1" applyAlignment="1" applyProtection="1" pivotButton="0" quotePrefix="0" xfId="0">
      <alignment horizontal="right" vertical="center"/>
      <protection locked="0" hidden="0"/>
    </xf>
    <xf numFmtId="164" fontId="4" fillId="3" borderId="1" applyAlignment="1" applyProtection="1" pivotButton="0" quotePrefix="0" xfId="0">
      <alignment horizontal="right" vertical="center"/>
      <protection locked="0" hidden="0"/>
    </xf>
    <xf numFmtId="164" fontId="5" fillId="4" borderId="1" applyAlignment="1" pivotButton="0" quotePrefix="0" xfId="0">
      <alignment horizontal="right" vertical="center"/>
    </xf>
    <xf numFmtId="0" fontId="0" fillId="0" borderId="1" pivotButton="0" quotePrefix="0" xfId="0"/>
    <xf numFmtId="0" fontId="5" fillId="5" borderId="1" applyAlignment="1" pivotButton="0" quotePrefix="0" xfId="0">
      <alignment horizontal="left" vertical="center" wrapText="1"/>
    </xf>
    <xf numFmtId="0" fontId="0" fillId="5" borderId="1" pivotButton="0" quotePrefix="0" xfId="0"/>
    <xf numFmtId="164" fontId="7" fillId="5" borderId="1" applyAlignment="1" pivotButton="0" quotePrefix="0" xfId="0">
      <alignment horizontal="right" vertical="center"/>
    </xf>
    <xf numFmtId="9" fontId="4" fillId="3" borderId="1" applyAlignment="1" applyProtection="1" pivotButton="0" quotePrefix="0" xfId="0">
      <alignment horizontal="right" vertical="center"/>
      <protection locked="0" hidden="0"/>
    </xf>
    <xf numFmtId="165" fontId="4" fillId="3" borderId="1" applyAlignment="1" applyProtection="1" pivotButton="0" quotePrefix="0" xfId="0">
      <alignment horizontal="right" vertical="center"/>
      <protection locked="0" hidden="0"/>
    </xf>
    <xf numFmtId="9" fontId="4" fillId="3" borderId="1" applyAlignment="1" applyProtection="1" pivotButton="0" quotePrefix="0" xfId="0">
      <alignment horizontal="center" vertical="center" wrapText="1"/>
      <protection locked="0" hidden="0"/>
    </xf>
    <xf numFmtId="0" fontId="5" fillId="4" borderId="1" applyAlignment="1" pivotButton="0" quotePrefix="0" xfId="0">
      <alignment horizontal="left" vertical="center" wrapText="1"/>
    </xf>
    <xf numFmtId="0" fontId="0" fillId="0" borderId="4" pivotButton="0" quotePrefix="0" xfId="0"/>
    <xf numFmtId="0" fontId="0" fillId="0" borderId="5" pivotButton="0" quotePrefix="0" xfId="0"/>
    <xf numFmtId="166" fontId="6" fillId="2" borderId="1" applyAlignment="1" pivotButton="0" quotePrefix="0" xfId="0">
      <alignment horizontal="center" vertical="center" wrapText="1"/>
    </xf>
    <xf numFmtId="0" fontId="4" fillId="6" borderId="1" applyAlignment="1" pivotButton="0" quotePrefix="0" xfId="0">
      <alignment horizontal="left" vertical="center" wrapText="1"/>
    </xf>
    <xf numFmtId="165" fontId="4" fillId="6" borderId="1" applyAlignment="1" pivotButton="0" quotePrefix="0" xfId="0">
      <alignment horizontal="right" vertical="center"/>
    </xf>
    <xf numFmtId="164" fontId="4" fillId="6" borderId="1" applyAlignment="1" pivotButton="0" quotePrefix="0" xfId="0">
      <alignment horizontal="right" vertical="center"/>
    </xf>
    <xf numFmtId="165" fontId="7" fillId="5" borderId="1" applyAlignment="1" pivotButton="0" quotePrefix="0" xfId="0">
      <alignment horizontal="right" vertical="center"/>
    </xf>
    <xf numFmtId="0" fontId="5" fillId="7" borderId="1" applyAlignment="1" pivotButton="0" quotePrefix="0" xfId="0">
      <alignment horizontal="left" vertical="center" wrapText="1"/>
    </xf>
    <xf numFmtId="164" fontId="5" fillId="7" borderId="1" applyAlignment="1" pivotButton="0" quotePrefix="0" xfId="0">
      <alignment horizontal="right" vertical="center"/>
    </xf>
    <xf numFmtId="164" fontId="4" fillId="4" borderId="1" applyAlignment="1" pivotButton="0" quotePrefix="0" xfId="0">
      <alignment horizontal="right" vertical="center"/>
    </xf>
    <xf numFmtId="165" fontId="5" fillId="6" borderId="1" applyAlignment="1" pivotButton="0" quotePrefix="0" xfId="0">
      <alignment horizontal="right" vertical="center"/>
    </xf>
    <xf numFmtId="165" fontId="5" fillId="4" borderId="1" applyAlignment="1" pivotButton="0" quotePrefix="0" xfId="0">
      <alignment horizontal="right" vertical="center"/>
    </xf>
    <xf numFmtId="0" fontId="4" fillId="6" borderId="1" applyAlignment="1" pivotButton="0" quotePrefix="0" xfId="0">
      <alignment horizontal="center" vertical="center" wrapText="1"/>
    </xf>
    <xf numFmtId="0" fontId="2" fillId="0" borderId="1" applyAlignment="1" pivotButton="0" quotePrefix="0" xfId="0">
      <alignment horizontal="left" vertical="center" wrapText="1"/>
    </xf>
    <xf numFmtId="165" fontId="8" fillId="4" borderId="1" applyAlignment="1" pivotButton="0" quotePrefix="0" xfId="0">
      <alignment horizontal="right" vertical="center"/>
    </xf>
    <xf numFmtId="164" fontId="8" fillId="4" borderId="1" applyAlignment="1" pivotButton="0" quotePrefix="0" xfId="0">
      <alignment horizontal="right" vertical="center"/>
    </xf>
    <xf numFmtId="3" fontId="8" fillId="4" borderId="1" applyAlignment="1" pivotButton="0" quotePrefix="0" xfId="0">
      <alignment horizontal="right" vertical="center"/>
    </xf>
    <xf numFmtId="2" fontId="8" fillId="4" borderId="1" applyAlignment="1" pivotButton="0" quotePrefix="0" xfId="0">
      <alignment horizontal="right" vertical="center"/>
    </xf>
    <xf numFmtId="167" fontId="8" fillId="4" borderId="1" applyAlignment="1" pivotButton="0" quotePrefix="0" xfId="0">
      <alignment horizontal="right" vertical="center"/>
    </xf>
  </cellXfs>
  <cellStyles count="1">
    <cellStyle name="Normal" xfId="0" builtinId="0" hidden="0"/>
  </cellStyles>
  <dxfs count="4">
    <dxf>
      <font>
        <color rgb="00B91C1C"/>
      </font>
    </dxf>
    <dxf>
      <font>
        <b val="1"/>
        <color rgb="00047857"/>
      </font>
      <fill>
        <patternFill patternType="solid">
          <fgColor rgb="00ECFDF5"/>
          <bgColor rgb="00ECFDF5"/>
        </patternFill>
      </fill>
    </dxf>
    <dxf>
      <font>
        <b val="1"/>
        <color rgb="00B91C1C"/>
      </font>
      <fill>
        <patternFill patternType="solid">
          <fgColor rgb="00FEF2F2"/>
          <bgColor rgb="00FEF2F2"/>
        </patternFill>
      </fill>
    </dxf>
    <dxf>
      <font>
        <b val="1"/>
        <color rgb="00B45309"/>
      </font>
      <fill>
        <patternFill patternType="solid">
          <fgColor rgb="00FFFBEB"/>
          <bgColor rgb="00FFFBE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C52031"/>
    <outlinePr summaryBelow="1" summaryRight="1"/>
    <pageSetUpPr/>
  </sheetPr>
  <dimension ref="A1:C45"/>
  <sheetViews>
    <sheetView showGridLines="0" workbookViewId="0">
      <selection activeCell="A1" sqref="A1"/>
    </sheetView>
  </sheetViews>
  <sheetFormatPr baseColWidth="8" defaultRowHeight="15"/>
  <cols>
    <col width="3" customWidth="1" min="1" max="1"/>
    <col width="36" customWidth="1" min="2" max="2"/>
    <col width="80" customWidth="1" min="3" max="3"/>
    <col width="14"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s>
  <sheetData>
    <row r="1"/>
    <row r="2">
      <c r="B2" s="1" t="inlineStr">
        <is>
          <t>Restaurant Financial Projections Template (3-Year)</t>
        </is>
      </c>
    </row>
    <row r="3">
      <c r="B3" s="2" t="inlineStr">
        <is>
          <t>Build the revenue, cost and profit picture a lender or investor will actually ask for | Updated FY 2026-27</t>
        </is>
      </c>
    </row>
    <row r="4"/>
    <row r="5">
      <c r="B5" s="3" t="inlineStr">
        <is>
          <t>What This Does</t>
        </is>
      </c>
    </row>
    <row r="6" ht="46.5" customHeight="1">
      <c r="B6" s="4" t="inlineStr">
        <is>
          <t>Most restaurant projections are a single number typed into a slide. This one builds the number: covers times average spend times days open, ramped over the months it takes a new restaurant to fill, then costed line by line and carried out three years. Change one assumption and the whole model moves.</t>
        </is>
      </c>
    </row>
    <row r="7"/>
    <row r="8">
      <c r="B8" s="3" t="inlineStr">
        <is>
          <t>What's Inside</t>
        </is>
      </c>
    </row>
    <row r="9" ht="32" customHeight="1">
      <c r="B9" s="5" t="inlineStr">
        <is>
          <t>Sheet 2: Assumptions</t>
        </is>
      </c>
      <c r="C9" s="4" t="inlineStr">
        <is>
          <t>The main input sheet. Revenue drivers per channel, the ramp-up curve, every cost assumption, and how the opening investment is funded.</t>
        </is>
      </c>
    </row>
    <row r="10" ht="32" customHeight="1">
      <c r="B10" s="5" t="inlineStr">
        <is>
          <t>Sheet 3: Year 1 Monthly</t>
        </is>
      </c>
      <c r="C10" s="4" t="inlineStr">
        <is>
          <t>Twelve months of profit and loss, from utilisation and revenue down to profit before tax, with a Year 1 total column.</t>
        </is>
      </c>
    </row>
    <row r="11" ht="32" customHeight="1">
      <c r="B11" s="5" t="inlineStr">
        <is>
          <t>Sheet 4: Years 2 &amp; 3</t>
        </is>
      </c>
      <c r="C11" s="4" t="inlineStr">
        <is>
          <t>The next eight quarters, with rent escalation, salary increments and inflation applied to the fixed costs.</t>
        </is>
      </c>
    </row>
    <row r="12" ht="46.5" customHeight="1">
      <c r="B12" s="5" t="inlineStr">
        <is>
          <t>Sheet 5: Summary &amp; Ratios</t>
        </is>
      </c>
      <c r="C12" s="4" t="inlineStr">
        <is>
          <t>The investor page. Three years side by side, tax after setting off carried-forward losses, ratios against industry benchmarks, break-even, payback and debt service cover.</t>
        </is>
      </c>
    </row>
    <row r="13" ht="32" customHeight="1">
      <c r="B13" s="5" t="inlineStr">
        <is>
          <t>Sheet 6: How It Works</t>
        </is>
      </c>
      <c r="C13" s="4" t="inlineStr">
        <is>
          <t>A walkthrough of the sample restaurant, and the four assumptions that move the answer most.</t>
        </is>
      </c>
    </row>
    <row r="14"/>
    <row r="15">
      <c r="B15" s="3" t="inlineStr">
        <is>
          <t>How to Use</t>
        </is>
      </c>
    </row>
    <row r="16" ht="32" customHeight="1">
      <c r="B16" s="4" t="inlineStr">
        <is>
          <t>1. Open Sheet 2 and start with the revenue block. Covers per day and average spend per cover are the two numbers that decide everything downstream, so use figures you can defend.</t>
        </is>
      </c>
    </row>
    <row r="17" ht="32" customHeight="1">
      <c r="B17" s="4" t="inlineStr">
        <is>
          <t>2. Set the ramp. A new restaurant does not open full. The template starts at your month 1 utilisation and climbs to the full run rate over the months you specify.</t>
        </is>
      </c>
    </row>
    <row r="18" ht="32" customHeight="1">
      <c r="B18" s="4" t="inlineStr">
        <is>
          <t>3. Work down the cost block. Percentages are of revenue, or of delivery revenue where the label says so. Fixed costs are per month unless the label says per year.</t>
        </is>
      </c>
    </row>
    <row r="19" ht="32" customHeight="1">
      <c r="B19" s="4" t="inlineStr">
        <is>
          <t>4. Fill in the funding block. The loan is calculated as investment minus own funds, and interest follows an equal principal repayment schedule.</t>
        </is>
      </c>
    </row>
    <row r="20" ht="32" customHeight="1">
      <c r="B20" s="4" t="inlineStr">
        <is>
          <t>5. Read Sheet 3 for the month-by-month picture, Sheet 4 for the next two years, and Sheet 5 for the summary you would put in front of a bank.</t>
        </is>
      </c>
    </row>
    <row r="21" ht="32" customHeight="1">
      <c r="B21" s="4" t="inlineStr">
        <is>
          <t>6. Check the ratios on Sheet 5 against the benchmark column before you show this to anyone. A projection that sits outside every benchmark will be the first thing questioned.</t>
        </is>
      </c>
    </row>
    <row r="22"/>
    <row r="23">
      <c r="B23" s="3" t="inlineStr">
        <is>
          <t>How the Model Is Built</t>
        </is>
      </c>
    </row>
    <row r="24" ht="32" customHeight="1">
      <c r="B24" s="5" t="inlineStr">
        <is>
          <t>Revenue is built, not guessed</t>
        </is>
      </c>
      <c r="C24" s="4" t="inlineStr">
        <is>
          <t>Each channel is covers or orders per day, times average value, times days open. The full run rate sits on Sheet 2 and every month is a percentage of it.</t>
        </is>
      </c>
    </row>
    <row r="25" ht="32" customHeight="1">
      <c r="B25" s="5" t="inlineStr">
        <is>
          <t>The ramp is linear, then it grows</t>
        </is>
      </c>
      <c r="C25" s="4" t="inlineStr">
        <is>
          <t>Utilisation climbs in equal steps from month 1 to the month you reach the full run rate. After that it grows at the monthly rate you set.</t>
        </is>
      </c>
    </row>
    <row r="26" ht="32" customHeight="1">
      <c r="B26" s="5" t="inlineStr">
        <is>
          <t>Delivery carries its own costs</t>
        </is>
      </c>
      <c r="C26" s="4" t="inlineStr">
        <is>
          <t>Packaging and aggregator commission are charged on delivery revenue only, not on total revenue. Getting this wrong flatters delivery-heavy models.</t>
        </is>
      </c>
    </row>
    <row r="27" ht="46.5" customHeight="1">
      <c r="B27" s="5" t="inlineStr">
        <is>
          <t>GST on commission is a real cost</t>
        </is>
      </c>
      <c r="C27" s="4" t="inlineStr">
        <is>
          <t>A restaurant charging 5 percent GST cannot claim input tax credit, so the 18 percent GST the aggregator charges on its commission is a cost, not a credit. The model adds it when you select that GST position.</t>
        </is>
      </c>
    </row>
    <row r="28" ht="46.5" customHeight="1">
      <c r="B28" s="5" t="inlineStr">
        <is>
          <t>Tax is annual, not monthly</t>
        </is>
      </c>
      <c r="C28" s="4" t="inlineStr">
        <is>
          <t>Sheet 3 stops at profit before tax. Tax is computed once a year on Sheet 5, after setting off losses carried forward from an earlier year, which is what actually happens.</t>
        </is>
      </c>
    </row>
    <row r="29" ht="46.5" customHeight="1">
      <c r="B29" s="5" t="inlineStr">
        <is>
          <t>Interest follows the loan</t>
        </is>
      </c>
      <c r="C29" s="4" t="inlineStr">
        <is>
          <t>Equal principal repayment over the tenure, interest on the reducing balance. If your bank uses a flat EMI the total differs slightly, so check the sanction letter.</t>
        </is>
      </c>
    </row>
    <row r="30"/>
    <row r="31">
      <c r="B31" s="3" t="inlineStr">
        <is>
          <t>GST Position, and Why It Is Asked</t>
        </is>
      </c>
    </row>
    <row r="32" ht="61" customHeight="1">
      <c r="B32" s="5" t="inlineStr">
        <is>
          <t>5 percent without input tax credit</t>
        </is>
      </c>
      <c r="C32" s="4" t="inlineStr">
        <is>
          <t>The standard position for a standalone restaurant, and for a restaurant in a hotel where the declared room tariff is Rs 7,500 or less. You cannot claim credit on purchases, so GST paid on food, rent and commission is part of your cost.</t>
        </is>
      </c>
    </row>
    <row r="33" ht="46.5" customHeight="1">
      <c r="B33" s="5" t="inlineStr">
        <is>
          <t>18 percent with input tax credit</t>
        </is>
      </c>
      <c r="C33" s="4" t="inlineStr">
        <is>
          <t>Applies to a restaurant in specified premises, that is a hotel where the declared room tariff is above Rs 7,500. Credit is available, so GST on inputs is not a cost.</t>
        </is>
      </c>
    </row>
    <row r="34" ht="32" customHeight="1">
      <c r="B34" s="5" t="inlineStr">
        <is>
          <t>Enter costs accordingly</t>
        </is>
      </c>
      <c r="C34" s="4" t="inlineStr">
        <is>
          <t>On the 5 percent position, enter food cost, rent and other costs inclusive of the GST you pay on them. That is the money that actually leaves the bank.</t>
        </is>
      </c>
    </row>
    <row r="35" ht="32" customHeight="1">
      <c r="B35" s="5" t="inlineStr">
        <is>
          <t>Revenue is always net of GST</t>
        </is>
      </c>
      <c r="C35" s="4" t="inlineStr">
        <is>
          <t>The GST you collect from a customer is not yours and is not revenue. Enter average spend per cover net of GST.</t>
        </is>
      </c>
    </row>
    <row r="36"/>
    <row r="37">
      <c r="B37" s="3" t="inlineStr">
        <is>
          <t>Colour Guide</t>
        </is>
      </c>
    </row>
    <row r="38">
      <c r="B38" s="6" t="inlineStr">
        <is>
          <t>Red header rows</t>
        </is>
      </c>
      <c r="C38" s="4" t="inlineStr">
        <is>
          <t>Column headers. Do not edit.</t>
        </is>
      </c>
    </row>
    <row r="39">
      <c r="B39" s="7" t="inlineStr">
        <is>
          <t>Light blue cells</t>
        </is>
      </c>
      <c r="C39" s="4" t="inlineStr">
        <is>
          <t>Input cells. This is where you type.</t>
        </is>
      </c>
    </row>
    <row r="40">
      <c r="B40" s="8" t="inlineStr">
        <is>
          <t>Light grey cells</t>
        </is>
      </c>
      <c r="C40" s="4" t="inlineStr">
        <is>
          <t>Auto-calculated. Formulas inside, don't overwrite.</t>
        </is>
      </c>
    </row>
    <row r="41">
      <c r="B41" s="9" t="inlineStr">
        <is>
          <t>Green cells</t>
        </is>
      </c>
      <c r="C41" s="4" t="inlineStr">
        <is>
          <t>Totals, and the figures a lender will read first.</t>
        </is>
      </c>
    </row>
    <row r="42"/>
    <row r="43" ht="46.5" customHeight="1">
      <c r="B43" s="10" t="inlineStr">
        <is>
          <t>The sample is a 45 seat casual dining restaurant in Pune opening with an investment of Rs 77,50,000, the same outlet used in the Restaurant Startup Cost Estimator. Clear the blue cells and enter your own figures, or read Sheet 6 first to see how the numbers connect.</t>
        </is>
      </c>
    </row>
    <row r="44"/>
    <row r="45">
      <c r="B45" s="11" t="inlineStr">
        <is>
          <t>Powered by Petpooja POSS | getposs@petpooja.com | +91-9104369797 | www.petpooja.com</t>
        </is>
      </c>
    </row>
  </sheetData>
  <sheetProtection selectLockedCells="0" selectUnlockedCells="0" sheet="1" objects="0" insertRows="1" insertHyperlinks="1" autoFilter="1" scenarios="0" formatColumns="1" deleteColumns="1" insertColumns="1" pivotTables="1" deleteRows="1" formatCells="0" formatRows="1" sort="1" password="89B7"/>
  <mergeCells count="9">
    <mergeCell ref="B6:C6"/>
    <mergeCell ref="B21:C21"/>
    <mergeCell ref="B16:C16"/>
    <mergeCell ref="B19:C19"/>
    <mergeCell ref="B20:C20"/>
    <mergeCell ref="B45:C45"/>
    <mergeCell ref="B17:C17"/>
    <mergeCell ref="B18:C18"/>
    <mergeCell ref="B43:C4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56"/>
  <sheetViews>
    <sheetView showGridLines="0" workbookViewId="0">
      <selection activeCell="A1" sqref="A1"/>
    </sheetView>
  </sheetViews>
  <sheetFormatPr baseColWidth="8" defaultRowHeight="15"/>
  <cols>
    <col width="3" customWidth="1" min="1" max="1"/>
    <col width="46" customWidth="1" min="2" max="2"/>
    <col width="16" customWidth="1" min="3" max="3"/>
    <col width="16" customWidth="1" min="4" max="4"/>
    <col width="18" customWidth="1" min="5" max="5"/>
    <col width="16" customWidth="1" min="6" max="6"/>
    <col width="62"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s>
  <sheetData>
    <row r="1">
      <c r="B1" s="12" t="inlineStr">
        <is>
          <t>Assumptions</t>
        </is>
      </c>
    </row>
    <row r="2">
      <c r="B2" s="13" t="inlineStr">
        <is>
          <t>Fill in the blue cells. Everything on the other sheets is built from this one. All amounts in rupees, net of GST charged to the customer.</t>
        </is>
      </c>
    </row>
    <row r="3"/>
    <row r="4">
      <c r="B4" s="3" t="inlineStr">
        <is>
          <t>A. The outlet</t>
        </is>
      </c>
    </row>
    <row r="5" ht="61" customHeight="1">
      <c r="B5" s="14" t="inlineStr">
        <is>
          <t>Restaurant format</t>
        </is>
      </c>
      <c r="C5" s="15" t="inlineStr">
        <is>
          <t>Casual dining</t>
        </is>
      </c>
      <c r="G5" s="10" t="inlineStr">
        <is>
          <t>For your own reference and for the cover page of your plan. The benchmark bands on the Summary sheet are the full-service and casual dining ranges, so read them as a guide if you run a QSR or a cloud kitchen.</t>
        </is>
      </c>
    </row>
    <row r="6" ht="32" customHeight="1">
      <c r="B6" s="14" t="inlineStr">
        <is>
          <t>City</t>
        </is>
      </c>
      <c r="C6" s="15" t="inlineStr">
        <is>
          <t>Pune</t>
        </is>
      </c>
      <c r="G6" s="10" t="inlineStr">
        <is>
          <t>For your own reference. Rent and wage assumptions are entered below, not looked up.</t>
        </is>
      </c>
    </row>
    <row r="7" ht="32" customHeight="1">
      <c r="B7" s="14" t="inlineStr">
        <is>
          <t>Seats</t>
        </is>
      </c>
      <c r="C7" s="16" t="n">
        <v>45</v>
      </c>
      <c r="G7" s="10" t="inlineStr">
        <is>
          <t>Used as a sanity check against covers per day on the Summary sheet.</t>
        </is>
      </c>
    </row>
    <row r="8" ht="32" customHeight="1">
      <c r="B8" s="14" t="inlineStr">
        <is>
          <t>Days open per month</t>
        </is>
      </c>
      <c r="C8" s="16" t="n">
        <v>30</v>
      </c>
      <c r="G8" s="10" t="inlineStr">
        <is>
          <t>Drop to 26 or 27 if you close on a weekday or for maintenance.</t>
        </is>
      </c>
    </row>
    <row r="9" ht="32" customHeight="1">
      <c r="B9" s="14" t="inlineStr">
        <is>
          <t>GST position</t>
        </is>
      </c>
      <c r="C9" s="15" t="inlineStr">
        <is>
          <t>5 percent without ITC</t>
        </is>
      </c>
      <c r="G9" s="10" t="inlineStr">
        <is>
          <t>5 percent without ITC is the standard standalone restaurant position. See the Instructions sheet.</t>
        </is>
      </c>
    </row>
    <row r="10"/>
    <row r="11">
      <c r="B11" s="3" t="inlineStr">
        <is>
          <t>B. Revenue at the full run rate, once the restaurant has settled</t>
        </is>
      </c>
    </row>
    <row r="12" ht="32" customHeight="1">
      <c r="B12" s="6" t="inlineStr">
        <is>
          <t>Channel</t>
        </is>
      </c>
      <c r="C12" s="6" t="inlineStr">
        <is>
          <t>Per day</t>
        </is>
      </c>
      <c r="D12" s="6" t="inlineStr">
        <is>
          <t>Average value (₹)</t>
        </is>
      </c>
      <c r="E12" s="6" t="inlineStr">
        <is>
          <t>Monthly revenue (₹)</t>
        </is>
      </c>
      <c r="F12" s="6" t="inlineStr"/>
      <c r="G12" s="6" t="inlineStr">
        <is>
          <t>Where the number comes from</t>
        </is>
      </c>
    </row>
    <row r="13" ht="32" customHeight="1">
      <c r="B13" s="14" t="inlineStr">
        <is>
          <t>Dine-in covers</t>
        </is>
      </c>
      <c r="C13" s="16" t="n">
        <v>75</v>
      </c>
      <c r="D13" s="17" t="n">
        <v>500</v>
      </c>
      <c r="E13" s="18">
        <f>C13*D13*$C$8</f>
        <v/>
      </c>
      <c r="F13" s="19" t="inlineStr"/>
      <c r="G13" s="10" t="inlineStr">
        <is>
          <t>45 seats turning roughly 1.7 times a day. Average spend per cover is net of GST.</t>
        </is>
      </c>
    </row>
    <row r="14" ht="32" customHeight="1">
      <c r="B14" s="14" t="inlineStr">
        <is>
          <t>Delivery orders</t>
        </is>
      </c>
      <c r="C14" s="16" t="n">
        <v>35</v>
      </c>
      <c r="D14" s="17" t="n">
        <v>450</v>
      </c>
      <c r="E14" s="18">
        <f>C14*D14*$C$8</f>
        <v/>
      </c>
      <c r="F14" s="19" t="inlineStr"/>
      <c r="G14" s="10" t="inlineStr">
        <is>
          <t>Zomato, Swiggy and your own channel together. Order value is what the customer pays, before commission.</t>
        </is>
      </c>
    </row>
    <row r="15" ht="32" customHeight="1">
      <c r="B15" s="14" t="inlineStr">
        <is>
          <t>Takeaway and pickup orders</t>
        </is>
      </c>
      <c r="C15" s="16" t="n">
        <v>12</v>
      </c>
      <c r="D15" s="17" t="n">
        <v>350</v>
      </c>
      <c r="E15" s="18">
        <f>C15*D15*$C$8</f>
        <v/>
      </c>
      <c r="F15" s="19" t="inlineStr"/>
      <c r="G15" s="10" t="inlineStr">
        <is>
          <t>Walk-in parcels and direct pickup. No commission and no packaging cost beyond the container.</t>
        </is>
      </c>
    </row>
    <row r="16" ht="32" customHeight="1">
      <c r="B16" s="20" t="inlineStr">
        <is>
          <t>Total monthly revenue at the full run rate</t>
        </is>
      </c>
      <c r="C16" s="21" t="inlineStr"/>
      <c r="D16" s="21" t="inlineStr"/>
      <c r="E16" s="22">
        <f>SUM(E13:E15)</f>
        <v/>
      </c>
      <c r="F16" s="21" t="inlineStr"/>
      <c r="G16" s="10" t="inlineStr">
        <is>
          <t>Annualised, this is the ceiling the model ramps towards in Year 1.</t>
        </is>
      </c>
    </row>
    <row r="17"/>
    <row r="18">
      <c r="B18" s="3" t="inlineStr">
        <is>
          <t>C. Ramp-up and growth</t>
        </is>
      </c>
    </row>
    <row r="19" ht="32" customHeight="1">
      <c r="B19" s="14" t="inlineStr">
        <is>
          <t>Utilisation in month 1</t>
        </is>
      </c>
      <c r="C19" s="23" t="n">
        <v>0.45</v>
      </c>
      <c r="G19" s="10" t="inlineStr">
        <is>
          <t>A new restaurant does not open full. 40 to 50 percent of the run rate is a realistic first month.</t>
        </is>
      </c>
    </row>
    <row r="20" ht="32" customHeight="1">
      <c r="B20" s="14" t="inlineStr">
        <is>
          <t>Months to reach the full run rate</t>
        </is>
      </c>
      <c r="C20" s="16" t="n">
        <v>6</v>
      </c>
      <c r="G20" s="10" t="inlineStr">
        <is>
          <t>Utilisation climbs in equal steps from month 1 to this month.</t>
        </is>
      </c>
    </row>
    <row r="21" ht="32" customHeight="1">
      <c r="B21" s="14" t="inlineStr">
        <is>
          <t>Monthly growth after the ramp</t>
        </is>
      </c>
      <c r="C21" s="24" t="n">
        <v>0.01</v>
      </c>
      <c r="G21" s="10" t="inlineStr">
        <is>
          <t>Applied from the month after the ramp ends. Keep it modest, it compounds.</t>
        </is>
      </c>
    </row>
    <row r="22" ht="32" customHeight="1">
      <c r="B22" s="14" t="inlineStr">
        <is>
          <t>Year 2 growth over Year 1</t>
        </is>
      </c>
      <c r="C22" s="24" t="n">
        <v>0.18</v>
      </c>
      <c r="G22" s="10" t="inlineStr">
        <is>
          <t>Year 1 is part-ramped, so Year 2 usually grows faster than the underlying business.</t>
        </is>
      </c>
    </row>
    <row r="23">
      <c r="B23" s="14" t="inlineStr">
        <is>
          <t>Year 3 growth over Year 2</t>
        </is>
      </c>
      <c r="C23" s="24" t="n">
        <v>0.12</v>
      </c>
      <c r="G23" s="10" t="inlineStr">
        <is>
          <t>Includes any menu price increase you plan to take.</t>
        </is>
      </c>
    </row>
    <row r="24" ht="32" customHeight="1">
      <c r="B24" s="14" t="inlineStr">
        <is>
          <t>Quarterly seasonality for Years 2 and 3</t>
        </is>
      </c>
      <c r="C24" s="25" t="n">
        <v>0.24</v>
      </c>
      <c r="D24" s="25" t="n">
        <v>0.25</v>
      </c>
      <c r="E24" s="25" t="n">
        <v>0.25</v>
      </c>
      <c r="F24" s="25" t="n">
        <v>0.26</v>
      </c>
      <c r="G24" s="10" t="inlineStr">
        <is>
          <t>Q1 to Q4 shares of the year. They should add to 100 percent, which the check below confirms.</t>
        </is>
      </c>
    </row>
    <row r="25" ht="32" customHeight="1">
      <c r="B25" s="26" t="inlineStr">
        <is>
          <t>Seasonality check</t>
        </is>
      </c>
      <c r="C25" s="8">
        <f>IF(ROUND(SUM(C24:F24),4)=1,"Adds to 100%","Does not add to 100%")</f>
        <v/>
      </c>
      <c r="D25" s="27" t="n"/>
      <c r="E25" s="27" t="n"/>
      <c r="F25" s="28" t="n"/>
    </row>
    <row r="26"/>
    <row r="27">
      <c r="B27" s="3" t="inlineStr">
        <is>
          <t>D. Cost assumptions</t>
        </is>
      </c>
    </row>
    <row r="28" ht="46.5" customHeight="1">
      <c r="B28" s="14" t="inlineStr">
        <is>
          <t>Food and beverage cost (% of revenue)</t>
        </is>
      </c>
      <c r="C28" s="24" t="n">
        <v>0.3</v>
      </c>
      <c r="G28" s="10" t="inlineStr">
        <is>
          <t>Casual dining benchmark is 28 to 35 percent. On the 5 percent GST position, enter it inclusive of GST paid on purchases.</t>
        </is>
      </c>
    </row>
    <row r="29" ht="32" customHeight="1">
      <c r="B29" s="14" t="inlineStr">
        <is>
          <t>Packaging (% of delivery revenue)</t>
        </is>
      </c>
      <c r="C29" s="24" t="n">
        <v>0.03</v>
      </c>
      <c r="G29" s="10" t="inlineStr">
        <is>
          <t>Containers, bags and cutlery. Charged on delivery revenue only.</t>
        </is>
      </c>
    </row>
    <row r="30" ht="32" customHeight="1">
      <c r="B30" s="14" t="inlineStr">
        <is>
          <t>Aggregator commission (% of delivery revenue)</t>
        </is>
      </c>
      <c r="C30" s="24" t="n">
        <v>0.22</v>
      </c>
      <c r="G30" s="10" t="inlineStr">
        <is>
          <t>Base commission on Zomato and Swiggy typically runs 18 to 25 percent, before platform and payment fees.</t>
        </is>
      </c>
    </row>
    <row r="31" ht="46.5" customHeight="1">
      <c r="B31" s="14" t="inlineStr">
        <is>
          <t>GST charged on the commission</t>
        </is>
      </c>
      <c r="C31" s="23" t="n">
        <v>0.18</v>
      </c>
      <c r="G31" s="10" t="inlineStr">
        <is>
          <t>The aggregator charges 18 percent GST on its commission. On the 5 percent position this is a cost, since no credit is available.</t>
        </is>
      </c>
    </row>
    <row r="32">
      <c r="B32" s="14" t="inlineStr">
        <is>
          <t>Staff on payroll</t>
        </is>
      </c>
      <c r="C32" s="16" t="n">
        <v>19</v>
      </c>
      <c r="G32" s="10" t="inlineStr">
        <is>
          <t>Kitchen, service, cleaning and management together.</t>
        </is>
      </c>
    </row>
    <row r="33" ht="32" customHeight="1">
      <c r="B33" s="14" t="inlineStr">
        <is>
          <t>Average monthly cost per employee (₹)</t>
        </is>
      </c>
      <c r="C33" s="17" t="n">
        <v>19000</v>
      </c>
      <c r="G33" s="10" t="inlineStr">
        <is>
          <t>Cost to the restaurant, so include PF, ESI and any food and accommodation you provide.</t>
        </is>
      </c>
    </row>
    <row r="34">
      <c r="B34" s="14" t="inlineStr">
        <is>
          <t>Annual increment</t>
        </is>
      </c>
      <c r="C34" s="24" t="n">
        <v>0.08</v>
      </c>
      <c r="G34" s="10" t="inlineStr">
        <is>
          <t>Applied to the whole payroll from Year 2.</t>
        </is>
      </c>
    </row>
    <row r="35" ht="32" customHeight="1">
      <c r="B35" s="14" t="inlineStr">
        <is>
          <t>Rent per month (₹)</t>
        </is>
      </c>
      <c r="C35" s="17" t="n">
        <v>150000</v>
      </c>
      <c r="G35" s="10" t="inlineStr">
        <is>
          <t>Benchmark is 8 to 12 percent of revenue. Above that, the site is carrying the business.</t>
        </is>
      </c>
    </row>
    <row r="36" ht="32" customHeight="1">
      <c r="B36" s="14" t="inlineStr">
        <is>
          <t>Annual rent escalation</t>
        </is>
      </c>
      <c r="C36" s="24" t="n">
        <v>0.07000000000000001</v>
      </c>
      <c r="G36" s="10" t="inlineStr">
        <is>
          <t>Check the lease. Most Indian retail leases escalate 5 to 10 percent a year.</t>
        </is>
      </c>
    </row>
    <row r="37">
      <c r="B37" s="14" t="inlineStr">
        <is>
          <t>Utilities per month (₹)</t>
        </is>
      </c>
      <c r="C37" s="17" t="n">
        <v>85000</v>
      </c>
      <c r="G37" s="10" t="inlineStr">
        <is>
          <t>Electricity, gas, water and internet.</t>
        </is>
      </c>
    </row>
    <row r="38">
      <c r="B38" s="14" t="inlineStr">
        <is>
          <t>Marketing (% of revenue)</t>
        </is>
      </c>
      <c r="C38" s="24" t="n">
        <v>0.04</v>
      </c>
      <c r="G38" s="10" t="inlineStr">
        <is>
          <t>Includes aggregator ads and discounts you fund yourself.</t>
        </is>
      </c>
    </row>
    <row r="39">
      <c r="B39" s="14" t="inlineStr">
        <is>
          <t>Repairs and maintenance per month (₹)</t>
        </is>
      </c>
      <c r="C39" s="17" t="n">
        <v>25000</v>
      </c>
      <c r="G39" s="10" t="inlineStr">
        <is>
          <t>Equipment servicing, pest control, deep cleaning.</t>
        </is>
      </c>
    </row>
    <row r="40" ht="32" customHeight="1">
      <c r="B40" s="14" t="inlineStr">
        <is>
          <t>Other operating costs per month (₹)</t>
        </is>
      </c>
      <c r="C40" s="17" t="n">
        <v>40000</v>
      </c>
      <c r="G40" s="10" t="inlineStr">
        <is>
          <t>Consumables, accounting, software, bank charges, everything not listed above.</t>
        </is>
      </c>
    </row>
    <row r="41" ht="32" customHeight="1">
      <c r="B41" s="14" t="inlineStr">
        <is>
          <t>Licences and compliance per year (₹)</t>
        </is>
      </c>
      <c r="C41" s="17" t="n">
        <v>120000</v>
      </c>
      <c r="G41" s="10" t="inlineStr">
        <is>
          <t>FSSAI, shop and establishment, trade licence, music, liquor if applicable. Spread evenly across the year.</t>
        </is>
      </c>
    </row>
    <row r="42" ht="32" customHeight="1">
      <c r="B42" s="14" t="inlineStr">
        <is>
          <t>Annual inflation on other fixed costs</t>
        </is>
      </c>
      <c r="C42" s="24" t="n">
        <v>0.05</v>
      </c>
      <c r="G42" s="10" t="inlineStr">
        <is>
          <t>Applied to utilities, repairs, other costs and licences from Year 2.</t>
        </is>
      </c>
    </row>
    <row r="43"/>
    <row r="44">
      <c r="B44" s="3" t="inlineStr">
        <is>
          <t>E. Investment and funding</t>
        </is>
      </c>
    </row>
    <row r="45" ht="32" customHeight="1">
      <c r="B45" s="14" t="inlineStr">
        <is>
          <t>Total initial investment (₹)</t>
        </is>
      </c>
      <c r="C45" s="17" t="n">
        <v>7750000</v>
      </c>
      <c r="G45" s="10" t="inlineStr">
        <is>
          <t>The figure from the Restaurant Startup Cost Estimator, or your own project cost.</t>
        </is>
      </c>
    </row>
    <row r="46" ht="32" customHeight="1">
      <c r="B46" s="14" t="inlineStr">
        <is>
          <t>Own funds (₹)</t>
        </is>
      </c>
      <c r="C46" s="17" t="n">
        <v>4750000</v>
      </c>
      <c r="G46" s="10" t="inlineStr">
        <is>
          <t>Promoter contribution. A bank will usually want at least 25 to 30 percent.</t>
        </is>
      </c>
    </row>
    <row r="47" ht="32" customHeight="1">
      <c r="B47" s="14" t="inlineStr">
        <is>
          <t>Term loan (₹)</t>
        </is>
      </c>
      <c r="C47" s="18">
        <f>MAX(0,C45-C46)</f>
        <v/>
      </c>
      <c r="G47" s="10" t="inlineStr">
        <is>
          <t>Investment minus own funds. Change either input above to change the loan.</t>
        </is>
      </c>
    </row>
    <row r="48" ht="32" customHeight="1">
      <c r="B48" s="14" t="inlineStr">
        <is>
          <t>Interest rate on the loan</t>
        </is>
      </c>
      <c r="C48" s="24" t="n">
        <v>0.13</v>
      </c>
      <c r="G48" s="10" t="inlineStr">
        <is>
          <t>Working capital and term loans to restaurants commonly price in the low to mid teens.</t>
        </is>
      </c>
    </row>
    <row r="49">
      <c r="B49" s="14" t="inlineStr">
        <is>
          <t>Loan tenure (years)</t>
        </is>
      </c>
      <c r="C49" s="16" t="n">
        <v>5</v>
      </c>
      <c r="G49" s="10" t="inlineStr">
        <is>
          <t>Equal principal repayment across the tenure.</t>
        </is>
      </c>
    </row>
    <row r="50" ht="46.5" customHeight="1">
      <c r="B50" s="14" t="inlineStr">
        <is>
          <t>Depreciable assets (₹)</t>
        </is>
      </c>
      <c r="C50" s="17" t="n">
        <v>5000000</v>
      </c>
      <c r="G50" s="10" t="inlineStr">
        <is>
          <t>Interiors, kitchen equipment, furniture and hardware. Leave out deposits and pre-opening spend, which are not depreciated.</t>
        </is>
      </c>
    </row>
    <row r="51" ht="75.5" customHeight="1">
      <c r="B51" s="14" t="inlineStr">
        <is>
          <t>Useful life for depreciation (years)</t>
        </is>
      </c>
      <c r="C51" s="16" t="n">
        <v>8</v>
      </c>
      <c r="G51" s="10" t="inlineStr">
        <is>
          <t>Straight line. Schedule II of the Companies Act 2013 gives furniture and fittings used in hotels and restaurants a useful life of 8 years, against 10 for general furniture. Kitchen equipment and interiors may differ, so check what your auditor applies.</t>
        </is>
      </c>
    </row>
    <row r="52" ht="32" customHeight="1">
      <c r="B52" s="14" t="inlineStr">
        <is>
          <t>Income tax rate</t>
        </is>
      </c>
      <c r="C52" s="24" t="n">
        <v>0.25</v>
      </c>
      <c r="G52" s="10" t="inlineStr">
        <is>
          <t>Set it to match your structure. A company, an LLP and a proprietor are each taxed differently.</t>
        </is>
      </c>
    </row>
    <row r="53"/>
    <row r="54">
      <c r="B54" s="10" t="inlineStr">
        <is>
          <t>The blue cells are the only place to type. If a figure looks wrong on a later sheet, it started here.</t>
        </is>
      </c>
    </row>
    <row r="55"/>
    <row r="56">
      <c r="B56" s="11" t="inlineStr">
        <is>
          <t>Powered by Petpooja POSS | getposs@petpooja.com | +91-9104369797 | www.petpooja.com</t>
        </is>
      </c>
    </row>
  </sheetData>
  <sheetProtection selectLockedCells="0" selectUnlockedCells="0" sheet="1" objects="0" insertRows="1" insertHyperlinks="1" autoFilter="1" scenarios="0" formatColumns="1" deleteColumns="1" insertColumns="1" pivotTables="1" deleteRows="1" formatCells="0" formatRows="1" sort="1" password="89B7"/>
  <mergeCells count="10">
    <mergeCell ref="B2:G2"/>
    <mergeCell ref="B54:G54"/>
    <mergeCell ref="B27:G27"/>
    <mergeCell ref="B1:G1"/>
    <mergeCell ref="B4:G4"/>
    <mergeCell ref="B18:G18"/>
    <mergeCell ref="C25:F25"/>
    <mergeCell ref="B56:G56"/>
    <mergeCell ref="B44:G44"/>
    <mergeCell ref="B11:G11"/>
  </mergeCells>
  <dataValidations count="2">
    <dataValidation sqref="C5" showDropDown="0" showInputMessage="0" showErrorMessage="0" allowBlank="1" type="list">
      <formula1>"Fine dine,Casual dining,QSR,Cafe,Cloud kitchen"</formula1>
    </dataValidation>
    <dataValidation sqref="C9" showDropDown="0" showInputMessage="0" showErrorMessage="0" allowBlank="1" type="list">
      <formula1>"5 percent without ITC,18 percent with ITC"</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P33"/>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3" customWidth="1" min="1" max="1"/>
    <col width="40"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6" customWidth="1" min="15" max="15"/>
    <col width="13" customWidth="1" min="16" max="16"/>
    <col width="13" customWidth="1" min="17" max="17"/>
    <col width="13" customWidth="1" min="18" max="18"/>
    <col width="13" customWidth="1" min="19" max="19"/>
    <col width="13" customWidth="1" min="20" max="20"/>
    <col width="13" customWidth="1" min="21" max="21"/>
  </cols>
  <sheetData>
    <row r="1">
      <c r="B1" s="12" t="inlineStr">
        <is>
          <t>Year 1, month by month</t>
        </is>
      </c>
    </row>
    <row r="2">
      <c r="B2" s="13" t="inlineStr">
        <is>
          <t>Calculated from the Assumptions sheet. Month 1 is your first month of trading. Nothing to fill in here.</t>
        </is>
      </c>
    </row>
    <row r="3"/>
    <row r="4" ht="22" customHeight="1">
      <c r="B4" s="6" t="inlineStr">
        <is>
          <t>Month</t>
        </is>
      </c>
      <c r="C4" s="29" t="n">
        <v>1</v>
      </c>
      <c r="D4" s="29" t="n">
        <v>2</v>
      </c>
      <c r="E4" s="29" t="n">
        <v>3</v>
      </c>
      <c r="F4" s="29" t="n">
        <v>4</v>
      </c>
      <c r="G4" s="29" t="n">
        <v>5</v>
      </c>
      <c r="H4" s="29" t="n">
        <v>6</v>
      </c>
      <c r="I4" s="29" t="n">
        <v>7</v>
      </c>
      <c r="J4" s="29" t="n">
        <v>8</v>
      </c>
      <c r="K4" s="29" t="n">
        <v>9</v>
      </c>
      <c r="L4" s="29" t="n">
        <v>10</v>
      </c>
      <c r="M4" s="29" t="n">
        <v>11</v>
      </c>
      <c r="N4" s="29" t="n">
        <v>12</v>
      </c>
      <c r="O4" s="6" t="inlineStr">
        <is>
          <t>Year 1 total</t>
        </is>
      </c>
    </row>
    <row r="5">
      <c r="B5" s="30" t="inlineStr">
        <is>
          <t>Utilisation of the full run rate</t>
        </is>
      </c>
      <c r="C5" s="31">
        <f>IF(Assumptions!$C$20&lt;=1,1,Assumptions!$C$19)</f>
        <v/>
      </c>
      <c r="D5" s="31">
        <f>IF(D$4&lt;=Assumptions!$C$20,Assumptions!$C$19+(D$4-1)*(1-Assumptions!$C$19)/MAX(Assumptions!$C$20-1,1),C5*(1+Assumptions!$C$21))</f>
        <v/>
      </c>
      <c r="E5" s="31">
        <f>IF(E$4&lt;=Assumptions!$C$20,Assumptions!$C$19+(E$4-1)*(1-Assumptions!$C$19)/MAX(Assumptions!$C$20-1,1),D5*(1+Assumptions!$C$21))</f>
        <v/>
      </c>
      <c r="F5" s="31">
        <f>IF(F$4&lt;=Assumptions!$C$20,Assumptions!$C$19+(F$4-1)*(1-Assumptions!$C$19)/MAX(Assumptions!$C$20-1,1),E5*(1+Assumptions!$C$21))</f>
        <v/>
      </c>
      <c r="G5" s="31">
        <f>IF(G$4&lt;=Assumptions!$C$20,Assumptions!$C$19+(G$4-1)*(1-Assumptions!$C$19)/MAX(Assumptions!$C$20-1,1),F5*(1+Assumptions!$C$21))</f>
        <v/>
      </c>
      <c r="H5" s="31">
        <f>IF(H$4&lt;=Assumptions!$C$20,Assumptions!$C$19+(H$4-1)*(1-Assumptions!$C$19)/MAX(Assumptions!$C$20-1,1),G5*(1+Assumptions!$C$21))</f>
        <v/>
      </c>
      <c r="I5" s="31">
        <f>IF(I$4&lt;=Assumptions!$C$20,Assumptions!$C$19+(I$4-1)*(1-Assumptions!$C$19)/MAX(Assumptions!$C$20-1,1),H5*(1+Assumptions!$C$21))</f>
        <v/>
      </c>
      <c r="J5" s="31">
        <f>IF(J$4&lt;=Assumptions!$C$20,Assumptions!$C$19+(J$4-1)*(1-Assumptions!$C$19)/MAX(Assumptions!$C$20-1,1),I5*(1+Assumptions!$C$21))</f>
        <v/>
      </c>
      <c r="K5" s="31">
        <f>IF(K$4&lt;=Assumptions!$C$20,Assumptions!$C$19+(K$4-1)*(1-Assumptions!$C$19)/MAX(Assumptions!$C$20-1,1),J5*(1+Assumptions!$C$21))</f>
        <v/>
      </c>
      <c r="L5" s="31">
        <f>IF(L$4&lt;=Assumptions!$C$20,Assumptions!$C$19+(L$4-1)*(1-Assumptions!$C$19)/MAX(Assumptions!$C$20-1,1),K5*(1+Assumptions!$C$21))</f>
        <v/>
      </c>
      <c r="M5" s="31">
        <f>IF(M$4&lt;=Assumptions!$C$20,Assumptions!$C$19+(M$4-1)*(1-Assumptions!$C$19)/MAX(Assumptions!$C$20-1,1),L5*(1+Assumptions!$C$21))</f>
        <v/>
      </c>
      <c r="N5" s="31">
        <f>IF(N$4&lt;=Assumptions!$C$20,Assumptions!$C$19+(N$4-1)*(1-Assumptions!$C$19)/MAX(Assumptions!$C$20-1,1),M5*(1+Assumptions!$C$21))</f>
        <v/>
      </c>
      <c r="O5" s="21" t="inlineStr"/>
    </row>
    <row r="6">
      <c r="B6" s="30" t="inlineStr">
        <is>
          <t>Dine-in revenue</t>
        </is>
      </c>
      <c r="C6" s="32">
        <f>C5*Assumptions!$E$13</f>
        <v/>
      </c>
      <c r="D6" s="32">
        <f>D5*Assumptions!$E$13</f>
        <v/>
      </c>
      <c r="E6" s="32">
        <f>E5*Assumptions!$E$13</f>
        <v/>
      </c>
      <c r="F6" s="32">
        <f>F5*Assumptions!$E$13</f>
        <v/>
      </c>
      <c r="G6" s="32">
        <f>G5*Assumptions!$E$13</f>
        <v/>
      </c>
      <c r="H6" s="32">
        <f>H5*Assumptions!$E$13</f>
        <v/>
      </c>
      <c r="I6" s="32">
        <f>I5*Assumptions!$E$13</f>
        <v/>
      </c>
      <c r="J6" s="32">
        <f>J5*Assumptions!$E$13</f>
        <v/>
      </c>
      <c r="K6" s="32">
        <f>K5*Assumptions!$E$13</f>
        <v/>
      </c>
      <c r="L6" s="32">
        <f>L5*Assumptions!$E$13</f>
        <v/>
      </c>
      <c r="M6" s="32">
        <f>M5*Assumptions!$E$13</f>
        <v/>
      </c>
      <c r="N6" s="32">
        <f>N5*Assumptions!$E$13</f>
        <v/>
      </c>
      <c r="O6" s="22">
        <f>SUM(C6:N6)</f>
        <v/>
      </c>
    </row>
    <row r="7">
      <c r="B7" s="30" t="inlineStr">
        <is>
          <t>Delivery revenue</t>
        </is>
      </c>
      <c r="C7" s="32">
        <f>C5*Assumptions!$E$14</f>
        <v/>
      </c>
      <c r="D7" s="32">
        <f>D5*Assumptions!$E$14</f>
        <v/>
      </c>
      <c r="E7" s="32">
        <f>E5*Assumptions!$E$14</f>
        <v/>
      </c>
      <c r="F7" s="32">
        <f>F5*Assumptions!$E$14</f>
        <v/>
      </c>
      <c r="G7" s="32">
        <f>G5*Assumptions!$E$14</f>
        <v/>
      </c>
      <c r="H7" s="32">
        <f>H5*Assumptions!$E$14</f>
        <v/>
      </c>
      <c r="I7" s="32">
        <f>I5*Assumptions!$E$14</f>
        <v/>
      </c>
      <c r="J7" s="32">
        <f>J5*Assumptions!$E$14</f>
        <v/>
      </c>
      <c r="K7" s="32">
        <f>K5*Assumptions!$E$14</f>
        <v/>
      </c>
      <c r="L7" s="32">
        <f>L5*Assumptions!$E$14</f>
        <v/>
      </c>
      <c r="M7" s="32">
        <f>M5*Assumptions!$E$14</f>
        <v/>
      </c>
      <c r="N7" s="32">
        <f>N5*Assumptions!$E$14</f>
        <v/>
      </c>
      <c r="O7" s="22">
        <f>SUM(C7:N7)</f>
        <v/>
      </c>
    </row>
    <row r="8">
      <c r="B8" s="30" t="inlineStr">
        <is>
          <t>Takeaway revenue</t>
        </is>
      </c>
      <c r="C8" s="32">
        <f>C5*Assumptions!$E$15</f>
        <v/>
      </c>
      <c r="D8" s="32">
        <f>D5*Assumptions!$E$15</f>
        <v/>
      </c>
      <c r="E8" s="32">
        <f>E5*Assumptions!$E$15</f>
        <v/>
      </c>
      <c r="F8" s="32">
        <f>F5*Assumptions!$E$15</f>
        <v/>
      </c>
      <c r="G8" s="32">
        <f>G5*Assumptions!$E$15</f>
        <v/>
      </c>
      <c r="H8" s="32">
        <f>H5*Assumptions!$E$15</f>
        <v/>
      </c>
      <c r="I8" s="32">
        <f>I5*Assumptions!$E$15</f>
        <v/>
      </c>
      <c r="J8" s="32">
        <f>J5*Assumptions!$E$15</f>
        <v/>
      </c>
      <c r="K8" s="32">
        <f>K5*Assumptions!$E$15</f>
        <v/>
      </c>
      <c r="L8" s="32">
        <f>L5*Assumptions!$E$15</f>
        <v/>
      </c>
      <c r="M8" s="32">
        <f>M5*Assumptions!$E$15</f>
        <v/>
      </c>
      <c r="N8" s="32">
        <f>N5*Assumptions!$E$15</f>
        <v/>
      </c>
      <c r="O8" s="22">
        <f>SUM(C8:N8)</f>
        <v/>
      </c>
    </row>
    <row r="9">
      <c r="B9" s="20" t="inlineStr">
        <is>
          <t>Total revenue</t>
        </is>
      </c>
      <c r="C9" s="22">
        <f>SUM(C6:C8)</f>
        <v/>
      </c>
      <c r="D9" s="22">
        <f>SUM(D6:D8)</f>
        <v/>
      </c>
      <c r="E9" s="22">
        <f>SUM(E6:E8)</f>
        <v/>
      </c>
      <c r="F9" s="22">
        <f>SUM(F6:F8)</f>
        <v/>
      </c>
      <c r="G9" s="22">
        <f>SUM(G6:G8)</f>
        <v/>
      </c>
      <c r="H9" s="22">
        <f>SUM(H6:H8)</f>
        <v/>
      </c>
      <c r="I9" s="22">
        <f>SUM(I6:I8)</f>
        <v/>
      </c>
      <c r="J9" s="22">
        <f>SUM(J6:J8)</f>
        <v/>
      </c>
      <c r="K9" s="22">
        <f>SUM(K6:K8)</f>
        <v/>
      </c>
      <c r="L9" s="22">
        <f>SUM(L6:L8)</f>
        <v/>
      </c>
      <c r="M9" s="22">
        <f>SUM(M6:M8)</f>
        <v/>
      </c>
      <c r="N9" s="22">
        <f>SUM(N6:N8)</f>
        <v/>
      </c>
      <c r="O9" s="22">
        <f>SUM(C9:N9)</f>
        <v/>
      </c>
    </row>
    <row r="10">
      <c r="B10" s="30" t="inlineStr">
        <is>
          <t>Less: food and beverage cost</t>
        </is>
      </c>
      <c r="C10" s="32">
        <f>C9*Assumptions!$C$28</f>
        <v/>
      </c>
      <c r="D10" s="32">
        <f>D9*Assumptions!$C$28</f>
        <v/>
      </c>
      <c r="E10" s="32">
        <f>E9*Assumptions!$C$28</f>
        <v/>
      </c>
      <c r="F10" s="32">
        <f>F9*Assumptions!$C$28</f>
        <v/>
      </c>
      <c r="G10" s="32">
        <f>G9*Assumptions!$C$28</f>
        <v/>
      </c>
      <c r="H10" s="32">
        <f>H9*Assumptions!$C$28</f>
        <v/>
      </c>
      <c r="I10" s="32">
        <f>I9*Assumptions!$C$28</f>
        <v/>
      </c>
      <c r="J10" s="32">
        <f>J9*Assumptions!$C$28</f>
        <v/>
      </c>
      <c r="K10" s="32">
        <f>K9*Assumptions!$C$28</f>
        <v/>
      </c>
      <c r="L10" s="32">
        <f>L9*Assumptions!$C$28</f>
        <v/>
      </c>
      <c r="M10" s="32">
        <f>M9*Assumptions!$C$28</f>
        <v/>
      </c>
      <c r="N10" s="32">
        <f>N9*Assumptions!$C$28</f>
        <v/>
      </c>
      <c r="O10" s="22">
        <f>SUM(C10:N10)</f>
        <v/>
      </c>
    </row>
    <row r="11">
      <c r="B11" s="30" t="inlineStr">
        <is>
          <t>Less: packaging on delivery</t>
        </is>
      </c>
      <c r="C11" s="32">
        <f>C7*Assumptions!$C$29</f>
        <v/>
      </c>
      <c r="D11" s="32">
        <f>D7*Assumptions!$C$29</f>
        <v/>
      </c>
      <c r="E11" s="32">
        <f>E7*Assumptions!$C$29</f>
        <v/>
      </c>
      <c r="F11" s="32">
        <f>F7*Assumptions!$C$29</f>
        <v/>
      </c>
      <c r="G11" s="32">
        <f>G7*Assumptions!$C$29</f>
        <v/>
      </c>
      <c r="H11" s="32">
        <f>H7*Assumptions!$C$29</f>
        <v/>
      </c>
      <c r="I11" s="32">
        <f>I7*Assumptions!$C$29</f>
        <v/>
      </c>
      <c r="J11" s="32">
        <f>J7*Assumptions!$C$29</f>
        <v/>
      </c>
      <c r="K11" s="32">
        <f>K7*Assumptions!$C$29</f>
        <v/>
      </c>
      <c r="L11" s="32">
        <f>L7*Assumptions!$C$29</f>
        <v/>
      </c>
      <c r="M11" s="32">
        <f>M7*Assumptions!$C$29</f>
        <v/>
      </c>
      <c r="N11" s="32">
        <f>N7*Assumptions!$C$29</f>
        <v/>
      </c>
      <c r="O11" s="22">
        <f>SUM(C11:N11)</f>
        <v/>
      </c>
    </row>
    <row r="12">
      <c r="B12" s="20" t="inlineStr">
        <is>
          <t>Gross profit</t>
        </is>
      </c>
      <c r="C12" s="22">
        <f>C9-C10-C11</f>
        <v/>
      </c>
      <c r="D12" s="22">
        <f>D9-D10-D11</f>
        <v/>
      </c>
      <c r="E12" s="22">
        <f>E9-E10-E11</f>
        <v/>
      </c>
      <c r="F12" s="22">
        <f>F9-F10-F11</f>
        <v/>
      </c>
      <c r="G12" s="22">
        <f>G9-G10-G11</f>
        <v/>
      </c>
      <c r="H12" s="22">
        <f>H9-H10-H11</f>
        <v/>
      </c>
      <c r="I12" s="22">
        <f>I9-I10-I11</f>
        <v/>
      </c>
      <c r="J12" s="22">
        <f>J9-J10-J11</f>
        <v/>
      </c>
      <c r="K12" s="22">
        <f>K9-K10-K11</f>
        <v/>
      </c>
      <c r="L12" s="22">
        <f>L9-L10-L11</f>
        <v/>
      </c>
      <c r="M12" s="22">
        <f>M9-M10-M11</f>
        <v/>
      </c>
      <c r="N12" s="22">
        <f>N9-N10-N11</f>
        <v/>
      </c>
      <c r="O12" s="22">
        <f>SUM(C12:N12)</f>
        <v/>
      </c>
    </row>
    <row r="13">
      <c r="B13" s="30" t="inlineStr">
        <is>
          <t>Gross margin</t>
        </is>
      </c>
      <c r="C13" s="31">
        <f>IF(C9=0,0,C12/C9)</f>
        <v/>
      </c>
      <c r="D13" s="31">
        <f>IF(D9=0,0,D12/D9)</f>
        <v/>
      </c>
      <c r="E13" s="31">
        <f>IF(E9=0,0,E12/E9)</f>
        <v/>
      </c>
      <c r="F13" s="31">
        <f>IF(F9=0,0,F12/F9)</f>
        <v/>
      </c>
      <c r="G13" s="31">
        <f>IF(G9=0,0,G12/G9)</f>
        <v/>
      </c>
      <c r="H13" s="31">
        <f>IF(H9=0,0,H12/H9)</f>
        <v/>
      </c>
      <c r="I13" s="31">
        <f>IF(I9=0,0,I12/I9)</f>
        <v/>
      </c>
      <c r="J13" s="31">
        <f>IF(J9=0,0,J12/J9)</f>
        <v/>
      </c>
      <c r="K13" s="31">
        <f>IF(K9=0,0,K12/K9)</f>
        <v/>
      </c>
      <c r="L13" s="31">
        <f>IF(L9=0,0,L12/L9)</f>
        <v/>
      </c>
      <c r="M13" s="31">
        <f>IF(M9=0,0,M12/M9)</f>
        <v/>
      </c>
      <c r="N13" s="31">
        <f>IF(N9=0,0,N12/N9)</f>
        <v/>
      </c>
      <c r="O13" s="33">
        <f>IF(O9=0,0,O12/O9)</f>
        <v/>
      </c>
    </row>
    <row r="14">
      <c r="B14" s="30" t="inlineStr">
        <is>
          <t>Aggregator commission</t>
        </is>
      </c>
      <c r="C14" s="32">
        <f>C7*Assumptions!$C$30</f>
        <v/>
      </c>
      <c r="D14" s="32">
        <f>D7*Assumptions!$C$30</f>
        <v/>
      </c>
      <c r="E14" s="32">
        <f>E7*Assumptions!$C$30</f>
        <v/>
      </c>
      <c r="F14" s="32">
        <f>F7*Assumptions!$C$30</f>
        <v/>
      </c>
      <c r="G14" s="32">
        <f>G7*Assumptions!$C$30</f>
        <v/>
      </c>
      <c r="H14" s="32">
        <f>H7*Assumptions!$C$30</f>
        <v/>
      </c>
      <c r="I14" s="32">
        <f>I7*Assumptions!$C$30</f>
        <v/>
      </c>
      <c r="J14" s="32">
        <f>J7*Assumptions!$C$30</f>
        <v/>
      </c>
      <c r="K14" s="32">
        <f>K7*Assumptions!$C$30</f>
        <v/>
      </c>
      <c r="L14" s="32">
        <f>L7*Assumptions!$C$30</f>
        <v/>
      </c>
      <c r="M14" s="32">
        <f>M7*Assumptions!$C$30</f>
        <v/>
      </c>
      <c r="N14" s="32">
        <f>N7*Assumptions!$C$30</f>
        <v/>
      </c>
      <c r="O14" s="22">
        <f>SUM(C14:N14)</f>
        <v/>
      </c>
    </row>
    <row r="15">
      <c r="B15" s="30" t="inlineStr">
        <is>
          <t>GST on aggregator commission</t>
        </is>
      </c>
      <c r="C15" s="32">
        <f>IF(Assumptions!$C$9="5 percent without ITC",C14*Assumptions!$C$31,0)</f>
        <v/>
      </c>
      <c r="D15" s="32">
        <f>IF(Assumptions!$C$9="5 percent without ITC",D14*Assumptions!$C$31,0)</f>
        <v/>
      </c>
      <c r="E15" s="32">
        <f>IF(Assumptions!$C$9="5 percent without ITC",E14*Assumptions!$C$31,0)</f>
        <v/>
      </c>
      <c r="F15" s="32">
        <f>IF(Assumptions!$C$9="5 percent without ITC",F14*Assumptions!$C$31,0)</f>
        <v/>
      </c>
      <c r="G15" s="32">
        <f>IF(Assumptions!$C$9="5 percent without ITC",G14*Assumptions!$C$31,0)</f>
        <v/>
      </c>
      <c r="H15" s="32">
        <f>IF(Assumptions!$C$9="5 percent without ITC",H14*Assumptions!$C$31,0)</f>
        <v/>
      </c>
      <c r="I15" s="32">
        <f>IF(Assumptions!$C$9="5 percent without ITC",I14*Assumptions!$C$31,0)</f>
        <v/>
      </c>
      <c r="J15" s="32">
        <f>IF(Assumptions!$C$9="5 percent without ITC",J14*Assumptions!$C$31,0)</f>
        <v/>
      </c>
      <c r="K15" s="32">
        <f>IF(Assumptions!$C$9="5 percent without ITC",K14*Assumptions!$C$31,0)</f>
        <v/>
      </c>
      <c r="L15" s="32">
        <f>IF(Assumptions!$C$9="5 percent without ITC",L14*Assumptions!$C$31,0)</f>
        <v/>
      </c>
      <c r="M15" s="32">
        <f>IF(Assumptions!$C$9="5 percent without ITC",M14*Assumptions!$C$31,0)</f>
        <v/>
      </c>
      <c r="N15" s="32">
        <f>IF(Assumptions!$C$9="5 percent without ITC",N14*Assumptions!$C$31,0)</f>
        <v/>
      </c>
      <c r="O15" s="22">
        <f>SUM(C15:N15)</f>
        <v/>
      </c>
    </row>
    <row r="16">
      <c r="B16" s="30" t="inlineStr">
        <is>
          <t>Staff cost</t>
        </is>
      </c>
      <c r="C16" s="32">
        <f>Assumptions!$C$32*Assumptions!$C$33</f>
        <v/>
      </c>
      <c r="D16" s="32">
        <f>Assumptions!$C$32*Assumptions!$C$33</f>
        <v/>
      </c>
      <c r="E16" s="32">
        <f>Assumptions!$C$32*Assumptions!$C$33</f>
        <v/>
      </c>
      <c r="F16" s="32">
        <f>Assumptions!$C$32*Assumptions!$C$33</f>
        <v/>
      </c>
      <c r="G16" s="32">
        <f>Assumptions!$C$32*Assumptions!$C$33</f>
        <v/>
      </c>
      <c r="H16" s="32">
        <f>Assumptions!$C$32*Assumptions!$C$33</f>
        <v/>
      </c>
      <c r="I16" s="32">
        <f>Assumptions!$C$32*Assumptions!$C$33</f>
        <v/>
      </c>
      <c r="J16" s="32">
        <f>Assumptions!$C$32*Assumptions!$C$33</f>
        <v/>
      </c>
      <c r="K16" s="32">
        <f>Assumptions!$C$32*Assumptions!$C$33</f>
        <v/>
      </c>
      <c r="L16" s="32">
        <f>Assumptions!$C$32*Assumptions!$C$33</f>
        <v/>
      </c>
      <c r="M16" s="32">
        <f>Assumptions!$C$32*Assumptions!$C$33</f>
        <v/>
      </c>
      <c r="N16" s="32">
        <f>Assumptions!$C$32*Assumptions!$C$33</f>
        <v/>
      </c>
      <c r="O16" s="22">
        <f>SUM(C16:N16)</f>
        <v/>
      </c>
    </row>
    <row r="17">
      <c r="B17" s="30" t="inlineStr">
        <is>
          <t>Rent</t>
        </is>
      </c>
      <c r="C17" s="32">
        <f>Assumptions!$C$35</f>
        <v/>
      </c>
      <c r="D17" s="32">
        <f>Assumptions!$C$35</f>
        <v/>
      </c>
      <c r="E17" s="32">
        <f>Assumptions!$C$35</f>
        <v/>
      </c>
      <c r="F17" s="32">
        <f>Assumptions!$C$35</f>
        <v/>
      </c>
      <c r="G17" s="32">
        <f>Assumptions!$C$35</f>
        <v/>
      </c>
      <c r="H17" s="32">
        <f>Assumptions!$C$35</f>
        <v/>
      </c>
      <c r="I17" s="32">
        <f>Assumptions!$C$35</f>
        <v/>
      </c>
      <c r="J17" s="32">
        <f>Assumptions!$C$35</f>
        <v/>
      </c>
      <c r="K17" s="32">
        <f>Assumptions!$C$35</f>
        <v/>
      </c>
      <c r="L17" s="32">
        <f>Assumptions!$C$35</f>
        <v/>
      </c>
      <c r="M17" s="32">
        <f>Assumptions!$C$35</f>
        <v/>
      </c>
      <c r="N17" s="32">
        <f>Assumptions!$C$35</f>
        <v/>
      </c>
      <c r="O17" s="22">
        <f>SUM(C17:N17)</f>
        <v/>
      </c>
    </row>
    <row r="18">
      <c r="B18" s="30" t="inlineStr">
        <is>
          <t>Utilities</t>
        </is>
      </c>
      <c r="C18" s="32">
        <f>Assumptions!$C$37</f>
        <v/>
      </c>
      <c r="D18" s="32">
        <f>Assumptions!$C$37</f>
        <v/>
      </c>
      <c r="E18" s="32">
        <f>Assumptions!$C$37</f>
        <v/>
      </c>
      <c r="F18" s="32">
        <f>Assumptions!$C$37</f>
        <v/>
      </c>
      <c r="G18" s="32">
        <f>Assumptions!$C$37</f>
        <v/>
      </c>
      <c r="H18" s="32">
        <f>Assumptions!$C$37</f>
        <v/>
      </c>
      <c r="I18" s="32">
        <f>Assumptions!$C$37</f>
        <v/>
      </c>
      <c r="J18" s="32">
        <f>Assumptions!$C$37</f>
        <v/>
      </c>
      <c r="K18" s="32">
        <f>Assumptions!$C$37</f>
        <v/>
      </c>
      <c r="L18" s="32">
        <f>Assumptions!$C$37</f>
        <v/>
      </c>
      <c r="M18" s="32">
        <f>Assumptions!$C$37</f>
        <v/>
      </c>
      <c r="N18" s="32">
        <f>Assumptions!$C$37</f>
        <v/>
      </c>
      <c r="O18" s="22">
        <f>SUM(C18:N18)</f>
        <v/>
      </c>
    </row>
    <row r="19">
      <c r="B19" s="30" t="inlineStr">
        <is>
          <t>Marketing</t>
        </is>
      </c>
      <c r="C19" s="32">
        <f>C9*Assumptions!$C$38</f>
        <v/>
      </c>
      <c r="D19" s="32">
        <f>D9*Assumptions!$C$38</f>
        <v/>
      </c>
      <c r="E19" s="32">
        <f>E9*Assumptions!$C$38</f>
        <v/>
      </c>
      <c r="F19" s="32">
        <f>F9*Assumptions!$C$38</f>
        <v/>
      </c>
      <c r="G19" s="32">
        <f>G9*Assumptions!$C$38</f>
        <v/>
      </c>
      <c r="H19" s="32">
        <f>H9*Assumptions!$C$38</f>
        <v/>
      </c>
      <c r="I19" s="32">
        <f>I9*Assumptions!$C$38</f>
        <v/>
      </c>
      <c r="J19" s="32">
        <f>J9*Assumptions!$C$38</f>
        <v/>
      </c>
      <c r="K19" s="32">
        <f>K9*Assumptions!$C$38</f>
        <v/>
      </c>
      <c r="L19" s="32">
        <f>L9*Assumptions!$C$38</f>
        <v/>
      </c>
      <c r="M19" s="32">
        <f>M9*Assumptions!$C$38</f>
        <v/>
      </c>
      <c r="N19" s="32">
        <f>N9*Assumptions!$C$38</f>
        <v/>
      </c>
      <c r="O19" s="22">
        <f>SUM(C19:N19)</f>
        <v/>
      </c>
    </row>
    <row r="20">
      <c r="B20" s="30" t="inlineStr">
        <is>
          <t>Repairs and maintenance</t>
        </is>
      </c>
      <c r="C20" s="32">
        <f>Assumptions!$C$39</f>
        <v/>
      </c>
      <c r="D20" s="32">
        <f>Assumptions!$C$39</f>
        <v/>
      </c>
      <c r="E20" s="32">
        <f>Assumptions!$C$39</f>
        <v/>
      </c>
      <c r="F20" s="32">
        <f>Assumptions!$C$39</f>
        <v/>
      </c>
      <c r="G20" s="32">
        <f>Assumptions!$C$39</f>
        <v/>
      </c>
      <c r="H20" s="32">
        <f>Assumptions!$C$39</f>
        <v/>
      </c>
      <c r="I20" s="32">
        <f>Assumptions!$C$39</f>
        <v/>
      </c>
      <c r="J20" s="32">
        <f>Assumptions!$C$39</f>
        <v/>
      </c>
      <c r="K20" s="32">
        <f>Assumptions!$C$39</f>
        <v/>
      </c>
      <c r="L20" s="32">
        <f>Assumptions!$C$39</f>
        <v/>
      </c>
      <c r="M20" s="32">
        <f>Assumptions!$C$39</f>
        <v/>
      </c>
      <c r="N20" s="32">
        <f>Assumptions!$C$39</f>
        <v/>
      </c>
      <c r="O20" s="22">
        <f>SUM(C20:N20)</f>
        <v/>
      </c>
    </row>
    <row r="21">
      <c r="B21" s="30" t="inlineStr">
        <is>
          <t>Other operating costs</t>
        </is>
      </c>
      <c r="C21" s="32">
        <f>Assumptions!$C$40</f>
        <v/>
      </c>
      <c r="D21" s="32">
        <f>Assumptions!$C$40</f>
        <v/>
      </c>
      <c r="E21" s="32">
        <f>Assumptions!$C$40</f>
        <v/>
      </c>
      <c r="F21" s="32">
        <f>Assumptions!$C$40</f>
        <v/>
      </c>
      <c r="G21" s="32">
        <f>Assumptions!$C$40</f>
        <v/>
      </c>
      <c r="H21" s="32">
        <f>Assumptions!$C$40</f>
        <v/>
      </c>
      <c r="I21" s="32">
        <f>Assumptions!$C$40</f>
        <v/>
      </c>
      <c r="J21" s="32">
        <f>Assumptions!$C$40</f>
        <v/>
      </c>
      <c r="K21" s="32">
        <f>Assumptions!$C$40</f>
        <v/>
      </c>
      <c r="L21" s="32">
        <f>Assumptions!$C$40</f>
        <v/>
      </c>
      <c r="M21" s="32">
        <f>Assumptions!$C$40</f>
        <v/>
      </c>
      <c r="N21" s="32">
        <f>Assumptions!$C$40</f>
        <v/>
      </c>
      <c r="O21" s="22">
        <f>SUM(C21:N21)</f>
        <v/>
      </c>
    </row>
    <row r="22">
      <c r="B22" s="30" t="inlineStr">
        <is>
          <t>Licences and compliance</t>
        </is>
      </c>
      <c r="C22" s="32">
        <f>Assumptions!$C$41/12</f>
        <v/>
      </c>
      <c r="D22" s="32">
        <f>Assumptions!$C$41/12</f>
        <v/>
      </c>
      <c r="E22" s="32">
        <f>Assumptions!$C$41/12</f>
        <v/>
      </c>
      <c r="F22" s="32">
        <f>Assumptions!$C$41/12</f>
        <v/>
      </c>
      <c r="G22" s="32">
        <f>Assumptions!$C$41/12</f>
        <v/>
      </c>
      <c r="H22" s="32">
        <f>Assumptions!$C$41/12</f>
        <v/>
      </c>
      <c r="I22" s="32">
        <f>Assumptions!$C$41/12</f>
        <v/>
      </c>
      <c r="J22" s="32">
        <f>Assumptions!$C$41/12</f>
        <v/>
      </c>
      <c r="K22" s="32">
        <f>Assumptions!$C$41/12</f>
        <v/>
      </c>
      <c r="L22" s="32">
        <f>Assumptions!$C$41/12</f>
        <v/>
      </c>
      <c r="M22" s="32">
        <f>Assumptions!$C$41/12</f>
        <v/>
      </c>
      <c r="N22" s="32">
        <f>Assumptions!$C$41/12</f>
        <v/>
      </c>
      <c r="O22" s="22">
        <f>SUM(C22:N22)</f>
        <v/>
      </c>
    </row>
    <row r="23">
      <c r="B23" s="20" t="inlineStr">
        <is>
          <t>Total operating costs</t>
        </is>
      </c>
      <c r="C23" s="22">
        <f>SUM(C14:C22)</f>
        <v/>
      </c>
      <c r="D23" s="22">
        <f>SUM(D14:D22)</f>
        <v/>
      </c>
      <c r="E23" s="22">
        <f>SUM(E14:E22)</f>
        <v/>
      </c>
      <c r="F23" s="22">
        <f>SUM(F14:F22)</f>
        <v/>
      </c>
      <c r="G23" s="22">
        <f>SUM(G14:G22)</f>
        <v/>
      </c>
      <c r="H23" s="22">
        <f>SUM(H14:H22)</f>
        <v/>
      </c>
      <c r="I23" s="22">
        <f>SUM(I14:I22)</f>
        <v/>
      </c>
      <c r="J23" s="22">
        <f>SUM(J14:J22)</f>
        <v/>
      </c>
      <c r="K23" s="22">
        <f>SUM(K14:K22)</f>
        <v/>
      </c>
      <c r="L23" s="22">
        <f>SUM(L14:L22)</f>
        <v/>
      </c>
      <c r="M23" s="22">
        <f>SUM(M14:M22)</f>
        <v/>
      </c>
      <c r="N23" s="22">
        <f>SUM(N14:N22)</f>
        <v/>
      </c>
      <c r="O23" s="22">
        <f>SUM(C23:N23)</f>
        <v/>
      </c>
    </row>
    <row r="24">
      <c r="B24" s="20" t="inlineStr">
        <is>
          <t>EBITDA</t>
        </is>
      </c>
      <c r="C24" s="22">
        <f>C12-C23</f>
        <v/>
      </c>
      <c r="D24" s="22">
        <f>D12-D23</f>
        <v/>
      </c>
      <c r="E24" s="22">
        <f>E12-E23</f>
        <v/>
      </c>
      <c r="F24" s="22">
        <f>F12-F23</f>
        <v/>
      </c>
      <c r="G24" s="22">
        <f>G12-G23</f>
        <v/>
      </c>
      <c r="H24" s="22">
        <f>H12-H23</f>
        <v/>
      </c>
      <c r="I24" s="22">
        <f>I12-I23</f>
        <v/>
      </c>
      <c r="J24" s="22">
        <f>J12-J23</f>
        <v/>
      </c>
      <c r="K24" s="22">
        <f>K12-K23</f>
        <v/>
      </c>
      <c r="L24" s="22">
        <f>L12-L23</f>
        <v/>
      </c>
      <c r="M24" s="22">
        <f>M12-M23</f>
        <v/>
      </c>
      <c r="N24" s="22">
        <f>N12-N23</f>
        <v/>
      </c>
      <c r="O24" s="22">
        <f>SUM(C24:N24)</f>
        <v/>
      </c>
    </row>
    <row r="25">
      <c r="B25" s="30" t="inlineStr">
        <is>
          <t>EBITDA margin</t>
        </is>
      </c>
      <c r="C25" s="31">
        <f>IF(C9=0,0,C24/C9)</f>
        <v/>
      </c>
      <c r="D25" s="31">
        <f>IF(D9=0,0,D24/D9)</f>
        <v/>
      </c>
      <c r="E25" s="31">
        <f>IF(E9=0,0,E24/E9)</f>
        <v/>
      </c>
      <c r="F25" s="31">
        <f>IF(F9=0,0,F24/F9)</f>
        <v/>
      </c>
      <c r="G25" s="31">
        <f>IF(G9=0,0,G24/G9)</f>
        <v/>
      </c>
      <c r="H25" s="31">
        <f>IF(H9=0,0,H24/H9)</f>
        <v/>
      </c>
      <c r="I25" s="31">
        <f>IF(I9=0,0,I24/I9)</f>
        <v/>
      </c>
      <c r="J25" s="31">
        <f>IF(J9=0,0,J24/J9)</f>
        <v/>
      </c>
      <c r="K25" s="31">
        <f>IF(K9=0,0,K24/K9)</f>
        <v/>
      </c>
      <c r="L25" s="31">
        <f>IF(L9=0,0,L24/L9)</f>
        <v/>
      </c>
      <c r="M25" s="31">
        <f>IF(M9=0,0,M24/M9)</f>
        <v/>
      </c>
      <c r="N25" s="31">
        <f>IF(N9=0,0,N24/N9)</f>
        <v/>
      </c>
      <c r="O25" s="33">
        <f>IF(O9=0,0,O24/O9)</f>
        <v/>
      </c>
    </row>
    <row r="26">
      <c r="B26" s="30" t="inlineStr">
        <is>
          <t>Less: depreciation</t>
        </is>
      </c>
      <c r="C26" s="32">
        <f>IF(Assumptions!$C$51=0,0,Assumptions!$C$50/Assumptions!$C$51/12)</f>
        <v/>
      </c>
      <c r="D26" s="32">
        <f>IF(Assumptions!$C$51=0,0,Assumptions!$C$50/Assumptions!$C$51/12)</f>
        <v/>
      </c>
      <c r="E26" s="32">
        <f>IF(Assumptions!$C$51=0,0,Assumptions!$C$50/Assumptions!$C$51/12)</f>
        <v/>
      </c>
      <c r="F26" s="32">
        <f>IF(Assumptions!$C$51=0,0,Assumptions!$C$50/Assumptions!$C$51/12)</f>
        <v/>
      </c>
      <c r="G26" s="32">
        <f>IF(Assumptions!$C$51=0,0,Assumptions!$C$50/Assumptions!$C$51/12)</f>
        <v/>
      </c>
      <c r="H26" s="32">
        <f>IF(Assumptions!$C$51=0,0,Assumptions!$C$50/Assumptions!$C$51/12)</f>
        <v/>
      </c>
      <c r="I26" s="32">
        <f>IF(Assumptions!$C$51=0,0,Assumptions!$C$50/Assumptions!$C$51/12)</f>
        <v/>
      </c>
      <c r="J26" s="32">
        <f>IF(Assumptions!$C$51=0,0,Assumptions!$C$50/Assumptions!$C$51/12)</f>
        <v/>
      </c>
      <c r="K26" s="32">
        <f>IF(Assumptions!$C$51=0,0,Assumptions!$C$50/Assumptions!$C$51/12)</f>
        <v/>
      </c>
      <c r="L26" s="32">
        <f>IF(Assumptions!$C$51=0,0,Assumptions!$C$50/Assumptions!$C$51/12)</f>
        <v/>
      </c>
      <c r="M26" s="32">
        <f>IF(Assumptions!$C$51=0,0,Assumptions!$C$50/Assumptions!$C$51/12)</f>
        <v/>
      </c>
      <c r="N26" s="32">
        <f>IF(Assumptions!$C$51=0,0,Assumptions!$C$50/Assumptions!$C$51/12)</f>
        <v/>
      </c>
      <c r="O26" s="22">
        <f>SUM(C26:N26)</f>
        <v/>
      </c>
    </row>
    <row r="27">
      <c r="B27" s="30" t="inlineStr">
        <is>
          <t>Less: interest on term loan</t>
        </is>
      </c>
      <c r="C27" s="32">
        <f>MAX(0,(Assumptions!$C$47-IF(Assumptions!$C$49=0,0,Assumptions!$C$47/(Assumptions!$C$49*12))*(C$4-1))*Assumptions!$C$48/12)</f>
        <v/>
      </c>
      <c r="D27" s="32">
        <f>MAX(0,(Assumptions!$C$47-IF(Assumptions!$C$49=0,0,Assumptions!$C$47/(Assumptions!$C$49*12))*(D$4-1))*Assumptions!$C$48/12)</f>
        <v/>
      </c>
      <c r="E27" s="32">
        <f>MAX(0,(Assumptions!$C$47-IF(Assumptions!$C$49=0,0,Assumptions!$C$47/(Assumptions!$C$49*12))*(E$4-1))*Assumptions!$C$48/12)</f>
        <v/>
      </c>
      <c r="F27" s="32">
        <f>MAX(0,(Assumptions!$C$47-IF(Assumptions!$C$49=0,0,Assumptions!$C$47/(Assumptions!$C$49*12))*(F$4-1))*Assumptions!$C$48/12)</f>
        <v/>
      </c>
      <c r="G27" s="32">
        <f>MAX(0,(Assumptions!$C$47-IF(Assumptions!$C$49=0,0,Assumptions!$C$47/(Assumptions!$C$49*12))*(G$4-1))*Assumptions!$C$48/12)</f>
        <v/>
      </c>
      <c r="H27" s="32">
        <f>MAX(0,(Assumptions!$C$47-IF(Assumptions!$C$49=0,0,Assumptions!$C$47/(Assumptions!$C$49*12))*(H$4-1))*Assumptions!$C$48/12)</f>
        <v/>
      </c>
      <c r="I27" s="32">
        <f>MAX(0,(Assumptions!$C$47-IF(Assumptions!$C$49=0,0,Assumptions!$C$47/(Assumptions!$C$49*12))*(I$4-1))*Assumptions!$C$48/12)</f>
        <v/>
      </c>
      <c r="J27" s="32">
        <f>MAX(0,(Assumptions!$C$47-IF(Assumptions!$C$49=0,0,Assumptions!$C$47/(Assumptions!$C$49*12))*(J$4-1))*Assumptions!$C$48/12)</f>
        <v/>
      </c>
      <c r="K27" s="32">
        <f>MAX(0,(Assumptions!$C$47-IF(Assumptions!$C$49=0,0,Assumptions!$C$47/(Assumptions!$C$49*12))*(K$4-1))*Assumptions!$C$48/12)</f>
        <v/>
      </c>
      <c r="L27" s="32">
        <f>MAX(0,(Assumptions!$C$47-IF(Assumptions!$C$49=0,0,Assumptions!$C$47/(Assumptions!$C$49*12))*(L$4-1))*Assumptions!$C$48/12)</f>
        <v/>
      </c>
      <c r="M27" s="32">
        <f>MAX(0,(Assumptions!$C$47-IF(Assumptions!$C$49=0,0,Assumptions!$C$47/(Assumptions!$C$49*12))*(M$4-1))*Assumptions!$C$48/12)</f>
        <v/>
      </c>
      <c r="N27" s="32">
        <f>MAX(0,(Assumptions!$C$47-IF(Assumptions!$C$49=0,0,Assumptions!$C$47/(Assumptions!$C$49*12))*(N$4-1))*Assumptions!$C$48/12)</f>
        <v/>
      </c>
      <c r="O27" s="22">
        <f>SUM(C27:N27)</f>
        <v/>
      </c>
    </row>
    <row r="28">
      <c r="B28" s="20" t="inlineStr">
        <is>
          <t>Profit before tax</t>
        </is>
      </c>
      <c r="C28" s="22">
        <f>C24-C26-C27</f>
        <v/>
      </c>
      <c r="D28" s="22">
        <f>D24-D26-D27</f>
        <v/>
      </c>
      <c r="E28" s="22">
        <f>E24-E26-E27</f>
        <v/>
      </c>
      <c r="F28" s="22">
        <f>F24-F26-F27</f>
        <v/>
      </c>
      <c r="G28" s="22">
        <f>G24-G26-G27</f>
        <v/>
      </c>
      <c r="H28" s="22">
        <f>H24-H26-H27</f>
        <v/>
      </c>
      <c r="I28" s="22">
        <f>I24-I26-I27</f>
        <v/>
      </c>
      <c r="J28" s="22">
        <f>J24-J26-J27</f>
        <v/>
      </c>
      <c r="K28" s="22">
        <f>K24-K26-K27</f>
        <v/>
      </c>
      <c r="L28" s="22">
        <f>L24-L26-L27</f>
        <v/>
      </c>
      <c r="M28" s="22">
        <f>M24-M26-M27</f>
        <v/>
      </c>
      <c r="N28" s="22">
        <f>N24-N26-N27</f>
        <v/>
      </c>
      <c r="O28" s="22">
        <f>SUM(C28:N28)</f>
        <v/>
      </c>
    </row>
    <row r="29">
      <c r="B29" s="34" t="inlineStr">
        <is>
          <t>Cumulative profit before tax</t>
        </is>
      </c>
      <c r="C29" s="35">
        <f>C28</f>
        <v/>
      </c>
      <c r="D29" s="35">
        <f>C29+D28</f>
        <v/>
      </c>
      <c r="E29" s="35">
        <f>D29+E28</f>
        <v/>
      </c>
      <c r="F29" s="35">
        <f>E29+F28</f>
        <v/>
      </c>
      <c r="G29" s="35">
        <f>F29+G28</f>
        <v/>
      </c>
      <c r="H29" s="35">
        <f>G29+H28</f>
        <v/>
      </c>
      <c r="I29" s="35">
        <f>H29+I28</f>
        <v/>
      </c>
      <c r="J29" s="35">
        <f>I29+J28</f>
        <v/>
      </c>
      <c r="K29" s="35">
        <f>J29+K28</f>
        <v/>
      </c>
      <c r="L29" s="35">
        <f>K29+L28</f>
        <v/>
      </c>
      <c r="M29" s="35">
        <f>L29+M28</f>
        <v/>
      </c>
      <c r="N29" s="35">
        <f>M29+N28</f>
        <v/>
      </c>
      <c r="O29" s="22">
        <f>N29</f>
        <v/>
      </c>
    </row>
    <row r="30"/>
    <row r="31">
      <c r="B31" s="10" t="inlineStr">
        <is>
          <t>Tax is not charged here. A first-year restaurant often runs a loss for part of the year, and that loss is set off against later profit. The Summary sheet does that properly, once a year.</t>
        </is>
      </c>
    </row>
    <row r="32"/>
    <row r="33">
      <c r="B33" s="11" t="inlineStr">
        <is>
          <t>Powered by Petpooja POSS | getposs@petpooja.com | +91-9104369797 | www.petpooja.com</t>
        </is>
      </c>
    </row>
  </sheetData>
  <sheetProtection selectLockedCells="0" selectUnlockedCells="0" sheet="1" objects="0" insertRows="1" insertHyperlinks="1" autoFilter="1" scenarios="0" formatColumns="1" deleteColumns="1" insertColumns="1" pivotTables="1" deleteRows="1" formatCells="0" formatRows="1" sort="1" password="89B7"/>
  <mergeCells count="4">
    <mergeCell ref="B33:O33"/>
    <mergeCell ref="B31:P31"/>
    <mergeCell ref="B1:P1"/>
    <mergeCell ref="B2:P2"/>
  </mergeCells>
  <conditionalFormatting sqref="C28:N29">
    <cfRule type="cellIs" priority="1" operator="lessThan" dxfId="0">
      <formula>0</formula>
    </cfRule>
  </conditionalFormatting>
  <printOptions horizontalCentered="1"/>
  <pageMargins left="0.4" right="0.4"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L27"/>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3" customWidth="1" min="1" max="1"/>
    <col width="40" customWidth="1" min="2" max="2"/>
    <col width="15" customWidth="1" min="3" max="3"/>
    <col width="15" customWidth="1" min="4" max="4"/>
    <col width="15" customWidth="1" min="5" max="5"/>
    <col width="15" customWidth="1" min="6" max="6"/>
    <col width="17" customWidth="1" min="7" max="7"/>
    <col width="15" customWidth="1" min="8" max="8"/>
    <col width="15" customWidth="1" min="9" max="9"/>
    <col width="15" customWidth="1" min="10" max="10"/>
    <col width="15" customWidth="1" min="11" max="11"/>
    <col width="17"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s>
  <sheetData>
    <row r="1">
      <c r="B1" s="12" t="inlineStr">
        <is>
          <t>Years 2 and 3, by quarter</t>
        </is>
      </c>
    </row>
    <row r="2">
      <c r="B2" s="13" t="inlineStr">
        <is>
          <t>Revenue grows at the rates you set, split across quarters by your seasonality. Rent, salaries and other fixed costs escalate each year.</t>
        </is>
      </c>
    </row>
    <row r="3"/>
    <row r="4" ht="22" customHeight="1">
      <c r="B4" s="6" t="inlineStr"/>
      <c r="C4" s="6" t="inlineStr">
        <is>
          <t>Y2 Q1</t>
        </is>
      </c>
      <c r="D4" s="6" t="inlineStr">
        <is>
          <t>Y2 Q2</t>
        </is>
      </c>
      <c r="E4" s="6" t="inlineStr">
        <is>
          <t>Y2 Q3</t>
        </is>
      </c>
      <c r="F4" s="6" t="inlineStr">
        <is>
          <t>Y2 Q4</t>
        </is>
      </c>
      <c r="G4" s="6" t="inlineStr">
        <is>
          <t>Year 2 total</t>
        </is>
      </c>
      <c r="H4" s="6" t="inlineStr">
        <is>
          <t>Y3 Q1</t>
        </is>
      </c>
      <c r="I4" s="6" t="inlineStr">
        <is>
          <t>Y3 Q2</t>
        </is>
      </c>
      <c r="J4" s="6" t="inlineStr">
        <is>
          <t>Y3 Q3</t>
        </is>
      </c>
      <c r="K4" s="6" t="inlineStr">
        <is>
          <t>Y3 Q4</t>
        </is>
      </c>
      <c r="L4" s="6" t="inlineStr">
        <is>
          <t>Year 3 total</t>
        </is>
      </c>
    </row>
    <row r="5">
      <c r="B5" s="20" t="inlineStr">
        <is>
          <t>Total revenue</t>
        </is>
      </c>
      <c r="C5" s="22">
        <f>('Year 1 Monthly'!$O$9*(1+Assumptions!$C$22))*Assumptions!$C$24</f>
        <v/>
      </c>
      <c r="D5" s="22">
        <f>('Year 1 Monthly'!$O$9*(1+Assumptions!$C$22))*Assumptions!$D$24</f>
        <v/>
      </c>
      <c r="E5" s="22">
        <f>('Year 1 Monthly'!$O$9*(1+Assumptions!$C$22))*Assumptions!$E$24</f>
        <v/>
      </c>
      <c r="F5" s="22">
        <f>('Year 1 Monthly'!$O$9*(1+Assumptions!$C$22))*Assumptions!$F$24</f>
        <v/>
      </c>
      <c r="G5" s="22">
        <f>SUM(C5:F5)</f>
        <v/>
      </c>
      <c r="H5" s="22">
        <f>('Year 1 Monthly'!$O$9*(1+Assumptions!$C$22)*(1+Assumptions!$C$23))*Assumptions!$C$24</f>
        <v/>
      </c>
      <c r="I5" s="22">
        <f>('Year 1 Monthly'!$O$9*(1+Assumptions!$C$22)*(1+Assumptions!$C$23))*Assumptions!$D$24</f>
        <v/>
      </c>
      <c r="J5" s="22">
        <f>('Year 1 Monthly'!$O$9*(1+Assumptions!$C$22)*(1+Assumptions!$C$23))*Assumptions!$E$24</f>
        <v/>
      </c>
      <c r="K5" s="22">
        <f>('Year 1 Monthly'!$O$9*(1+Assumptions!$C$22)*(1+Assumptions!$C$23))*Assumptions!$F$24</f>
        <v/>
      </c>
      <c r="L5" s="22">
        <f>SUM(H5:K5)</f>
        <v/>
      </c>
    </row>
    <row r="6">
      <c r="B6" s="30" t="inlineStr">
        <is>
          <t>of which delivery revenue</t>
        </is>
      </c>
      <c r="C6" s="32">
        <f>C5*IF('Year 1 Monthly'!$O$9=0,0,'Year 1 Monthly'!$O$7/'Year 1 Monthly'!$O$9)</f>
        <v/>
      </c>
      <c r="D6" s="32">
        <f>D5*IF('Year 1 Monthly'!$O$9=0,0,'Year 1 Monthly'!$O$7/'Year 1 Monthly'!$O$9)</f>
        <v/>
      </c>
      <c r="E6" s="32">
        <f>E5*IF('Year 1 Monthly'!$O$9=0,0,'Year 1 Monthly'!$O$7/'Year 1 Monthly'!$O$9)</f>
        <v/>
      </c>
      <c r="F6" s="32">
        <f>F5*IF('Year 1 Monthly'!$O$9=0,0,'Year 1 Monthly'!$O$7/'Year 1 Monthly'!$O$9)</f>
        <v/>
      </c>
      <c r="G6" s="22">
        <f>SUM(C6:F6)</f>
        <v/>
      </c>
      <c r="H6" s="32">
        <f>H5*IF('Year 1 Monthly'!$O$9=0,0,'Year 1 Monthly'!$O$7/'Year 1 Monthly'!$O$9)</f>
        <v/>
      </c>
      <c r="I6" s="32">
        <f>I5*IF('Year 1 Monthly'!$O$9=0,0,'Year 1 Monthly'!$O$7/'Year 1 Monthly'!$O$9)</f>
        <v/>
      </c>
      <c r="J6" s="32">
        <f>J5*IF('Year 1 Monthly'!$O$9=0,0,'Year 1 Monthly'!$O$7/'Year 1 Monthly'!$O$9)</f>
        <v/>
      </c>
      <c r="K6" s="32">
        <f>K5*IF('Year 1 Monthly'!$O$9=0,0,'Year 1 Monthly'!$O$7/'Year 1 Monthly'!$O$9)</f>
        <v/>
      </c>
      <c r="L6" s="22">
        <f>SUM(H6:K6)</f>
        <v/>
      </c>
    </row>
    <row r="7">
      <c r="B7" s="30" t="inlineStr">
        <is>
          <t>Less: food and beverage cost</t>
        </is>
      </c>
      <c r="C7" s="32">
        <f>C5*Assumptions!$C$28</f>
        <v/>
      </c>
      <c r="D7" s="32">
        <f>D5*Assumptions!$C$28</f>
        <v/>
      </c>
      <c r="E7" s="32">
        <f>E5*Assumptions!$C$28</f>
        <v/>
      </c>
      <c r="F7" s="32">
        <f>F5*Assumptions!$C$28</f>
        <v/>
      </c>
      <c r="G7" s="22">
        <f>SUM(C7:F7)</f>
        <v/>
      </c>
      <c r="H7" s="32">
        <f>H5*Assumptions!$C$28</f>
        <v/>
      </c>
      <c r="I7" s="32">
        <f>I5*Assumptions!$C$28</f>
        <v/>
      </c>
      <c r="J7" s="32">
        <f>J5*Assumptions!$C$28</f>
        <v/>
      </c>
      <c r="K7" s="32">
        <f>K5*Assumptions!$C$28</f>
        <v/>
      </c>
      <c r="L7" s="22">
        <f>SUM(H7:K7)</f>
        <v/>
      </c>
    </row>
    <row r="8">
      <c r="B8" s="30" t="inlineStr">
        <is>
          <t>Less: packaging on delivery</t>
        </is>
      </c>
      <c r="C8" s="32">
        <f>C6*Assumptions!$C$29</f>
        <v/>
      </c>
      <c r="D8" s="32">
        <f>D6*Assumptions!$C$29</f>
        <v/>
      </c>
      <c r="E8" s="32">
        <f>E6*Assumptions!$C$29</f>
        <v/>
      </c>
      <c r="F8" s="32">
        <f>F6*Assumptions!$C$29</f>
        <v/>
      </c>
      <c r="G8" s="22">
        <f>SUM(C8:F8)</f>
        <v/>
      </c>
      <c r="H8" s="32">
        <f>H6*Assumptions!$C$29</f>
        <v/>
      </c>
      <c r="I8" s="32">
        <f>I6*Assumptions!$C$29</f>
        <v/>
      </c>
      <c r="J8" s="32">
        <f>J6*Assumptions!$C$29</f>
        <v/>
      </c>
      <c r="K8" s="32">
        <f>K6*Assumptions!$C$29</f>
        <v/>
      </c>
      <c r="L8" s="22">
        <f>SUM(H8:K8)</f>
        <v/>
      </c>
    </row>
    <row r="9">
      <c r="B9" s="20" t="inlineStr">
        <is>
          <t>Gross profit</t>
        </is>
      </c>
      <c r="C9" s="22">
        <f>C5-C7-C8</f>
        <v/>
      </c>
      <c r="D9" s="22">
        <f>D5-D7-D8</f>
        <v/>
      </c>
      <c r="E9" s="22">
        <f>E5-E7-E8</f>
        <v/>
      </c>
      <c r="F9" s="22">
        <f>F5-F7-F8</f>
        <v/>
      </c>
      <c r="G9" s="22">
        <f>SUM(C9:F9)</f>
        <v/>
      </c>
      <c r="H9" s="22">
        <f>H5-H7-H8</f>
        <v/>
      </c>
      <c r="I9" s="22">
        <f>I5-I7-I8</f>
        <v/>
      </c>
      <c r="J9" s="22">
        <f>J5-J7-J8</f>
        <v/>
      </c>
      <c r="K9" s="22">
        <f>K5-K7-K8</f>
        <v/>
      </c>
      <c r="L9" s="22">
        <f>SUM(H9:K9)</f>
        <v/>
      </c>
    </row>
    <row r="10">
      <c r="B10" s="30" t="inlineStr">
        <is>
          <t>Aggregator commission</t>
        </is>
      </c>
      <c r="C10" s="32">
        <f>C6*Assumptions!$C$30</f>
        <v/>
      </c>
      <c r="D10" s="32">
        <f>D6*Assumptions!$C$30</f>
        <v/>
      </c>
      <c r="E10" s="32">
        <f>E6*Assumptions!$C$30</f>
        <v/>
      </c>
      <c r="F10" s="32">
        <f>F6*Assumptions!$C$30</f>
        <v/>
      </c>
      <c r="G10" s="22">
        <f>SUM(C10:F10)</f>
        <v/>
      </c>
      <c r="H10" s="32">
        <f>H6*Assumptions!$C$30</f>
        <v/>
      </c>
      <c r="I10" s="32">
        <f>I6*Assumptions!$C$30</f>
        <v/>
      </c>
      <c r="J10" s="32">
        <f>J6*Assumptions!$C$30</f>
        <v/>
      </c>
      <c r="K10" s="32">
        <f>K6*Assumptions!$C$30</f>
        <v/>
      </c>
      <c r="L10" s="22">
        <f>SUM(H10:K10)</f>
        <v/>
      </c>
    </row>
    <row r="11">
      <c r="B11" s="30" t="inlineStr">
        <is>
          <t>GST on aggregator commission</t>
        </is>
      </c>
      <c r="C11" s="32">
        <f>IF(Assumptions!$C$9="5 percent without ITC",C10*Assumptions!$C$31,0)</f>
        <v/>
      </c>
      <c r="D11" s="32">
        <f>IF(Assumptions!$C$9="5 percent without ITC",D10*Assumptions!$C$31,0)</f>
        <v/>
      </c>
      <c r="E11" s="32">
        <f>IF(Assumptions!$C$9="5 percent without ITC",E10*Assumptions!$C$31,0)</f>
        <v/>
      </c>
      <c r="F11" s="32">
        <f>IF(Assumptions!$C$9="5 percent without ITC",F10*Assumptions!$C$31,0)</f>
        <v/>
      </c>
      <c r="G11" s="22">
        <f>SUM(C11:F11)</f>
        <v/>
      </c>
      <c r="H11" s="32">
        <f>IF(Assumptions!$C$9="5 percent without ITC",H10*Assumptions!$C$31,0)</f>
        <v/>
      </c>
      <c r="I11" s="32">
        <f>IF(Assumptions!$C$9="5 percent without ITC",I10*Assumptions!$C$31,0)</f>
        <v/>
      </c>
      <c r="J11" s="32">
        <f>IF(Assumptions!$C$9="5 percent without ITC",J10*Assumptions!$C$31,0)</f>
        <v/>
      </c>
      <c r="K11" s="32">
        <f>IF(Assumptions!$C$9="5 percent without ITC",K10*Assumptions!$C$31,0)</f>
        <v/>
      </c>
      <c r="L11" s="22">
        <f>SUM(H11:K11)</f>
        <v/>
      </c>
    </row>
    <row r="12">
      <c r="B12" s="30" t="inlineStr">
        <is>
          <t>Staff cost</t>
        </is>
      </c>
      <c r="C12" s="32">
        <f>Assumptions!$C$32*Assumptions!$C$33*3*(1+Assumptions!$C$34)^1</f>
        <v/>
      </c>
      <c r="D12" s="32">
        <f>Assumptions!$C$32*Assumptions!$C$33*3*(1+Assumptions!$C$34)^1</f>
        <v/>
      </c>
      <c r="E12" s="32">
        <f>Assumptions!$C$32*Assumptions!$C$33*3*(1+Assumptions!$C$34)^1</f>
        <v/>
      </c>
      <c r="F12" s="32">
        <f>Assumptions!$C$32*Assumptions!$C$33*3*(1+Assumptions!$C$34)^1</f>
        <v/>
      </c>
      <c r="G12" s="22">
        <f>SUM(C12:F12)</f>
        <v/>
      </c>
      <c r="H12" s="32">
        <f>Assumptions!$C$32*Assumptions!$C$33*3*(1+Assumptions!$C$34)^2</f>
        <v/>
      </c>
      <c r="I12" s="32">
        <f>Assumptions!$C$32*Assumptions!$C$33*3*(1+Assumptions!$C$34)^2</f>
        <v/>
      </c>
      <c r="J12" s="32">
        <f>Assumptions!$C$32*Assumptions!$C$33*3*(1+Assumptions!$C$34)^2</f>
        <v/>
      </c>
      <c r="K12" s="32">
        <f>Assumptions!$C$32*Assumptions!$C$33*3*(1+Assumptions!$C$34)^2</f>
        <v/>
      </c>
      <c r="L12" s="22">
        <f>SUM(H12:K12)</f>
        <v/>
      </c>
    </row>
    <row r="13">
      <c r="B13" s="30" t="inlineStr">
        <is>
          <t>Rent</t>
        </is>
      </c>
      <c r="C13" s="32">
        <f>Assumptions!$C$35*3*(1+Assumptions!$C$36)^1</f>
        <v/>
      </c>
      <c r="D13" s="32">
        <f>Assumptions!$C$35*3*(1+Assumptions!$C$36)^1</f>
        <v/>
      </c>
      <c r="E13" s="32">
        <f>Assumptions!$C$35*3*(1+Assumptions!$C$36)^1</f>
        <v/>
      </c>
      <c r="F13" s="32">
        <f>Assumptions!$C$35*3*(1+Assumptions!$C$36)^1</f>
        <v/>
      </c>
      <c r="G13" s="22">
        <f>SUM(C13:F13)</f>
        <v/>
      </c>
      <c r="H13" s="32">
        <f>Assumptions!$C$35*3*(1+Assumptions!$C$36)^2</f>
        <v/>
      </c>
      <c r="I13" s="32">
        <f>Assumptions!$C$35*3*(1+Assumptions!$C$36)^2</f>
        <v/>
      </c>
      <c r="J13" s="32">
        <f>Assumptions!$C$35*3*(1+Assumptions!$C$36)^2</f>
        <v/>
      </c>
      <c r="K13" s="32">
        <f>Assumptions!$C$35*3*(1+Assumptions!$C$36)^2</f>
        <v/>
      </c>
      <c r="L13" s="22">
        <f>SUM(H13:K13)</f>
        <v/>
      </c>
    </row>
    <row r="14">
      <c r="B14" s="30" t="inlineStr">
        <is>
          <t>Utilities</t>
        </is>
      </c>
      <c r="C14" s="32">
        <f>Assumptions!$C$37*3*(1+Assumptions!$C$42)^1</f>
        <v/>
      </c>
      <c r="D14" s="32">
        <f>Assumptions!$C$37*3*(1+Assumptions!$C$42)^1</f>
        <v/>
      </c>
      <c r="E14" s="32">
        <f>Assumptions!$C$37*3*(1+Assumptions!$C$42)^1</f>
        <v/>
      </c>
      <c r="F14" s="32">
        <f>Assumptions!$C$37*3*(1+Assumptions!$C$42)^1</f>
        <v/>
      </c>
      <c r="G14" s="22">
        <f>SUM(C14:F14)</f>
        <v/>
      </c>
      <c r="H14" s="32">
        <f>Assumptions!$C$37*3*(1+Assumptions!$C$42)^2</f>
        <v/>
      </c>
      <c r="I14" s="32">
        <f>Assumptions!$C$37*3*(1+Assumptions!$C$42)^2</f>
        <v/>
      </c>
      <c r="J14" s="32">
        <f>Assumptions!$C$37*3*(1+Assumptions!$C$42)^2</f>
        <v/>
      </c>
      <c r="K14" s="32">
        <f>Assumptions!$C$37*3*(1+Assumptions!$C$42)^2</f>
        <v/>
      </c>
      <c r="L14" s="22">
        <f>SUM(H14:K14)</f>
        <v/>
      </c>
    </row>
    <row r="15">
      <c r="B15" s="30" t="inlineStr">
        <is>
          <t>Marketing</t>
        </is>
      </c>
      <c r="C15" s="32">
        <f>C5*Assumptions!$C$38</f>
        <v/>
      </c>
      <c r="D15" s="32">
        <f>D5*Assumptions!$C$38</f>
        <v/>
      </c>
      <c r="E15" s="32">
        <f>E5*Assumptions!$C$38</f>
        <v/>
      </c>
      <c r="F15" s="32">
        <f>F5*Assumptions!$C$38</f>
        <v/>
      </c>
      <c r="G15" s="22">
        <f>SUM(C15:F15)</f>
        <v/>
      </c>
      <c r="H15" s="32">
        <f>H5*Assumptions!$C$38</f>
        <v/>
      </c>
      <c r="I15" s="32">
        <f>I5*Assumptions!$C$38</f>
        <v/>
      </c>
      <c r="J15" s="32">
        <f>J5*Assumptions!$C$38</f>
        <v/>
      </c>
      <c r="K15" s="32">
        <f>K5*Assumptions!$C$38</f>
        <v/>
      </c>
      <c r="L15" s="22">
        <f>SUM(H15:K15)</f>
        <v/>
      </c>
    </row>
    <row r="16">
      <c r="B16" s="30" t="inlineStr">
        <is>
          <t>Repairs and maintenance</t>
        </is>
      </c>
      <c r="C16" s="32">
        <f>Assumptions!$C$39*3*(1+Assumptions!$C$42)^1</f>
        <v/>
      </c>
      <c r="D16" s="32">
        <f>Assumptions!$C$39*3*(1+Assumptions!$C$42)^1</f>
        <v/>
      </c>
      <c r="E16" s="32">
        <f>Assumptions!$C$39*3*(1+Assumptions!$C$42)^1</f>
        <v/>
      </c>
      <c r="F16" s="32">
        <f>Assumptions!$C$39*3*(1+Assumptions!$C$42)^1</f>
        <v/>
      </c>
      <c r="G16" s="22">
        <f>SUM(C16:F16)</f>
        <v/>
      </c>
      <c r="H16" s="32">
        <f>Assumptions!$C$39*3*(1+Assumptions!$C$42)^2</f>
        <v/>
      </c>
      <c r="I16" s="32">
        <f>Assumptions!$C$39*3*(1+Assumptions!$C$42)^2</f>
        <v/>
      </c>
      <c r="J16" s="32">
        <f>Assumptions!$C$39*3*(1+Assumptions!$C$42)^2</f>
        <v/>
      </c>
      <c r="K16" s="32">
        <f>Assumptions!$C$39*3*(1+Assumptions!$C$42)^2</f>
        <v/>
      </c>
      <c r="L16" s="22">
        <f>SUM(H16:K16)</f>
        <v/>
      </c>
    </row>
    <row r="17">
      <c r="B17" s="30" t="inlineStr">
        <is>
          <t>Other operating costs</t>
        </is>
      </c>
      <c r="C17" s="32">
        <f>Assumptions!$C$40*3*(1+Assumptions!$C$42)^1</f>
        <v/>
      </c>
      <c r="D17" s="32">
        <f>Assumptions!$C$40*3*(1+Assumptions!$C$42)^1</f>
        <v/>
      </c>
      <c r="E17" s="32">
        <f>Assumptions!$C$40*3*(1+Assumptions!$C$42)^1</f>
        <v/>
      </c>
      <c r="F17" s="32">
        <f>Assumptions!$C$40*3*(1+Assumptions!$C$42)^1</f>
        <v/>
      </c>
      <c r="G17" s="22">
        <f>SUM(C17:F17)</f>
        <v/>
      </c>
      <c r="H17" s="32">
        <f>Assumptions!$C$40*3*(1+Assumptions!$C$42)^2</f>
        <v/>
      </c>
      <c r="I17" s="32">
        <f>Assumptions!$C$40*3*(1+Assumptions!$C$42)^2</f>
        <v/>
      </c>
      <c r="J17" s="32">
        <f>Assumptions!$C$40*3*(1+Assumptions!$C$42)^2</f>
        <v/>
      </c>
      <c r="K17" s="32">
        <f>Assumptions!$C$40*3*(1+Assumptions!$C$42)^2</f>
        <v/>
      </c>
      <c r="L17" s="22">
        <f>SUM(H17:K17)</f>
        <v/>
      </c>
    </row>
    <row r="18">
      <c r="B18" s="30" t="inlineStr">
        <is>
          <t>Licences and compliance</t>
        </is>
      </c>
      <c r="C18" s="32">
        <f>Assumptions!$C$41/4*(1+Assumptions!$C$42)^1</f>
        <v/>
      </c>
      <c r="D18" s="32">
        <f>Assumptions!$C$41/4*(1+Assumptions!$C$42)^1</f>
        <v/>
      </c>
      <c r="E18" s="32">
        <f>Assumptions!$C$41/4*(1+Assumptions!$C$42)^1</f>
        <v/>
      </c>
      <c r="F18" s="32">
        <f>Assumptions!$C$41/4*(1+Assumptions!$C$42)^1</f>
        <v/>
      </c>
      <c r="G18" s="22">
        <f>SUM(C18:F18)</f>
        <v/>
      </c>
      <c r="H18" s="32">
        <f>Assumptions!$C$41/4*(1+Assumptions!$C$42)^2</f>
        <v/>
      </c>
      <c r="I18" s="32">
        <f>Assumptions!$C$41/4*(1+Assumptions!$C$42)^2</f>
        <v/>
      </c>
      <c r="J18" s="32">
        <f>Assumptions!$C$41/4*(1+Assumptions!$C$42)^2</f>
        <v/>
      </c>
      <c r="K18" s="32">
        <f>Assumptions!$C$41/4*(1+Assumptions!$C$42)^2</f>
        <v/>
      </c>
      <c r="L18" s="22">
        <f>SUM(H18:K18)</f>
        <v/>
      </c>
    </row>
    <row r="19">
      <c r="B19" s="20" t="inlineStr">
        <is>
          <t>Total operating costs</t>
        </is>
      </c>
      <c r="C19" s="22">
        <f>SUM(C10:C18)</f>
        <v/>
      </c>
      <c r="D19" s="22">
        <f>SUM(D10:D18)</f>
        <v/>
      </c>
      <c r="E19" s="22">
        <f>SUM(E10:E18)</f>
        <v/>
      </c>
      <c r="F19" s="22">
        <f>SUM(F10:F18)</f>
        <v/>
      </c>
      <c r="G19" s="22">
        <f>SUM(C19:F19)</f>
        <v/>
      </c>
      <c r="H19" s="22">
        <f>SUM(H10:H18)</f>
        <v/>
      </c>
      <c r="I19" s="22">
        <f>SUM(I10:I18)</f>
        <v/>
      </c>
      <c r="J19" s="22">
        <f>SUM(J10:J18)</f>
        <v/>
      </c>
      <c r="K19" s="22">
        <f>SUM(K10:K18)</f>
        <v/>
      </c>
      <c r="L19" s="22">
        <f>SUM(H19:K19)</f>
        <v/>
      </c>
    </row>
    <row r="20">
      <c r="B20" s="20" t="inlineStr">
        <is>
          <t>EBITDA</t>
        </is>
      </c>
      <c r="C20" s="22">
        <f>C9-C19</f>
        <v/>
      </c>
      <c r="D20" s="22">
        <f>D9-D19</f>
        <v/>
      </c>
      <c r="E20" s="22">
        <f>E9-E19</f>
        <v/>
      </c>
      <c r="F20" s="22">
        <f>F9-F19</f>
        <v/>
      </c>
      <c r="G20" s="22">
        <f>SUM(C20:F20)</f>
        <v/>
      </c>
      <c r="H20" s="22">
        <f>H9-H19</f>
        <v/>
      </c>
      <c r="I20" s="22">
        <f>I9-I19</f>
        <v/>
      </c>
      <c r="J20" s="22">
        <f>J9-J19</f>
        <v/>
      </c>
      <c r="K20" s="22">
        <f>K9-K19</f>
        <v/>
      </c>
      <c r="L20" s="22">
        <f>SUM(H20:K20)</f>
        <v/>
      </c>
    </row>
    <row r="21">
      <c r="B21" s="30" t="inlineStr">
        <is>
          <t>Less: depreciation</t>
        </is>
      </c>
      <c r="C21" s="32">
        <f>IF(Assumptions!$C$51=0,0,Assumptions!$C$50/Assumptions!$C$51/4)</f>
        <v/>
      </c>
      <c r="D21" s="32">
        <f>IF(Assumptions!$C$51=0,0,Assumptions!$C$50/Assumptions!$C$51/4)</f>
        <v/>
      </c>
      <c r="E21" s="32">
        <f>IF(Assumptions!$C$51=0,0,Assumptions!$C$50/Assumptions!$C$51/4)</f>
        <v/>
      </c>
      <c r="F21" s="32">
        <f>IF(Assumptions!$C$51=0,0,Assumptions!$C$50/Assumptions!$C$51/4)</f>
        <v/>
      </c>
      <c r="G21" s="22">
        <f>SUM(C21:F21)</f>
        <v/>
      </c>
      <c r="H21" s="32">
        <f>IF(Assumptions!$C$51=0,0,Assumptions!$C$50/Assumptions!$C$51/4)</f>
        <v/>
      </c>
      <c r="I21" s="32">
        <f>IF(Assumptions!$C$51=0,0,Assumptions!$C$50/Assumptions!$C$51/4)</f>
        <v/>
      </c>
      <c r="J21" s="32">
        <f>IF(Assumptions!$C$51=0,0,Assumptions!$C$50/Assumptions!$C$51/4)</f>
        <v/>
      </c>
      <c r="K21" s="32">
        <f>IF(Assumptions!$C$51=0,0,Assumptions!$C$50/Assumptions!$C$51/4)</f>
        <v/>
      </c>
      <c r="L21" s="22">
        <f>SUM(H21:K21)</f>
        <v/>
      </c>
    </row>
    <row r="22">
      <c r="B22" s="30" t="inlineStr">
        <is>
          <t>Less: interest on term loan</t>
        </is>
      </c>
      <c r="C22" s="32">
        <f>MAX(0,(Assumptions!$C$47-IF(Assumptions!$C$49=0,0,Assumptions!$C$47/(Assumptions!$C$49*12))*13)*Assumptions!$C$48/4)</f>
        <v/>
      </c>
      <c r="D22" s="32">
        <f>MAX(0,(Assumptions!$C$47-IF(Assumptions!$C$49=0,0,Assumptions!$C$47/(Assumptions!$C$49*12))*16)*Assumptions!$C$48/4)</f>
        <v/>
      </c>
      <c r="E22" s="32">
        <f>MAX(0,(Assumptions!$C$47-IF(Assumptions!$C$49=0,0,Assumptions!$C$47/(Assumptions!$C$49*12))*19)*Assumptions!$C$48/4)</f>
        <v/>
      </c>
      <c r="F22" s="32">
        <f>MAX(0,(Assumptions!$C$47-IF(Assumptions!$C$49=0,0,Assumptions!$C$47/(Assumptions!$C$49*12))*22)*Assumptions!$C$48/4)</f>
        <v/>
      </c>
      <c r="G22" s="22">
        <f>SUM(C22:F22)</f>
        <v/>
      </c>
      <c r="H22" s="32">
        <f>MAX(0,(Assumptions!$C$47-IF(Assumptions!$C$49=0,0,Assumptions!$C$47/(Assumptions!$C$49*12))*25)*Assumptions!$C$48/4)</f>
        <v/>
      </c>
      <c r="I22" s="32">
        <f>MAX(0,(Assumptions!$C$47-IF(Assumptions!$C$49=0,0,Assumptions!$C$47/(Assumptions!$C$49*12))*28)*Assumptions!$C$48/4)</f>
        <v/>
      </c>
      <c r="J22" s="32">
        <f>MAX(0,(Assumptions!$C$47-IF(Assumptions!$C$49=0,0,Assumptions!$C$47/(Assumptions!$C$49*12))*31)*Assumptions!$C$48/4)</f>
        <v/>
      </c>
      <c r="K22" s="32">
        <f>MAX(0,(Assumptions!$C$47-IF(Assumptions!$C$49=0,0,Assumptions!$C$47/(Assumptions!$C$49*12))*34)*Assumptions!$C$48/4)</f>
        <v/>
      </c>
      <c r="L22" s="22">
        <f>SUM(H22:K22)</f>
        <v/>
      </c>
    </row>
    <row r="23">
      <c r="B23" s="20" t="inlineStr">
        <is>
          <t>Profit before tax</t>
        </is>
      </c>
      <c r="C23" s="22">
        <f>C9-C19-C21-C22</f>
        <v/>
      </c>
      <c r="D23" s="22">
        <f>D9-D19-D21-D22</f>
        <v/>
      </c>
      <c r="E23" s="22">
        <f>E9-E19-E21-E22</f>
        <v/>
      </c>
      <c r="F23" s="22">
        <f>F9-F19-F21-F22</f>
        <v/>
      </c>
      <c r="G23" s="22">
        <f>SUM(C23:F23)</f>
        <v/>
      </c>
      <c r="H23" s="22">
        <f>H9-H19-H21-H22</f>
        <v/>
      </c>
      <c r="I23" s="22">
        <f>I9-I19-I21-I22</f>
        <v/>
      </c>
      <c r="J23" s="22">
        <f>J9-J19-J21-J22</f>
        <v/>
      </c>
      <c r="K23" s="22">
        <f>K9-K19-K21-K22</f>
        <v/>
      </c>
      <c r="L23" s="22">
        <f>SUM(H23:K23)</f>
        <v/>
      </c>
    </row>
    <row r="24"/>
    <row r="25">
      <c r="B25" s="10" t="inlineStr">
        <is>
          <t>Interest is the three months of a declining balance taken together, which is why it steps down each quarter. Depreciation is a quarter of the annual charge.</t>
        </is>
      </c>
    </row>
    <row r="26"/>
    <row r="27">
      <c r="B27" s="11" t="inlineStr">
        <is>
          <t>Powered by Petpooja POSS | getposs@petpooja.com | +91-9104369797 | www.petpooja.com</t>
        </is>
      </c>
    </row>
  </sheetData>
  <sheetProtection selectLockedCells="0" selectUnlockedCells="0" sheet="1" objects="0" insertRows="1" insertHyperlinks="1" autoFilter="1" scenarios="0" formatColumns="1" deleteColumns="1" insertColumns="1" pivotTables="1" deleteRows="1" formatCells="0" formatRows="1" sort="1" password="89B7"/>
  <mergeCells count="4">
    <mergeCell ref="B2:L2"/>
    <mergeCell ref="B27:L27"/>
    <mergeCell ref="B25:L25"/>
    <mergeCell ref="B1:L1"/>
  </mergeCells>
  <printOptions horizontalCentered="1"/>
  <pageMargins left="0.4" right="0.4"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H48"/>
  <sheetViews>
    <sheetView showGridLines="0" workbookViewId="0">
      <selection activeCell="A1" sqref="A1"/>
    </sheetView>
  </sheetViews>
  <sheetFormatPr baseColWidth="8" defaultRowHeight="15"/>
  <cols>
    <col width="3" customWidth="1" min="1" max="1"/>
    <col width="44" customWidth="1" min="2" max="2"/>
    <col width="18" customWidth="1" min="3" max="3"/>
    <col width="18" customWidth="1" min="4" max="4"/>
    <col width="18" customWidth="1" min="5" max="5"/>
    <col width="20" customWidth="1" min="6" max="6"/>
    <col width="16" customWidth="1" min="7" max="7"/>
    <col width="46"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s>
  <sheetData>
    <row r="1">
      <c r="B1" s="12" t="inlineStr">
        <is>
          <t>Three-year summary</t>
        </is>
      </c>
    </row>
    <row r="2">
      <c r="B2" s="13" t="inlineStr">
        <is>
          <t>The page a bank or an investor will read. Everything here is calculated from the earlier sheets.</t>
        </is>
      </c>
    </row>
    <row r="3"/>
    <row r="4" ht="22" customHeight="1">
      <c r="B4" s="6" t="inlineStr"/>
      <c r="C4" s="6" t="inlineStr">
        <is>
          <t>Year 1</t>
        </is>
      </c>
      <c r="D4" s="6" t="inlineStr">
        <is>
          <t>Year 2</t>
        </is>
      </c>
      <c r="E4" s="6" t="inlineStr">
        <is>
          <t>Year 3</t>
        </is>
      </c>
      <c r="F4" t="inlineStr"/>
      <c r="G4" t="inlineStr"/>
    </row>
    <row r="5">
      <c r="B5" s="20" t="inlineStr">
        <is>
          <t>Total revenue</t>
        </is>
      </c>
      <c r="C5" s="22">
        <f>'Year 1 Monthly'!$O$9</f>
        <v/>
      </c>
      <c r="D5" s="22">
        <f>'Years 2 &amp; 3'!$G$5</f>
        <v/>
      </c>
      <c r="E5" s="22">
        <f>'Years 2 &amp; 3'!$L$5</f>
        <v/>
      </c>
    </row>
    <row r="6">
      <c r="B6" s="30" t="inlineStr">
        <is>
          <t>Food, beverage and packaging</t>
        </is>
      </c>
      <c r="C6" s="32">
        <f>'Year 1 Monthly'!$O$10+'Year 1 Monthly'!$O$11</f>
        <v/>
      </c>
      <c r="D6" s="32">
        <f>'Years 2 &amp; 3'!$G$7+'Years 2 &amp; 3'!$G$8</f>
        <v/>
      </c>
      <c r="E6" s="32">
        <f>'Years 2 &amp; 3'!$L$7+'Years 2 &amp; 3'!$L$8</f>
        <v/>
      </c>
    </row>
    <row r="7">
      <c r="B7" s="20" t="inlineStr">
        <is>
          <t>Gross profit</t>
        </is>
      </c>
      <c r="C7" s="22">
        <f>'Year 1 Monthly'!$O$12</f>
        <v/>
      </c>
      <c r="D7" s="22">
        <f>'Years 2 &amp; 3'!$G$9</f>
        <v/>
      </c>
      <c r="E7" s="22">
        <f>'Years 2 &amp; 3'!$L$9</f>
        <v/>
      </c>
    </row>
    <row r="8">
      <c r="B8" s="30" t="inlineStr">
        <is>
          <t>Operating costs</t>
        </is>
      </c>
      <c r="C8" s="32">
        <f>'Year 1 Monthly'!$O$23</f>
        <v/>
      </c>
      <c r="D8" s="32">
        <f>'Years 2 &amp; 3'!$G$19</f>
        <v/>
      </c>
      <c r="E8" s="32">
        <f>'Years 2 &amp; 3'!$L$19</f>
        <v/>
      </c>
    </row>
    <row r="9">
      <c r="B9" s="20" t="inlineStr">
        <is>
          <t>EBITDA</t>
        </is>
      </c>
      <c r="C9" s="22">
        <f>'Year 1 Monthly'!$O$24</f>
        <v/>
      </c>
      <c r="D9" s="22">
        <f>'Years 2 &amp; 3'!$G$20</f>
        <v/>
      </c>
      <c r="E9" s="22">
        <f>'Years 2 &amp; 3'!$L$20</f>
        <v/>
      </c>
    </row>
    <row r="10">
      <c r="B10" s="30" t="inlineStr">
        <is>
          <t>Depreciation</t>
        </is>
      </c>
      <c r="C10" s="32">
        <f>'Year 1 Monthly'!$O$26</f>
        <v/>
      </c>
      <c r="D10" s="32">
        <f>'Years 2 &amp; 3'!$G$21</f>
        <v/>
      </c>
      <c r="E10" s="32">
        <f>'Years 2 &amp; 3'!$L$21</f>
        <v/>
      </c>
    </row>
    <row r="11">
      <c r="B11" s="30" t="inlineStr">
        <is>
          <t>Interest</t>
        </is>
      </c>
      <c r="C11" s="32">
        <f>'Year 1 Monthly'!$O$27</f>
        <v/>
      </c>
      <c r="D11" s="32">
        <f>'Years 2 &amp; 3'!$G$22</f>
        <v/>
      </c>
      <c r="E11" s="32">
        <f>'Years 2 &amp; 3'!$L$22</f>
        <v/>
      </c>
    </row>
    <row r="12">
      <c r="B12" s="20" t="inlineStr">
        <is>
          <t>Profit before tax</t>
        </is>
      </c>
      <c r="C12" s="22">
        <f>'Year 1 Monthly'!$O$28</f>
        <v/>
      </c>
      <c r="D12" s="22">
        <f>'Years 2 &amp; 3'!$G$23</f>
        <v/>
      </c>
      <c r="E12" s="22">
        <f>'Years 2 &amp; 3'!$L$23</f>
        <v/>
      </c>
    </row>
    <row r="13">
      <c r="B13" s="30" t="inlineStr">
        <is>
          <t>Loss brought forward</t>
        </is>
      </c>
      <c r="C13" s="36" t="n">
        <v>0</v>
      </c>
      <c r="D13" s="36">
        <f>MAX(0,-C12)</f>
        <v/>
      </c>
      <c r="E13" s="36">
        <f>MAX(0,D13-MAX(0,D12))+MAX(0,-D12)</f>
        <v/>
      </c>
    </row>
    <row r="14">
      <c r="B14" s="30" t="inlineStr">
        <is>
          <t>Taxable profit after set-off</t>
        </is>
      </c>
      <c r="C14" s="36">
        <f>MAX(0,C12-C13)</f>
        <v/>
      </c>
      <c r="D14" s="36">
        <f>MAX(0,D12-D13)</f>
        <v/>
      </c>
      <c r="E14" s="36">
        <f>MAX(0,E12-E13)</f>
        <v/>
      </c>
    </row>
    <row r="15">
      <c r="B15" s="30" t="inlineStr">
        <is>
          <t>Income tax</t>
        </is>
      </c>
      <c r="C15" s="36">
        <f>C14*Assumptions!$C$52</f>
        <v/>
      </c>
      <c r="D15" s="36">
        <f>D14*Assumptions!$C$52</f>
        <v/>
      </c>
      <c r="E15" s="36">
        <f>E14*Assumptions!$C$52</f>
        <v/>
      </c>
    </row>
    <row r="16">
      <c r="B16" s="20" t="inlineStr">
        <is>
          <t>Profit after tax</t>
        </is>
      </c>
      <c r="C16" s="22">
        <f>C12-C15</f>
        <v/>
      </c>
      <c r="D16" s="22">
        <f>D12-D15</f>
        <v/>
      </c>
      <c r="E16" s="22">
        <f>E12-E15</f>
        <v/>
      </c>
    </row>
    <row r="17">
      <c r="B17" s="30" t="inlineStr">
        <is>
          <t>Gross margin</t>
        </is>
      </c>
      <c r="C17" s="37">
        <f>IF(C5=0,0,C7/C5)</f>
        <v/>
      </c>
      <c r="D17" s="37">
        <f>IF(D5=0,0,D7/D5)</f>
        <v/>
      </c>
      <c r="E17" s="37">
        <f>IF(E5=0,0,E7/E5)</f>
        <v/>
      </c>
    </row>
    <row r="18">
      <c r="B18" s="30" t="inlineStr">
        <is>
          <t>EBITDA margin</t>
        </is>
      </c>
      <c r="C18" s="37">
        <f>IF(C5=0,0,C9/C5)</f>
        <v/>
      </c>
      <c r="D18" s="37">
        <f>IF(D5=0,0,D9/D5)</f>
        <v/>
      </c>
      <c r="E18" s="37">
        <f>IF(E5=0,0,E9/E5)</f>
        <v/>
      </c>
    </row>
    <row r="19">
      <c r="B19" s="30" t="inlineStr">
        <is>
          <t>Net profit margin</t>
        </is>
      </c>
      <c r="C19" s="37">
        <f>IF(C5=0,0,C16/C5)</f>
        <v/>
      </c>
      <c r="D19" s="37">
        <f>IF(D5=0,0,D16/D5)</f>
        <v/>
      </c>
      <c r="E19" s="37">
        <f>IF(E5=0,0,E16/E5)</f>
        <v/>
      </c>
    </row>
    <row r="20" ht="32" customHeight="1">
      <c r="B20" s="10" t="inlineStr">
        <is>
          <t>Losses are set off against the next year's profit before tax, so tax starts only once the cumulative position turns positive. Tax is charged here on book profit with straight-line depreciation. The Income-tax Act uses written-down-value depreciation at its own rates, so the figure your accountant computes will differ from this one.</t>
        </is>
      </c>
    </row>
    <row r="21"/>
    <row r="22">
      <c r="B22" s="3" t="inlineStr">
        <is>
          <t>Where the model sits against industry benchmarks</t>
        </is>
      </c>
    </row>
    <row r="23" ht="30" customHeight="1">
      <c r="B23" s="6" t="inlineStr">
        <is>
          <t>Ratio</t>
        </is>
      </c>
      <c r="C23" s="6" t="inlineStr">
        <is>
          <t>Year 1</t>
        </is>
      </c>
      <c r="D23" s="6" t="inlineStr">
        <is>
          <t>Year 2</t>
        </is>
      </c>
      <c r="E23" s="6" t="inlineStr">
        <is>
          <t>Year 3</t>
        </is>
      </c>
      <c r="F23" s="6" t="inlineStr">
        <is>
          <t>Benchmark</t>
        </is>
      </c>
      <c r="G23" s="6" t="inlineStr">
        <is>
          <t>Status (Year 3)</t>
        </is>
      </c>
      <c r="H23" s="6" t="inlineStr">
        <is>
          <t>If it is off</t>
        </is>
      </c>
    </row>
    <row r="24" ht="104.5" customHeight="1">
      <c r="B24" s="14" t="inlineStr">
        <is>
          <t>Food and beverage cost as % of revenue</t>
        </is>
      </c>
      <c r="C24" s="38">
        <f>IF(C5=0,0,C6/C5)</f>
        <v/>
      </c>
      <c r="D24" s="38">
        <f>IF(D5=0,0,D6/D5)</f>
        <v/>
      </c>
      <c r="E24" s="38">
        <f>IF(E5=0,0,E6/E5)</f>
        <v/>
      </c>
      <c r="F24" s="39" t="inlineStr">
        <is>
          <t>28% to 35%</t>
        </is>
      </c>
      <c r="G24" s="8">
        <f>IF(E5=0,"No data",IF(E6/E5&gt;0.35,"Above benchmark",IF(E6/E5&lt;0.28,"Below benchmark","On track")))</f>
        <v/>
      </c>
      <c r="H24" s="40" t="inlineStr">
        <is>
          <t>Above 35 percent means portioning, wastage or vendor pricing, not menu design.</t>
        </is>
      </c>
    </row>
    <row r="25" ht="90" customHeight="1">
      <c r="B25" s="14" t="inlineStr">
        <is>
          <t>Staff cost as % of revenue</t>
        </is>
      </c>
      <c r="C25" s="38">
        <f>IF(C5=0,0,'Year 1 Monthly'!$O$16/C5)</f>
        <v/>
      </c>
      <c r="D25" s="38">
        <f>IF(D5=0,0,'Years 2 &amp; 3'!$G$12/D5)</f>
        <v/>
      </c>
      <c r="E25" s="38">
        <f>IF(E5=0,0,'Years 2 &amp; 3'!$L$12/E5)</f>
        <v/>
      </c>
      <c r="F25" s="39" t="inlineStr">
        <is>
          <t>20% to 25%</t>
        </is>
      </c>
      <c r="G25" s="8">
        <f>IF(E5=0,"No data",IF(E25&gt;0.25,"Above benchmark",IF(E25&lt;0.2,"Below benchmark","On track")))</f>
        <v/>
      </c>
      <c r="H25" s="40" t="inlineStr">
        <is>
          <t>Above 25 percent, look at shift patterns before you look at headcount.</t>
        </is>
      </c>
    </row>
    <row r="26" ht="104.5" customHeight="1">
      <c r="B26" s="14" t="inlineStr">
        <is>
          <t>Rent as % of revenue</t>
        </is>
      </c>
      <c r="C26" s="38">
        <f>IF(C5=0,0,'Year 1 Monthly'!$O$17/C5)</f>
        <v/>
      </c>
      <c r="D26" s="38">
        <f>IF(D5=0,0,'Years 2 &amp; 3'!$G$13/D5)</f>
        <v/>
      </c>
      <c r="E26" s="38">
        <f>IF(E5=0,0,'Years 2 &amp; 3'!$L$13/E5)</f>
        <v/>
      </c>
      <c r="F26" s="39" t="inlineStr">
        <is>
          <t>8% to 12%</t>
        </is>
      </c>
      <c r="G26" s="8">
        <f>IF(E5=0,"No data",IF(E26&gt;0.12,"Above benchmark",IF(E26&lt;0.08,"Below benchmark","On track")))</f>
        <v/>
      </c>
      <c r="H26" s="40" t="inlineStr">
        <is>
          <t>Above 12 percent, the site is carrying the business and volume has to rise.</t>
        </is>
      </c>
    </row>
    <row r="27" ht="104.5" customHeight="1">
      <c r="B27" s="14" t="inlineStr">
        <is>
          <t>EBITDA margin</t>
        </is>
      </c>
      <c r="C27" s="38">
        <f>IF(C5=0,0,C9/C5)</f>
        <v/>
      </c>
      <c r="D27" s="38">
        <f>IF(D5=0,0,D9/D5)</f>
        <v/>
      </c>
      <c r="E27" s="38">
        <f>IF(E5=0,0,E9/E5)</f>
        <v/>
      </c>
      <c r="F27" s="39" t="inlineStr">
        <is>
          <t>15% to 20%</t>
        </is>
      </c>
      <c r="G27" s="8">
        <f>IF(E5=0,"No data",IF(E9/E5&lt;0.15,"Below benchmark",IF(E9/E5&gt;0.2,"Ahead of benchmark","On track")))</f>
        <v/>
      </c>
      <c r="H27" s="40" t="inlineStr">
        <is>
          <t>Below 15 percent in Year 3, the model is not investable as it stands.</t>
        </is>
      </c>
    </row>
    <row r="28" ht="104.5" customHeight="1">
      <c r="B28" s="14" t="inlineStr">
        <is>
          <t>Delivery share of revenue</t>
        </is>
      </c>
      <c r="C28" s="38">
        <f>IF(C5=0,0,'Year 1 Monthly'!$O$7/C5)</f>
        <v/>
      </c>
      <c r="D28" s="38">
        <f>IF(D5=0,0,'Years 2 &amp; 3'!$G$6/D5)</f>
        <v/>
      </c>
      <c r="E28" s="38">
        <f>IF(E5=0,0,'Years 2 &amp; 3'!$L$6/E5)</f>
        <v/>
      </c>
      <c r="F28" s="39" t="inlineStr">
        <is>
          <t>20% to 40%</t>
        </is>
      </c>
      <c r="G28" s="8">
        <f>IF(E5=0,"No data",IF(E28&gt;0.4,"High delivery dependence",IF(E28&lt;0.2,"Low delivery share","Balanced")))</f>
        <v/>
      </c>
      <c r="H28" s="40" t="inlineStr">
        <is>
          <t>Above 40 percent, commission is setting your margin. Build direct ordering.</t>
        </is>
      </c>
    </row>
    <row r="29" ht="46.5" customHeight="1">
      <c r="B29" s="10" t="inlineStr">
        <is>
          <t>These are the operating ranges commonly used for Indian full-service and casual dining restaurants, and the same bands the Petpooja restaurant P&amp;L template scores against. Treat them as a sense check rather than a rule, since they vary by city, format and lease. QSR and cloud kitchen economics differ, with food cost typically higher and rent much lower.</t>
        </is>
      </c>
    </row>
    <row r="30"/>
    <row r="31">
      <c r="B31" s="3" t="inlineStr">
        <is>
          <t>The three questions a lender asks</t>
        </is>
      </c>
    </row>
    <row r="32" ht="32" customHeight="1">
      <c r="B32" s="14" t="inlineStr">
        <is>
          <t>Contribution margin on every rupee of sales</t>
        </is>
      </c>
      <c r="C32" s="41">
        <f>(1-Assumptions!$C$28-Assumptions!$C$38-IF('Year 1 Monthly'!$O$9=0,0,'Year 1 Monthly'!$O$7/'Year 1 Monthly'!$O$9)*(Assumptions!$C$29+Assumptions!$C$30+IF(Assumptions!$C$9="5 percent without ITC",Assumptions!$C$30*Assumptions!$C$31,0)))</f>
        <v/>
      </c>
      <c r="D32" s="28" t="n"/>
      <c r="F32" s="10" t="inlineStr">
        <is>
          <t>What is left after food, packaging, commission and marketing. Fixed costs come out of this.</t>
        </is>
      </c>
    </row>
    <row r="33" ht="32" customHeight="1">
      <c r="B33" s="14" t="inlineStr">
        <is>
          <t>Break-even revenue a month</t>
        </is>
      </c>
      <c r="C33" s="42">
        <f>IF((1-Assumptions!$C$28-Assumptions!$C$38-IF('Year 1 Monthly'!$O$9=0,0,'Year 1 Monthly'!$O$7/'Year 1 Monthly'!$O$9)*(Assumptions!$C$29+Assumptions!$C$30+IF(Assumptions!$C$9="5 percent without ITC",Assumptions!$C$30*Assumptions!$C$31,0)))&lt;=0,0,(Assumptions!$C$32*Assumptions!$C$33+Assumptions!$C$35+Assumptions!$C$37+Assumptions!$C$39+Assumptions!$C$40+Assumptions!$C$41/12)/(1-Assumptions!$C$28-Assumptions!$C$38-IF('Year 1 Monthly'!$O$9=0,0,'Year 1 Monthly'!$O$7/'Year 1 Monthly'!$O$9)*(Assumptions!$C$29+Assumptions!$C$30+IF(Assumptions!$C$9="5 percent without ITC",Assumptions!$C$30*Assumptions!$C$31,0))))</f>
        <v/>
      </c>
      <c r="D33" s="28" t="n"/>
      <c r="F33" s="10" t="inlineStr">
        <is>
          <t>The monthly sales at which the restaurant covers its fixed costs, before depreciation and interest.</t>
        </is>
      </c>
    </row>
    <row r="34" ht="32" customHeight="1">
      <c r="B34" s="14" t="inlineStr">
        <is>
          <t>Break-even covers a day, if all of it were dine-in</t>
        </is>
      </c>
      <c r="C34" s="43">
        <f>IF(OR((1-Assumptions!$C$28-Assumptions!$C$38-IF('Year 1 Monthly'!$O$9=0,0,'Year 1 Monthly'!$O$7/'Year 1 Monthly'!$O$9)*(Assumptions!$C$29+Assumptions!$C$30+IF(Assumptions!$C$9="5 percent without ITC",Assumptions!$C$30*Assumptions!$C$31,0)))&lt;=0,Assumptions!$E$13=0,Assumptions!$C$8=0),"Not applicable",((Assumptions!$C$32*Assumptions!$C$33+Assumptions!$C$35+Assumptions!$C$37+Assumptions!$C$39+Assumptions!$C$40+Assumptions!$C$41/12)/(1-Assumptions!$C$28-Assumptions!$C$38-IF('Year 1 Monthly'!$O$9=0,0,'Year 1 Monthly'!$O$7/'Year 1 Monthly'!$O$9)*(Assumptions!$C$29+Assumptions!$C$30+IF(Assumptions!$C$9="5 percent without ITC",Assumptions!$C$30*Assumptions!$C$31,0))))/Assumptions!$C$8/Assumptions!$D$13)</f>
        <v/>
      </c>
      <c r="D34" s="28" t="n"/>
      <c r="F34" s="10" t="inlineStr">
        <is>
          <t>How many covers a day the restaurant has to serve just to cover its fixed costs.</t>
        </is>
      </c>
    </row>
    <row r="35" ht="32" customHeight="1">
      <c r="B35" s="14" t="inlineStr">
        <is>
          <t>Table turns a day needed to break even</t>
        </is>
      </c>
      <c r="C35" s="44">
        <f>IF(OR((1-Assumptions!$C$28-Assumptions!$C$38-IF('Year 1 Monthly'!$O$9=0,0,'Year 1 Monthly'!$O$7/'Year 1 Monthly'!$O$9)*(Assumptions!$C$29+Assumptions!$C$30+IF(Assumptions!$C$9="5 percent without ITC",Assumptions!$C$30*Assumptions!$C$31,0)))&lt;=0,Assumptions!$E$13=0,Assumptions!$C$8=0,Assumptions!$C$7=0),"Not applicable",(((Assumptions!$C$32*Assumptions!$C$33+Assumptions!$C$35+Assumptions!$C$37+Assumptions!$C$39+Assumptions!$C$40+Assumptions!$C$41/12)/(1-Assumptions!$C$28-Assumptions!$C$38-IF('Year 1 Monthly'!$O$9=0,0,'Year 1 Monthly'!$O$7/'Year 1 Monthly'!$O$9)*(Assumptions!$C$29+Assumptions!$C$30+IF(Assumptions!$C$9="5 percent without ITC",Assumptions!$C$30*Assumptions!$C$31,0))))/Assumptions!$C$8/Assumptions!$D$13)/Assumptions!$C$7)</f>
        <v/>
      </c>
      <c r="D35" s="28" t="n"/>
      <c r="F35" s="10" t="inlineStr">
        <is>
          <t>Break-even covers divided by your seat count. Above two turns a day every day, the plan needs more seats, a higher spend per cover, or lower fixed costs.</t>
        </is>
      </c>
    </row>
    <row r="36" ht="32" customHeight="1">
      <c r="B36" s="14" t="inlineStr">
        <is>
          <t>Cash profit in Year 1 (profit after tax plus depreciation)</t>
        </is>
      </c>
      <c r="C36" s="42">
        <f>C16+C10</f>
        <v/>
      </c>
      <c r="D36" s="28" t="n"/>
      <c r="F36" s="10" t="inlineStr">
        <is>
          <t>Depreciation is added back because it does not leave the bank.</t>
        </is>
      </c>
    </row>
    <row r="37">
      <c r="B37" s="14" t="inlineStr">
        <is>
          <t>Cash profit in Year 2</t>
        </is>
      </c>
      <c r="C37" s="42">
        <f>D16+D10</f>
        <v/>
      </c>
      <c r="D37" s="28" t="n"/>
    </row>
    <row r="38">
      <c r="B38" s="14" t="inlineStr">
        <is>
          <t>Cash profit in Year 3</t>
        </is>
      </c>
      <c r="C38" s="42">
        <f>E16+E10</f>
        <v/>
      </c>
      <c r="D38" s="28" t="n"/>
    </row>
    <row r="39" ht="32" customHeight="1">
      <c r="B39" s="14" t="inlineStr">
        <is>
          <t>Payback on the initial investment</t>
        </is>
      </c>
      <c r="C39" s="45">
        <f>IF(Assumptions!$C$45&lt;=0,0,IF(AND(C36&gt;0,C36&gt;=Assumptions!$C$45),ROUND(12*Assumptions!$C$45/C36,0),IF(AND(C37&gt;0,C36+C37&gt;=Assumptions!$C$45),ROUND(12+12*(Assumptions!$C$45-C36)/C37,0),IF(AND(C38&gt;0,C36+C37+C38&gt;=Assumptions!$C$45),ROUND(24+12*(Assumptions!$C$45-C36-C37)/C38,0),"Beyond 3 years"))))</f>
        <v/>
      </c>
      <c r="D39" s="28" t="n"/>
      <c r="F39" s="10" t="inlineStr">
        <is>
          <t>Months of cash profit needed to return the money put in. It ignores the loan repayment schedule, which the cover ratio below picks up.</t>
        </is>
      </c>
    </row>
    <row r="40" ht="32" customHeight="1">
      <c r="B40" s="14" t="inlineStr">
        <is>
          <t>Debt service cover in Year 2 (EBITDA over interest plus principal)</t>
        </is>
      </c>
      <c r="C40" s="44">
        <f>IF(Assumptions!$C$47&lt;=0,"No loan to service",IF(('Years 2 &amp; 3'!$G$22+IF(Assumptions!$C$49=0,0,Assumptions!$C$47/Assumptions!$C$49))=0,0,'Years 2 &amp; 3'!$G$20/('Years 2 &amp; 3'!$G$22+IF(Assumptions!$C$49=0,0,Assumptions!$C$47/Assumptions!$C$49))))</f>
        <v/>
      </c>
      <c r="D40" s="28" t="n"/>
      <c r="F40" s="10" t="inlineStr">
        <is>
          <t>Most lenders want at least 1.25. Below 1, the business cannot service the loan from its own earnings.</t>
        </is>
      </c>
    </row>
    <row r="41"/>
    <row r="42">
      <c r="B42" s="3" t="inlineStr">
        <is>
          <t>Funding</t>
        </is>
      </c>
    </row>
    <row r="43">
      <c r="B43" s="14" t="inlineStr">
        <is>
          <t>Total initial investment</t>
        </is>
      </c>
      <c r="C43" s="18">
        <f>Assumptions!$C$45</f>
        <v/>
      </c>
      <c r="D43" s="28" t="n"/>
      <c r="F43" s="10" t="inlineStr">
        <is>
          <t>From the Assumptions sheet, or from the Restaurant Startup Cost Estimator.</t>
        </is>
      </c>
    </row>
    <row r="44">
      <c r="B44" s="14" t="inlineStr">
        <is>
          <t>Own funds</t>
        </is>
      </c>
      <c r="C44" s="18">
        <f>Assumptions!$C$46</f>
        <v/>
      </c>
      <c r="D44" s="28" t="n"/>
      <c r="F44" s="10" t="inlineStr">
        <is>
          <t>Promoter contribution.</t>
        </is>
      </c>
    </row>
    <row r="45">
      <c r="B45" s="14" t="inlineStr">
        <is>
          <t>Term loan</t>
        </is>
      </c>
      <c r="C45" s="18">
        <f>Assumptions!$C$47</f>
        <v/>
      </c>
      <c r="D45" s="28" t="n"/>
      <c r="F45" s="10" t="inlineStr">
        <is>
          <t>Investment minus own funds.</t>
        </is>
      </c>
    </row>
    <row r="46" ht="32" customHeight="1">
      <c r="B46" s="14" t="inlineStr">
        <is>
          <t>Promoter contribution as a share of the project</t>
        </is>
      </c>
      <c r="C46" s="38">
        <f>IF(Assumptions!$C$45=0,0,Assumptions!$C$46/Assumptions!$C$45)</f>
        <v/>
      </c>
      <c r="D46" s="28" t="n"/>
      <c r="F46" s="10" t="inlineStr">
        <is>
          <t>Banks commonly look for 25 to 30 percent.</t>
        </is>
      </c>
    </row>
    <row r="47"/>
    <row r="48">
      <c r="B48" s="11" t="inlineStr">
        <is>
          <t>Powered by Petpooja POSS | getposs@petpooja.com | +91-9104369797 | www.petpooja.com</t>
        </is>
      </c>
    </row>
  </sheetData>
  <sheetProtection selectLockedCells="0" selectUnlockedCells="0" sheet="1" objects="0" insertRows="1" insertHyperlinks="1" autoFilter="1" scenarios="0" formatColumns="1" deleteColumns="1" insertColumns="1" pivotTables="1" deleteRows="1" formatCells="0" formatRows="1" sort="1" password="89B7"/>
  <mergeCells count="32">
    <mergeCell ref="C34:D34"/>
    <mergeCell ref="F36:H36"/>
    <mergeCell ref="F33:H33"/>
    <mergeCell ref="C33:D33"/>
    <mergeCell ref="F45:H45"/>
    <mergeCell ref="F32:H32"/>
    <mergeCell ref="F35:H35"/>
    <mergeCell ref="C45:D45"/>
    <mergeCell ref="B20:H20"/>
    <mergeCell ref="C35:D35"/>
    <mergeCell ref="F46:H46"/>
    <mergeCell ref="F43:H43"/>
    <mergeCell ref="C44:D44"/>
    <mergeCell ref="C40:D40"/>
    <mergeCell ref="F39:H39"/>
    <mergeCell ref="B31:H31"/>
    <mergeCell ref="B22:H22"/>
    <mergeCell ref="C43:D43"/>
    <mergeCell ref="C46:D46"/>
    <mergeCell ref="C36:D36"/>
    <mergeCell ref="B2:H2"/>
    <mergeCell ref="B48:H48"/>
    <mergeCell ref="B42:H42"/>
    <mergeCell ref="F44:H44"/>
    <mergeCell ref="C39:D39"/>
    <mergeCell ref="F34:H34"/>
    <mergeCell ref="C32:D32"/>
    <mergeCell ref="C38:D38"/>
    <mergeCell ref="B1:H1"/>
    <mergeCell ref="C37:D37"/>
    <mergeCell ref="F40:H40"/>
    <mergeCell ref="B29:H29"/>
  </mergeCells>
  <conditionalFormatting sqref="G24:G28">
    <cfRule type="cellIs" priority="1" operator="equal" dxfId="1">
      <formula>"On track"</formula>
    </cfRule>
    <cfRule type="cellIs" priority="2" operator="equal" dxfId="1">
      <formula>"Balanced"</formula>
    </cfRule>
    <cfRule type="cellIs" priority="3" operator="equal" dxfId="1">
      <formula>"Ahead of benchmark"</formula>
    </cfRule>
    <cfRule type="cellIs" priority="4" operator="equal" dxfId="2">
      <formula>"Above benchmark"</formula>
    </cfRule>
    <cfRule type="cellIs" priority="5" operator="equal" dxfId="3">
      <formula>"Below benchmark"</formula>
    </cfRule>
    <cfRule type="cellIs" priority="6" operator="equal" dxfId="3">
      <formula>"High delivery dependence"</formula>
    </cfRule>
  </conditionalFormatting>
  <printOptions horizontalCentered="1"/>
  <pageMargins left="0.4" right="0.4"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sheetPr>
  <dimension ref="A1:C29"/>
  <sheetViews>
    <sheetView showGridLines="0" workbookViewId="0">
      <selection activeCell="A1" sqref="A1"/>
    </sheetView>
  </sheetViews>
  <sheetFormatPr baseColWidth="8" defaultRowHeight="15"/>
  <cols>
    <col width="3" customWidth="1" min="1" max="1"/>
    <col width="42" customWidth="1" min="2" max="2"/>
    <col width="76" customWidth="1" min="3" max="3"/>
    <col width="10"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s>
  <sheetData>
    <row r="1"/>
    <row r="2">
      <c r="B2" s="1" t="inlineStr">
        <is>
          <t>How It Works</t>
        </is>
      </c>
    </row>
    <row r="3">
      <c r="B3" s="2" t="inlineStr">
        <is>
          <t>The sample restaurant, and what the model does with it.</t>
        </is>
      </c>
    </row>
    <row r="4"/>
    <row r="5">
      <c r="B5" s="3" t="inlineStr">
        <is>
          <t>The restaurant in the sample</t>
        </is>
      </c>
    </row>
    <row r="6" ht="46.5" customHeight="1">
      <c r="B6" s="4" t="inlineStr">
        <is>
          <t>A 45 seat casual dining restaurant in Pune, opening with an investment of ₹77,50,000, of which ₹47,50,000 is promoter money and ₹30,00,000 a term loan at 13 percent over five years. It charges 5 percent GST and cannot claim input tax credit. This is the same outlet costed in the Restaurant Startup Cost Estimator.</t>
        </is>
      </c>
    </row>
    <row r="7"/>
    <row r="8">
      <c r="B8" s="3" t="inlineStr">
        <is>
          <t>How the revenue is built</t>
        </is>
      </c>
    </row>
    <row r="9" ht="32" customHeight="1">
      <c r="B9" s="5" t="inlineStr">
        <is>
          <t>Dine-in</t>
        </is>
      </c>
      <c r="C9" s="4" t="inlineStr">
        <is>
          <t>75 covers a day at ₹500 net of GST, across 30 days. That is 1.7 turns on 45 seats, which a settled casual dining restaurant can hold.</t>
        </is>
      </c>
    </row>
    <row r="10" ht="32" customHeight="1">
      <c r="B10" s="5" t="inlineStr">
        <is>
          <t>Delivery</t>
        </is>
      </c>
      <c r="C10" s="4" t="inlineStr">
        <is>
          <t>35 orders a day at ₹450. Around 27 percent of revenue, inside the 20 to 40 percent band most Indian restaurants sit in.</t>
        </is>
      </c>
    </row>
    <row r="11">
      <c r="B11" s="5" t="inlineStr">
        <is>
          <t>Takeaway</t>
        </is>
      </c>
      <c r="C11" s="4" t="inlineStr">
        <is>
          <t>12 orders a day at ₹350, with no commission to pay.</t>
        </is>
      </c>
    </row>
    <row r="12" ht="32" customHeight="1">
      <c r="B12" s="5" t="inlineStr">
        <is>
          <t>The full run rate</t>
        </is>
      </c>
      <c r="C12" s="4" t="inlineStr">
        <is>
          <t>About ₹17.2 lakh a month once the restaurant has settled. Year 1 never reaches that for twelve full months, because of the ramp.</t>
        </is>
      </c>
    </row>
    <row r="13" ht="32" customHeight="1">
      <c r="B13" s="5" t="inlineStr">
        <is>
          <t>The ramp</t>
        </is>
      </c>
      <c r="C13" s="4" t="inlineStr">
        <is>
          <t>Month 1 opens at 45 percent of the run rate and climbs in equal steps to 100 percent by month 6, then grows 1 percent a month.</t>
        </is>
      </c>
    </row>
    <row r="14"/>
    <row r="15">
      <c r="B15" s="3" t="inlineStr">
        <is>
          <t>The four assumptions that move the answer most</t>
        </is>
      </c>
    </row>
    <row r="16" ht="46.5" customHeight="1">
      <c r="B16" s="5" t="inlineStr">
        <is>
          <t>Average spend per cover</t>
        </is>
      </c>
      <c r="C16" s="4" t="inlineStr">
        <is>
          <t>Everything multiplies off it. A ₹50 change on ₹500 moves Year 1 revenue by about 10 percent, and almost all of it lands in profit because the costs behind it are fixed.</t>
        </is>
      </c>
    </row>
    <row r="17" ht="32" customHeight="1">
      <c r="B17" s="5" t="inlineStr">
        <is>
          <t>The ramp</t>
        </is>
      </c>
      <c r="C17" s="4" t="inlineStr">
        <is>
          <t>Two extra months to fill the restaurant costs more than most owners expect, because rent and salaries run from day one at full rate.</t>
        </is>
      </c>
    </row>
    <row r="18" ht="32" customHeight="1">
      <c r="B18" s="5" t="inlineStr">
        <is>
          <t>Food cost percentage</t>
        </is>
      </c>
      <c r="C18" s="4" t="inlineStr">
        <is>
          <t>Three points of food cost is roughly three points of net margin. It is the single easiest number to be optimistic about.</t>
        </is>
      </c>
    </row>
    <row r="19" ht="46.5" customHeight="1">
      <c r="B19" s="5" t="inlineStr">
        <is>
          <t>Delivery share</t>
        </is>
      </c>
      <c r="C19" s="4" t="inlineStr">
        <is>
          <t>Delivery revenue arrives with commission, packaging and, on the 5 percent GST position, non-creditable GST attached. A model that grows by pushing delivery grows its costs faster than its profit.</t>
        </is>
      </c>
    </row>
    <row r="20"/>
    <row r="21">
      <c r="B21" s="3" t="inlineStr">
        <is>
          <t>What the model will not do for you</t>
        </is>
      </c>
    </row>
    <row r="22" ht="32" customHeight="1">
      <c r="B22" s="5" t="inlineStr">
        <is>
          <t>Working capital and creditors</t>
        </is>
      </c>
      <c r="C22" s="4" t="inlineStr">
        <is>
          <t>It projects profit, not the bank balance. Supplier credit, deposits and stock build-up all move cash before they move profit.</t>
        </is>
      </c>
    </row>
    <row r="23" ht="32" customHeight="1">
      <c r="B23" s="5" t="inlineStr">
        <is>
          <t>A second outlet</t>
        </is>
      </c>
      <c r="C23" s="4" t="inlineStr">
        <is>
          <t>The model is one restaurant. A second outlet needs its own sheet, its own ramp and its own rent.</t>
        </is>
      </c>
    </row>
    <row r="24" ht="61" customHeight="1">
      <c r="B24" s="5" t="inlineStr">
        <is>
          <t>Compute the tax you will actually pay</t>
        </is>
      </c>
      <c r="C24" s="4" t="inlineStr">
        <is>
          <t>Tax here is charged on book profit, with straight-line depreciation. The Income-tax Act allows depreciation on a written-down-value basis at its own rates, so your real liability will differ. This is the normal basis for a lender pack, not a substitute for your accountant's computation.</t>
        </is>
      </c>
    </row>
    <row r="25" ht="32" customHeight="1">
      <c r="B25" s="5" t="inlineStr">
        <is>
          <t>Your GST returns</t>
        </is>
      </c>
      <c r="C25" s="4" t="inlineStr">
        <is>
          <t>Revenue here is net of GST. What you owe the department each month is a separate calculation.</t>
        </is>
      </c>
    </row>
    <row r="26" ht="46.5" customHeight="1">
      <c r="B26" s="5" t="inlineStr">
        <is>
          <t>Guarantee the numbers</t>
        </is>
      </c>
      <c r="C26" s="4" t="inlineStr">
        <is>
          <t>A projection is an argument about the future, and every line is an assumption you should be able to defend. Print the Assumptions sheet alongside the summary.</t>
        </is>
      </c>
    </row>
    <row r="27"/>
    <row r="28"/>
    <row r="29">
      <c r="B29" s="11" t="inlineStr">
        <is>
          <t>Powered by Petpooja POSS | getposs@petpooja.com | +91-9104369797 | www.petpooja.com</t>
        </is>
      </c>
    </row>
  </sheetData>
  <sheetProtection selectLockedCells="0" selectUnlockedCells="0" sheet="1" objects="0" insertRows="1" insertHyperlinks="1" autoFilter="1" scenarios="0" formatColumns="1" deleteColumns="1" insertColumns="1" pivotTables="1" deleteRows="1" formatCells="0" formatRows="1" sort="1" password="89B7"/>
  <mergeCells count="2">
    <mergeCell ref="B6:C6"/>
    <mergeCell ref="B29:C29"/>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2026-07-28T14:25:25Z</dcterms:created>
  <dcterms:modified xmlns:dcterms="http://purl.org/dc/terms/" xmlns:xsi="http://www.w3.org/2001/XMLSchema-instance" xsi:type="dcterms:W3CDTF">2026-07-28T14:25:25Z</dcterms:modified>
</cp:coreProperties>
</file>