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Pizzeria Profile" sheetId="2" state="visible" r:id="rId2"/>
    <sheet xmlns:r="http://schemas.openxmlformats.org/officeDocument/2006/relationships" name="Equipment List" sheetId="3" state="visible" r:id="rId3"/>
    <sheet xmlns:r="http://schemas.openxmlformats.org/officeDocument/2006/relationships" name="Before You Buy" sheetId="4" state="visible" r:id="rId4"/>
    <sheet xmlns:r="http://schemas.openxmlformats.org/officeDocument/2006/relationships" name="Budget Summary" sheetId="5" state="visible" r:id="rId5"/>
    <sheet xmlns:r="http://schemas.openxmlformats.org/officeDocument/2006/relationships" name="Lists" sheetId="6" state="hidden" r:id="rId6"/>
  </sheets>
  <definedNames>
    <definedName name="_xlnm.Print_Area" localSheetId="0">'Instructions'!$A$1:$D$38</definedName>
    <definedName name="_xlnm.Print_Area" localSheetId="1">'Pizzeria Profile'!$A$1:$E$36</definedName>
    <definedName name="_xlnm.Print_Titles" localSheetId="2">'Equipment List'!$5:$5</definedName>
    <definedName name="_xlnm.Print_Area" localSheetId="2">'Equipment List'!$A$1:$J$79</definedName>
    <definedName name="_xlnm.Print_Area" localSheetId="3">'Before You Buy'!$A$1:$E$44</definedName>
    <definedName name="_xlnm.Print_Area" localSheetId="4">'Budget Summary'!$A$1:$H$32</definedName>
  </definedNames>
  <calcPr calcId="124519" fullCalcOnLoad="1"/>
</workbook>
</file>

<file path=xl/styles.xml><?xml version="1.0" encoding="utf-8"?>
<styleSheet xmlns="http://schemas.openxmlformats.org/spreadsheetml/2006/main">
  <numFmts count="2">
    <numFmt numFmtId="164" formatCode="[&gt;=100000]##\,##\,##0;#,##0"/>
    <numFmt numFmtId="165" formatCode="[&gt;=10000000]&quot;₹&quot;##\,##\,##\,##0;[&gt;=100000]&quot;₹&quot;##\,##\,##0;&quot;₹&quot;#,##0"/>
  </numFmts>
  <fonts count="11">
    <font>
      <name val="Calibri"/>
      <family val="2"/>
      <color theme="1"/>
      <sz val="11"/>
      <scheme val="minor"/>
    </font>
    <font>
      <name val="Calibri"/>
      <b val="1"/>
      <color rgb="00FFFFFF"/>
      <sz val="11"/>
    </font>
    <font>
      <name val="Calibri"/>
      <color rgb="001F2937"/>
      <sz val="10"/>
    </font>
    <font>
      <name val="Calibri"/>
      <b val="1"/>
      <color rgb="00FFFFFF"/>
      <sz val="14"/>
    </font>
    <font>
      <name val="Calibri"/>
      <i val="1"/>
      <color rgb="006B7280"/>
      <sz val="9"/>
    </font>
    <font>
      <name val="Calibri"/>
      <b val="1"/>
      <color rgb="00C52031"/>
      <sz val="12"/>
    </font>
    <font>
      <name val="Calibri"/>
      <b val="1"/>
      <color rgb="001F2937"/>
      <sz val="10"/>
    </font>
    <font>
      <name val="Calibri"/>
      <b val="1"/>
      <color rgb="00C52031"/>
      <sz val="11"/>
    </font>
    <font>
      <name val="Calibri"/>
      <b val="1"/>
      <color rgb="00FFFFFF"/>
      <sz val="13"/>
    </font>
    <font>
      <name val="Calibri"/>
      <color rgb="001F2937"/>
      <sz val="9"/>
    </font>
    <font>
      <name val="Calibri"/>
      <b val="1"/>
      <color rgb="001F2937"/>
      <sz val="11"/>
    </font>
  </fonts>
  <fills count="9">
    <fill>
      <patternFill/>
    </fill>
    <fill>
      <patternFill patternType="gray125"/>
    </fill>
    <fill>
      <patternFill patternType="solid">
        <fgColor rgb="00C52031"/>
        <bgColor rgb="00C52031"/>
      </patternFill>
    </fill>
    <fill>
      <patternFill patternType="solid">
        <fgColor rgb="00F9FAFB"/>
        <bgColor rgb="00F9FAFB"/>
      </patternFill>
    </fill>
    <fill>
      <patternFill patternType="solid">
        <fgColor rgb="00FFFDF5"/>
        <bgColor rgb="00FFFDF5"/>
      </patternFill>
    </fill>
    <fill>
      <patternFill patternType="solid">
        <fgColor rgb="00F3F4F6"/>
        <bgColor rgb="00F3F4F6"/>
      </patternFill>
    </fill>
    <fill>
      <patternFill patternType="solid">
        <fgColor rgb="00FFFBEB"/>
        <bgColor rgb="00FFFBEB"/>
      </patternFill>
    </fill>
    <fill>
      <patternFill patternType="solid">
        <fgColor rgb="00FEF2F2"/>
        <bgColor rgb="00FEF2F2"/>
      </patternFill>
    </fill>
    <fill>
      <patternFill patternType="solid">
        <fgColor rgb="00ECFDF5"/>
        <bgColor rgb="00ECFDF5"/>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57">
    <xf numFmtId="0" fontId="0" fillId="0" borderId="0" pivotButton="0" quotePrefix="0" xfId="0"/>
    <xf numFmtId="0" fontId="3" fillId="2" borderId="0" applyAlignment="1" pivotButton="0" quotePrefix="0" xfId="0">
      <alignment horizontal="left" vertical="center" wrapText="1"/>
    </xf>
    <xf numFmtId="0" fontId="0" fillId="2" borderId="0" pivotButton="0" quotePrefix="0" xfId="0"/>
    <xf numFmtId="0" fontId="4" fillId="0" borderId="0" applyAlignment="1" pivotButton="0" quotePrefix="0" xfId="0">
      <alignment horizontal="left" vertical="center" wrapText="1"/>
    </xf>
    <xf numFmtId="0" fontId="5" fillId="0" borderId="0" applyAlignment="1" pivotButton="0" quotePrefix="0" xfId="0">
      <alignment horizontal="left" vertical="center" wrapText="1"/>
    </xf>
    <xf numFmtId="0" fontId="2" fillId="0" borderId="0" applyAlignment="1" pivotButton="0" quotePrefix="0" xfId="0">
      <alignment horizontal="left" vertical="center" wrapText="1"/>
    </xf>
    <xf numFmtId="0" fontId="1" fillId="2" borderId="1" applyAlignment="1" pivotButton="0" quotePrefix="0" xfId="0">
      <alignment horizontal="left" vertical="center" wrapText="1"/>
    </xf>
    <xf numFmtId="0" fontId="6" fillId="3" borderId="1" applyAlignment="1" pivotButton="0" quotePrefix="0" xfId="0">
      <alignment horizontal="left" vertical="top" wrapText="1"/>
    </xf>
    <xf numFmtId="0" fontId="2" fillId="0" borderId="1" applyAlignment="1" pivotButton="0" quotePrefix="0" xfId="0">
      <alignment horizontal="left" vertical="top" wrapText="1"/>
    </xf>
    <xf numFmtId="0" fontId="6" fillId="4" borderId="1" applyAlignment="1" pivotButton="0" quotePrefix="0" xfId="0">
      <alignment horizontal="left" vertical="center" wrapText="1"/>
    </xf>
    <xf numFmtId="0" fontId="6" fillId="5" borderId="1" applyAlignment="1" pivotButton="0" quotePrefix="0" xfId="0">
      <alignment horizontal="left" vertical="center" wrapText="1"/>
    </xf>
    <xf numFmtId="0" fontId="6" fillId="6" borderId="1" applyAlignment="1" pivotButton="0" quotePrefix="0" xfId="0">
      <alignment horizontal="left" vertical="center" wrapText="1"/>
    </xf>
    <xf numFmtId="0" fontId="1" fillId="2" borderId="0" applyAlignment="1" pivotButton="0" quotePrefix="0" xfId="0">
      <alignment horizontal="left" vertical="center" wrapText="1"/>
    </xf>
    <xf numFmtId="0" fontId="2" fillId="3" borderId="1" applyAlignment="1" pivotButton="0" quotePrefix="0" xfId="0">
      <alignment horizontal="left" vertical="top" wrapText="1"/>
    </xf>
    <xf numFmtId="0" fontId="7" fillId="7" borderId="0" applyAlignment="1" pivotButton="0" quotePrefix="0" xfId="0">
      <alignment horizontal="left" vertical="center" wrapText="1"/>
    </xf>
    <xf numFmtId="0" fontId="0" fillId="7" borderId="0" pivotButton="0" quotePrefix="0" xfId="0"/>
    <xf numFmtId="0" fontId="2" fillId="6" borderId="1" applyAlignment="1" pivotButton="0" quotePrefix="0" xfId="0">
      <alignment horizontal="left" vertical="top" wrapText="1"/>
    </xf>
    <xf numFmtId="0" fontId="4" fillId="0" borderId="0" applyAlignment="1" pivotButton="0" quotePrefix="0" xfId="0">
      <alignment horizontal="left" vertical="top" wrapText="1"/>
    </xf>
    <xf numFmtId="0" fontId="4" fillId="0" borderId="0" applyAlignment="1" pivotButton="0" quotePrefix="0" xfId="0">
      <alignment horizontal="center" vertical="center" wrapText="1"/>
    </xf>
    <xf numFmtId="0" fontId="8" fillId="2" borderId="0" applyAlignment="1" pivotButton="0" quotePrefix="0" xfId="0">
      <alignment horizontal="left" vertical="center" wrapText="1"/>
    </xf>
    <xf numFmtId="0" fontId="1" fillId="2" borderId="1" applyAlignment="1" pivotButton="0" quotePrefix="0" xfId="0">
      <alignment horizontal="center" vertical="center" wrapText="1"/>
    </xf>
    <xf numFmtId="164" fontId="2" fillId="4" borderId="1" applyAlignment="1" applyProtection="1" pivotButton="0" quotePrefix="0" xfId="0">
      <alignment horizontal="center" vertical="center" wrapText="1"/>
      <protection locked="0" hidden="0"/>
    </xf>
    <xf numFmtId="0" fontId="9" fillId="0" borderId="1" applyAlignment="1" pivotButton="0" quotePrefix="0" xfId="0">
      <alignment horizontal="left" vertical="top" wrapText="1"/>
    </xf>
    <xf numFmtId="9" fontId="2" fillId="4" borderId="1" applyAlignment="1" applyProtection="1" pivotButton="0" quotePrefix="0" xfId="0">
      <alignment horizontal="center" vertical="center" wrapText="1"/>
      <protection locked="0" hidden="0"/>
    </xf>
    <xf numFmtId="0" fontId="2" fillId="4" borderId="1" applyAlignment="1" applyProtection="1" pivotButton="0" quotePrefix="0" xfId="0">
      <alignment horizontal="center" vertical="center" wrapText="1"/>
      <protection locked="0" hidden="0"/>
    </xf>
    <xf numFmtId="0" fontId="10" fillId="5" borderId="0" applyAlignment="1" pivotButton="0" quotePrefix="0" xfId="0">
      <alignment horizontal="left" vertical="center" wrapText="1"/>
    </xf>
    <xf numFmtId="0" fontId="0" fillId="5" borderId="0" pivotButton="0" quotePrefix="0" xfId="0"/>
    <xf numFmtId="0" fontId="6" fillId="5" borderId="1" applyAlignment="1" pivotButton="0" quotePrefix="0" xfId="0">
      <alignment horizontal="left" vertical="top" wrapText="1"/>
    </xf>
    <xf numFmtId="164" fontId="7" fillId="5" borderId="1" applyAlignment="1" pivotButton="0" quotePrefix="0" xfId="0">
      <alignment horizontal="center" vertical="center" wrapText="1"/>
    </xf>
    <xf numFmtId="0" fontId="9" fillId="3" borderId="1" applyAlignment="1" pivotButton="0" quotePrefix="0" xfId="0">
      <alignment horizontal="left" vertical="top" wrapText="1"/>
    </xf>
    <xf numFmtId="0" fontId="6" fillId="0" borderId="1" applyAlignment="1" pivotButton="0" quotePrefix="0" xfId="0">
      <alignment horizontal="left" vertical="top" wrapText="1"/>
    </xf>
    <xf numFmtId="0" fontId="9" fillId="8" borderId="1" applyAlignment="1" pivotButton="0" quotePrefix="0" xfId="0">
      <alignment horizontal="center" vertical="center" wrapText="1"/>
    </xf>
    <xf numFmtId="164" fontId="2" fillId="5" borderId="1" applyAlignment="1" pivotButton="0" quotePrefix="0" xfId="0">
      <alignment horizontal="center" vertical="center" wrapText="1"/>
    </xf>
    <xf numFmtId="165" fontId="2" fillId="4" borderId="1" applyAlignment="1" applyProtection="1" pivotButton="0" quotePrefix="0" xfId="0">
      <alignment horizontal="right" vertical="center"/>
      <protection locked="0" hidden="0"/>
    </xf>
    <xf numFmtId="165" fontId="2" fillId="5" borderId="1" applyAlignment="1" pivotButton="0" quotePrefix="0" xfId="0">
      <alignment horizontal="right" vertical="center"/>
    </xf>
    <xf numFmtId="165" fontId="10" fillId="5" borderId="1" applyAlignment="1" pivotButton="0" quotePrefix="0" xfId="0">
      <alignment horizontal="right" vertical="center"/>
    </xf>
    <xf numFmtId="0" fontId="9" fillId="6" borderId="1" applyAlignment="1" pivotButton="0" quotePrefix="0" xfId="0">
      <alignment horizontal="left" vertical="top" wrapText="1"/>
    </xf>
    <xf numFmtId="0" fontId="9" fillId="0" borderId="1" applyAlignment="1" pivotButton="0" quotePrefix="0" xfId="0">
      <alignment horizontal="center" vertical="center" wrapText="1"/>
    </xf>
    <xf numFmtId="0" fontId="6" fillId="4" borderId="1" applyAlignment="1" applyProtection="1" pivotButton="0" quotePrefix="0" xfId="0">
      <alignment horizontal="left" vertical="top" wrapText="1"/>
      <protection locked="0" hidden="0"/>
    </xf>
    <xf numFmtId="0" fontId="9" fillId="4" borderId="1" applyAlignment="1" applyProtection="1" pivotButton="0" quotePrefix="0" xfId="0">
      <alignment horizontal="left" vertical="top" wrapText="1"/>
      <protection locked="0" hidden="0"/>
    </xf>
    <xf numFmtId="0" fontId="9" fillId="4" borderId="1" applyAlignment="1" applyProtection="1" pivotButton="0" quotePrefix="0" xfId="0">
      <alignment horizontal="center" vertical="center" wrapText="1"/>
      <protection locked="0" hidden="0"/>
    </xf>
    <xf numFmtId="0" fontId="4" fillId="0" borderId="1" applyAlignment="1" pivotButton="0" quotePrefix="0" xfId="0">
      <alignment horizontal="left" vertical="top" wrapText="1"/>
    </xf>
    <xf numFmtId="0" fontId="10" fillId="5" borderId="1" applyAlignment="1" pivotButton="0" quotePrefix="0" xfId="0">
      <alignment horizontal="left" vertical="center" wrapText="1"/>
    </xf>
    <xf numFmtId="0" fontId="10" fillId="5" borderId="1" applyAlignment="1" pivotButton="0" quotePrefix="0" xfId="0">
      <alignment horizontal="center" vertical="center" wrapText="1"/>
    </xf>
    <xf numFmtId="165" fontId="7" fillId="5" borderId="1" applyAlignment="1" pivotButton="0" quotePrefix="0" xfId="0">
      <alignment horizontal="right" vertical="center"/>
    </xf>
    <xf numFmtId="0" fontId="9" fillId="5" borderId="1" applyAlignment="1" pivotButton="0" quotePrefix="0" xfId="0">
      <alignment horizontal="left" vertical="center" wrapText="1"/>
    </xf>
    <xf numFmtId="0" fontId="2" fillId="4" borderId="1" applyAlignment="1" applyProtection="1" pivotButton="0" quotePrefix="0" xfId="0">
      <alignment horizontal="left" vertical="top" wrapText="1"/>
      <protection locked="0" hidden="0"/>
    </xf>
    <xf numFmtId="0" fontId="6" fillId="3" borderId="1" applyAlignment="1" pivotButton="0" quotePrefix="0" xfId="0">
      <alignment horizontal="left" vertical="center" wrapText="1"/>
    </xf>
    <xf numFmtId="165" fontId="2" fillId="0" borderId="1" applyAlignment="1" pivotButton="0" quotePrefix="0" xfId="0">
      <alignment horizontal="right" vertical="center"/>
    </xf>
    <xf numFmtId="9" fontId="2" fillId="0" borderId="1" applyAlignment="1" pivotButton="0" quotePrefix="0" xfId="0">
      <alignment horizontal="center" vertical="center" wrapText="1"/>
    </xf>
    <xf numFmtId="1" fontId="2" fillId="0" borderId="1" applyAlignment="1" pivotButton="0" quotePrefix="0" xfId="0">
      <alignment horizontal="center" vertical="center" wrapText="1"/>
    </xf>
    <xf numFmtId="0" fontId="7" fillId="5" borderId="1" applyAlignment="1" pivotButton="0" quotePrefix="0" xfId="0">
      <alignment horizontal="center" vertical="center" wrapText="1"/>
    </xf>
    <xf numFmtId="1" fontId="7" fillId="5" borderId="1" applyAlignment="1" pivotButton="0" quotePrefix="0" xfId="0">
      <alignment horizontal="center" vertical="center" wrapText="1"/>
    </xf>
    <xf numFmtId="165" fontId="7" fillId="5" borderId="1" applyAlignment="1" pivotButton="0" quotePrefix="0" xfId="0">
      <alignment horizontal="center" vertical="center" wrapText="1"/>
    </xf>
    <xf numFmtId="0" fontId="0" fillId="5" borderId="1" pivotButton="0" quotePrefix="0" xfId="0"/>
    <xf numFmtId="9" fontId="7" fillId="5" borderId="1" applyAlignment="1" pivotButton="0" quotePrefix="0" xfId="0">
      <alignment horizontal="center" vertical="center" wrapText="1"/>
    </xf>
    <xf numFmtId="0" fontId="2"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8"/>
  <sheetViews>
    <sheetView showGridLines="0" workbookViewId="0">
      <selection activeCell="A1" sqref="A1"/>
    </sheetView>
  </sheetViews>
  <sheetFormatPr baseColWidth="8" defaultRowHeight="15"/>
  <cols>
    <col width="3" customWidth="1" min="1" max="1"/>
    <col width="52" customWidth="1" min="2" max="2"/>
    <col width="46" customWidth="1" min="3" max="3"/>
    <col width="3" customWidth="1" min="4" max="4"/>
  </cols>
  <sheetData>
    <row r="1"/>
    <row r="2" ht="24" customHeight="1">
      <c r="B2" s="1" t="inlineStr">
        <is>
          <t>Pizzeria Equipment Planner</t>
        </is>
      </c>
      <c r="C2" s="2" t="n"/>
    </row>
    <row r="3" ht="40" customHeight="1">
      <c r="B3" s="3" t="inlineStr">
        <is>
          <t>The oven is the only line on this list whose capacity is fixed on the day you buy it. Everything else can be added to later. Tell this file your pizzas, the hour they land in and your dough, and it sizes the oven first and the rest around it.</t>
        </is>
      </c>
    </row>
    <row r="4"/>
    <row r="5">
      <c r="B5" s="4" t="inlineStr">
        <is>
          <t>What this file does</t>
        </is>
      </c>
    </row>
    <row r="6">
      <c r="B6" s="5" t="inlineStr">
        <is>
          <t>1. You describe the pizzeria once on the Pizzeria Profile sheet: pizzas, peak hour, oven, dough.</t>
        </is>
      </c>
    </row>
    <row r="7">
      <c r="B7" s="5" t="inlineStr">
        <is>
          <t>2. The Equipment List works out the decks, the mixer, the boxes and the shelves it takes.</t>
        </is>
      </c>
    </row>
    <row r="8">
      <c r="B8" s="5" t="inlineStr">
        <is>
          <t>3. You enter up to three supplier quotes per line. The sheet takes the lowest.</t>
        </is>
      </c>
    </row>
    <row r="9">
      <c r="B9" s="5" t="inlineStr">
        <is>
          <t>4. The Budget Summary totals it by group, and splits opening-day spend from what can wait.</t>
        </is>
      </c>
    </row>
    <row r="10"/>
    <row r="11">
      <c r="B11" s="4" t="inlineStr">
        <is>
          <t>The sheets</t>
        </is>
      </c>
    </row>
    <row r="12">
      <c r="B12" s="6" t="inlineStr">
        <is>
          <t>Sheet</t>
        </is>
      </c>
      <c r="C12" s="6" t="inlineStr">
        <is>
          <t>What you do on it</t>
        </is>
      </c>
    </row>
    <row r="13" ht="40" customHeight="1">
      <c r="B13" s="7" t="inlineStr">
        <is>
          <t>1. Instructions</t>
        </is>
      </c>
      <c r="C13" s="8" t="inlineStr">
        <is>
          <t>This page. Read the fuel question at the bottom before you order a wood or brick oven, not after.</t>
        </is>
      </c>
    </row>
    <row r="14" ht="66" customHeight="1">
      <c r="B14" s="7" t="inlineStr">
        <is>
          <t>2. Pizzeria Profile</t>
        </is>
      </c>
      <c r="C14" s="8" t="inlineStr">
        <is>
          <t>Your inputs. Pizzas on your busiest day, the share of it in your busiest hour, oven type, dough balls a day, whether you deliver and how many seats. Cream cells are yours to change.</t>
        </is>
      </c>
    </row>
    <row r="15" ht="66" customHeight="1">
      <c r="B15" s="7" t="inlineStr">
        <is>
          <t>3. Equipment List</t>
        </is>
      </c>
      <c r="C15" s="8" t="inlineStr">
        <is>
          <t>Every item, in ten groups. Suggested quantity is calculated; your quantity and your three quotes are yours to enter. Six blank rows at the bottom take anything the list does not carry.</t>
        </is>
      </c>
    </row>
    <row r="16" ht="66" customHeight="1">
      <c r="B16" s="7" t="inlineStr">
        <is>
          <t>4. Before You Buy</t>
        </is>
      </c>
      <c r="C16" s="8" t="inlineStr">
        <is>
          <t>The fuel question in full, why the oven is the one number you cannot change later, the plastics you may not buy at all, the questions to put to a supplier, and the order things have to arrive in.</t>
        </is>
      </c>
    </row>
    <row r="17" ht="66" customHeight="1">
      <c r="B17" s="7" t="inlineStr">
        <is>
          <t>5. Budget Summary</t>
        </is>
      </c>
      <c r="C17" s="8" t="inlineStr">
        <is>
          <t>Totals by group, day one against later, what share the oven alone takes, what the dough chain takes, what the delivery side takes, what you still have not priced, and your cost per pizza of peak capacity.</t>
        </is>
      </c>
    </row>
    <row r="18"/>
    <row r="19">
      <c r="B19" s="4" t="inlineStr">
        <is>
          <t>How to read the colours</t>
        </is>
      </c>
    </row>
    <row r="20" ht="27" customHeight="1">
      <c r="B20" s="9" t="inlineStr">
        <is>
          <t>Cream cells</t>
        </is>
      </c>
      <c r="C20" s="8" t="inlineStr">
        <is>
          <t>You type in these. Everything else is calculated or fixed.</t>
        </is>
      </c>
    </row>
    <row r="21" ht="27" customHeight="1">
      <c r="B21" s="10" t="inlineStr">
        <is>
          <t>Grey cells</t>
        </is>
      </c>
      <c r="C21" s="8" t="inlineStr">
        <is>
          <t>Calculated. Changing one breaks the arithmetic below it.</t>
        </is>
      </c>
    </row>
    <row r="22" ht="27" customHeight="1">
      <c r="B22" s="11" t="inlineStr">
        <is>
          <t>Amber rows</t>
        </is>
      </c>
      <c r="C22" s="8" t="inlineStr">
        <is>
          <t>Something needs checking before you pay, usually a legal one.</t>
        </is>
      </c>
    </row>
    <row r="23"/>
    <row r="24">
      <c r="B24" s="12" t="inlineStr">
        <is>
          <t>About the prices, and about the oven</t>
        </is>
      </c>
      <c r="C24" s="2" t="n"/>
    </row>
    <row r="25" ht="40" customHeight="1">
      <c r="B25" s="13" t="inlineStr">
        <is>
          <t>This file prints no price band. Our own Restaurant Startup Cost Estimator already publishes one for a restaurant, and it tells you to replace it with your own quotes. This is the list to get those quotes against: three columns a line, lowest taken, totalled by group.</t>
        </is>
      </c>
    </row>
    <row r="26" ht="53" customHeight="1">
      <c r="B26" s="13" t="inlineStr">
        <is>
          <t>Read the fuel section on Before You Buy BEFORE you order a wood or brick oven, not after. In the National Capital Region the fuel you can burn in it is already restricted, and an oven is not a returnable purchase. Our restaurant legal compliance checklist carries the wider licence list that sits around this one.</t>
        </is>
      </c>
    </row>
    <row r="27"/>
    <row r="28">
      <c r="B28" s="14" t="inlineStr">
        <is>
          <t>Before you order the oven: the fuel question</t>
        </is>
      </c>
      <c r="C28" s="15" t="n"/>
    </row>
    <row r="29">
      <c r="B29" s="6" t="inlineStr">
        <is>
          <t>Point</t>
        </is>
      </c>
      <c r="C29" s="6" t="inlineStr">
        <is>
          <t>What it means for you</t>
        </is>
      </c>
    </row>
    <row r="30" ht="80" customHeight="1">
      <c r="B30" s="7" t="inlineStr">
        <is>
          <t>If you are in NCR, wood and coal are already out</t>
        </is>
      </c>
      <c r="C30" s="16" t="inlineStr">
        <is>
          <t>The CAQM Graded Response Action Plan Schedule, Stage I item 23, directs authorities to strictly enforce the EXTANT ban on coal and firewood as fuel in tandoors in hotels, restaurants and open eateries. The ban already exists; Stage I is enforcing it.</t>
        </is>
      </c>
    </row>
    <row r="31" ht="53" customHeight="1">
      <c r="B31" s="7" t="inlineStr">
        <is>
          <t>Stage I is the lowest stage, not an emergency</t>
        </is>
      </c>
      <c r="C31" s="16" t="inlineStr">
        <is>
          <t>It applies at 'Poor' air quality, Delhi AQI 201 to 300. That is ordinary winter air in NCR, so treat it as the normal condition of trading there.</t>
        </is>
      </c>
    </row>
    <row r="32" ht="93" customHeight="1">
      <c r="B32" s="7" t="inlineStr">
        <is>
          <t>Item 24 is the one that reaches an OVEN</t>
        </is>
      </c>
      <c r="C32" s="16" t="inlineStr">
        <is>
          <t>Item 23 names tandoors. Item 24 of the same Stage is broader: hotels, restaurants and open eateries to use only electricity, gas-based or clean-fuel appliances. An oven is an appliance, so that is the limb to read. A gas oven in a brick shell is the usual way to keep the look without the fuel.</t>
        </is>
      </c>
    </row>
    <row r="33" ht="66" customHeight="1">
      <c r="B33" s="7" t="inlineStr">
        <is>
          <t>Outside NCR, ask your state board before you order</t>
        </is>
      </c>
      <c r="C33" s="16" t="inlineStr">
        <is>
          <t>There the instrument is Consent to Operate under the Air (Prevention and Control of Pollution) Act, 1981. Full detail is on the Before You Buy sheet. An oven is not a returnable purchase, so get the answer first.</t>
        </is>
      </c>
    </row>
    <row r="34"/>
    <row r="35"/>
    <row r="36" ht="53" customHeight="1">
      <c r="B36" s="17" t="inlineStr">
        <is>
          <t>This workbook is a planning aid, not legal or tax advice. A pizzeria needs its FSSAI licence or registration for the premises it cooks in, plus its local trade and fire clearances, and a solid-fuel oven raises a pollution control question on top. Your licensing authority and your state pollution control board are the ones to confirm what applies to yours.</t>
        </is>
      </c>
    </row>
    <row r="37"/>
    <row r="38">
      <c r="B38" s="18"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12">
    <mergeCell ref="B6:C6"/>
    <mergeCell ref="B24:C24"/>
    <mergeCell ref="B2:C2"/>
    <mergeCell ref="B38:C38"/>
    <mergeCell ref="B7:C7"/>
    <mergeCell ref="B25:C25"/>
    <mergeCell ref="B3:C3"/>
    <mergeCell ref="B28:C28"/>
    <mergeCell ref="B36:C36"/>
    <mergeCell ref="B26:C26"/>
    <mergeCell ref="B9:C9"/>
    <mergeCell ref="B8:C8"/>
  </mergeCells>
  <printOptions horizontalCentered="1"/>
  <pageMargins left="0.3" right="0.3" top="0.4" bottom="0.4"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36"/>
  <sheetViews>
    <sheetView showGridLines="0" workbookViewId="0">
      <pane ySplit="5" topLeftCell="A6" activePane="bottomLeft" state="frozen"/>
      <selection pane="bottomLeft" activeCell="A1" sqref="A1"/>
    </sheetView>
  </sheetViews>
  <sheetFormatPr baseColWidth="8" defaultRowHeight="15"/>
  <cols>
    <col width="3" customWidth="1" min="1" max="1"/>
    <col width="44" customWidth="1" min="2" max="2"/>
    <col width="16" customWidth="1" min="3" max="3"/>
    <col width="52" customWidth="1" min="4" max="4"/>
    <col width="3" customWidth="1" min="5" max="5"/>
  </cols>
  <sheetData>
    <row r="1"/>
    <row r="2" ht="22" customHeight="1">
      <c r="B2" s="19" t="inlineStr">
        <is>
          <t>Your pizzeria</t>
        </is>
      </c>
      <c r="C2" s="2" t="n"/>
      <c r="D2" s="2" t="n"/>
    </row>
    <row r="3">
      <c r="B3" s="3" t="inlineStr">
        <is>
          <t>Fill the cream cells. Everything on the Equipment List follows from these.</t>
        </is>
      </c>
    </row>
    <row r="4"/>
    <row r="5">
      <c r="B5" s="6" t="inlineStr">
        <is>
          <t>Input</t>
        </is>
      </c>
      <c r="C5" s="20" t="inlineStr">
        <is>
          <t>Your answer</t>
        </is>
      </c>
      <c r="D5" s="6" t="inlineStr">
        <is>
          <t>Why it matters</t>
        </is>
      </c>
    </row>
    <row r="6" ht="40" customHeight="1">
      <c r="B6" s="7" t="inlineStr">
        <is>
          <t>Pizzas on your busiest day</t>
        </is>
      </c>
      <c r="C6" s="21" t="n">
        <v>250</v>
      </c>
      <c r="D6" s="22" t="inlineStr">
        <is>
          <t>Pizzas, not covers and not orders. The oven is sized on this and on the hour they land in, and nothing else on the list matters as much.</t>
        </is>
      </c>
    </row>
    <row r="7" ht="53" customHeight="1">
      <c r="B7" s="7" t="inlineStr">
        <is>
          <t>Share of that day in your busiest hour</t>
        </is>
      </c>
      <c r="C7" s="23" t="n">
        <v>0.25</v>
      </c>
      <c r="D7" s="22" t="inlineStr">
        <is>
          <t>Pizza peaks harder than most formats, because dinner and delivery land together. A quarter of the day inside one hour is the hour the oven has to survive.</t>
        </is>
      </c>
    </row>
    <row r="8" ht="53" customHeight="1">
      <c r="B8" s="7" t="inlineStr">
        <is>
          <t>Oven type</t>
        </is>
      </c>
      <c r="C8" s="24" t="inlineStr">
        <is>
          <t>Deck</t>
        </is>
      </c>
      <c r="D8" s="22" t="inlineStr">
        <is>
          <t>A deck bakes on stone and holds heat. A conveyor runs at a fixed speed and needs no skill. Wood or brick is the one that may not be legal where you are: see Before You Buy.</t>
        </is>
      </c>
    </row>
    <row r="9" ht="53" customHeight="1">
      <c r="B9" s="7" t="inlineStr">
        <is>
          <t>Dough balls a day</t>
        </is>
      </c>
      <c r="C9" s="21" t="n">
        <v>300</v>
      </c>
      <c r="D9" s="22" t="inlineStr">
        <is>
          <t>Usually a little above the pizza count, because of proving losses and staff meals. It sizes the mixer, the boxes and the cold retard space, which is the part nobody plans.</t>
        </is>
      </c>
    </row>
    <row r="10" ht="40" customHeight="1">
      <c r="B10" s="7" t="inlineStr">
        <is>
          <t>You deliver</t>
        </is>
      </c>
      <c r="C10" s="24" t="inlineStr">
        <is>
          <t>Yes</t>
        </is>
      </c>
      <c r="D10" s="22" t="inlineStr">
        <is>
          <t>The lead post does not mention delivery at all. It adds boxes, bags, a hot holding point and a dispatch shelf, and in India most pizzerias deliver.</t>
        </is>
      </c>
    </row>
    <row r="11" ht="27" customHeight="1">
      <c r="B11" s="7" t="inlineStr">
        <is>
          <t>Seats</t>
        </is>
      </c>
      <c r="C11" s="21" t="n">
        <v>40</v>
      </c>
      <c r="D11" s="22" t="inlineStr">
        <is>
          <t>Zero for delivery only. Seats bring crockery, furniture and a front of house.</t>
        </is>
      </c>
    </row>
    <row r="12"/>
    <row r="13">
      <c r="B13" s="25" t="inlineStr">
        <is>
          <t>Assumptions you can change</t>
        </is>
      </c>
      <c r="C13" s="26" t="n"/>
      <c r="D13" s="26" t="n"/>
    </row>
    <row r="14" ht="27" customHeight="1">
      <c r="B14" s="17" t="inlineStr">
        <is>
          <t>Starting points, not benchmarks. Every one of them is visible so you can argue with it, and every quantity on the list moves when you do.</t>
        </is>
      </c>
    </row>
    <row r="15" ht="40" customHeight="1">
      <c r="B15" s="7" t="inlineStr">
        <is>
          <t>Bake time (minutes)</t>
        </is>
      </c>
      <c r="C15" s="21" t="n">
        <v>8</v>
      </c>
      <c r="D15" s="22" t="inlineStr">
        <is>
          <t>Door to door on a deck at working temperature. A conveyor is usually faster and a wood oven much faster, so change this when you change the oven type.</t>
        </is>
      </c>
    </row>
    <row r="16" ht="40" customHeight="1">
      <c r="B16" s="7" t="inlineStr">
        <is>
          <t>Pizzas per deck load</t>
        </is>
      </c>
      <c r="C16" s="21" t="n">
        <v>4</v>
      </c>
      <c r="D16" s="22" t="inlineStr">
        <is>
          <t>How many of YOUR size fit the stone at once. Ask the supplier in your pizza size, not in inches of deck.</t>
        </is>
      </c>
    </row>
    <row r="17" ht="53" customHeight="1">
      <c r="B17" s="7" t="inlineStr">
        <is>
          <t>Dough ball weight (grams)</t>
        </is>
      </c>
      <c r="C17" s="21" t="n">
        <v>250</v>
      </c>
      <c r="D17" s="22" t="inlineStr">
        <is>
          <t>A Neapolitan ball is around 250 g; a New York style or a larger pizza can be 300 to 350. It sizes the mixer, so getting it wrong sizes the mixer wrong.</t>
        </is>
      </c>
    </row>
    <row r="18" ht="27" customHeight="1">
      <c r="B18" s="7" t="inlineStr">
        <is>
          <t>Mixer batch size (kg)</t>
        </is>
      </c>
      <c r="C18" s="21" t="n">
        <v>10</v>
      </c>
      <c r="D18" s="22" t="inlineStr">
        <is>
          <t>How much dough you want to mix in one go. Smaller batches mean more of them in the same prep window.</t>
        </is>
      </c>
    </row>
    <row r="19" ht="27" customHeight="1">
      <c r="B19" s="7" t="inlineStr">
        <is>
          <t>Dough balls per box</t>
        </is>
      </c>
      <c r="C19" s="21" t="n">
        <v>16</v>
      </c>
      <c r="D19" s="22" t="inlineStr">
        <is>
          <t>What one box holds in a single layer. It decides how many boxes are in circulation.</t>
        </is>
      </c>
    </row>
    <row r="20" ht="27" customHeight="1">
      <c r="B20" s="7" t="inlineStr">
        <is>
          <t>Days of dough in retard</t>
        </is>
      </c>
      <c r="C20" s="21" t="n">
        <v>2</v>
      </c>
      <c r="D20" s="22" t="inlineStr">
        <is>
          <t>Cold proving buys flavour and buys you a buffer. It also takes fridge space nobody budgets for.</t>
        </is>
      </c>
    </row>
    <row r="21">
      <c r="B21" s="7" t="inlineStr">
        <is>
          <t>Boxes per retard shelf</t>
        </is>
      </c>
      <c r="C21" s="21" t="n">
        <v>6</v>
      </c>
      <c r="D21" s="22" t="inlineStr">
        <is>
          <t>Stacked boxes on one shelf of the retard fridge.</t>
        </is>
      </c>
    </row>
    <row r="22" ht="40" customHeight="1">
      <c r="B22" s="7" t="inlineStr">
        <is>
          <t>Days of packaging to stock</t>
        </is>
      </c>
      <c r="C22" s="21" t="n">
        <v>7</v>
      </c>
      <c r="D22" s="22" t="inlineStr">
        <is>
          <t>Opening stock, not a year. Packaging is the cheapest thing on the list and the only one that stops service outright when it runs out.</t>
        </is>
      </c>
    </row>
    <row r="23">
      <c r="B23" s="7" t="inlineStr">
        <is>
          <t>Spares and breakage buffer</t>
        </is>
      </c>
      <c r="C23" s="23" t="n">
        <v>0.1</v>
      </c>
      <c r="D23" s="22" t="inlineStr">
        <is>
          <t>Peels warp, boxes crush and screens get dropped.</t>
        </is>
      </c>
    </row>
    <row r="24"/>
    <row r="25">
      <c r="B25" s="12" t="inlineStr">
        <is>
          <t>What this works out to</t>
        </is>
      </c>
      <c r="C25" s="2" t="n"/>
      <c r="D25" s="2" t="n"/>
    </row>
    <row r="26">
      <c r="B26" s="6" t="inlineStr">
        <is>
          <t>Figure</t>
        </is>
      </c>
      <c r="C26" s="20" t="inlineStr">
        <is>
          <t>Value</t>
        </is>
      </c>
      <c r="D26" s="6" t="inlineStr">
        <is>
          <t>How it is worked out</t>
        </is>
      </c>
    </row>
    <row r="27" ht="40" customHeight="1">
      <c r="B27" s="27" t="inlineStr">
        <is>
          <t>Pizzas an hour at peak</t>
        </is>
      </c>
      <c r="C27" s="28">
        <f>ROUND(('Pizzeria Profile'!$C$6*'Pizzeria Profile'!$C$7),0)</f>
        <v/>
      </c>
      <c r="D27" s="22" t="inlineStr">
        <is>
          <t>Your busiest day against the share of it in one hour. The oven is sized on this, never on the daily total.</t>
        </is>
      </c>
    </row>
    <row r="28" ht="40" customHeight="1">
      <c r="B28" s="27" t="inlineStr">
        <is>
          <t>One deck puts through, an hour</t>
        </is>
      </c>
      <c r="C28" s="28">
        <f>ROUND(('Pizzeria Profile'!$C$16*60/MAX('Pizzeria Profile'!$C$15,1)),0)</f>
        <v/>
      </c>
      <c r="D28" s="22" t="inlineStr">
        <is>
          <t>Pizzas per deck load, times sixty over the bake time. Shorten the bake or fit more on the stone and you buy capacity without buying an oven.</t>
        </is>
      </c>
    </row>
    <row r="29" ht="53" customHeight="1">
      <c r="B29" s="27" t="inlineStr">
        <is>
          <t>Decks you need</t>
        </is>
      </c>
      <c r="C29" s="28">
        <f>MAX(1,ROUNDUP(('Pizzeria Profile'!$C$6*'Pizzeria Profile'!$C$7)/MAX(('Pizzeria Profile'!$C$16*60/MAX('Pizzeria Profile'!$C$15,1)),0.1),0))</f>
        <v/>
      </c>
      <c r="D29" s="22" t="inlineStr">
        <is>
          <t>Peak pizzas an hour against what one deck puts through. This is the number that decides a single deck against a double, and it cannot be changed later.</t>
        </is>
      </c>
    </row>
    <row r="30" ht="53" customHeight="1">
      <c r="B30" s="27" t="inlineStr">
        <is>
          <t>Dough mixer capacity (kg)</t>
        </is>
      </c>
      <c r="C30" s="28">
        <f>MAX(1,ROUNDUP('Pizzeria Profile'!$C$9*'Pizzeria Profile'!$C$17/1000/MAX('Pizzeria Profile'!$C$18,0.1),0))</f>
        <v/>
      </c>
      <c r="D30" s="22" t="inlineStr">
        <is>
          <t>Dough balls a day at your ball weight, mixed in your batch size. Both are inputs above, so change them to your own recipe. Buy at or above this, not below it.</t>
        </is>
      </c>
    </row>
    <row r="31" ht="40" customHeight="1">
      <c r="B31" s="27" t="inlineStr">
        <is>
          <t>Dough boxes in circulation</t>
        </is>
      </c>
      <c r="C31" s="28">
        <f>MAX(1,ROUNDUP('Pizzeria Profile'!$C$9*'Pizzeria Profile'!$C$20/MAX('Pizzeria Profile'!$C$19,1)*(1+'Pizzeria Profile'!$C$23),0))</f>
        <v/>
      </c>
      <c r="D31" s="22" t="inlineStr">
        <is>
          <t>Dough balls across the days you retard them, over what one box holds, plus the buffer. Today's dough and tomorrow's are in the fridge together.</t>
        </is>
      </c>
    </row>
    <row r="32" ht="40" customHeight="1">
      <c r="B32" s="27" t="inlineStr">
        <is>
          <t>Retard shelves</t>
        </is>
      </c>
      <c r="C32" s="28">
        <f>MAX(1,ROUNDUP(MAX(1,ROUNDUP('Pizzeria Profile'!$C$9*'Pizzeria Profile'!$C$20/MAX('Pizzeria Profile'!$C$19,1)*(1+'Pizzeria Profile'!$C$23),0))/MAX('Pizzeria Profile'!$C$21,1),0))</f>
        <v/>
      </c>
      <c r="D32" s="22" t="inlineStr">
        <is>
          <t>Boxes over what one shelf stacks. This is the line that gets cut, and cutting it caps how far ahead you can prep.</t>
        </is>
      </c>
    </row>
    <row r="33" ht="27" customHeight="1">
      <c r="B33" s="27" t="inlineStr">
        <is>
          <t>Delivery packaging, opening stock</t>
        </is>
      </c>
      <c r="C33" s="28">
        <f>ROUNDUP('Pizzeria Profile'!$C$6*'Pizzeria Profile'!$C$22*(1+'Pizzeria Profile'!$C$23),0)</f>
        <v/>
      </c>
      <c r="D33" s="22" t="inlineStr">
        <is>
          <t>Pizzas across the days you want to hold, plus the buffer. Boxes are per piece, not per bundle.</t>
        </is>
      </c>
    </row>
    <row r="34"/>
    <row r="35"/>
    <row r="36">
      <c r="B36" s="18"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6">
    <mergeCell ref="B3:D3"/>
    <mergeCell ref="B36:D36"/>
    <mergeCell ref="B14:D14"/>
    <mergeCell ref="B13:D13"/>
    <mergeCell ref="B25:D25"/>
    <mergeCell ref="B2:D2"/>
  </mergeCells>
  <dataValidations count="4">
    <dataValidation sqref="C8" showDropDown="0" showInputMessage="0" showErrorMessage="1" allowBlank="0" errorTitle="Pick from the list" error="Choose one of the three from the dropdown. Anything typed by hand is read as a deck oven." type="list" errorStyle="stop">
      <formula1>=Lists!$A$2:$A$4</formula1>
    </dataValidation>
    <dataValidation sqref="C10" showDropDown="0" showInputMessage="0" showErrorMessage="1" allowBlank="0" errorTitle="Yes or No" error="Pick Yes or No from the dropdown. A typed N or Y is not read." type="list" errorStyle="stop">
      <formula1>=Lists!$A$8:$A$9</formula1>
    </dataValidation>
    <dataValidation sqref="C11 C23" showDropDown="0" showInputMessage="0" showErrorMessage="1" allowBlank="0" errorTitle="Numbers only" error="Enter a number of zero or more." type="decimal" errorStyle="stop" operator="greaterThanOrEqual">
      <formula1>0</formula1>
    </dataValidation>
    <dataValidation sqref="C6 C7 C9 C15 C16 C17 C18 C19 C20 C21 C22" showDropDown="0" showInputMessage="0" showErrorMessage="1" allowBlank="0" errorTitle="More than zero" error="This one has to be more than zero. Every size on the Equipment List is worked out from it, so a zero here gives you a plan that looks right and is not." type="decimal" errorStyle="stop" operator="greaterThan">
      <formula1>0</formula1>
    </dataValidation>
  </dataValidations>
  <printOptions horizontalCentered="1"/>
  <pageMargins left="0.3" right="0.3" top="0.4" bottom="0.4"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M79"/>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3" customWidth="1" min="1" max="1"/>
    <col width="20" customWidth="1" min="2" max="2"/>
    <col width="30" customWidth="1" min="3" max="3"/>
    <col width="44" customWidth="1" min="4" max="4"/>
    <col width="10" customWidth="1" min="5" max="5"/>
    <col width="11" customWidth="1" min="6" max="6"/>
    <col width="10" customWidth="1" min="7" max="7"/>
    <col width="13" customWidth="1" min="8" max="8"/>
    <col width="13" customWidth="1" min="9" max="9"/>
    <col width="13" customWidth="1" min="10" max="10"/>
    <col width="13" customWidth="1" min="11" max="11"/>
    <col width="14" customWidth="1" min="12" max="12"/>
    <col width="26" customWidth="1" min="13" max="13"/>
    <col width="3" customWidth="1" min="14" max="14"/>
  </cols>
  <sheetData>
    <row r="1"/>
    <row r="2" ht="22" customHeight="1">
      <c r="B2" s="19" t="inlineStr">
        <is>
          <t>Equipment list, quantities and quotes</t>
        </is>
      </c>
      <c r="C2" s="2" t="n"/>
      <c r="D2" s="2" t="n"/>
      <c r="E2" s="2" t="n"/>
      <c r="F2" s="2" t="n"/>
      <c r="G2" s="2" t="n"/>
      <c r="H2" s="2" t="n"/>
      <c r="I2" s="2" t="n"/>
      <c r="J2" s="2" t="n"/>
      <c r="K2" s="2" t="n"/>
      <c r="L2" s="2" t="n"/>
      <c r="M2" s="2" t="n"/>
    </row>
    <row r="3" ht="53" customHeight="1">
      <c r="B3" s="3" t="inlineStr">
        <is>
          <t>Suggested quantity is calculated from the Pizzeria Profile. Override it in Your qty whenever you know better. The totals follow Your qty, not the suggestion. Leave a line at zero to drop it from the budget. Quotes are per unit of the quantity shown, so on the packaging lines that means PER PIECE, not per case or per hundred: those lines run to thousands, and a case price typed there overstates the budget a hundredfold. Schedule 4 Part-II sets the general hygiene requirements for every food business applying for a LICENCE, and Part-V adds more for food service, so where the Check column names one of them the duty rides on holding a licence rather than a registration.</t>
        </is>
      </c>
    </row>
    <row r="4"/>
    <row r="5" ht="30" customHeight="1">
      <c r="B5" s="20" t="inlineStr">
        <is>
          <t>Group</t>
        </is>
      </c>
      <c r="C5" s="20" t="inlineStr">
        <is>
          <t>Item</t>
        </is>
      </c>
      <c r="D5" s="20" t="inlineStr">
        <is>
          <t>What to insist on</t>
        </is>
      </c>
      <c r="E5" s="20" t="inlineStr">
        <is>
          <t>Day one</t>
        </is>
      </c>
      <c r="F5" s="20" t="inlineStr">
        <is>
          <t>Suggested qty</t>
        </is>
      </c>
      <c r="G5" s="20" t="inlineStr">
        <is>
          <t>Your qty</t>
        </is>
      </c>
      <c r="H5" s="20" t="inlineStr">
        <is>
          <t>Quote 1 (₹/unit)</t>
        </is>
      </c>
      <c r="I5" s="20" t="inlineStr">
        <is>
          <t>Quote 2 (₹/unit)</t>
        </is>
      </c>
      <c r="J5" s="20" t="inlineStr">
        <is>
          <t>Quote 3 (₹/unit)</t>
        </is>
      </c>
      <c r="K5" s="20" t="inlineStr">
        <is>
          <t>Best quote</t>
        </is>
      </c>
      <c r="L5" s="20" t="inlineStr">
        <is>
          <t>Line total</t>
        </is>
      </c>
      <c r="M5" s="20" t="inlineStr">
        <is>
          <t>Check before you pay</t>
        </is>
      </c>
    </row>
    <row r="6" ht="53" customHeight="1">
      <c r="B6" s="29" t="inlineStr">
        <is>
          <t>The oven</t>
        </is>
      </c>
      <c r="C6" s="30" t="inlineStr">
        <is>
          <t>Deck oven</t>
        </is>
      </c>
      <c r="D6" s="22" t="inlineStr">
        <is>
          <t>Sized on the decks figure, never on the floor space. Ask what it puts through in YOUR pizza size at YOUR bake temperature, not the catalogue number.</t>
        </is>
      </c>
      <c r="E6" s="31" t="inlineStr">
        <is>
          <t>Day one</t>
        </is>
      </c>
      <c r="F6" s="32">
        <f>MAX(1,ROUNDUP(('Pizzeria Profile'!$C$6*'Pizzeria Profile'!$C$7)/MAX(('Pizzeria Profile'!$C$16*60/MAX('Pizzeria Profile'!$C$15,1)),0.1),0))*IF('Pizzeria Profile'!$C$8="Deck",1,0)</f>
        <v/>
      </c>
      <c r="G6" s="21">
        <f>F6</f>
        <v/>
      </c>
      <c r="H6" s="33" t="n"/>
      <c r="I6" s="33" t="n"/>
      <c r="J6" s="33" t="n"/>
      <c r="K6" s="34">
        <f>IF(COUNTIF(H6:J6,"&gt;0")=0,"",MIN(IF(AND(ISNUMBER(H6),H6&gt;0),H6,9E+99),IF(AND(ISNUMBER(I6),I6&gt;0),I6,9E+99),IF(AND(ISNUMBER(J6),J6&gt;0),J6,9E+99)))</f>
        <v/>
      </c>
      <c r="L6" s="35">
        <f>IFERROR(G6*K6,"")</f>
        <v/>
      </c>
      <c r="M6" s="36" t="inlineStr">
        <is>
          <t>Sized from the Pizzeria Profile figure.</t>
        </is>
      </c>
    </row>
    <row r="7" ht="53" customHeight="1">
      <c r="B7" s="29" t="inlineStr">
        <is>
          <t>The oven</t>
        </is>
      </c>
      <c r="C7" s="30" t="inlineStr">
        <is>
          <t>Conveyor oven</t>
        </is>
      </c>
      <c r="D7" s="22" t="inlineStr">
        <is>
          <t>Fixed speed, no skill needed, consistent. Ask for the belt width and the throughput in pizzas an hour, and check it against your peak figure.</t>
        </is>
      </c>
      <c r="E7" s="31" t="inlineStr">
        <is>
          <t>Day one</t>
        </is>
      </c>
      <c r="F7" s="32">
        <f>MAX(1,ROUNDUP(('Pizzeria Profile'!$C$6*'Pizzeria Profile'!$C$7)/MAX(('Pizzeria Profile'!$C$16*60/MAX('Pizzeria Profile'!$C$15,1)),0.1),0))*IF('Pizzeria Profile'!$C$8="Conveyor",1,0)</f>
        <v/>
      </c>
      <c r="G7" s="21">
        <f>F7</f>
        <v/>
      </c>
      <c r="H7" s="33" t="n"/>
      <c r="I7" s="33" t="n"/>
      <c r="J7" s="33" t="n"/>
      <c r="K7" s="34">
        <f>IF(COUNTIF(H7:J7,"&gt;0")=0,"",MIN(IF(AND(ISNUMBER(H7),H7&gt;0),H7,9E+99),IF(AND(ISNUMBER(I7),I7&gt;0),I7,9E+99),IF(AND(ISNUMBER(J7),J7&gt;0),J7,9E+99)))</f>
        <v/>
      </c>
      <c r="L7" s="35">
        <f>IFERROR(G7*K7,"")</f>
        <v/>
      </c>
      <c r="M7" s="22" t="inlineStr"/>
    </row>
    <row r="8" ht="53" customHeight="1">
      <c r="B8" s="29" t="inlineStr">
        <is>
          <t>The oven</t>
        </is>
      </c>
      <c r="C8" s="30" t="inlineStr">
        <is>
          <t>Wood or brick oven</t>
        </is>
      </c>
      <c r="D8" s="22" t="inlineStr">
        <is>
          <t>The signature purchase, and the one that may not be lawful where you are. Settle the fuel question before you order: see Before You Buy.</t>
        </is>
      </c>
      <c r="E8" s="31" t="inlineStr">
        <is>
          <t>Day one</t>
        </is>
      </c>
      <c r="F8" s="32">
        <f>1*IF('Pizzeria Profile'!$C$8="Wood or brick",1,0)</f>
        <v/>
      </c>
      <c r="G8" s="21">
        <f>F8</f>
        <v/>
      </c>
      <c r="H8" s="33" t="n"/>
      <c r="I8" s="33" t="n"/>
      <c r="J8" s="33" t="n"/>
      <c r="K8" s="34">
        <f>IF(COUNTIF(H8:J8,"&gt;0")=0,"",MIN(IF(AND(ISNUMBER(H8),H8&gt;0),H8,9E+99),IF(AND(ISNUMBER(I8),I8&gt;0),I8,9E+99),IF(AND(ISNUMBER(J8),J8&gt;0),J8,9E+99)))</f>
        <v/>
      </c>
      <c r="L8" s="35">
        <f>IFERROR(G8*K8,"")</f>
        <v/>
      </c>
      <c r="M8" s="36" t="inlineStr">
        <is>
          <t>Fuel rules decide this. Read Before You Buy FIRST.</t>
        </is>
      </c>
    </row>
    <row r="9" ht="66" customHeight="1">
      <c r="B9" s="29" t="inlineStr">
        <is>
          <t>The oven</t>
        </is>
      </c>
      <c r="C9" s="30" t="inlineStr">
        <is>
          <t>Flue, hood and make-up air</t>
        </is>
      </c>
      <c r="D9" s="22" t="inlineStr">
        <is>
          <t>Sized on the oven under it, so it follows the decks on a deck or conveyor and is one on a wood or brick oven. A wood or brick flue is a different build, and in most places it carries an emission control.</t>
        </is>
      </c>
      <c r="E9" s="31" t="inlineStr">
        <is>
          <t>Day one</t>
        </is>
      </c>
      <c r="F9" s="32">
        <f>IF('Pizzeria Profile'!$C$8="Wood or brick",1,MAX(1,ROUNDUP(('Pizzeria Profile'!$C$6*'Pizzeria Profile'!$C$7)/MAX(('Pizzeria Profile'!$C$16*60/MAX('Pizzeria Profile'!$C$15,1)),0.1),0)))</f>
        <v/>
      </c>
      <c r="G9" s="21">
        <f>F9</f>
        <v/>
      </c>
      <c r="H9" s="33" t="n"/>
      <c r="I9" s="33" t="n"/>
      <c r="J9" s="33" t="n"/>
      <c r="K9" s="34">
        <f>IF(COUNTIF(H9:J9,"&gt;0")=0,"",MIN(IF(AND(ISNUMBER(H9),H9&gt;0),H9,9E+99),IF(AND(ISNUMBER(I9),I9&gt;0),I9,9E+99),IF(AND(ISNUMBER(J9),J9&gt;0),J9,9E+99)))</f>
        <v/>
      </c>
      <c r="L9" s="35">
        <f>IFERROR(G9*K9,"")</f>
        <v/>
      </c>
      <c r="M9" s="22" t="inlineStr"/>
    </row>
    <row r="10" ht="27" customHeight="1">
      <c r="B10" s="29" t="inlineStr">
        <is>
          <t>The oven</t>
        </is>
      </c>
      <c r="C10" s="30" t="inlineStr">
        <is>
          <t>Oven thermometer, independent</t>
        </is>
      </c>
      <c r="D10" s="22" t="inlineStr">
        <is>
          <t>The dial on the door is not the stone temperature. Measure the stone.</t>
        </is>
      </c>
      <c r="E10" s="31" t="inlineStr">
        <is>
          <t>Day one</t>
        </is>
      </c>
      <c r="F10" s="32">
        <f>2</f>
        <v/>
      </c>
      <c r="G10" s="21">
        <f>F10</f>
        <v/>
      </c>
      <c r="H10" s="33" t="n"/>
      <c r="I10" s="33" t="n"/>
      <c r="J10" s="33" t="n"/>
      <c r="K10" s="34">
        <f>IF(COUNTIF(H10:J10,"&gt;0")=0,"",MIN(IF(AND(ISNUMBER(H10),H10&gt;0),H10,9E+99),IF(AND(ISNUMBER(I10),I10&gt;0),I10,9E+99),IF(AND(ISNUMBER(J10),J10&gt;0),J10,9E+99)))</f>
        <v/>
      </c>
      <c r="L10" s="35">
        <f>IFERROR(G10*K10,"")</f>
        <v/>
      </c>
      <c r="M10" s="22" t="inlineStr"/>
    </row>
    <row r="11" ht="40" customHeight="1">
      <c r="B11" s="29" t="inlineStr">
        <is>
          <t>The oven</t>
        </is>
      </c>
      <c r="C11" s="30" t="inlineStr">
        <is>
          <t>Peels, launch and turning</t>
        </is>
      </c>
      <c r="D11" s="22" t="inlineStr">
        <is>
          <t>One launch and one turning peel per deck, plus a spare. They bend and they go missing.</t>
        </is>
      </c>
      <c r="E11" s="31" t="inlineStr">
        <is>
          <t>Day one</t>
        </is>
      </c>
      <c r="F11" s="32">
        <f>MAX(1,ROUNDUP(('Pizzeria Profile'!$C$6*'Pizzeria Profile'!$C$7)/MAX(('Pizzeria Profile'!$C$16*60/MAX('Pizzeria Profile'!$C$15,1)),0.1),0))*2+1</f>
        <v/>
      </c>
      <c r="G11" s="21">
        <f>F11</f>
        <v/>
      </c>
      <c r="H11" s="33" t="n"/>
      <c r="I11" s="33" t="n"/>
      <c r="J11" s="33" t="n"/>
      <c r="K11" s="34">
        <f>IF(COUNTIF(H11:J11,"&gt;0")=0,"",MIN(IF(AND(ISNUMBER(H11),H11&gt;0),H11,9E+99),IF(AND(ISNUMBER(I11),I11&gt;0),I11,9E+99),IF(AND(ISNUMBER(J11),J11&gt;0),J11,9E+99)))</f>
        <v/>
      </c>
      <c r="L11" s="35">
        <f>IFERROR(G11*K11,"")</f>
        <v/>
      </c>
      <c r="M11" s="22" t="inlineStr"/>
    </row>
    <row r="12">
      <c r="B12" s="29" t="inlineStr">
        <is>
          <t>The oven</t>
        </is>
      </c>
      <c r="C12" s="30" t="inlineStr">
        <is>
          <t>Oven brush and ash tools</t>
        </is>
      </c>
      <c r="D12" s="22" t="inlineStr">
        <is>
          <t>Daily on a deck, every service on wood.</t>
        </is>
      </c>
      <c r="E12" s="31" t="inlineStr">
        <is>
          <t>Day one</t>
        </is>
      </c>
      <c r="F12" s="32">
        <f>2</f>
        <v/>
      </c>
      <c r="G12" s="21">
        <f>F12</f>
        <v/>
      </c>
      <c r="H12" s="33" t="n"/>
      <c r="I12" s="33" t="n"/>
      <c r="J12" s="33" t="n"/>
      <c r="K12" s="34">
        <f>IF(COUNTIF(H12:J12,"&gt;0")=0,"",MIN(IF(AND(ISNUMBER(H12),H12&gt;0),H12,9E+99),IF(AND(ISNUMBER(I12),I12&gt;0),I12,9E+99),IF(AND(ISNUMBER(J12),J12&gt;0),J12,9E+99)))</f>
        <v/>
      </c>
      <c r="L12" s="35">
        <f>IFERROR(G12*K12,"")</f>
        <v/>
      </c>
      <c r="M12" s="22" t="inlineStr"/>
    </row>
    <row r="13" ht="93" customHeight="1">
      <c r="B13" s="29" t="inlineStr">
        <is>
          <t>Dough</t>
        </is>
      </c>
      <c r="C13" s="30" t="inlineStr">
        <is>
          <t>Spiral dough mixer</t>
        </is>
      </c>
      <c r="D13" s="22" t="inlineStr">
        <is>
          <t>Sized at or above the kg figure on the Pizzeria Profile, never below it. A spiral is the standard for pizza because it develops the gluten without overheating the dough; a planetary will manage at low volumes but warms it and struggles with a stiff dough at scale.</t>
        </is>
      </c>
      <c r="E13" s="31" t="inlineStr">
        <is>
          <t>Day one</t>
        </is>
      </c>
      <c r="F13" s="32">
        <f>MAX(1,ROUNDUP('Pizzeria Profile'!$C$9*'Pizzeria Profile'!$C$17/1000/MAX('Pizzeria Profile'!$C$18,0.1),0))</f>
        <v/>
      </c>
      <c r="G13" s="21">
        <f>F13</f>
        <v/>
      </c>
      <c r="H13" s="33" t="n"/>
      <c r="I13" s="33" t="n"/>
      <c r="J13" s="33" t="n"/>
      <c r="K13" s="34">
        <f>IF(COUNTIF(H13:J13,"&gt;0")=0,"",MIN(IF(AND(ISNUMBER(H13),H13&gt;0),H13,9E+99),IF(AND(ISNUMBER(I13),I13&gt;0),I13,9E+99),IF(AND(ISNUMBER(J13),J13&gt;0),J13,9E+99)))</f>
        <v/>
      </c>
      <c r="L13" s="35">
        <f>IFERROR(G13*K13,"")</f>
        <v/>
      </c>
      <c r="M13" s="36" t="inlineStr">
        <is>
          <t>Sized from the Pizzeria Profile figure.</t>
        </is>
      </c>
    </row>
    <row r="14" ht="40" customHeight="1">
      <c r="B14" s="29" t="inlineStr">
        <is>
          <t>Dough</t>
        </is>
      </c>
      <c r="C14" s="30" t="inlineStr">
        <is>
          <t>Dough boxes with lids</t>
        </is>
      </c>
      <c r="D14" s="22" t="inlineStr">
        <is>
          <t>Today's dough and tomorrow's sit in the fridge together, which is why the count is higher than a day's production.</t>
        </is>
      </c>
      <c r="E14" s="31" t="inlineStr">
        <is>
          <t>Day one</t>
        </is>
      </c>
      <c r="F14" s="32">
        <f>MAX(1,ROUNDUP('Pizzeria Profile'!$C$9*'Pizzeria Profile'!$C$20/MAX('Pizzeria Profile'!$C$19,1)*(1+'Pizzeria Profile'!$C$23),0))</f>
        <v/>
      </c>
      <c r="G14" s="21">
        <f>F14</f>
        <v/>
      </c>
      <c r="H14" s="33" t="n"/>
      <c r="I14" s="33" t="n"/>
      <c r="J14" s="33" t="n"/>
      <c r="K14" s="34">
        <f>IF(COUNTIF(H14:J14,"&gt;0")=0,"",MIN(IF(AND(ISNUMBER(H14),H14&gt;0),H14,9E+99),IF(AND(ISNUMBER(I14),I14&gt;0),I14,9E+99),IF(AND(ISNUMBER(J14),J14&gt;0),J14,9E+99)))</f>
        <v/>
      </c>
      <c r="L14" s="35">
        <f>IFERROR(G14*K14,"")</f>
        <v/>
      </c>
      <c r="M14" s="36" t="inlineStr">
        <is>
          <t>Sized from the Pizzeria Profile figure.</t>
        </is>
      </c>
    </row>
    <row r="15" ht="53" customHeight="1">
      <c r="B15" s="29" t="inlineStr">
        <is>
          <t>Dough</t>
        </is>
      </c>
      <c r="C15" s="30" t="inlineStr">
        <is>
          <t>Dough retard refrigerator</t>
        </is>
      </c>
      <c r="D15" s="22" t="inlineStr">
        <is>
          <t>Cold proving buys flavour and a buffer, and it takes shelves. This is the line that gets cut, and cutting it caps how far ahead you can prep.</t>
        </is>
      </c>
      <c r="E15" s="31" t="inlineStr">
        <is>
          <t>Day one</t>
        </is>
      </c>
      <c r="F15" s="32">
        <f>MAX(1,ROUNDUP(MAX(1,ROUNDUP(MAX(1,ROUNDUP('Pizzeria Profile'!$C$9*'Pizzeria Profile'!$C$20/MAX('Pizzeria Profile'!$C$19,1)*(1+'Pizzeria Profile'!$C$23),0))/MAX('Pizzeria Profile'!$C$21,1),0))/5,0))</f>
        <v/>
      </c>
      <c r="G15" s="21">
        <f>F15</f>
        <v/>
      </c>
      <c r="H15" s="33" t="n"/>
      <c r="I15" s="33" t="n"/>
      <c r="J15" s="33" t="n"/>
      <c r="K15" s="34">
        <f>IF(COUNTIF(H15:J15,"&gt;0")=0,"",MIN(IF(AND(ISNUMBER(H15),H15&gt;0),H15,9E+99),IF(AND(ISNUMBER(I15),I15&gt;0),I15,9E+99),IF(AND(ISNUMBER(J15),J15&gt;0),J15,9E+99)))</f>
        <v/>
      </c>
      <c r="L15" s="35">
        <f>IFERROR(G15*K15,"")</f>
        <v/>
      </c>
      <c r="M15" s="22" t="inlineStr"/>
    </row>
    <row r="16" ht="27" customHeight="1">
      <c r="B16" s="29" t="inlineStr">
        <is>
          <t>Dough</t>
        </is>
      </c>
      <c r="C16" s="30" t="inlineStr">
        <is>
          <t>Dough scale, digital</t>
        </is>
      </c>
      <c r="D16" s="22" t="inlineStr">
        <is>
          <t>Every ball the same weight or every pizza is a different pizza.</t>
        </is>
      </c>
      <c r="E16" s="31" t="inlineStr">
        <is>
          <t>Day one</t>
        </is>
      </c>
      <c r="F16" s="32">
        <f>1</f>
        <v/>
      </c>
      <c r="G16" s="21">
        <f>F16</f>
        <v/>
      </c>
      <c r="H16" s="33" t="n"/>
      <c r="I16" s="33" t="n"/>
      <c r="J16" s="33" t="n"/>
      <c r="K16" s="34">
        <f>IF(COUNTIF(H16:J16,"&gt;0")=0,"",MIN(IF(AND(ISNUMBER(H16),H16&gt;0),H16,9E+99),IF(AND(ISNUMBER(I16),I16&gt;0),I16,9E+99),IF(AND(ISNUMBER(J16),J16&gt;0),J16,9E+99)))</f>
        <v/>
      </c>
      <c r="L16" s="35">
        <f>IFERROR(G16*K16,"")</f>
        <v/>
      </c>
      <c r="M16" s="22" t="inlineStr"/>
    </row>
    <row r="17" ht="27" customHeight="1">
      <c r="B17" s="29" t="inlineStr">
        <is>
          <t>Dough</t>
        </is>
      </c>
      <c r="C17" s="30" t="inlineStr">
        <is>
          <t>Dough sheeter or press</t>
        </is>
      </c>
      <c r="D17" s="22" t="inlineStr">
        <is>
          <t>Only if you are not hand-stretching. It buys consistency and costs you the craft.</t>
        </is>
      </c>
      <c r="E17" s="37" t="inlineStr">
        <is>
          <t>Later</t>
        </is>
      </c>
      <c r="F17" s="32">
        <f>1</f>
        <v/>
      </c>
      <c r="G17" s="21">
        <f>F17</f>
        <v/>
      </c>
      <c r="H17" s="33" t="n"/>
      <c r="I17" s="33" t="n"/>
      <c r="J17" s="33" t="n"/>
      <c r="K17" s="34">
        <f>IF(COUNTIF(H17:J17,"&gt;0")=0,"",MIN(IF(AND(ISNUMBER(H17),H17&gt;0),H17,9E+99),IF(AND(ISNUMBER(I17),I17&gt;0),I17,9E+99),IF(AND(ISNUMBER(J17),J17&gt;0),J17,9E+99)))</f>
        <v/>
      </c>
      <c r="L17" s="35">
        <f>IFERROR(G17*K17,"")</f>
        <v/>
      </c>
      <c r="M17" s="22" t="inlineStr"/>
    </row>
    <row r="18" ht="27" customHeight="1">
      <c r="B18" s="29" t="inlineStr">
        <is>
          <t>Dough</t>
        </is>
      </c>
      <c r="C18" s="30" t="inlineStr">
        <is>
          <t>Flour storage bins on wheels</t>
        </is>
      </c>
      <c r="D18" s="22" t="inlineStr">
        <is>
          <t>Sealed, off the floor, movable so the floor can be cleaned under them.</t>
        </is>
      </c>
      <c r="E18" s="31" t="inlineStr">
        <is>
          <t>Day one</t>
        </is>
      </c>
      <c r="F18" s="32">
        <f>3</f>
        <v/>
      </c>
      <c r="G18" s="21">
        <f>F18</f>
        <v/>
      </c>
      <c r="H18" s="33" t="n"/>
      <c r="I18" s="33" t="n"/>
      <c r="J18" s="33" t="n"/>
      <c r="K18" s="34">
        <f>IF(COUNTIF(H18:J18,"&gt;0")=0,"",MIN(IF(AND(ISNUMBER(H18),H18&gt;0),H18,9E+99),IF(AND(ISNUMBER(I18),I18&gt;0),I18,9E+99),IF(AND(ISNUMBER(J18),J18&gt;0),J18,9E+99)))</f>
        <v/>
      </c>
      <c r="L18" s="35">
        <f>IFERROR(G18*K18,"")</f>
        <v/>
      </c>
      <c r="M18" s="22" t="inlineStr"/>
    </row>
    <row r="19" ht="27" customHeight="1">
      <c r="B19" s="29" t="inlineStr">
        <is>
          <t>Dough</t>
        </is>
      </c>
      <c r="C19" s="30" t="inlineStr">
        <is>
          <t>Proving trays and covers</t>
        </is>
      </c>
      <c r="D19" s="22" t="inlineStr">
        <is>
          <t>For the room-temperature stage before the fridge.</t>
        </is>
      </c>
      <c r="E19" s="31" t="inlineStr">
        <is>
          <t>Day one</t>
        </is>
      </c>
      <c r="F19" s="32">
        <f>6</f>
        <v/>
      </c>
      <c r="G19" s="21">
        <f>F19</f>
        <v/>
      </c>
      <c r="H19" s="33" t="n"/>
      <c r="I19" s="33" t="n"/>
      <c r="J19" s="33" t="n"/>
      <c r="K19" s="34">
        <f>IF(COUNTIF(H19:J19,"&gt;0")=0,"",MIN(IF(AND(ISNUMBER(H19),H19&gt;0),H19,9E+99),IF(AND(ISNUMBER(I19),I19&gt;0),I19,9E+99),IF(AND(ISNUMBER(J19),J19&gt;0),J19,9E+99)))</f>
        <v/>
      </c>
      <c r="L19" s="35">
        <f>IFERROR(G19*K19,"")</f>
        <v/>
      </c>
      <c r="M19" s="22" t="inlineStr"/>
    </row>
    <row r="20" ht="53" customHeight="1">
      <c r="B20" s="29" t="inlineStr">
        <is>
          <t>The line</t>
        </is>
      </c>
      <c r="C20" s="30" t="inlineStr">
        <is>
          <t>Refrigerated pizza prep counter</t>
        </is>
      </c>
      <c r="D20" s="22" t="inlineStr">
        <is>
          <t>The one bench that decides service speed. Ask for the pan capacity in YOUR pan size and for the internal litres under it, not the outside dimensions.</t>
        </is>
      </c>
      <c r="E20" s="31" t="inlineStr">
        <is>
          <t>Day one</t>
        </is>
      </c>
      <c r="F20" s="32">
        <f>1</f>
        <v/>
      </c>
      <c r="G20" s="21">
        <f>F20</f>
        <v/>
      </c>
      <c r="H20" s="33" t="n"/>
      <c r="I20" s="33" t="n"/>
      <c r="J20" s="33" t="n"/>
      <c r="K20" s="34">
        <f>IF(COUNTIF(H20:J20,"&gt;0")=0,"",MIN(IF(AND(ISNUMBER(H20),H20&gt;0),H20,9E+99),IF(AND(ISNUMBER(I20),I20&gt;0),I20,9E+99),IF(AND(ISNUMBER(J20),J20&gt;0),J20,9E+99)))</f>
        <v/>
      </c>
      <c r="L20" s="35">
        <f>IFERROR(G20*K20,"")</f>
        <v/>
      </c>
      <c r="M20" s="22" t="inlineStr"/>
    </row>
    <row r="21" ht="27" customHeight="1">
      <c r="B21" s="29" t="inlineStr">
        <is>
          <t>The line</t>
        </is>
      </c>
      <c r="C21" s="30" t="inlineStr">
        <is>
          <t>Topping pans, stainless</t>
        </is>
      </c>
      <c r="D21" s="22" t="inlineStr">
        <is>
          <t>Two sets, so one is being washed while the other runs.</t>
        </is>
      </c>
      <c r="E21" s="31" t="inlineStr">
        <is>
          <t>Day one</t>
        </is>
      </c>
      <c r="F21" s="32">
        <f>24</f>
        <v/>
      </c>
      <c r="G21" s="21">
        <f>F21</f>
        <v/>
      </c>
      <c r="H21" s="33" t="n"/>
      <c r="I21" s="33" t="n"/>
      <c r="J21" s="33" t="n"/>
      <c r="K21" s="34">
        <f>IF(COUNTIF(H21:J21,"&gt;0")=0,"",MIN(IF(AND(ISNUMBER(H21),H21&gt;0),H21,9E+99),IF(AND(ISNUMBER(I21),I21&gt;0),I21,9E+99),IF(AND(ISNUMBER(J21),J21&gt;0),J21,9E+99)))</f>
        <v/>
      </c>
      <c r="L21" s="35">
        <f>IFERROR(G21*K21,"")</f>
        <v/>
      </c>
      <c r="M21" s="22" t="inlineStr"/>
    </row>
    <row r="22" ht="27" customHeight="1">
      <c r="B22" s="29" t="inlineStr">
        <is>
          <t>The line</t>
        </is>
      </c>
      <c r="C22" s="30" t="inlineStr">
        <is>
          <t>Pizza screens or pans</t>
        </is>
      </c>
      <c r="D22" s="22" t="inlineStr">
        <is>
          <t>Enough for the peak hour plus the buffer, because they come back dirty.</t>
        </is>
      </c>
      <c r="E22" s="31" t="inlineStr">
        <is>
          <t>Day one</t>
        </is>
      </c>
      <c r="F22" s="32">
        <f>ROUNDUP(('Pizzeria Profile'!$C$6*'Pizzeria Profile'!$C$7)*1.5*(1+'Pizzeria Profile'!$C$23),0)</f>
        <v/>
      </c>
      <c r="G22" s="21">
        <f>F22</f>
        <v/>
      </c>
      <c r="H22" s="33" t="n"/>
      <c r="I22" s="33" t="n"/>
      <c r="J22" s="33" t="n"/>
      <c r="K22" s="34">
        <f>IF(COUNTIF(H22:J22,"&gt;0")=0,"",MIN(IF(AND(ISNUMBER(H22),H22&gt;0),H22,9E+99),IF(AND(ISNUMBER(I22),I22&gt;0),I22,9E+99),IF(AND(ISNUMBER(J22),J22&gt;0),J22,9E+99)))</f>
        <v/>
      </c>
      <c r="L22" s="35">
        <f>IFERROR(G22*K22,"")</f>
        <v/>
      </c>
      <c r="M22" s="22" t="inlineStr"/>
    </row>
    <row r="23" ht="40" customHeight="1">
      <c r="B23" s="29" t="inlineStr">
        <is>
          <t>The line</t>
        </is>
      </c>
      <c r="C23" s="30" t="inlineStr">
        <is>
          <t>Sauce ladles and portion cups</t>
        </is>
      </c>
      <c r="D23" s="22" t="inlineStr">
        <is>
          <t>Portion control is the difference between your food cost and your food cost on paper.</t>
        </is>
      </c>
      <c r="E23" s="31" t="inlineStr">
        <is>
          <t>Day one</t>
        </is>
      </c>
      <c r="F23" s="32">
        <f>12</f>
        <v/>
      </c>
      <c r="G23" s="21">
        <f>F23</f>
        <v/>
      </c>
      <c r="H23" s="33" t="n"/>
      <c r="I23" s="33" t="n"/>
      <c r="J23" s="33" t="n"/>
      <c r="K23" s="34">
        <f>IF(COUNTIF(H23:J23,"&gt;0")=0,"",MIN(IF(AND(ISNUMBER(H23),H23&gt;0),H23,9E+99),IF(AND(ISNUMBER(I23),I23&gt;0),I23,9E+99),IF(AND(ISNUMBER(J23),J23&gt;0),J23,9E+99)))</f>
        <v/>
      </c>
      <c r="L23" s="35">
        <f>IFERROR(G23*K23,"")</f>
        <v/>
      </c>
      <c r="M23" s="22" t="inlineStr"/>
    </row>
    <row r="24" ht="27" customHeight="1">
      <c r="B24" s="29" t="inlineStr">
        <is>
          <t>The line</t>
        </is>
      </c>
      <c r="C24" s="30" t="inlineStr">
        <is>
          <t>Cheese shredder or grater</t>
        </is>
      </c>
      <c r="D24" s="22" t="inlineStr">
        <is>
          <t>Buying blocks and shredding is cheaper than buying shredded, and it melts better.</t>
        </is>
      </c>
      <c r="E24" s="37" t="inlineStr">
        <is>
          <t>Later</t>
        </is>
      </c>
      <c r="F24" s="32">
        <f>1</f>
        <v/>
      </c>
      <c r="G24" s="21">
        <f>F24</f>
        <v/>
      </c>
      <c r="H24" s="33" t="n"/>
      <c r="I24" s="33" t="n"/>
      <c r="J24" s="33" t="n"/>
      <c r="K24" s="34">
        <f>IF(COUNTIF(H24:J24,"&gt;0")=0,"",MIN(IF(AND(ISNUMBER(H24),H24&gt;0),H24,9E+99),IF(AND(ISNUMBER(I24),I24&gt;0),I24,9E+99),IF(AND(ISNUMBER(J24),J24&gt;0),J24,9E+99)))</f>
        <v/>
      </c>
      <c r="L24" s="35">
        <f>IFERROR(G24*K24,"")</f>
        <v/>
      </c>
      <c r="M24" s="22" t="inlineStr"/>
    </row>
    <row r="25" ht="40" customHeight="1">
      <c r="B25" s="29" t="inlineStr">
        <is>
          <t>The line</t>
        </is>
      </c>
      <c r="C25" s="30" t="inlineStr">
        <is>
          <t>Prep tables, stainless</t>
        </is>
      </c>
      <c r="D25" s="22" t="inlineStr">
        <is>
          <t>One for dough, one for everything else. They are cheap and they are what the kitchen runs on.</t>
        </is>
      </c>
      <c r="E25" s="31" t="inlineStr">
        <is>
          <t>Day one</t>
        </is>
      </c>
      <c r="F25" s="32">
        <f>2</f>
        <v/>
      </c>
      <c r="G25" s="21">
        <f>F25</f>
        <v/>
      </c>
      <c r="H25" s="33" t="n"/>
      <c r="I25" s="33" t="n"/>
      <c r="J25" s="33" t="n"/>
      <c r="K25" s="34">
        <f>IF(COUNTIF(H25:J25,"&gt;0")=0,"",MIN(IF(AND(ISNUMBER(H25),H25&gt;0),H25,9E+99),IF(AND(ISNUMBER(I25),I25&gt;0),I25,9E+99),IF(AND(ISNUMBER(J25),J25&gt;0),J25,9E+99)))</f>
        <v/>
      </c>
      <c r="L25" s="35">
        <f>IFERROR(G25*K25,"")</f>
        <v/>
      </c>
      <c r="M25" s="22" t="inlineStr"/>
    </row>
    <row r="26" ht="27" customHeight="1">
      <c r="B26" s="29" t="inlineStr">
        <is>
          <t>The line</t>
        </is>
      </c>
      <c r="C26" s="30" t="inlineStr">
        <is>
          <t>Knives, boards and small tools, colour coded</t>
        </is>
      </c>
      <c r="D26" s="22" t="inlineStr">
        <is>
          <t>One colour for raw, one for cooked, one for veg, and the staff know which.</t>
        </is>
      </c>
      <c r="E26" s="31" t="inlineStr">
        <is>
          <t>Day one</t>
        </is>
      </c>
      <c r="F26" s="32">
        <f>6</f>
        <v/>
      </c>
      <c r="G26" s="21">
        <f>F26</f>
        <v/>
      </c>
      <c r="H26" s="33" t="n"/>
      <c r="I26" s="33" t="n"/>
      <c r="J26" s="33" t="n"/>
      <c r="K26" s="34">
        <f>IF(COUNTIF(H26:J26,"&gt;0")=0,"",MIN(IF(AND(ISNUMBER(H26),H26&gt;0),H26,9E+99),IF(AND(ISNUMBER(I26),I26&gt;0),I26,9E+99),IF(AND(ISNUMBER(J26),J26&gt;0),J26,9E+99)))</f>
        <v/>
      </c>
      <c r="L26" s="35">
        <f>IFERROR(G26*K26,"")</f>
        <v/>
      </c>
      <c r="M26" s="22" t="inlineStr"/>
    </row>
    <row r="27" ht="27" customHeight="1">
      <c r="B27" s="29" t="inlineStr">
        <is>
          <t>Cutting and serving</t>
        </is>
      </c>
      <c r="C27" s="30" t="inlineStr">
        <is>
          <t>Cutting table or board</t>
        </is>
      </c>
      <c r="D27" s="22" t="inlineStr">
        <is>
          <t>Out of the oven, cut, boxed. If this is not next to the oven, the pizza walks.</t>
        </is>
      </c>
      <c r="E27" s="31" t="inlineStr">
        <is>
          <t>Day one</t>
        </is>
      </c>
      <c r="F27" s="32">
        <f>1</f>
        <v/>
      </c>
      <c r="G27" s="21">
        <f>F27</f>
        <v/>
      </c>
      <c r="H27" s="33" t="n"/>
      <c r="I27" s="33" t="n"/>
      <c r="J27" s="33" t="n"/>
      <c r="K27" s="34">
        <f>IF(COUNTIF(H27:J27,"&gt;0")=0,"",MIN(IF(AND(ISNUMBER(H27),H27&gt;0),H27,9E+99),IF(AND(ISNUMBER(I27),I27&gt;0),I27,9E+99),IF(AND(ISNUMBER(J27),J27&gt;0),J27,9E+99)))</f>
        <v/>
      </c>
      <c r="L27" s="35">
        <f>IFERROR(G27*K27,"")</f>
        <v/>
      </c>
      <c r="M27" s="22" t="inlineStr"/>
    </row>
    <row r="28" ht="27" customHeight="1">
      <c r="B28" s="29" t="inlineStr">
        <is>
          <t>Cutting and serving</t>
        </is>
      </c>
      <c r="C28" s="30" t="inlineStr">
        <is>
          <t>Pizza wheels and rockers</t>
        </is>
      </c>
      <c r="D28" s="22" t="inlineStr">
        <is>
          <t>One per cutting station plus spares. They blunt.</t>
        </is>
      </c>
      <c r="E28" s="31" t="inlineStr">
        <is>
          <t>Day one</t>
        </is>
      </c>
      <c r="F28" s="32">
        <f>4</f>
        <v/>
      </c>
      <c r="G28" s="21">
        <f>F28</f>
        <v/>
      </c>
      <c r="H28" s="33" t="n"/>
      <c r="I28" s="33" t="n"/>
      <c r="J28" s="33" t="n"/>
      <c r="K28" s="34">
        <f>IF(COUNTIF(H28:J28,"&gt;0")=0,"",MIN(IF(AND(ISNUMBER(H28),H28&gt;0),H28,9E+99),IF(AND(ISNUMBER(I28),I28&gt;0),I28,9E+99),IF(AND(ISNUMBER(J28),J28&gt;0),J28,9E+99)))</f>
        <v/>
      </c>
      <c r="L28" s="35">
        <f>IFERROR(G28*K28,"")</f>
        <v/>
      </c>
      <c r="M28" s="22" t="inlineStr"/>
    </row>
    <row r="29" ht="27" customHeight="1">
      <c r="B29" s="29" t="inlineStr">
        <is>
          <t>Cutting and serving</t>
        </is>
      </c>
      <c r="C29" s="30" t="inlineStr">
        <is>
          <t>Pizza stands and serving trays for dine-in</t>
        </is>
      </c>
      <c r="D29" s="22" t="inlineStr">
        <is>
          <t>Only if you seat people.</t>
        </is>
      </c>
      <c r="E29" s="31" t="inlineStr">
        <is>
          <t>Day one</t>
        </is>
      </c>
      <c r="F29" s="32">
        <f>ROUNDUP('Pizzeria Profile'!$C$11/4,0)*IF('Pizzeria Profile'!$C$11&gt;0,1,0)</f>
        <v/>
      </c>
      <c r="G29" s="21">
        <f>F29</f>
        <v/>
      </c>
      <c r="H29" s="33" t="n"/>
      <c r="I29" s="33" t="n"/>
      <c r="J29" s="33" t="n"/>
      <c r="K29" s="34">
        <f>IF(COUNTIF(H29:J29,"&gt;0")=0,"",MIN(IF(AND(ISNUMBER(H29),H29&gt;0),H29,9E+99),IF(AND(ISNUMBER(I29),I29&gt;0),I29,9E+99),IF(AND(ISNUMBER(J29),J29&gt;0),J29,9E+99)))</f>
        <v/>
      </c>
      <c r="L29" s="35">
        <f>IFERROR(G29*K29,"")</f>
        <v/>
      </c>
      <c r="M29" s="22" t="inlineStr"/>
    </row>
    <row r="30" ht="53" customHeight="1">
      <c r="B30" s="29" t="inlineStr">
        <is>
          <t>Cutting and serving</t>
        </is>
      </c>
      <c r="C30" s="30" t="inlineStr">
        <is>
          <t>Crockery and cutlery for dine-in</t>
        </is>
      </c>
      <c r="D30" s="22" t="inlineStr">
        <is>
          <t>Only if you seat people. Buy reusable, or compostable with the CPCB certificate: plain plastic cups, glasses and cutlery are prohibited single-use items.</t>
        </is>
      </c>
      <c r="E30" s="31" t="inlineStr">
        <is>
          <t>Day one</t>
        </is>
      </c>
      <c r="F30" s="32">
        <f>ROUNDUP('Pizzeria Profile'!$C$11*2*(1+'Pizzeria Profile'!$C$23),0)*IF('Pizzeria Profile'!$C$11&gt;0,1,0)</f>
        <v/>
      </c>
      <c r="G30" s="21">
        <f>F30</f>
        <v/>
      </c>
      <c r="H30" s="33" t="n"/>
      <c r="I30" s="33" t="n"/>
      <c r="J30" s="33" t="n"/>
      <c r="K30" s="34">
        <f>IF(COUNTIF(H30:J30,"&gt;0")=0,"",MIN(IF(AND(ISNUMBER(H30),H30&gt;0),H30,9E+99),IF(AND(ISNUMBER(I30),I30&gt;0),I30,9E+99),IF(AND(ISNUMBER(J30),J30&gt;0),J30,9E+99)))</f>
        <v/>
      </c>
      <c r="L30" s="35">
        <f>IFERROR(G30*K30,"")</f>
        <v/>
      </c>
      <c r="M30" s="36" t="inlineStr">
        <is>
          <t>Reusable only. See What you may not buy at all.</t>
        </is>
      </c>
    </row>
    <row r="31" ht="27" customHeight="1">
      <c r="B31" s="29" t="inlineStr">
        <is>
          <t>Cold and dry storage</t>
        </is>
      </c>
      <c r="C31" s="30" t="inlineStr">
        <is>
          <t>Upright refrigerator</t>
        </is>
      </c>
      <c r="D31" s="22" t="inlineStr">
        <is>
          <t>Separate from the dough retard, because opening it all service wrecks a cold prove.</t>
        </is>
      </c>
      <c r="E31" s="31" t="inlineStr">
        <is>
          <t>Day one</t>
        </is>
      </c>
      <c r="F31" s="32">
        <f>1</f>
        <v/>
      </c>
      <c r="G31" s="21">
        <f>F31</f>
        <v/>
      </c>
      <c r="H31" s="33" t="n"/>
      <c r="I31" s="33" t="n"/>
      <c r="J31" s="33" t="n"/>
      <c r="K31" s="34">
        <f>IF(COUNTIF(H31:J31,"&gt;0")=0,"",MIN(IF(AND(ISNUMBER(H31),H31&gt;0),H31,9E+99),IF(AND(ISNUMBER(I31),I31&gt;0),I31,9E+99),IF(AND(ISNUMBER(J31),J31&gt;0),J31,9E+99)))</f>
        <v/>
      </c>
      <c r="L31" s="35">
        <f>IFERROR(G31*K31,"")</f>
        <v/>
      </c>
      <c r="M31" s="22" t="inlineStr"/>
    </row>
    <row r="32" ht="27" customHeight="1">
      <c r="B32" s="29" t="inlineStr">
        <is>
          <t>Cold and dry storage</t>
        </is>
      </c>
      <c r="C32" s="30" t="inlineStr">
        <is>
          <t>Deep freezer</t>
        </is>
      </c>
      <c r="D32" s="22" t="inlineStr">
        <is>
          <t>Cheese and proteins. Ask for internal litres, not outside dimensions.</t>
        </is>
      </c>
      <c r="E32" s="31" t="inlineStr">
        <is>
          <t>Day one</t>
        </is>
      </c>
      <c r="F32" s="32">
        <f>1</f>
        <v/>
      </c>
      <c r="G32" s="21">
        <f>F32</f>
        <v/>
      </c>
      <c r="H32" s="33" t="n"/>
      <c r="I32" s="33" t="n"/>
      <c r="J32" s="33" t="n"/>
      <c r="K32" s="34">
        <f>IF(COUNTIF(H32:J32,"&gt;0")=0,"",MIN(IF(AND(ISNUMBER(H32),H32&gt;0),H32,9E+99),IF(AND(ISNUMBER(I32),I32&gt;0),I32,9E+99),IF(AND(ISNUMBER(J32),J32&gt;0),J32,9E+99)))</f>
        <v/>
      </c>
      <c r="L32" s="35">
        <f>IFERROR(G32*K32,"")</f>
        <v/>
      </c>
      <c r="M32" s="22" t="inlineStr"/>
    </row>
    <row r="33" ht="27" customHeight="1">
      <c r="B33" s="29" t="inlineStr">
        <is>
          <t>Cold and dry storage</t>
        </is>
      </c>
      <c r="C33" s="30" t="inlineStr">
        <is>
          <t>Dry store shelving</t>
        </is>
      </c>
      <c r="D33" s="22" t="inlineStr">
        <is>
          <t>Off the floor, clear of the wall, cleanable underneath.</t>
        </is>
      </c>
      <c r="E33" s="31" t="inlineStr">
        <is>
          <t>Day one</t>
        </is>
      </c>
      <c r="F33" s="32">
        <f>4</f>
        <v/>
      </c>
      <c r="G33" s="21">
        <f>F33</f>
        <v/>
      </c>
      <c r="H33" s="33" t="n"/>
      <c r="I33" s="33" t="n"/>
      <c r="J33" s="33" t="n"/>
      <c r="K33" s="34">
        <f>IF(COUNTIF(H33:J33,"&gt;0")=0,"",MIN(IF(AND(ISNUMBER(H33),H33&gt;0),H33,9E+99),IF(AND(ISNUMBER(I33),I33&gt;0),I33,9E+99),IF(AND(ISNUMBER(J33),J33&gt;0),J33,9E+99)))</f>
        <v/>
      </c>
      <c r="L33" s="35">
        <f>IFERROR(G33*K33,"")</f>
        <v/>
      </c>
      <c r="M33" s="22" t="inlineStr"/>
    </row>
    <row r="34" ht="27" customHeight="1">
      <c r="B34" s="29" t="inlineStr">
        <is>
          <t>Cold and dry storage</t>
        </is>
      </c>
      <c r="C34" s="30" t="inlineStr">
        <is>
          <t>Probe thermometer</t>
        </is>
      </c>
      <c r="D34" s="22" t="inlineStr">
        <is>
          <t>One per fridge and one spare. Cheap, and the first thing an inspection asks for.</t>
        </is>
      </c>
      <c r="E34" s="31" t="inlineStr">
        <is>
          <t>Day one</t>
        </is>
      </c>
      <c r="F34" s="32">
        <f>4</f>
        <v/>
      </c>
      <c r="G34" s="21">
        <f>F34</f>
        <v/>
      </c>
      <c r="H34" s="33" t="n"/>
      <c r="I34" s="33" t="n"/>
      <c r="J34" s="33" t="n"/>
      <c r="K34" s="34">
        <f>IF(COUNTIF(H34:J34,"&gt;0")=0,"",MIN(IF(AND(ISNUMBER(H34),H34&gt;0),H34,9E+99),IF(AND(ISNUMBER(I34),I34&gt;0),I34,9E+99),IF(AND(ISNUMBER(J34),J34&gt;0),J34,9E+99)))</f>
        <v/>
      </c>
      <c r="L34" s="35">
        <f>IFERROR(G34*K34,"")</f>
        <v/>
      </c>
      <c r="M34" s="36" t="inlineStr">
        <is>
          <t>Temperature records are an operations duty.</t>
        </is>
      </c>
    </row>
    <row r="35" ht="27" customHeight="1">
      <c r="B35" s="29" t="inlineStr">
        <is>
          <t>Cold and dry storage</t>
        </is>
      </c>
      <c r="C35" s="30" t="inlineStr">
        <is>
          <t>Ingredient containers, sealed and dated</t>
        </is>
      </c>
      <c r="D35" s="22" t="inlineStr">
        <is>
          <t>Sealed, dated, stackable.</t>
        </is>
      </c>
      <c r="E35" s="31" t="inlineStr">
        <is>
          <t>Day one</t>
        </is>
      </c>
      <c r="F35" s="32">
        <f>20</f>
        <v/>
      </c>
      <c r="G35" s="21">
        <f>F35</f>
        <v/>
      </c>
      <c r="H35" s="33" t="n"/>
      <c r="I35" s="33" t="n"/>
      <c r="J35" s="33" t="n"/>
      <c r="K35" s="34">
        <f>IF(COUNTIF(H35:J35,"&gt;0")=0,"",MIN(IF(AND(ISNUMBER(H35),H35&gt;0),H35,9E+99),IF(AND(ISNUMBER(I35),I35&gt;0),I35,9E+99),IF(AND(ISNUMBER(J35),J35&gt;0),J35,9E+99)))</f>
        <v/>
      </c>
      <c r="L35" s="35">
        <f>IFERROR(G35*K35,"")</f>
        <v/>
      </c>
      <c r="M35" s="22" t="inlineStr"/>
    </row>
    <row r="36" ht="53" customHeight="1">
      <c r="B36" s="29" t="inlineStr">
        <is>
          <t>Delivery and packaging</t>
        </is>
      </c>
      <c r="C36" s="30" t="inlineStr">
        <is>
          <t>Pizza boxes, opening stock</t>
        </is>
      </c>
      <c r="D36" s="22" t="inlineStr">
        <is>
          <t>The lead post does not mention packaging at all. Quantity is in PIECES, so quote it per box, not per bundle. Corrugated board is not on the prohibited plastics list.</t>
        </is>
      </c>
      <c r="E36" s="31" t="inlineStr">
        <is>
          <t>Day one</t>
        </is>
      </c>
      <c r="F36" s="32">
        <f>ROUNDUP('Pizzeria Profile'!$C$6*'Pizzeria Profile'!$C$22*(1+'Pizzeria Profile'!$C$23),0)*IF('Pizzeria Profile'!$C$10="Yes",1,0)</f>
        <v/>
      </c>
      <c r="G36" s="21">
        <f>F36</f>
        <v/>
      </c>
      <c r="H36" s="33" t="n"/>
      <c r="I36" s="33" t="n"/>
      <c r="J36" s="33" t="n"/>
      <c r="K36" s="34">
        <f>IF(COUNTIF(H36:J36,"&gt;0")=0,"",MIN(IF(AND(ISNUMBER(H36),H36&gt;0),H36,9E+99),IF(AND(ISNUMBER(I36),I36&gt;0),I36,9E+99),IF(AND(ISNUMBER(J36),J36&gt;0),J36,9E+99)))</f>
        <v/>
      </c>
      <c r="L36" s="35">
        <f>IFERROR(G36*K36,"")</f>
        <v/>
      </c>
      <c r="M36" s="36" t="inlineStr">
        <is>
          <t>Sized from the Pizzeria Profile figure.</t>
        </is>
      </c>
    </row>
    <row r="37" ht="53" customHeight="1">
      <c r="B37" s="29" t="inlineStr">
        <is>
          <t>Delivery and packaging</t>
        </is>
      </c>
      <c r="C37" s="30" t="inlineStr">
        <is>
          <t>Box liners and grease-proof sheets</t>
        </is>
      </c>
      <c r="D37" s="22" t="inlineStr">
        <is>
          <t>A soggy base is the most common delivery complaint and the cheapest to fix. Quantity is in SHEETS, so quote per sheet rather than per pack.</t>
        </is>
      </c>
      <c r="E37" s="31" t="inlineStr">
        <is>
          <t>Day one</t>
        </is>
      </c>
      <c r="F37" s="32">
        <f>ROUNDUP('Pizzeria Profile'!$C$6*'Pizzeria Profile'!$C$22*(1+'Pizzeria Profile'!$C$23),0)*IF('Pizzeria Profile'!$C$10="Yes",1,0)</f>
        <v/>
      </c>
      <c r="G37" s="21">
        <f>F37</f>
        <v/>
      </c>
      <c r="H37" s="33" t="n"/>
      <c r="I37" s="33" t="n"/>
      <c r="J37" s="33" t="n"/>
      <c r="K37" s="34">
        <f>IF(COUNTIF(H37:J37,"&gt;0")=0,"",MIN(IF(AND(ISNUMBER(H37),H37&gt;0),H37,9E+99),IF(AND(ISNUMBER(I37),I37&gt;0),I37,9E+99),IF(AND(ISNUMBER(J37),J37&gt;0),J37,9E+99)))</f>
        <v/>
      </c>
      <c r="L37" s="35">
        <f>IFERROR(G37*K37,"")</f>
        <v/>
      </c>
      <c r="M37" s="22" t="inlineStr"/>
    </row>
    <row r="38" ht="66" customHeight="1">
      <c r="B38" s="29" t="inlineStr">
        <is>
          <t>Delivery and packaging</t>
        </is>
      </c>
      <c r="C38" s="30" t="inlineStr">
        <is>
          <t>Carry bags</t>
        </is>
      </c>
      <c r="D38" s="22" t="inlineStr">
        <is>
          <t>Plastic carry bags below one hundred and twenty microns are prohibited. Check the micron rating on the invoice, not on the bag, and quote per bag rather than per bundle.</t>
        </is>
      </c>
      <c r="E38" s="31" t="inlineStr">
        <is>
          <t>Day one</t>
        </is>
      </c>
      <c r="F38" s="32">
        <f>ROUNDUP('Pizzeria Profile'!$C$6*'Pizzeria Profile'!$C$22*0.6,0)*IF('Pizzeria Profile'!$C$10="Yes",1,0)</f>
        <v/>
      </c>
      <c r="G38" s="21">
        <f>F38</f>
        <v/>
      </c>
      <c r="H38" s="33" t="n"/>
      <c r="I38" s="33" t="n"/>
      <c r="J38" s="33" t="n"/>
      <c r="K38" s="34">
        <f>IF(COUNTIF(H38:J38,"&gt;0")=0,"",MIN(IF(AND(ISNUMBER(H38),H38&gt;0),H38,9E+99),IF(AND(ISNUMBER(I38),I38&gt;0),I38,9E+99),IF(AND(ISNUMBER(J38),J38&gt;0),J38,9E+99)))</f>
        <v/>
      </c>
      <c r="L38" s="35">
        <f>IFERROR(G38*K38,"")</f>
        <v/>
      </c>
      <c r="M38" s="36" t="inlineStr">
        <is>
          <t>120-micron floor. See What you may not buy at all.</t>
        </is>
      </c>
    </row>
    <row r="39" ht="40" customHeight="1">
      <c r="B39" s="29" t="inlineStr">
        <is>
          <t>Delivery and packaging</t>
        </is>
      </c>
      <c r="C39" s="30" t="inlineStr">
        <is>
          <t>Tamper-evident seals</t>
        </is>
      </c>
      <c r="D39" s="22" t="inlineStr">
        <is>
          <t>The last thing the customer sees before the food. Quantity is in SEALS, so quote per seal rather than per roll.</t>
        </is>
      </c>
      <c r="E39" s="31" t="inlineStr">
        <is>
          <t>Day one</t>
        </is>
      </c>
      <c r="F39" s="32">
        <f>ROUNDUP('Pizzeria Profile'!$C$6*'Pizzeria Profile'!$C$22*0.6,0)*IF('Pizzeria Profile'!$C$10="Yes",1,0)</f>
        <v/>
      </c>
      <c r="G39" s="21">
        <f>F39</f>
        <v/>
      </c>
      <c r="H39" s="33" t="n"/>
      <c r="I39" s="33" t="n"/>
      <c r="J39" s="33" t="n"/>
      <c r="K39" s="34">
        <f>IF(COUNTIF(H39:J39,"&gt;0")=0,"",MIN(IF(AND(ISNUMBER(H39),H39&gt;0),H39,9E+99),IF(AND(ISNUMBER(I39),I39&gt;0),I39,9E+99),IF(AND(ISNUMBER(J39),J39&gt;0),J39,9E+99)))</f>
        <v/>
      </c>
      <c r="L39" s="35">
        <f>IFERROR(G39*K39,"")</f>
        <v/>
      </c>
      <c r="M39" s="22" t="inlineStr"/>
    </row>
    <row r="40" ht="27" customHeight="1">
      <c r="B40" s="29" t="inlineStr">
        <is>
          <t>Delivery and packaging</t>
        </is>
      </c>
      <c r="C40" s="30" t="inlineStr">
        <is>
          <t>Insulated delivery bags</t>
        </is>
      </c>
      <c r="D40" s="22" t="inlineStr">
        <is>
          <t>Only if you run your own riders. Aggregator riders bring their own.</t>
        </is>
      </c>
      <c r="E40" s="37" t="inlineStr">
        <is>
          <t>Later</t>
        </is>
      </c>
      <c r="F40" s="32">
        <f>3*IF('Pizzeria Profile'!$C$10="Yes",1,0)</f>
        <v/>
      </c>
      <c r="G40" s="21">
        <f>F40</f>
        <v/>
      </c>
      <c r="H40" s="33" t="n"/>
      <c r="I40" s="33" t="n"/>
      <c r="J40" s="33" t="n"/>
      <c r="K40" s="34">
        <f>IF(COUNTIF(H40:J40,"&gt;0")=0,"",MIN(IF(AND(ISNUMBER(H40),H40&gt;0),H40,9E+99),IF(AND(ISNUMBER(I40),I40&gt;0),I40,9E+99),IF(AND(ISNUMBER(J40),J40&gt;0),J40,9E+99)))</f>
        <v/>
      </c>
      <c r="L40" s="35">
        <f>IFERROR(G40*K40,"")</f>
        <v/>
      </c>
      <c r="M40" s="22" t="inlineStr"/>
    </row>
    <row r="41" ht="27" customHeight="1">
      <c r="B41" s="29" t="inlineStr">
        <is>
          <t>Delivery and packaging</t>
        </is>
      </c>
      <c r="C41" s="30" t="inlineStr">
        <is>
          <t>Hot holding shelf for waiting orders</t>
        </is>
      </c>
      <c r="D41" s="22" t="inlineStr">
        <is>
          <t>Boxed pizzas waiting for a rider have to go somewhere that is not the cutting table.</t>
        </is>
      </c>
      <c r="E41" s="31" t="inlineStr">
        <is>
          <t>Day one</t>
        </is>
      </c>
      <c r="F41" s="32">
        <f>1*IF('Pizzeria Profile'!$C$10="Yes",1,0)</f>
        <v/>
      </c>
      <c r="G41" s="21">
        <f>F41</f>
        <v/>
      </c>
      <c r="H41" s="33" t="n"/>
      <c r="I41" s="33" t="n"/>
      <c r="J41" s="33" t="n"/>
      <c r="K41" s="34">
        <f>IF(COUNTIF(H41:J41,"&gt;0")=0,"",MIN(IF(AND(ISNUMBER(H41),H41&gt;0),H41,9E+99),IF(AND(ISNUMBER(I41),I41&gt;0),I41,9E+99),IF(AND(ISNUMBER(J41),J41&gt;0),J41,9E+99)))</f>
        <v/>
      </c>
      <c r="L41" s="35">
        <f>IFERROR(G41*K41,"")</f>
        <v/>
      </c>
      <c r="M41" s="22" t="inlineStr"/>
    </row>
    <row r="42" ht="27" customHeight="1">
      <c r="B42" s="29" t="inlineStr">
        <is>
          <t>Delivery and packaging</t>
        </is>
      </c>
      <c r="C42" s="30" t="inlineStr">
        <is>
          <t>Dipping sauces, sachets and chilli flakes</t>
        </is>
      </c>
      <c r="D42" s="22" t="inlineStr">
        <is>
          <t>A consumable, but it is on the day-one list because the first order needs it.</t>
        </is>
      </c>
      <c r="E42" s="31" t="inlineStr">
        <is>
          <t>Day one</t>
        </is>
      </c>
      <c r="F42" s="32">
        <f>1*IF('Pizzeria Profile'!$C$10="Yes",1,0)</f>
        <v/>
      </c>
      <c r="G42" s="21">
        <f>F42</f>
        <v/>
      </c>
      <c r="H42" s="33" t="n"/>
      <c r="I42" s="33" t="n"/>
      <c r="J42" s="33" t="n"/>
      <c r="K42" s="34">
        <f>IF(COUNTIF(H42:J42,"&gt;0")=0,"",MIN(IF(AND(ISNUMBER(H42),H42&gt;0),H42,9E+99),IF(AND(ISNUMBER(I42),I42&gt;0),I42,9E+99),IF(AND(ISNUMBER(J42),J42&gt;0),J42,9E+99)))</f>
        <v/>
      </c>
      <c r="L42" s="35">
        <f>IFERROR(G42*K42,"")</f>
        <v/>
      </c>
      <c r="M42" s="22" t="inlineStr"/>
    </row>
    <row r="43" ht="27" customHeight="1">
      <c r="B43" s="29" t="inlineStr">
        <is>
          <t>Front of house</t>
        </is>
      </c>
      <c r="C43" s="30" t="inlineStr">
        <is>
          <t>Tables and chairs</t>
        </is>
      </c>
      <c r="D43" s="22" t="inlineStr">
        <is>
          <t>Only if you seat people. Suggested at one table per four seats.</t>
        </is>
      </c>
      <c r="E43" s="31" t="inlineStr">
        <is>
          <t>Day one</t>
        </is>
      </c>
      <c r="F43" s="32">
        <f>ROUNDUP('Pizzeria Profile'!$C$11/4,0)*IF('Pizzeria Profile'!$C$11&gt;0,1,0)</f>
        <v/>
      </c>
      <c r="G43" s="21">
        <f>F43</f>
        <v/>
      </c>
      <c r="H43" s="33" t="n"/>
      <c r="I43" s="33" t="n"/>
      <c r="J43" s="33" t="n"/>
      <c r="K43" s="34">
        <f>IF(COUNTIF(H43:J43,"&gt;0")=0,"",MIN(IF(AND(ISNUMBER(H43),H43&gt;0),H43,9E+99),IF(AND(ISNUMBER(I43),I43&gt;0),I43,9E+99),IF(AND(ISNUMBER(J43),J43&gt;0),J43,9E+99)))</f>
        <v/>
      </c>
      <c r="L43" s="35">
        <f>IFERROR(G43*K43,"")</f>
        <v/>
      </c>
      <c r="M43" s="22" t="inlineStr"/>
    </row>
    <row r="44" ht="27" customHeight="1">
      <c r="B44" s="29" t="inlineStr">
        <is>
          <t>Front of house</t>
        </is>
      </c>
      <c r="C44" s="30" t="inlineStr">
        <is>
          <t>Counter and display</t>
        </is>
      </c>
      <c r="D44" s="22" t="inlineStr">
        <is>
          <t>Where the order is taken and where the wait happens.</t>
        </is>
      </c>
      <c r="E44" s="31" t="inlineStr">
        <is>
          <t>Day one</t>
        </is>
      </c>
      <c r="F44" s="32">
        <f>1</f>
        <v/>
      </c>
      <c r="G44" s="21">
        <f>F44</f>
        <v/>
      </c>
      <c r="H44" s="33" t="n"/>
      <c r="I44" s="33" t="n"/>
      <c r="J44" s="33" t="n"/>
      <c r="K44" s="34">
        <f>IF(COUNTIF(H44:J44,"&gt;0")=0,"",MIN(IF(AND(ISNUMBER(H44),H44&gt;0),H44,9E+99),IF(AND(ISNUMBER(I44),I44&gt;0),I44,9E+99),IF(AND(ISNUMBER(J44),J44&gt;0),J44,9E+99)))</f>
        <v/>
      </c>
      <c r="L44" s="35">
        <f>IFERROR(G44*K44,"")</f>
        <v/>
      </c>
      <c r="M44" s="22" t="inlineStr"/>
    </row>
    <row r="45" ht="27" customHeight="1">
      <c r="B45" s="29" t="inlineStr">
        <is>
          <t>Front of house</t>
        </is>
      </c>
      <c r="C45" s="30" t="inlineStr">
        <is>
          <t>Menu board or printed menus</t>
        </is>
      </c>
      <c r="D45" s="22" t="inlineStr">
        <is>
          <t>Prices shown must match what the till charges.</t>
        </is>
      </c>
      <c r="E45" s="31" t="inlineStr">
        <is>
          <t>Day one</t>
        </is>
      </c>
      <c r="F45" s="32">
        <f>1</f>
        <v/>
      </c>
      <c r="G45" s="21">
        <f>F45</f>
        <v/>
      </c>
      <c r="H45" s="33" t="n"/>
      <c r="I45" s="33" t="n"/>
      <c r="J45" s="33" t="n"/>
      <c r="K45" s="34">
        <f>IF(COUNTIF(H45:J45,"&gt;0")=0,"",MIN(IF(AND(ISNUMBER(H45),H45&gt;0),H45,9E+99),IF(AND(ISNUMBER(I45),I45&gt;0),I45,9E+99),IF(AND(ISNUMBER(J45),J45&gt;0),J45,9E+99)))</f>
        <v/>
      </c>
      <c r="L45" s="35">
        <f>IFERROR(G45*K45,"")</f>
        <v/>
      </c>
      <c r="M45" s="36" t="inlineStr">
        <is>
          <t>Price displayed and price charged must agree.</t>
        </is>
      </c>
    </row>
    <row r="46" ht="27" customHeight="1">
      <c r="B46" s="29" t="inlineStr">
        <is>
          <t>Front of house</t>
        </is>
      </c>
      <c r="C46" s="30" t="inlineStr">
        <is>
          <t>Water station</t>
        </is>
      </c>
      <c r="D46" s="22" t="inlineStr">
        <is>
          <t>Cheaper than serving bottled, and the guests expect it.</t>
        </is>
      </c>
      <c r="E46" s="31" t="inlineStr">
        <is>
          <t>Day one</t>
        </is>
      </c>
      <c r="F46" s="32">
        <f>1*IF('Pizzeria Profile'!$C$11&gt;0,1,0)</f>
        <v/>
      </c>
      <c r="G46" s="21">
        <f>F46</f>
        <v/>
      </c>
      <c r="H46" s="33" t="n"/>
      <c r="I46" s="33" t="n"/>
      <c r="J46" s="33" t="n"/>
      <c r="K46" s="34">
        <f>IF(COUNTIF(H46:J46,"&gt;0")=0,"",MIN(IF(AND(ISNUMBER(H46),H46&gt;0),H46,9E+99),IF(AND(ISNUMBER(I46),I46&gt;0),I46,9E+99),IF(AND(ISNUMBER(J46),J46&gt;0),J46,9E+99)))</f>
        <v/>
      </c>
      <c r="L46" s="35">
        <f>IFERROR(G46*K46,"")</f>
        <v/>
      </c>
      <c r="M46" s="22" t="inlineStr"/>
    </row>
    <row r="47" ht="40" customHeight="1">
      <c r="B47" s="29" t="inlineStr">
        <is>
          <t>Cleaning and hygiene</t>
        </is>
      </c>
      <c r="C47" s="30" t="inlineStr">
        <is>
          <t>Utensil wash sinks with draining board</t>
        </is>
      </c>
      <c r="D47" s="22" t="inlineStr">
        <is>
          <t>Adequate facilities to clean and disinfect utensils and equipment, with hot and cold water where required.</t>
        </is>
      </c>
      <c r="E47" s="31" t="inlineStr">
        <is>
          <t>Day one</t>
        </is>
      </c>
      <c r="F47" s="32">
        <f>1</f>
        <v/>
      </c>
      <c r="G47" s="21">
        <f>F47</f>
        <v/>
      </c>
      <c r="H47" s="33" t="n"/>
      <c r="I47" s="33" t="n"/>
      <c r="J47" s="33" t="n"/>
      <c r="K47" s="34">
        <f>IF(COUNTIF(H47:J47,"&gt;0")=0,"",MIN(IF(AND(ISNUMBER(H47),H47&gt;0),H47,9E+99),IF(AND(ISNUMBER(I47),I47&gt;0),I47,9E+99),IF(AND(ISNUMBER(J47),J47&gt;0),J47,9E+99)))</f>
        <v/>
      </c>
      <c r="L47" s="35">
        <f>IFERROR(G47*K47,"")</f>
        <v/>
      </c>
      <c r="M47" s="36" t="inlineStr">
        <is>
          <t>Schedule 4 Part-II 4.2 and 4.3.</t>
        </is>
      </c>
    </row>
    <row r="48" ht="66" customHeight="1">
      <c r="B48" s="29" t="inlineStr">
        <is>
          <t>Cleaning and hygiene</t>
        </is>
      </c>
      <c r="C48" s="30" t="inlineStr">
        <is>
          <t>Hand wash basin</t>
        </is>
      </c>
      <c r="D48" s="22" t="inlineStr">
        <is>
          <t>Separate from the wash sinks, with soap and a drying method.</t>
        </is>
      </c>
      <c r="E48" s="31" t="inlineStr">
        <is>
          <t>Day one</t>
        </is>
      </c>
      <c r="F48" s="32">
        <f>1</f>
        <v/>
      </c>
      <c r="G48" s="21">
        <f>F48</f>
        <v/>
      </c>
      <c r="H48" s="33" t="n"/>
      <c r="I48" s="33" t="n"/>
      <c r="J48" s="33" t="n"/>
      <c r="K48" s="34">
        <f>IF(COUNTIF(H48:J48,"&gt;0")=0,"",MIN(IF(AND(ISNUMBER(H48),H48&gt;0),H48,9E+99),IF(AND(ISNUMBER(I48),I48&gt;0),I48,9E+99),IF(AND(ISNUMBER(J48),J48&gt;0),J48,9E+99)))</f>
        <v/>
      </c>
      <c r="L48" s="35">
        <f>IFERROR(G48*K48,"")</f>
        <v/>
      </c>
      <c r="M48" s="36" t="inlineStr">
        <is>
          <t>Schedule 4 Part-II: personnel facilities must include wash basins for washing and drying hands before touching food.</t>
        </is>
      </c>
    </row>
    <row r="49" ht="66" customHeight="1">
      <c r="B49" s="29" t="inlineStr">
        <is>
          <t>Cleaning and hygiene</t>
        </is>
      </c>
      <c r="C49" s="30" t="inlineStr">
        <is>
          <t>Food contact sanitiser</t>
        </is>
      </c>
      <c r="D49" s="22" t="inlineStr">
        <is>
          <t>Rated for food contact surfaces. Keep the label and the dilution chart.</t>
        </is>
      </c>
      <c r="E49" s="31" t="inlineStr">
        <is>
          <t>Day one</t>
        </is>
      </c>
      <c r="F49" s="32">
        <f>1</f>
        <v/>
      </c>
      <c r="G49" s="21">
        <f>F49</f>
        <v/>
      </c>
      <c r="H49" s="33" t="n"/>
      <c r="I49" s="33" t="n"/>
      <c r="J49" s="33" t="n"/>
      <c r="K49" s="34">
        <f>IF(COUNTIF(H49:J49,"&gt;0")=0,"",MIN(IF(AND(ISNUMBER(H49),H49&gt;0),H49,9E+99),IF(AND(ISNUMBER(I49),I49&gt;0),I49,9E+99),IF(AND(ISNUMBER(J49),J49&gt;0),J49,9E+99)))</f>
        <v/>
      </c>
      <c r="L49" s="35">
        <f>IFERROR(G49*K49,"")</f>
        <v/>
      </c>
      <c r="M49" s="36" t="inlineStr">
        <is>
          <t>Part-II 9.1.1: a cleaning and sanitation programme must be drawn up, observed, and the record of it kept.</t>
        </is>
      </c>
    </row>
    <row r="50" ht="27" customHeight="1">
      <c r="B50" s="29" t="inlineStr">
        <is>
          <t>Cleaning and hygiene</t>
        </is>
      </c>
      <c r="C50" s="30" t="inlineStr">
        <is>
          <t>Cloths, colour coded</t>
        </is>
      </c>
      <c r="D50" s="22" t="inlineStr">
        <is>
          <t>One colour for benches, one for the floor, and the staff know which.</t>
        </is>
      </c>
      <c r="E50" s="31" t="inlineStr">
        <is>
          <t>Day one</t>
        </is>
      </c>
      <c r="F50" s="32">
        <f>12</f>
        <v/>
      </c>
      <c r="G50" s="21">
        <f>F50</f>
        <v/>
      </c>
      <c r="H50" s="33" t="n"/>
      <c r="I50" s="33" t="n"/>
      <c r="J50" s="33" t="n"/>
      <c r="K50" s="34">
        <f>IF(COUNTIF(H50:J50,"&gt;0")=0,"",MIN(IF(AND(ISNUMBER(H50),H50&gt;0),H50,9E+99),IF(AND(ISNUMBER(I50),I50&gt;0),I50,9E+99),IF(AND(ISNUMBER(J50),J50&gt;0),J50,9E+99)))</f>
        <v/>
      </c>
      <c r="L50" s="35">
        <f>IFERROR(G50*K50,"")</f>
        <v/>
      </c>
      <c r="M50" s="22" t="inlineStr"/>
    </row>
    <row r="51" ht="27" customHeight="1">
      <c r="B51" s="29" t="inlineStr">
        <is>
          <t>Cleaning and hygiene</t>
        </is>
      </c>
      <c r="C51" s="30" t="inlineStr">
        <is>
          <t>Flour-safe vacuum or sweeper</t>
        </is>
      </c>
      <c r="D51" s="22" t="inlineStr">
        <is>
          <t>Flour dust settles everywhere and feeds pests. Sweeping moves it around.</t>
        </is>
      </c>
      <c r="E51" s="31" t="inlineStr">
        <is>
          <t>Day one</t>
        </is>
      </c>
      <c r="F51" s="32">
        <f>1</f>
        <v/>
      </c>
      <c r="G51" s="21">
        <f>F51</f>
        <v/>
      </c>
      <c r="H51" s="33" t="n"/>
      <c r="I51" s="33" t="n"/>
      <c r="J51" s="33" t="n"/>
      <c r="K51" s="34">
        <f>IF(COUNTIF(H51:J51,"&gt;0")=0,"",MIN(IF(AND(ISNUMBER(H51),H51&gt;0),H51,9E+99),IF(AND(ISNUMBER(I51),I51&gt;0),I51,9E+99),IF(AND(ISNUMBER(J51),J51&gt;0),J51,9E+99)))</f>
        <v/>
      </c>
      <c r="L51" s="35">
        <f>IFERROR(G51*K51,"")</f>
        <v/>
      </c>
      <c r="M51" s="22" t="inlineStr"/>
    </row>
    <row r="52" ht="40" customHeight="1">
      <c r="B52" s="29" t="inlineStr">
        <is>
          <t>Cleaning and hygiene</t>
        </is>
      </c>
      <c r="C52" s="30" t="inlineStr">
        <is>
          <t>Waste bins with lids, segregated</t>
        </is>
      </c>
      <c r="D52" s="22" t="inlineStr">
        <is>
          <t>Wet and dry apart, lidded, emptied before they are full. Boxes are bulky waste: plan for the volume.</t>
        </is>
      </c>
      <c r="E52" s="31" t="inlineStr">
        <is>
          <t>Day one</t>
        </is>
      </c>
      <c r="F52" s="32">
        <f>4</f>
        <v/>
      </c>
      <c r="G52" s="21">
        <f>F52</f>
        <v/>
      </c>
      <c r="H52" s="33" t="n"/>
      <c r="I52" s="33" t="n"/>
      <c r="J52" s="33" t="n"/>
      <c r="K52" s="34">
        <f>IF(COUNTIF(H52:J52,"&gt;0")=0,"",MIN(IF(AND(ISNUMBER(H52),H52&gt;0),H52,9E+99),IF(AND(ISNUMBER(I52),I52&gt;0),I52,9E+99),IF(AND(ISNUMBER(J52),J52&gt;0),J52,9E+99)))</f>
        <v/>
      </c>
      <c r="L52" s="35">
        <f>IFERROR(G52*K52,"")</f>
        <v/>
      </c>
      <c r="M52" s="22" t="inlineStr"/>
    </row>
    <row r="53" ht="27" customHeight="1">
      <c r="B53" s="29" t="inlineStr">
        <is>
          <t>Cleaning and hygiene</t>
        </is>
      </c>
      <c r="C53" s="30" t="inlineStr">
        <is>
          <t>Grease trap</t>
        </is>
      </c>
      <c r="D53" s="22" t="inlineStr">
        <is>
          <t>Fitted and on a cleaning schedule.</t>
        </is>
      </c>
      <c r="E53" s="31" t="inlineStr">
        <is>
          <t>Day one</t>
        </is>
      </c>
      <c r="F53" s="32">
        <f>1</f>
        <v/>
      </c>
      <c r="G53" s="21">
        <f>F53</f>
        <v/>
      </c>
      <c r="H53" s="33" t="n"/>
      <c r="I53" s="33" t="n"/>
      <c r="J53" s="33" t="n"/>
      <c r="K53" s="34">
        <f>IF(COUNTIF(H53:J53,"&gt;0")=0,"",MIN(IF(AND(ISNUMBER(H53),H53&gt;0),H53,9E+99),IF(AND(ISNUMBER(I53),I53&gt;0),I53,9E+99),IF(AND(ISNUMBER(J53),J53&gt;0),J53,9E+99)))</f>
        <v/>
      </c>
      <c r="L53" s="35">
        <f>IFERROR(G53*K53,"")</f>
        <v/>
      </c>
      <c r="M53" s="22" t="inlineStr"/>
    </row>
    <row r="54" ht="27" customHeight="1">
      <c r="B54" s="29" t="inlineStr">
        <is>
          <t>Cleaning and hygiene</t>
        </is>
      </c>
      <c r="C54" s="30" t="inlineStr">
        <is>
          <t>Pest control contract and proofing</t>
        </is>
      </c>
      <c r="D54" s="22" t="inlineStr">
        <is>
          <t>Door sweeps, mesh on the vents, and a contract with records.</t>
        </is>
      </c>
      <c r="E54" s="31" t="inlineStr">
        <is>
          <t>Day one</t>
        </is>
      </c>
      <c r="F54" s="32">
        <f>1</f>
        <v/>
      </c>
      <c r="G54" s="21">
        <f>F54</f>
        <v/>
      </c>
      <c r="H54" s="33" t="n"/>
      <c r="I54" s="33" t="n"/>
      <c r="J54" s="33" t="n"/>
      <c r="K54" s="34">
        <f>IF(COUNTIF(H54:J54,"&gt;0")=0,"",MIN(IF(AND(ISNUMBER(H54),H54&gt;0),H54,9E+99),IF(AND(ISNUMBER(I54),I54&gt;0),I54,9E+99),IF(AND(ISNUMBER(J54),J54&gt;0),J54,9E+99)))</f>
        <v/>
      </c>
      <c r="L54" s="35">
        <f>IFERROR(G54*K54,"")</f>
        <v/>
      </c>
      <c r="M54" s="22" t="inlineStr"/>
    </row>
    <row r="55" ht="40" customHeight="1">
      <c r="B55" s="29" t="inlineStr">
        <is>
          <t>Billing and back office</t>
        </is>
      </c>
      <c r="C55" s="30" t="inlineStr">
        <is>
          <t>POS terminal</t>
        </is>
      </c>
      <c r="D55" s="22" t="inlineStr">
        <is>
          <t>Must hold a recipe against the pizza, not just a price, or the cheese variance never shows.</t>
        </is>
      </c>
      <c r="E55" s="31" t="inlineStr">
        <is>
          <t>Day one</t>
        </is>
      </c>
      <c r="F55" s="32">
        <f>1</f>
        <v/>
      </c>
      <c r="G55" s="21">
        <f>F55</f>
        <v/>
      </c>
      <c r="H55" s="33" t="n"/>
      <c r="I55" s="33" t="n"/>
      <c r="J55" s="33" t="n"/>
      <c r="K55" s="34">
        <f>IF(COUNTIF(H55:J55,"&gt;0")=0,"",MIN(IF(AND(ISNUMBER(H55),H55&gt;0),H55,9E+99),IF(AND(ISNUMBER(I55),I55&gt;0),I55,9E+99),IF(AND(ISNUMBER(J55),J55&gt;0),J55,9E+99)))</f>
        <v/>
      </c>
      <c r="L55" s="35">
        <f>IFERROR(G55*K55,"")</f>
        <v/>
      </c>
      <c r="M55" s="22" t="inlineStr"/>
    </row>
    <row r="56" ht="27" customHeight="1">
      <c r="B56" s="29" t="inlineStr">
        <is>
          <t>Billing and back office</t>
        </is>
      </c>
      <c r="C56" s="30" t="inlineStr">
        <is>
          <t>Kitchen display or KOT printer</t>
        </is>
      </c>
      <c r="D56" s="22" t="inlineStr">
        <is>
          <t>At the line, so the order reaches the person making it.</t>
        </is>
      </c>
      <c r="E56" s="31" t="inlineStr">
        <is>
          <t>Day one</t>
        </is>
      </c>
      <c r="F56" s="32">
        <f>1</f>
        <v/>
      </c>
      <c r="G56" s="21">
        <f>F56</f>
        <v/>
      </c>
      <c r="H56" s="33" t="n"/>
      <c r="I56" s="33" t="n"/>
      <c r="J56" s="33" t="n"/>
      <c r="K56" s="34">
        <f>IF(COUNTIF(H56:J56,"&gt;0")=0,"",MIN(IF(AND(ISNUMBER(H56),H56&gt;0),H56,9E+99),IF(AND(ISNUMBER(I56),I56&gt;0),I56,9E+99),IF(AND(ISNUMBER(J56),J56&gt;0),J56,9E+99)))</f>
        <v/>
      </c>
      <c r="L56" s="35">
        <f>IFERROR(G56*K56,"")</f>
        <v/>
      </c>
      <c r="M56" s="22" t="inlineStr"/>
    </row>
    <row r="57" ht="27" customHeight="1">
      <c r="B57" s="29" t="inlineStr">
        <is>
          <t>Billing and back office</t>
        </is>
      </c>
      <c r="C57" s="30" t="inlineStr">
        <is>
          <t>Aggregator tablet or integration</t>
        </is>
      </c>
      <c r="D57" s="22" t="inlineStr">
        <is>
          <t>One per platform, unless the POS pulls them into one screen.</t>
        </is>
      </c>
      <c r="E57" s="31" t="inlineStr">
        <is>
          <t>Day one</t>
        </is>
      </c>
      <c r="F57" s="32">
        <f>2*IF('Pizzeria Profile'!$C$10="Yes",1,0)</f>
        <v/>
      </c>
      <c r="G57" s="21">
        <f>F57</f>
        <v/>
      </c>
      <c r="H57" s="33" t="n"/>
      <c r="I57" s="33" t="n"/>
      <c r="J57" s="33" t="n"/>
      <c r="K57" s="34">
        <f>IF(COUNTIF(H57:J57,"&gt;0")=0,"",MIN(IF(AND(ISNUMBER(H57),H57&gt;0),H57,9E+99),IF(AND(ISNUMBER(I57),I57&gt;0),I57,9E+99),IF(AND(ISNUMBER(J57),J57&gt;0),J57,9E+99)))</f>
        <v/>
      </c>
      <c r="L57" s="35">
        <f>IFERROR(G57*K57,"")</f>
        <v/>
      </c>
      <c r="M57" s="22" t="inlineStr"/>
    </row>
    <row r="58" ht="27" customHeight="1">
      <c r="B58" s="29" t="inlineStr">
        <is>
          <t>Billing and back office</t>
        </is>
      </c>
      <c r="C58" s="30" t="inlineStr">
        <is>
          <t>Card machine</t>
        </is>
      </c>
      <c r="D58" s="22" t="inlineStr">
        <is>
          <t>Usually the bank's, but budget the rental.</t>
        </is>
      </c>
      <c r="E58" s="31" t="inlineStr">
        <is>
          <t>Day one</t>
        </is>
      </c>
      <c r="F58" s="32">
        <f>1</f>
        <v/>
      </c>
      <c r="G58" s="21">
        <f>F58</f>
        <v/>
      </c>
      <c r="H58" s="33" t="n"/>
      <c r="I58" s="33" t="n"/>
      <c r="J58" s="33" t="n"/>
      <c r="K58" s="34">
        <f>IF(COUNTIF(H58:J58,"&gt;0")=0,"",MIN(IF(AND(ISNUMBER(H58),H58&gt;0),H58,9E+99),IF(AND(ISNUMBER(I58),I58&gt;0),I58,9E+99),IF(AND(ISNUMBER(J58),J58&gt;0),J58,9E+99)))</f>
        <v/>
      </c>
      <c r="L58" s="35">
        <f>IFERROR(G58*K58,"")</f>
        <v/>
      </c>
      <c r="M58" s="22" t="inlineStr"/>
    </row>
    <row r="59" ht="27" customHeight="1">
      <c r="B59" s="29" t="inlineStr">
        <is>
          <t>Billing and back office</t>
        </is>
      </c>
      <c r="C59" s="30" t="inlineStr">
        <is>
          <t>Internet, primary and backup</t>
        </is>
      </c>
      <c r="D59" s="22" t="inlineStr">
        <is>
          <t>Two connections on different providers. No internet is no orders.</t>
        </is>
      </c>
      <c r="E59" s="31" t="inlineStr">
        <is>
          <t>Day one</t>
        </is>
      </c>
      <c r="F59" s="32">
        <f>2</f>
        <v/>
      </c>
      <c r="G59" s="21">
        <f>F59</f>
        <v/>
      </c>
      <c r="H59" s="33" t="n"/>
      <c r="I59" s="33" t="n"/>
      <c r="J59" s="33" t="n"/>
      <c r="K59" s="34">
        <f>IF(COUNTIF(H59:J59,"&gt;0")=0,"",MIN(IF(AND(ISNUMBER(H59),H59&gt;0),H59,9E+99),IF(AND(ISNUMBER(I59),I59&gt;0),I59,9E+99),IF(AND(ISNUMBER(J59),J59&gt;0),J59,9E+99)))</f>
        <v/>
      </c>
      <c r="L59" s="35">
        <f>IFERROR(G59*K59,"")</f>
        <v/>
      </c>
      <c r="M59" s="22" t="inlineStr"/>
    </row>
    <row r="60" ht="27" customHeight="1">
      <c r="B60" s="29" t="inlineStr">
        <is>
          <t>Billing and back office</t>
        </is>
      </c>
      <c r="C60" s="30" t="inlineStr">
        <is>
          <t>UPS for the order stack</t>
        </is>
      </c>
      <c r="D60" s="22" t="inlineStr">
        <is>
          <t>Tills, router and screens. Not the oven.</t>
        </is>
      </c>
      <c r="E60" s="31" t="inlineStr">
        <is>
          <t>Day one</t>
        </is>
      </c>
      <c r="F60" s="32">
        <f>1</f>
        <v/>
      </c>
      <c r="G60" s="21">
        <f>F60</f>
        <v/>
      </c>
      <c r="H60" s="33" t="n"/>
      <c r="I60" s="33" t="n"/>
      <c r="J60" s="33" t="n"/>
      <c r="K60" s="34">
        <f>IF(COUNTIF(H60:J60,"&gt;0")=0,"",MIN(IF(AND(ISNUMBER(H60),H60&gt;0),H60,9E+99),IF(AND(ISNUMBER(I60),I60&gt;0),I60,9E+99),IF(AND(ISNUMBER(J60),J60&gt;0),J60,9E+99)))</f>
        <v/>
      </c>
      <c r="L60" s="35">
        <f>IFERROR(G60*K60,"")</f>
        <v/>
      </c>
      <c r="M60" s="22" t="inlineStr"/>
    </row>
    <row r="61" ht="40" customHeight="1">
      <c r="B61" s="29" t="inlineStr">
        <is>
          <t>Safety and utilities</t>
        </is>
      </c>
      <c r="C61" s="30" t="inlineStr">
        <is>
          <t>Fire extinguishers, correct classes</t>
        </is>
      </c>
      <c r="D61" s="22" t="inlineStr">
        <is>
          <t>A wood oven changes what you need. Get the classes right and get them serviced.</t>
        </is>
      </c>
      <c r="E61" s="31" t="inlineStr">
        <is>
          <t>Day one</t>
        </is>
      </c>
      <c r="F61" s="32">
        <f>2</f>
        <v/>
      </c>
      <c r="G61" s="21">
        <f>F61</f>
        <v/>
      </c>
      <c r="H61" s="33" t="n"/>
      <c r="I61" s="33" t="n"/>
      <c r="J61" s="33" t="n"/>
      <c r="K61" s="34">
        <f>IF(COUNTIF(H61:J61,"&gt;0")=0,"",MIN(IF(AND(ISNUMBER(H61),H61&gt;0),H61,9E+99),IF(AND(ISNUMBER(I61),I61&gt;0),I61,9E+99),IF(AND(ISNUMBER(J61),J61&gt;0),J61,9E+99)))</f>
        <v/>
      </c>
      <c r="L61" s="35">
        <f>IFERROR(G61*K61,"")</f>
        <v/>
      </c>
      <c r="M61" s="36" t="inlineStr">
        <is>
          <t>Local fire clearance is a separate approval. Settle it before you open.</t>
        </is>
      </c>
    </row>
    <row r="62" ht="27" customHeight="1">
      <c r="B62" s="29" t="inlineStr">
        <is>
          <t>Safety and utilities</t>
        </is>
      </c>
      <c r="C62" s="30" t="inlineStr">
        <is>
          <t>Fire blanket</t>
        </is>
      </c>
      <c r="D62" s="22" t="inlineStr">
        <is>
          <t>Within reach without crossing the fire.</t>
        </is>
      </c>
      <c r="E62" s="31" t="inlineStr">
        <is>
          <t>Day one</t>
        </is>
      </c>
      <c r="F62" s="32">
        <f>1</f>
        <v/>
      </c>
      <c r="G62" s="21">
        <f>F62</f>
        <v/>
      </c>
      <c r="H62" s="33" t="n"/>
      <c r="I62" s="33" t="n"/>
      <c r="J62" s="33" t="n"/>
      <c r="K62" s="34">
        <f>IF(COUNTIF(H62:J62,"&gt;0")=0,"",MIN(IF(AND(ISNUMBER(H62),H62&gt;0),H62,9E+99),IF(AND(ISNUMBER(I62),I62&gt;0),I62,9E+99),IF(AND(ISNUMBER(J62),J62&gt;0),J62,9E+99)))</f>
        <v/>
      </c>
      <c r="L62" s="35">
        <f>IFERROR(G62*K62,"")</f>
        <v/>
      </c>
      <c r="M62" s="22" t="inlineStr"/>
    </row>
    <row r="63" ht="27" customHeight="1">
      <c r="B63" s="29" t="inlineStr">
        <is>
          <t>Safety and utilities</t>
        </is>
      </c>
      <c r="C63" s="30" t="inlineStr">
        <is>
          <t>First aid kit</t>
        </is>
      </c>
      <c r="D63" s="22" t="inlineStr">
        <is>
          <t>Burns are the pizzeria injury.</t>
        </is>
      </c>
      <c r="E63" s="31" t="inlineStr">
        <is>
          <t>Day one</t>
        </is>
      </c>
      <c r="F63" s="32">
        <f>1</f>
        <v/>
      </c>
      <c r="G63" s="21">
        <f>F63</f>
        <v/>
      </c>
      <c r="H63" s="33" t="n"/>
      <c r="I63" s="33" t="n"/>
      <c r="J63" s="33" t="n"/>
      <c r="K63" s="34">
        <f>IF(COUNTIF(H63:J63,"&gt;0")=0,"",MIN(IF(AND(ISNUMBER(H63),H63&gt;0),H63,9E+99),IF(AND(ISNUMBER(I63),I63&gt;0),I63,9E+99),IF(AND(ISNUMBER(J63),J63&gt;0),J63,9E+99)))</f>
        <v/>
      </c>
      <c r="L63" s="35">
        <f>IFERROR(G63*K63,"")</f>
        <v/>
      </c>
      <c r="M63" s="22" t="inlineStr"/>
    </row>
    <row r="64" ht="27" customHeight="1">
      <c r="B64" s="29" t="inlineStr">
        <is>
          <t>Safety and utilities</t>
        </is>
      </c>
      <c r="C64" s="30" t="inlineStr">
        <is>
          <t>Heat-resistant gloves and sleeves</t>
        </is>
      </c>
      <c r="D64" s="22" t="inlineStr">
        <is>
          <t>A deck at full temperature does not forgive.</t>
        </is>
      </c>
      <c r="E64" s="31" t="inlineStr">
        <is>
          <t>Day one</t>
        </is>
      </c>
      <c r="F64" s="32">
        <f>4</f>
        <v/>
      </c>
      <c r="G64" s="21">
        <f>F64</f>
        <v/>
      </c>
      <c r="H64" s="33" t="n"/>
      <c r="I64" s="33" t="n"/>
      <c r="J64" s="33" t="n"/>
      <c r="K64" s="34">
        <f>IF(COUNTIF(H64:J64,"&gt;0")=0,"",MIN(IF(AND(ISNUMBER(H64),H64&gt;0),H64,9E+99),IF(AND(ISNUMBER(I64),I64&gt;0),I64,9E+99),IF(AND(ISNUMBER(J64),J64&gt;0),J64,9E+99)))</f>
        <v/>
      </c>
      <c r="L64" s="35">
        <f>IFERROR(G64*K64,"")</f>
        <v/>
      </c>
      <c r="M64" s="22" t="inlineStr"/>
    </row>
    <row r="65" ht="27" customHeight="1">
      <c r="B65" s="29" t="inlineStr">
        <is>
          <t>Safety and utilities</t>
        </is>
      </c>
      <c r="C65" s="30" t="inlineStr">
        <is>
          <t>Gas bank, regulator and leak detector</t>
        </is>
      </c>
      <c r="D65" s="22" t="inlineStr">
        <is>
          <t>Sized on the oven rating. The detector is cheap and the alternative is not.</t>
        </is>
      </c>
      <c r="E65" s="31" t="inlineStr">
        <is>
          <t>Day one</t>
        </is>
      </c>
      <c r="F65" s="32">
        <f>1*IF('Pizzeria Profile'!$C$8="Wood or brick",0,1)</f>
        <v/>
      </c>
      <c r="G65" s="21">
        <f>F65</f>
        <v/>
      </c>
      <c r="H65" s="33" t="n"/>
      <c r="I65" s="33" t="n"/>
      <c r="J65" s="33" t="n"/>
      <c r="K65" s="34">
        <f>IF(COUNTIF(H65:J65,"&gt;0")=0,"",MIN(IF(AND(ISNUMBER(H65),H65&gt;0),H65,9E+99),IF(AND(ISNUMBER(I65),I65&gt;0),I65,9E+99),IF(AND(ISNUMBER(J65),J65&gt;0),J65,9E+99)))</f>
        <v/>
      </c>
      <c r="L65" s="35">
        <f>IFERROR(G65*K65,"")</f>
        <v/>
      </c>
      <c r="M65" s="22" t="inlineStr"/>
    </row>
    <row r="66" ht="27" customHeight="1">
      <c r="B66" s="29" t="inlineStr">
        <is>
          <t>Safety and utilities</t>
        </is>
      </c>
      <c r="C66" s="30" t="inlineStr">
        <is>
          <t>Fuel store, dry and separated</t>
        </is>
      </c>
      <c r="D66" s="22" t="inlineStr">
        <is>
          <t>Only for wood or brick. Seasoned wood, dry, away from the line.</t>
        </is>
      </c>
      <c r="E66" s="31" t="inlineStr">
        <is>
          <t>Day one</t>
        </is>
      </c>
      <c r="F66" s="32">
        <f>1*IF('Pizzeria Profile'!$C$8="Wood or brick",1,0)</f>
        <v/>
      </c>
      <c r="G66" s="21">
        <f>F66</f>
        <v/>
      </c>
      <c r="H66" s="33" t="n"/>
      <c r="I66" s="33" t="n"/>
      <c r="J66" s="33" t="n"/>
      <c r="K66" s="34">
        <f>IF(COUNTIF(H66:J66,"&gt;0")=0,"",MIN(IF(AND(ISNUMBER(H66),H66&gt;0),H66,9E+99),IF(AND(ISNUMBER(I66),I66&gt;0),I66,9E+99),IF(AND(ISNUMBER(J66),J66&gt;0),J66,9E+99)))</f>
        <v/>
      </c>
      <c r="L66" s="35">
        <f>IFERROR(G66*K66,"")</f>
        <v/>
      </c>
      <c r="M66" s="22" t="inlineStr"/>
    </row>
    <row r="67" ht="27" customHeight="1">
      <c r="B67" s="29" t="inlineStr">
        <is>
          <t>Safety and utilities</t>
        </is>
      </c>
      <c r="C67" s="30" t="inlineStr">
        <is>
          <t>Stabiliser and earthing</t>
        </is>
      </c>
      <c r="D67" s="22" t="inlineStr">
        <is>
          <t>Voltage fluctuation voids more warranties than misuse.</t>
        </is>
      </c>
      <c r="E67" s="31" t="inlineStr">
        <is>
          <t>Day one</t>
        </is>
      </c>
      <c r="F67" s="32">
        <f>1</f>
        <v/>
      </c>
      <c r="G67" s="21">
        <f>F67</f>
        <v/>
      </c>
      <c r="H67" s="33" t="n"/>
      <c r="I67" s="33" t="n"/>
      <c r="J67" s="33" t="n"/>
      <c r="K67" s="34">
        <f>IF(COUNTIF(H67:J67,"&gt;0")=0,"",MIN(IF(AND(ISNUMBER(H67),H67&gt;0),H67,9E+99),IF(AND(ISNUMBER(I67),I67&gt;0),I67,9E+99),IF(AND(ISNUMBER(J67),J67&gt;0),J67,9E+99)))</f>
        <v/>
      </c>
      <c r="L67" s="35">
        <f>IFERROR(G67*K67,"")</f>
        <v/>
      </c>
      <c r="M67" s="22" t="inlineStr"/>
    </row>
    <row r="68" ht="27" customHeight="1">
      <c r="B68" s="29" t="inlineStr">
        <is>
          <t>Safety and utilities</t>
        </is>
      </c>
      <c r="C68" s="30" t="inlineStr">
        <is>
          <t>Water storage and pump</t>
        </is>
      </c>
      <c r="D68" s="22" t="inlineStr">
        <is>
          <t>Long hours on municipal supply that does not keep them.</t>
        </is>
      </c>
      <c r="E68" s="31" t="inlineStr">
        <is>
          <t>Day one</t>
        </is>
      </c>
      <c r="F68" s="32">
        <f>1</f>
        <v/>
      </c>
      <c r="G68" s="21">
        <f>F68</f>
        <v/>
      </c>
      <c r="H68" s="33" t="n"/>
      <c r="I68" s="33" t="n"/>
      <c r="J68" s="33" t="n"/>
      <c r="K68" s="34">
        <f>IF(COUNTIF(H68:J68,"&gt;0")=0,"",MIN(IF(AND(ISNUMBER(H68),H68&gt;0),H68,9E+99),IF(AND(ISNUMBER(I68),I68&gt;0),I68,9E+99),IF(AND(ISNUMBER(J68),J68&gt;0),J68,9E+99)))</f>
        <v/>
      </c>
      <c r="L68" s="35">
        <f>IFERROR(G68*K68,"")</f>
        <v/>
      </c>
      <c r="M68" s="22" t="inlineStr"/>
    </row>
    <row r="69" ht="40" customHeight="1">
      <c r="B69" s="29" t="inlineStr">
        <is>
          <t>Your own items</t>
        </is>
      </c>
      <c r="C69" s="38" t="n"/>
      <c r="D69" s="39" t="n"/>
      <c r="E69" s="40" t="inlineStr">
        <is>
          <t>Day one</t>
        </is>
      </c>
      <c r="F69" s="32" t="n"/>
      <c r="G69" s="21" t="n"/>
      <c r="H69" s="33" t="n"/>
      <c r="I69" s="33" t="n"/>
      <c r="J69" s="33" t="n"/>
      <c r="K69" s="34">
        <f>IF(COUNTIF(H69:J69,"&gt;0")=0,"",MIN(IF(AND(ISNUMBER(H69),H69&gt;0),H69,9E+99),IF(AND(ISNUMBER(I69),I69&gt;0),I69,9E+99),IF(AND(ISNUMBER(J69),J69&gt;0),J69,9E+99)))</f>
        <v/>
      </c>
      <c r="L69" s="35">
        <f>IFERROR(G69*K69,"")</f>
        <v/>
      </c>
      <c r="M69" s="41" t="inlineStr">
        <is>
          <t>Anything the list does not carry. Type the item, spec and quantity.</t>
        </is>
      </c>
    </row>
    <row r="70" ht="40" customHeight="1">
      <c r="B70" s="29" t="inlineStr">
        <is>
          <t>Your own items</t>
        </is>
      </c>
      <c r="C70" s="38" t="n"/>
      <c r="D70" s="39" t="n"/>
      <c r="E70" s="40" t="inlineStr">
        <is>
          <t>Day one</t>
        </is>
      </c>
      <c r="F70" s="32" t="n"/>
      <c r="G70" s="21" t="n"/>
      <c r="H70" s="33" t="n"/>
      <c r="I70" s="33" t="n"/>
      <c r="J70" s="33" t="n"/>
      <c r="K70" s="34">
        <f>IF(COUNTIF(H70:J70,"&gt;0")=0,"",MIN(IF(AND(ISNUMBER(H70),H70&gt;0),H70,9E+99),IF(AND(ISNUMBER(I70),I70&gt;0),I70,9E+99),IF(AND(ISNUMBER(J70),J70&gt;0),J70,9E+99)))</f>
        <v/>
      </c>
      <c r="L70" s="35">
        <f>IFERROR(G70*K70,"")</f>
        <v/>
      </c>
      <c r="M70" s="41" t="inlineStr">
        <is>
          <t>Anything the list does not carry. Type the item, spec and quantity.</t>
        </is>
      </c>
    </row>
    <row r="71" ht="40" customHeight="1">
      <c r="B71" s="29" t="inlineStr">
        <is>
          <t>Your own items</t>
        </is>
      </c>
      <c r="C71" s="38" t="n"/>
      <c r="D71" s="39" t="n"/>
      <c r="E71" s="40" t="inlineStr">
        <is>
          <t>Day one</t>
        </is>
      </c>
      <c r="F71" s="32" t="n"/>
      <c r="G71" s="21" t="n"/>
      <c r="H71" s="33" t="n"/>
      <c r="I71" s="33" t="n"/>
      <c r="J71" s="33" t="n"/>
      <c r="K71" s="34">
        <f>IF(COUNTIF(H71:J71,"&gt;0")=0,"",MIN(IF(AND(ISNUMBER(H71),H71&gt;0),H71,9E+99),IF(AND(ISNUMBER(I71),I71&gt;0),I71,9E+99),IF(AND(ISNUMBER(J71),J71&gt;0),J71,9E+99)))</f>
        <v/>
      </c>
      <c r="L71" s="35">
        <f>IFERROR(G71*K71,"")</f>
        <v/>
      </c>
      <c r="M71" s="41" t="inlineStr">
        <is>
          <t>Anything the list does not carry. Type the item, spec and quantity.</t>
        </is>
      </c>
    </row>
    <row r="72" ht="40" customHeight="1">
      <c r="B72" s="29" t="inlineStr">
        <is>
          <t>Your own items</t>
        </is>
      </c>
      <c r="C72" s="38" t="n"/>
      <c r="D72" s="39" t="n"/>
      <c r="E72" s="40" t="inlineStr">
        <is>
          <t>Day one</t>
        </is>
      </c>
      <c r="F72" s="32" t="n"/>
      <c r="G72" s="21" t="n"/>
      <c r="H72" s="33" t="n"/>
      <c r="I72" s="33" t="n"/>
      <c r="J72" s="33" t="n"/>
      <c r="K72" s="34">
        <f>IF(COUNTIF(H72:J72,"&gt;0")=0,"",MIN(IF(AND(ISNUMBER(H72),H72&gt;0),H72,9E+99),IF(AND(ISNUMBER(I72),I72&gt;0),I72,9E+99),IF(AND(ISNUMBER(J72),J72&gt;0),J72,9E+99)))</f>
        <v/>
      </c>
      <c r="L72" s="35">
        <f>IFERROR(G72*K72,"")</f>
        <v/>
      </c>
      <c r="M72" s="41" t="inlineStr">
        <is>
          <t>Anything the list does not carry. Type the item, spec and quantity.</t>
        </is>
      </c>
    </row>
    <row r="73" ht="40" customHeight="1">
      <c r="B73" s="29" t="inlineStr">
        <is>
          <t>Your own items</t>
        </is>
      </c>
      <c r="C73" s="38" t="n"/>
      <c r="D73" s="39" t="n"/>
      <c r="E73" s="40" t="inlineStr">
        <is>
          <t>Day one</t>
        </is>
      </c>
      <c r="F73" s="32" t="n"/>
      <c r="G73" s="21" t="n"/>
      <c r="H73" s="33" t="n"/>
      <c r="I73" s="33" t="n"/>
      <c r="J73" s="33" t="n"/>
      <c r="K73" s="34">
        <f>IF(COUNTIF(H73:J73,"&gt;0")=0,"",MIN(IF(AND(ISNUMBER(H73),H73&gt;0),H73,9E+99),IF(AND(ISNUMBER(I73),I73&gt;0),I73,9E+99),IF(AND(ISNUMBER(J73),J73&gt;0),J73,9E+99)))</f>
        <v/>
      </c>
      <c r="L73" s="35">
        <f>IFERROR(G73*K73,"")</f>
        <v/>
      </c>
      <c r="M73" s="41" t="inlineStr">
        <is>
          <t>Anything the list does not carry. Type the item, spec and quantity.</t>
        </is>
      </c>
    </row>
    <row r="74" ht="40" customHeight="1">
      <c r="B74" s="29" t="inlineStr">
        <is>
          <t>Your own items</t>
        </is>
      </c>
      <c r="C74" s="38" t="n"/>
      <c r="D74" s="39" t="n"/>
      <c r="E74" s="40" t="inlineStr">
        <is>
          <t>Day one</t>
        </is>
      </c>
      <c r="F74" s="32" t="n"/>
      <c r="G74" s="21" t="n"/>
      <c r="H74" s="33" t="n"/>
      <c r="I74" s="33" t="n"/>
      <c r="J74" s="33" t="n"/>
      <c r="K74" s="34">
        <f>IF(COUNTIF(H74:J74,"&gt;0")=0,"",MIN(IF(AND(ISNUMBER(H74),H74&gt;0),H74,9E+99),IF(AND(ISNUMBER(I74),I74&gt;0),I74,9E+99),IF(AND(ISNUMBER(J74),J74&gt;0),J74,9E+99)))</f>
        <v/>
      </c>
      <c r="L74" s="35">
        <f>IFERROR(G74*K74,"")</f>
        <v/>
      </c>
      <c r="M74" s="41" t="inlineStr">
        <is>
          <t>Anything the list does not carry. Type the item, spec and quantity.</t>
        </is>
      </c>
    </row>
    <row r="75" ht="27" customHeight="1">
      <c r="B75" s="42" t="inlineStr">
        <is>
          <t>Total</t>
        </is>
      </c>
      <c r="C75" s="42" t="inlineStr">
        <is>
          <t>All items, at your quantities and your best quotes</t>
        </is>
      </c>
      <c r="D75" s="43" t="n"/>
      <c r="E75" s="43" t="n"/>
      <c r="F75" s="43" t="n"/>
      <c r="G75" s="43" t="n"/>
      <c r="H75" s="43" t="n"/>
      <c r="I75" s="43" t="n"/>
      <c r="J75" s="43" t="n"/>
      <c r="K75" s="43" t="n"/>
      <c r="L75" s="44">
        <f>SUM(L6:L74)</f>
        <v/>
      </c>
      <c r="M75" s="45" t="n"/>
    </row>
    <row r="76"/>
    <row r="77" ht="40" customHeight="1">
      <c r="B77" s="17" t="inlineStr">
        <is>
          <t>Best quote takes the lowest of the three figures you entered, so a blank column costs you nothing. A line with no quote at all shows as blank and is counted on the Budget Summary as still to price. Printing this sheet gives you the enquiry to send a supplier: it comes out landscape, one page wide, with the header repeated, and it stops after the three quote columns. Your best quotes, your line totals and your own notes sit outside the print area, so they stay with you.</t>
        </is>
      </c>
    </row>
    <row r="78"/>
    <row r="79">
      <c r="B79" s="18"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4">
    <mergeCell ref="B3:M3"/>
    <mergeCell ref="B79:M79"/>
    <mergeCell ref="B2:M2"/>
    <mergeCell ref="B77:M77"/>
  </mergeCells>
  <dataValidations count="2">
    <dataValidation sqref="H6 H7 H8 H9 H10 H11 H12 H13 H14 H15 H16 H17 H18 H19 H20 H21 H22 H23 H24 H25 H26 H27 H28 H29 H30 H31 H32 H33 H34 H35 H36 H37 H38 H39 H40 H41 H42 H43 H44 H45 H46 H47 H48 H49 H50 H51 H52 H53 H54 H55 H56 H57 H58 H59 H60 H61 H62 H63 H64 H65 H66 H67 H68 H69 H70 H71 H72 H73 H74 I6 I7 I8 I9 I10 I11 I12 I13 I14 I15 I16 I17 I18 I19 I20 I21 I22 I23 I24 I25 I26 I27 I28 I29 I30 I31 I32 I33 I34 I35 I36 I37 I38 I39 I40 I41 I42 I43 I44 I45 I46 I47 I48 I49 I50 I51 I52 I53 I54 I55 I56 I57 I58 I59 I60 I61 I62 I63 I64 I65 I66 I67 I68 I69 I70 I71 I72 I73 I74 J6 J7 J8 J9 J10 J11 J12 J13 J14 J15 J16 J17 J18 J19 J20 J21 J22 J23 J24 J25 J26 J27 J28 J29 J30 J31 J32 J33 J34 J35 J36 J37 J38 J39 J40 J41 J42 J43 J44 J45 J46 J47 J48 J49 J50 J51 J52 J53 J54 J55 J56 J57 J58 J59 J60 J61 J62 J63 J64 J65 J66 J67 J68 J69 J70 J71 J72 J73 J74" showDropDown="0" showInputMessage="0" showErrorMessage="1" allowBlank="1" errorTitle="Price per unit" error="Enter the supplier's price per unit in rupees, as a number. Leave it blank if they did not quote. Do not type 0." type="decimal" errorStyle="stop" operator="greaterThan">
      <formula1>0</formula1>
    </dataValidation>
    <dataValidation sqref="E69 E70 E71 E72 E73 E74" showDropDown="0" showInputMessage="0" showErrorMessage="1" allowBlank="1" errorTitle="Day one or Later" error="Pick Day one or Later from the dropdown." type="list" errorStyle="stop">
      <formula1>=Lists!$A$12:$A$13</formula1>
    </dataValidation>
  </dataValidations>
  <printOptions horizontalCentered="1"/>
  <pageMargins left="0.3" right="0.3" top="0.4" bottom="0.4"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D44"/>
  <sheetViews>
    <sheetView showGridLines="0" workbookViewId="0">
      <selection activeCell="A1" sqref="A1"/>
    </sheetView>
  </sheetViews>
  <sheetFormatPr baseColWidth="8" defaultRowHeight="15"/>
  <cols>
    <col width="3" customWidth="1" min="1" max="1"/>
    <col width="34" customWidth="1" min="2" max="2"/>
    <col width="62" customWidth="1" min="3" max="3"/>
    <col width="40" customWidth="1" min="4" max="4"/>
    <col width="3" customWidth="1" min="5" max="5"/>
  </cols>
  <sheetData>
    <row r="1"/>
    <row r="2" ht="22" customHeight="1">
      <c r="B2" s="19" t="inlineStr">
        <is>
          <t>Before you buy</t>
        </is>
      </c>
      <c r="C2" s="2" t="n"/>
      <c r="D2" s="2" t="n"/>
    </row>
    <row r="3" ht="27" customHeight="1">
      <c r="B3" s="3" t="inlineStr">
        <is>
          <t>A pizzeria equipment list will tell you that deck, conveyor and wood ovens exist. It will not tell you that in one part of India you may not fuel the wood one, or that the oven is the only line on the list whose capacity is fixed on the day you buy it.</t>
        </is>
      </c>
    </row>
    <row r="4"/>
    <row r="5">
      <c r="B5" s="14" t="inlineStr">
        <is>
          <t>1. Before you order a wood or brick oven: the fuel question</t>
        </is>
      </c>
      <c r="C5" s="15" t="n"/>
      <c r="D5" s="15" t="n"/>
    </row>
    <row r="6">
      <c r="B6" s="6" t="inlineStr">
        <is>
          <t>Point</t>
        </is>
      </c>
      <c r="C6" s="6" t="inlineStr">
        <is>
          <t>What it says</t>
        </is>
      </c>
      <c r="D6" s="6" t="inlineStr">
        <is>
          <t>What you do about it</t>
        </is>
      </c>
    </row>
    <row r="7" ht="80" customHeight="1">
      <c r="B7" s="7" t="inlineStr">
        <is>
          <t>In NCR, coal and firewood in a tandoor are already banned</t>
        </is>
      </c>
      <c r="C7" s="8" t="inlineStr">
        <is>
          <t>The CAQM Graded Response Action Plan Schedule, at Stage I, item 23, directs authorities to "Strictly enforce the extant ban on coal / firewood as fuel in Tandoors in Hotels, Restaurants and open eateries." The word that matters is EXTANT: the ban already exists, and Stage I is directing that it be enforced, not creating it.</t>
        </is>
      </c>
      <c r="D7" s="16" t="inlineStr">
        <is>
          <t>If you are anywhere in NCR, do not plan a wood-fired oven on the assumption that you can burn wood in it. Settle the fuel before you order, because the oven is not returnable.</t>
        </is>
      </c>
    </row>
    <row r="8" ht="53" customHeight="1">
      <c r="B8" s="7" t="inlineStr">
        <is>
          <t>Stage I is the LOWEST stage, not an emergency</t>
        </is>
      </c>
      <c r="C8" s="8" t="inlineStr">
        <is>
          <t>Stage I applies at 'Poor' air quality, Delhi AQI between 201 and 300. The four stages are Poor, Very Poor above 300, Severe above 400 and Severe+ above 450, so this is the lowest of them: ordinary winter air in NCR rather than a crisis.</t>
        </is>
      </c>
      <c r="D8" s="16" t="inlineStr">
        <is>
          <t>Treat it as the normal condition of trading in NCR, not as an occasional restriction.</t>
        </is>
      </c>
    </row>
    <row r="9" ht="66" customHeight="1">
      <c r="B9" s="7" t="inlineStr">
        <is>
          <t>Item 24 is the limb that reaches an oven</t>
        </is>
      </c>
      <c r="C9" s="8" t="inlineStr">
        <is>
          <t>Item 23 names Tandoors. Item 24 of the same Stage is broader: "Ensure hotels, restaurants and open eateries use only electricity / gas-based / clean fuel - based appliances." An oven is an appliance, so that is the limb to read for a pizza oven rather than stretching the word tandoor.</t>
        </is>
      </c>
      <c r="D9" s="16" t="inlineStr">
        <is>
          <t>Gas-fired and electric deck ovens do the same job. A gas oven in a brick shell is the usual way to keep the look without the fuel.</t>
        </is>
      </c>
    </row>
    <row r="10" ht="40" customHeight="1">
      <c r="B10" s="7" t="inlineStr">
        <is>
          <t>We have not read the underlying ban itself</t>
        </is>
      </c>
      <c r="C10" s="8" t="inlineStr">
        <is>
          <t>The GRAP Schedule tells us the ban is extant. It does not reproduce it, and we have not read the direction that creates it, so this file cites no direction number for it.</t>
        </is>
      </c>
      <c r="D10" s="16" t="inlineStr">
        <is>
          <t>Ask CAQM or your state pollution control board for the direction itself if you need to rely on the detail.</t>
        </is>
      </c>
    </row>
    <row r="11" ht="66" customHeight="1">
      <c r="B11" s="7" t="inlineStr">
        <is>
          <t>Outside NCR, the question is different</t>
        </is>
      </c>
      <c r="C11" s="8" t="inlineStr">
        <is>
          <t>There the relevant instrument is Consent to Operate under the Air (Prevention and Control of Pollution) Act, 1981, from your state pollution control board, which is commonly required where a tandoor, charcoal grill or other solid-fuel equipment is used.</t>
        </is>
      </c>
      <c r="D11" s="16" t="inlineStr">
        <is>
          <t>Ask your state board BEFORE you commit to a wood or brick oven. Our restaurant legal compliance checklist carries the wider licence list. This is general guidance and not legal advice.</t>
        </is>
      </c>
    </row>
    <row r="12"/>
    <row r="13">
      <c r="B13" s="25" t="inlineStr">
        <is>
          <t>2. The oven is the one number you cannot change later</t>
        </is>
      </c>
      <c r="C13" s="26" t="n"/>
      <c r="D13" s="26" t="n"/>
    </row>
    <row r="14">
      <c r="B14" s="6" t="inlineStr">
        <is>
          <t>Point</t>
        </is>
      </c>
      <c r="C14" s="6" t="inlineStr">
        <is>
          <t>What it says</t>
        </is>
      </c>
      <c r="D14" s="6" t="inlineStr">
        <is>
          <t>What you do about it</t>
        </is>
      </c>
    </row>
    <row r="15" ht="40" customHeight="1">
      <c r="B15" s="7" t="inlineStr">
        <is>
          <t>Throughput, not floor space</t>
        </is>
      </c>
      <c r="C15" s="8" t="inlineStr">
        <is>
          <t>One deck puts through its pizzas-per-load times sixty over the bake time. Everything else on this list can be added to in month three. The oven cannot.</t>
        </is>
      </c>
      <c r="D15" s="8" t="inlineStr">
        <is>
          <t>Size it on your PEAK hour, not your daily total, and buy at or above the decks figure.</t>
        </is>
      </c>
    </row>
    <row r="16" ht="40" customHeight="1">
      <c r="B16" s="7" t="inlineStr">
        <is>
          <t>Ask in your pizza size</t>
        </is>
      </c>
      <c r="C16" s="8" t="inlineStr">
        <is>
          <t>Suppliers quote deck capacity in inches, or in their own pizza size. Those are not your pizza.</t>
        </is>
      </c>
      <c r="D16" s="8" t="inlineStr">
        <is>
          <t>Ask how many of YOUR size fit the stone at once, and get the answer in writing with the quote.</t>
        </is>
      </c>
    </row>
    <row r="17" ht="27" customHeight="1">
      <c r="B17" s="7" t="inlineStr">
        <is>
          <t>Recovery, not peak temperature</t>
        </is>
      </c>
      <c r="C17" s="8" t="inlineStr">
        <is>
          <t>What fails during a rush is not the top temperature but what the stone recovers to between loads.</t>
        </is>
      </c>
      <c r="D17" s="8" t="inlineStr">
        <is>
          <t>Ask what it recovers to, and how long it takes, with a full load going in.</t>
        </is>
      </c>
    </row>
    <row r="18"/>
    <row r="19">
      <c r="B19" s="14" t="inlineStr">
        <is>
          <t>3. What you may not buy at all</t>
        </is>
      </c>
      <c r="C19" s="15" t="n"/>
      <c r="D19" s="15" t="n"/>
    </row>
    <row r="20">
      <c r="B20" s="6" t="inlineStr">
        <is>
          <t>Point</t>
        </is>
      </c>
      <c r="C20" s="6" t="inlineStr">
        <is>
          <t>What it says</t>
        </is>
      </c>
      <c r="D20" s="6" t="inlineStr">
        <is>
          <t>What you do about it</t>
        </is>
      </c>
    </row>
    <row r="21" ht="66" customHeight="1">
      <c r="B21" s="7" t="inlineStr">
        <is>
          <t>Prohibited single-use plastics</t>
        </is>
      </c>
      <c r="C21" s="8" t="inlineStr">
        <is>
          <t>Since 1 July 2022 the manufacture, import, stocking, distribution, sale and use of identified single-use plastic items is prohibited. The list includes plastic plates, cups, glasses, cutlery such as forks, spoons and knives, straws, trays and stirrers. Corrugated pizza boxes are not on that list.</t>
        </is>
      </c>
      <c r="D21" s="16" t="inlineStr">
        <is>
          <t>So the box is fine and a plain plastic fork in the bag is not. Specify a permitted material on the purchase order and do not let a supplier substitute.</t>
        </is>
      </c>
    </row>
    <row r="22" ht="93" customHeight="1">
      <c r="B22" s="7" t="inlineStr">
        <is>
          <t>Compostable is the carve-out, with a condition</t>
        </is>
      </c>
      <c r="C22" s="8" t="inlineStr">
        <is>
          <t>Sub-rule (3) of the same notification says the prohibition on that list does not apply to commodities made of compostable plastic. Separately, the 2024 amendment requires the maker of a compostable commodity to hold a certificate from the Central Pollution Control Board before selling it.</t>
        </is>
      </c>
      <c r="D22" s="16" t="inlineStr">
        <is>
          <t>So compostable service ware is not caught by this central prohibition. Ask for the CPCB certificate and keep a copy with the invoice. States can and do go further than the centre on plastics, so check your own state's notification before a large order.</t>
        </is>
      </c>
    </row>
    <row r="23" ht="40" customHeight="1">
      <c r="B23" s="7" t="inlineStr">
        <is>
          <t>Carry bags</t>
        </is>
      </c>
      <c r="C23" s="8" t="inlineStr">
        <is>
          <t>Plastic carry bags below one hundred and twenty microns have been prohibited since 31 December 2022.</t>
        </is>
      </c>
      <c r="D23" s="16" t="inlineStr">
        <is>
          <t>Check the micron rating on the invoice, not on the bag, and keep the invoice.</t>
        </is>
      </c>
    </row>
    <row r="24" ht="40" customHeight="1">
      <c r="B24" s="7" t="inlineStr">
        <is>
          <t>Who enforces it</t>
        </is>
      </c>
      <c r="C24" s="8" t="inlineStr">
        <is>
          <t>Enforcement sits with the state pollution control boards and local bodies, and the list is amended from time to time.</t>
        </is>
      </c>
      <c r="D24" s="16" t="inlineStr">
        <is>
          <t>Confirm the current list with your state pollution control board before a large order.</t>
        </is>
      </c>
    </row>
    <row r="25"/>
    <row r="26">
      <c r="B26" s="25" t="inlineStr">
        <is>
          <t>4. Questions to put to a supplier before you pay</t>
        </is>
      </c>
      <c r="C26" s="26" t="n"/>
      <c r="D26" s="26" t="n"/>
    </row>
    <row r="27">
      <c r="B27" s="6" t="inlineStr">
        <is>
          <t>Ask</t>
        </is>
      </c>
      <c r="C27" s="6" t="inlineStr">
        <is>
          <t>Why it matters</t>
        </is>
      </c>
      <c r="D27" s="6" t="inlineStr">
        <is>
          <t>Answer you got</t>
        </is>
      </c>
    </row>
    <row r="28" ht="27" customHeight="1">
      <c r="B28" s="7" t="inlineStr">
        <is>
          <t>How many of MY pizza size fit the stone at once?</t>
        </is>
      </c>
      <c r="C28" s="8" t="inlineStr">
        <is>
          <t>Deck capacity is quoted in inches or in the supplier's pizza size. Neither is yours.</t>
        </is>
      </c>
      <c r="D28" s="46" t="n"/>
    </row>
    <row r="29" ht="27" customHeight="1">
      <c r="B29" s="7" t="inlineStr">
        <is>
          <t>What does the stone recover to between loads, and how fast?</t>
        </is>
      </c>
      <c r="C29" s="8" t="inlineStr">
        <is>
          <t>Recovery is what fails during a rush, not peak temperature.</t>
        </is>
      </c>
      <c r="D29" s="46" t="n"/>
    </row>
    <row r="30" ht="40" customHeight="1">
      <c r="B30" s="7" t="inlineStr">
        <is>
          <t>What is the throughput in pizzas an hour at my bake temperature?</t>
        </is>
      </c>
      <c r="C30" s="8" t="inlineStr">
        <is>
          <t>Catalogue throughput may be quoted at a different temperature from the one you actually bake at, which changes the number.</t>
        </is>
      </c>
      <c r="D30" s="46" t="n"/>
    </row>
    <row r="31" ht="27" customHeight="1">
      <c r="B31" s="7" t="inlineStr">
        <is>
          <t>What fuel is this oven certified for, and can it be converted?</t>
        </is>
      </c>
      <c r="C31" s="8" t="inlineStr">
        <is>
          <t>In NCR the answer decides whether you can use it at all.</t>
        </is>
      </c>
      <c r="D31" s="46" t="n"/>
    </row>
    <row r="32" ht="27" customHeight="1">
      <c r="B32" s="7" t="inlineStr">
        <is>
          <t>What flue, hood and make-up air does it need?</t>
        </is>
      </c>
      <c r="C32" s="8" t="inlineStr">
        <is>
          <t>That is building work, and the quote usually excludes it.</t>
        </is>
      </c>
      <c r="D32" s="46" t="n"/>
    </row>
    <row r="33" ht="27" customHeight="1">
      <c r="B33" s="7" t="inlineStr">
        <is>
          <t>What does installation need: power phase, gas line, clearances?</t>
        </is>
      </c>
      <c r="C33" s="8" t="inlineStr">
        <is>
          <t>Three-phase power and a gas line are longer lead times than the oven itself.</t>
        </is>
      </c>
      <c r="D33" s="46" t="n"/>
    </row>
    <row r="34" ht="40" customHeight="1">
      <c r="B34" s="7" t="inlineStr">
        <is>
          <t>What are the internal litres of the prep counter, not its outside size?</t>
        </is>
      </c>
      <c r="C34" s="8" t="inlineStr">
        <is>
          <t>You are buying the inside, and the pan capacity in YOUR pan size.</t>
        </is>
      </c>
      <c r="D34" s="46" t="n"/>
    </row>
    <row r="35" ht="27" customHeight="1">
      <c r="B35" s="7" t="inlineStr">
        <is>
          <t>Who services it locally, and what is the response time?</t>
        </is>
      </c>
      <c r="C35" s="8" t="inlineStr">
        <is>
          <t>An oven with no local engineer is an oven you will bake without.</t>
        </is>
      </c>
      <c r="D35" s="46" t="n"/>
    </row>
    <row r="36" ht="27" customHeight="1">
      <c r="B36" s="7" t="inlineStr">
        <is>
          <t>What is the warranty, and what voids it?</t>
        </is>
      </c>
      <c r="C36" s="8" t="inlineStr">
        <is>
          <t>Voltage fluctuation and untreated water void more kitchen warranties than misuse.</t>
        </is>
      </c>
      <c r="D36" s="46" t="n"/>
    </row>
    <row r="37" ht="27" customHeight="1">
      <c r="B37" s="7" t="inlineStr">
        <is>
          <t>What micron are these carry bags, and will it be on the invoice?</t>
        </is>
      </c>
      <c r="C37" s="8" t="inlineStr">
        <is>
          <t>Below one hundred and twenty microns is prohibited, and the bag will not tell you.</t>
        </is>
      </c>
      <c r="D37" s="46" t="n"/>
    </row>
    <row r="38" ht="27" customHeight="1">
      <c r="B38" s="7" t="inlineStr">
        <is>
          <t>What is the lead time, and what is the penalty if it slips?</t>
        </is>
      </c>
      <c r="C38" s="8" t="inlineStr">
        <is>
          <t>The oven and its flue are the two that hold up an opening.</t>
        </is>
      </c>
      <c r="D38" s="46" t="n"/>
    </row>
    <row r="39" ht="27" customHeight="1">
      <c r="B39" s="7" t="inlineStr">
        <is>
          <t>Is GST included, and can I have the specification in writing?</t>
        </is>
      </c>
      <c r="C39" s="8" t="inlineStr">
        <is>
          <t>Quotes arrive both ways, which makes three quotes uncomparable without a written spec.</t>
        </is>
      </c>
      <c r="D39" s="46" t="n"/>
    </row>
    <row r="40"/>
    <row r="41">
      <c r="B41" s="25" t="inlineStr">
        <is>
          <t>5. The order things arrive in</t>
        </is>
      </c>
      <c r="C41" s="26" t="n"/>
      <c r="D41" s="26" t="n"/>
    </row>
    <row r="42" ht="53" customHeight="1">
      <c r="B42" s="17" t="inlineStr">
        <is>
          <t>Everything marked Day one on the Equipment List is a launch blocker: you cannot bake and sell a pizza without it. Everything marked Later either widens the menu or protects the margin once you are trading. Two lines are underbought almost every time. The retard fridge, because it looks like storage when it is really capacity, and cutting it caps how far ahead you can ever prep. And packaging, because it is the cheapest thing on the list and the only one that stops service outright when it runs out.</t>
        </is>
      </c>
    </row>
    <row r="43"/>
    <row r="44">
      <c r="B44" s="18"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9">
    <mergeCell ref="B42:D42"/>
    <mergeCell ref="B3:D3"/>
    <mergeCell ref="B19:D19"/>
    <mergeCell ref="B5:D5"/>
    <mergeCell ref="B41:D41"/>
    <mergeCell ref="B26:D26"/>
    <mergeCell ref="B13:D13"/>
    <mergeCell ref="B44:D44"/>
    <mergeCell ref="B2:D2"/>
  </mergeCells>
  <printOptions horizontalCentered="1"/>
  <pageMargins left="0.3" right="0.3" top="0.4" bottom="0.4" header="0.5" footer="0.5"/>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G32"/>
  <sheetViews>
    <sheetView showGridLines="0" workbookViewId="0">
      <selection activeCell="A1" sqref="A1"/>
    </sheetView>
  </sheetViews>
  <sheetFormatPr baseColWidth="8" defaultRowHeight="15"/>
  <cols>
    <col width="3" customWidth="1" min="1" max="1"/>
    <col width="30" customWidth="1" min="2" max="2"/>
    <col width="18" customWidth="1" min="3" max="3"/>
    <col width="18" customWidth="1" min="4" max="4"/>
    <col width="18" customWidth="1" min="5" max="5"/>
    <col width="14" customWidth="1" min="6" max="6"/>
    <col width="40" customWidth="1" min="7" max="7"/>
    <col width="3" customWidth="1" min="8" max="8"/>
  </cols>
  <sheetData>
    <row r="1"/>
    <row r="2" ht="22" customHeight="1">
      <c r="B2" s="19" t="inlineStr">
        <is>
          <t>Budget summary</t>
        </is>
      </c>
      <c r="C2" s="2" t="n"/>
      <c r="D2" s="2" t="n"/>
      <c r="E2" s="2" t="n"/>
      <c r="F2" s="2" t="n"/>
      <c r="G2" s="2" t="n"/>
    </row>
    <row r="3">
      <c r="B3" s="3" t="inlineStr">
        <is>
          <t>Everything here reads off the Equipment List. Nothing on this sheet is typed in.</t>
        </is>
      </c>
    </row>
    <row r="4"/>
    <row r="5" ht="28" customHeight="1">
      <c r="B5" s="6" t="inlineStr">
        <is>
          <t>Group</t>
        </is>
      </c>
      <c r="C5" s="20" t="inlineStr">
        <is>
          <t>Day one</t>
        </is>
      </c>
      <c r="D5" s="20" t="inlineStr">
        <is>
          <t>Later</t>
        </is>
      </c>
      <c r="E5" s="20" t="inlineStr">
        <is>
          <t>Group total</t>
        </is>
      </c>
      <c r="F5" s="20" t="inlineStr">
        <is>
          <t>Share</t>
        </is>
      </c>
      <c r="G5" s="20" t="inlineStr">
        <is>
          <t>Still to price</t>
        </is>
      </c>
    </row>
    <row r="6">
      <c r="B6" s="47" t="inlineStr">
        <is>
          <t>The oven</t>
        </is>
      </c>
      <c r="C6" s="48">
        <f>SUMIFS('Equipment List'!$L$6:$L$74,'Equipment List'!$B$6:$B$74,$B6,'Equipment List'!$E$6:$E$74,"Day one")</f>
        <v/>
      </c>
      <c r="D6" s="48">
        <f>SUMIFS('Equipment List'!$L$6:$L$74,'Equipment List'!$B$6:$B$74,$B6,'Equipment List'!$E$6:$E$74,"Later")</f>
        <v/>
      </c>
      <c r="E6" s="35">
        <f>C6+D6</f>
        <v/>
      </c>
      <c r="F6" s="49">
        <f>IFERROR(E6/$E$17,"")</f>
        <v/>
      </c>
      <c r="G6" s="50">
        <f>SUMPRODUCT(('Equipment List'!$B$6:$B$74=$B6)*('Equipment List'!$K$6:$K$74="")*('Equipment List'!$G$6:$G$74&gt;0))</f>
        <v/>
      </c>
    </row>
    <row r="7">
      <c r="B7" s="47" t="inlineStr">
        <is>
          <t>Dough</t>
        </is>
      </c>
      <c r="C7" s="48">
        <f>SUMIFS('Equipment List'!$L$6:$L$74,'Equipment List'!$B$6:$B$74,$B7,'Equipment List'!$E$6:$E$74,"Day one")</f>
        <v/>
      </c>
      <c r="D7" s="48">
        <f>SUMIFS('Equipment List'!$L$6:$L$74,'Equipment List'!$B$6:$B$74,$B7,'Equipment List'!$E$6:$E$74,"Later")</f>
        <v/>
      </c>
      <c r="E7" s="35">
        <f>C7+D7</f>
        <v/>
      </c>
      <c r="F7" s="49">
        <f>IFERROR(E7/$E$17,"")</f>
        <v/>
      </c>
      <c r="G7" s="50">
        <f>SUMPRODUCT(('Equipment List'!$B$6:$B$74=$B7)*('Equipment List'!$K$6:$K$74="")*('Equipment List'!$G$6:$G$74&gt;0))</f>
        <v/>
      </c>
    </row>
    <row r="8">
      <c r="B8" s="47" t="inlineStr">
        <is>
          <t>The line</t>
        </is>
      </c>
      <c r="C8" s="48">
        <f>SUMIFS('Equipment List'!$L$6:$L$74,'Equipment List'!$B$6:$B$74,$B8,'Equipment List'!$E$6:$E$74,"Day one")</f>
        <v/>
      </c>
      <c r="D8" s="48">
        <f>SUMIFS('Equipment List'!$L$6:$L$74,'Equipment List'!$B$6:$B$74,$B8,'Equipment List'!$E$6:$E$74,"Later")</f>
        <v/>
      </c>
      <c r="E8" s="35">
        <f>C8+D8</f>
        <v/>
      </c>
      <c r="F8" s="49">
        <f>IFERROR(E8/$E$17,"")</f>
        <v/>
      </c>
      <c r="G8" s="50">
        <f>SUMPRODUCT(('Equipment List'!$B$6:$B$74=$B8)*('Equipment List'!$K$6:$K$74="")*('Equipment List'!$G$6:$G$74&gt;0))</f>
        <v/>
      </c>
    </row>
    <row r="9">
      <c r="B9" s="47" t="inlineStr">
        <is>
          <t>Cutting and serving</t>
        </is>
      </c>
      <c r="C9" s="48">
        <f>SUMIFS('Equipment List'!$L$6:$L$74,'Equipment List'!$B$6:$B$74,$B9,'Equipment List'!$E$6:$E$74,"Day one")</f>
        <v/>
      </c>
      <c r="D9" s="48">
        <f>SUMIFS('Equipment List'!$L$6:$L$74,'Equipment List'!$B$6:$B$74,$B9,'Equipment List'!$E$6:$E$74,"Later")</f>
        <v/>
      </c>
      <c r="E9" s="35">
        <f>C9+D9</f>
        <v/>
      </c>
      <c r="F9" s="49">
        <f>IFERROR(E9/$E$17,"")</f>
        <v/>
      </c>
      <c r="G9" s="50">
        <f>SUMPRODUCT(('Equipment List'!$B$6:$B$74=$B9)*('Equipment List'!$K$6:$K$74="")*('Equipment List'!$G$6:$G$74&gt;0))</f>
        <v/>
      </c>
    </row>
    <row r="10">
      <c r="B10" s="47" t="inlineStr">
        <is>
          <t>Cold and dry storage</t>
        </is>
      </c>
      <c r="C10" s="48">
        <f>SUMIFS('Equipment List'!$L$6:$L$74,'Equipment List'!$B$6:$B$74,$B10,'Equipment List'!$E$6:$E$74,"Day one")</f>
        <v/>
      </c>
      <c r="D10" s="48">
        <f>SUMIFS('Equipment List'!$L$6:$L$74,'Equipment List'!$B$6:$B$74,$B10,'Equipment List'!$E$6:$E$74,"Later")</f>
        <v/>
      </c>
      <c r="E10" s="35">
        <f>C10+D10</f>
        <v/>
      </c>
      <c r="F10" s="49">
        <f>IFERROR(E10/$E$17,"")</f>
        <v/>
      </c>
      <c r="G10" s="50">
        <f>SUMPRODUCT(('Equipment List'!$B$6:$B$74=$B10)*('Equipment List'!$K$6:$K$74="")*('Equipment List'!$G$6:$G$74&gt;0))</f>
        <v/>
      </c>
    </row>
    <row r="11">
      <c r="B11" s="47" t="inlineStr">
        <is>
          <t>Delivery and packaging</t>
        </is>
      </c>
      <c r="C11" s="48">
        <f>SUMIFS('Equipment List'!$L$6:$L$74,'Equipment List'!$B$6:$B$74,$B11,'Equipment List'!$E$6:$E$74,"Day one")</f>
        <v/>
      </c>
      <c r="D11" s="48">
        <f>SUMIFS('Equipment List'!$L$6:$L$74,'Equipment List'!$B$6:$B$74,$B11,'Equipment List'!$E$6:$E$74,"Later")</f>
        <v/>
      </c>
      <c r="E11" s="35">
        <f>C11+D11</f>
        <v/>
      </c>
      <c r="F11" s="49">
        <f>IFERROR(E11/$E$17,"")</f>
        <v/>
      </c>
      <c r="G11" s="50">
        <f>SUMPRODUCT(('Equipment List'!$B$6:$B$74=$B11)*('Equipment List'!$K$6:$K$74="")*('Equipment List'!$G$6:$G$74&gt;0))</f>
        <v/>
      </c>
    </row>
    <row r="12">
      <c r="B12" s="47" t="inlineStr">
        <is>
          <t>Front of house</t>
        </is>
      </c>
      <c r="C12" s="48">
        <f>SUMIFS('Equipment List'!$L$6:$L$74,'Equipment List'!$B$6:$B$74,$B12,'Equipment List'!$E$6:$E$74,"Day one")</f>
        <v/>
      </c>
      <c r="D12" s="48">
        <f>SUMIFS('Equipment List'!$L$6:$L$74,'Equipment List'!$B$6:$B$74,$B12,'Equipment List'!$E$6:$E$74,"Later")</f>
        <v/>
      </c>
      <c r="E12" s="35">
        <f>C12+D12</f>
        <v/>
      </c>
      <c r="F12" s="49">
        <f>IFERROR(E12/$E$17,"")</f>
        <v/>
      </c>
      <c r="G12" s="50">
        <f>SUMPRODUCT(('Equipment List'!$B$6:$B$74=$B12)*('Equipment List'!$K$6:$K$74="")*('Equipment List'!$G$6:$G$74&gt;0))</f>
        <v/>
      </c>
    </row>
    <row r="13">
      <c r="B13" s="47" t="inlineStr">
        <is>
          <t>Cleaning and hygiene</t>
        </is>
      </c>
      <c r="C13" s="48">
        <f>SUMIFS('Equipment List'!$L$6:$L$74,'Equipment List'!$B$6:$B$74,$B13,'Equipment List'!$E$6:$E$74,"Day one")</f>
        <v/>
      </c>
      <c r="D13" s="48">
        <f>SUMIFS('Equipment List'!$L$6:$L$74,'Equipment List'!$B$6:$B$74,$B13,'Equipment List'!$E$6:$E$74,"Later")</f>
        <v/>
      </c>
      <c r="E13" s="35">
        <f>C13+D13</f>
        <v/>
      </c>
      <c r="F13" s="49">
        <f>IFERROR(E13/$E$17,"")</f>
        <v/>
      </c>
      <c r="G13" s="50">
        <f>SUMPRODUCT(('Equipment List'!$B$6:$B$74=$B13)*('Equipment List'!$K$6:$K$74="")*('Equipment List'!$G$6:$G$74&gt;0))</f>
        <v/>
      </c>
    </row>
    <row r="14">
      <c r="B14" s="47" t="inlineStr">
        <is>
          <t>Billing and back office</t>
        </is>
      </c>
      <c r="C14" s="48">
        <f>SUMIFS('Equipment List'!$L$6:$L$74,'Equipment List'!$B$6:$B$74,$B14,'Equipment List'!$E$6:$E$74,"Day one")</f>
        <v/>
      </c>
      <c r="D14" s="48">
        <f>SUMIFS('Equipment List'!$L$6:$L$74,'Equipment List'!$B$6:$B$74,$B14,'Equipment List'!$E$6:$E$74,"Later")</f>
        <v/>
      </c>
      <c r="E14" s="35">
        <f>C14+D14</f>
        <v/>
      </c>
      <c r="F14" s="49">
        <f>IFERROR(E14/$E$17,"")</f>
        <v/>
      </c>
      <c r="G14" s="50">
        <f>SUMPRODUCT(('Equipment List'!$B$6:$B$74=$B14)*('Equipment List'!$K$6:$K$74="")*('Equipment List'!$G$6:$G$74&gt;0))</f>
        <v/>
      </c>
    </row>
    <row r="15">
      <c r="B15" s="47" t="inlineStr">
        <is>
          <t>Safety and utilities</t>
        </is>
      </c>
      <c r="C15" s="48">
        <f>SUMIFS('Equipment List'!$L$6:$L$74,'Equipment List'!$B$6:$B$74,$B15,'Equipment List'!$E$6:$E$74,"Day one")</f>
        <v/>
      </c>
      <c r="D15" s="48">
        <f>SUMIFS('Equipment List'!$L$6:$L$74,'Equipment List'!$B$6:$B$74,$B15,'Equipment List'!$E$6:$E$74,"Later")</f>
        <v/>
      </c>
      <c r="E15" s="35">
        <f>C15+D15</f>
        <v/>
      </c>
      <c r="F15" s="49">
        <f>IFERROR(E15/$E$17,"")</f>
        <v/>
      </c>
      <c r="G15" s="50">
        <f>SUMPRODUCT(('Equipment List'!$B$6:$B$74=$B15)*('Equipment List'!$K$6:$K$74="")*('Equipment List'!$G$6:$G$74&gt;0))</f>
        <v/>
      </c>
    </row>
    <row r="16">
      <c r="B16" s="47" t="inlineStr">
        <is>
          <t>Your own items</t>
        </is>
      </c>
      <c r="C16" s="48">
        <f>SUMIFS('Equipment List'!$L$6:$L$74,'Equipment List'!$B$6:$B$74,$B16,'Equipment List'!$E$6:$E$74,"Day one")</f>
        <v/>
      </c>
      <c r="D16" s="48">
        <f>SUMIFS('Equipment List'!$L$6:$L$74,'Equipment List'!$B$6:$B$74,$B16,'Equipment List'!$E$6:$E$74,"Later")</f>
        <v/>
      </c>
      <c r="E16" s="35">
        <f>C16+D16</f>
        <v/>
      </c>
      <c r="F16" s="49">
        <f>IFERROR(E16/$E$17,"")</f>
        <v/>
      </c>
      <c r="G16" s="50">
        <f>SUMPRODUCT(('Equipment List'!$B$6:$B$74=$B16)*('Equipment List'!$K$6:$K$74="")*('Equipment List'!$G$6:$G$74&gt;0))</f>
        <v/>
      </c>
    </row>
    <row r="17">
      <c r="B17" s="42" t="inlineStr">
        <is>
          <t>Total</t>
        </is>
      </c>
      <c r="C17" s="44">
        <f>SUM(C6:C16)</f>
        <v/>
      </c>
      <c r="D17" s="44">
        <f>SUM(D6:D16)</f>
        <v/>
      </c>
      <c r="E17" s="44">
        <f>SUM(E6:E16)</f>
        <v/>
      </c>
      <c r="F17" s="51" t="n"/>
      <c r="G17" s="52">
        <f>SUM(G6:G16)</f>
        <v/>
      </c>
    </row>
    <row r="18"/>
    <row r="19">
      <c r="B19" s="25" t="inlineStr">
        <is>
          <t>What this tells you</t>
        </is>
      </c>
      <c r="C19" s="26" t="n"/>
      <c r="D19" s="26" t="n"/>
      <c r="E19" s="26" t="n"/>
      <c r="F19" s="26" t="n"/>
      <c r="G19" s="26" t="n"/>
    </row>
    <row r="20">
      <c r="B20" s="6" t="inlineStr">
        <is>
          <t>Figure</t>
        </is>
      </c>
      <c r="C20" s="20" t="inlineStr">
        <is>
          <t>Value</t>
        </is>
      </c>
      <c r="D20" s="20" t="n"/>
      <c r="E20" s="20" t="n"/>
      <c r="F20" s="20" t="n"/>
      <c r="G20" s="6" t="inlineStr">
        <is>
          <t>Read it like this</t>
        </is>
      </c>
    </row>
    <row r="21" ht="27" customHeight="1">
      <c r="B21" s="7" t="inlineStr">
        <is>
          <t>Opening day spend</t>
        </is>
      </c>
      <c r="C21" s="53">
        <f>C17</f>
        <v/>
      </c>
      <c r="D21" s="54" t="n"/>
      <c r="E21" s="54" t="n"/>
      <c r="F21" s="54" t="n"/>
      <c r="G21" s="22" t="inlineStr">
        <is>
          <t>What has to be paid for before you can bake and sell a pizza.</t>
        </is>
      </c>
    </row>
    <row r="22" ht="27" customHeight="1">
      <c r="B22" s="7" t="inlineStr">
        <is>
          <t>Can wait</t>
        </is>
      </c>
      <c r="C22" s="53">
        <f>D17</f>
        <v/>
      </c>
      <c r="D22" s="54" t="n"/>
      <c r="E22" s="54" t="n"/>
      <c r="F22" s="54" t="n"/>
      <c r="G22" s="22" t="inlineStr">
        <is>
          <t>Spread this over the first months rather than the opening.</t>
        </is>
      </c>
    </row>
    <row r="23" ht="80" customHeight="1">
      <c r="B23" s="7" t="inlineStr">
        <is>
          <t>The oven's share</t>
        </is>
      </c>
      <c r="C23" s="55">
        <f>IFERROR(E6/E17,"")</f>
        <v/>
      </c>
      <c r="D23" s="54" t="n"/>
      <c r="E23" s="54" t="n"/>
      <c r="F23" s="54" t="n"/>
      <c r="G23" s="22" t="inlineStr">
        <is>
          <t>The oven alone, against everything. It is the biggest single line and the only one you cannot resize later, so it should look large. If it does not, check you have sized it on your peak hour rather than on a catalogue.</t>
        </is>
      </c>
    </row>
    <row r="24" ht="53" customHeight="1">
      <c r="B24" s="7" t="inlineStr">
        <is>
          <t>Dough chain share</t>
        </is>
      </c>
      <c r="C24" s="55">
        <f>IFERROR((E7+E10)/E17,"")</f>
        <v/>
      </c>
      <c r="D24" s="54" t="n"/>
      <c r="E24" s="54" t="n"/>
      <c r="F24" s="54" t="n"/>
      <c r="G24" s="22" t="inlineStr">
        <is>
          <t>Mixer, boxes, retard and cold storage together. This is the half that gets cut, and cutting it caps how far ahead you can prep.</t>
        </is>
      </c>
    </row>
    <row r="25" ht="53" customHeight="1">
      <c r="B25" s="7" t="inlineStr">
        <is>
          <t>Delivery side share</t>
        </is>
      </c>
      <c r="C25" s="55">
        <f>IFERROR(E11/E17,"")</f>
        <v/>
      </c>
      <c r="D25" s="54" t="n"/>
      <c r="E25" s="54" t="n"/>
      <c r="F25" s="54" t="n"/>
      <c r="G25" s="22" t="inlineStr">
        <is>
          <t>Boxes, liners, bags, seals and the holding shelf. Zero if you answered No to delivering, which is the only honest way for it to be zero.</t>
        </is>
      </c>
    </row>
    <row r="26" ht="40" customHeight="1">
      <c r="B26" s="7" t="inlineStr">
        <is>
          <t>Lines still to price</t>
        </is>
      </c>
      <c r="C26" s="52">
        <f>G17</f>
        <v/>
      </c>
      <c r="D26" s="54" t="n"/>
      <c r="E26" s="54" t="n"/>
      <c r="F26" s="54" t="n"/>
      <c r="G26" s="22" t="inlineStr">
        <is>
          <t>Every line you have given a quantity but no quote. The total is understated until this is zero.</t>
        </is>
      </c>
    </row>
    <row r="27" ht="53" customHeight="1">
      <c r="B27" s="7" t="inlineStr">
        <is>
          <t>Cost per pizza of peak capacity</t>
        </is>
      </c>
      <c r="C27" s="53">
        <f>IF(E17=0,"",IFERROR(E17/MAX(('Pizzeria Profile'!$C$6*'Pizzeria Profile'!$C$7),1),""))</f>
        <v/>
      </c>
      <c r="D27" s="54" t="n"/>
      <c r="E27" s="54" t="n"/>
      <c r="F27" s="54" t="n"/>
      <c r="G27" s="22" t="inlineStr">
        <is>
          <t>What the kit costs for each pizza an hour it can turn out at peak. Useful against your own second outlet, not against a published figure.</t>
        </is>
      </c>
    </row>
    <row r="28"/>
    <row r="29"/>
    <row r="30" ht="53" customHeight="1">
      <c r="B30" s="13" t="inlineStr">
        <is>
          <t>One line on this list pays for itself differently from the rest. Everything else bakes, mixes or chills. The till counts. A pizzeria loses margin in two places nobody watches: cheese, where a few extra grams on every pizza never shows up on any single bill, and dough that never becomes a pizza, because it over-proved or nobody counted it. A till that holds the recipe behind each pizza rather than just its price, deducts stock item by item as you bill, and gives you a day-end inventory report, is what makes both of them visible.</t>
        </is>
      </c>
    </row>
    <row r="31"/>
    <row r="32">
      <c r="B32" s="18" t="inlineStr">
        <is>
          <t>Powered by Petpooja POS  |  getposs@petpooja.com  |  +91-9104369797  |  www.petpooja.com</t>
        </is>
      </c>
    </row>
  </sheetData>
  <sheetProtection selectLockedCells="0" selectUnlockedCells="0" sheet="1" objects="0" insertRows="0" insertHyperlinks="1" autoFilter="1" scenarios="0" formatColumns="1" deleteColumns="1" insertColumns="1" pivotTables="1" deleteRows="0" formatCells="1" formatRows="1" sort="0"/>
  <mergeCells count="13">
    <mergeCell ref="B3:G3"/>
    <mergeCell ref="B2:G2"/>
    <mergeCell ref="B19:G19"/>
    <mergeCell ref="C22:F22"/>
    <mergeCell ref="C23:F23"/>
    <mergeCell ref="C20:F20"/>
    <mergeCell ref="C26:F26"/>
    <mergeCell ref="C27:F27"/>
    <mergeCell ref="C21:F21"/>
    <mergeCell ref="B32:G32"/>
    <mergeCell ref="C25:F25"/>
    <mergeCell ref="C24:F24"/>
    <mergeCell ref="B30:G30"/>
  </mergeCells>
  <printOptions horizontalCentered="1"/>
  <pageMargins left="0.3" right="0.3" top="0.4" bottom="0.4"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34" customWidth="1" min="1" max="1"/>
    <col width="18" customWidth="1" min="2" max="2"/>
    <col width="18" customWidth="1" min="3" max="3"/>
    <col width="18" customWidth="1" min="4" max="4"/>
  </cols>
  <sheetData>
    <row r="1">
      <c r="A1" s="12" t="inlineStr">
        <is>
          <t>Oven type</t>
        </is>
      </c>
    </row>
    <row r="2">
      <c r="A2" s="56" t="inlineStr">
        <is>
          <t>Deck</t>
        </is>
      </c>
    </row>
    <row r="3">
      <c r="A3" s="56" t="inlineStr">
        <is>
          <t>Conveyor</t>
        </is>
      </c>
    </row>
    <row r="4">
      <c r="A4" s="56" t="inlineStr">
        <is>
          <t>Wood or brick</t>
        </is>
      </c>
    </row>
    <row r="5"/>
    <row r="6"/>
    <row r="7">
      <c r="A7" s="12" t="inlineStr">
        <is>
          <t>Yes or No</t>
        </is>
      </c>
    </row>
    <row r="8">
      <c r="A8" s="56" t="inlineStr">
        <is>
          <t>Yes</t>
        </is>
      </c>
    </row>
    <row r="9">
      <c r="A9" s="56" t="inlineStr">
        <is>
          <t>No</t>
        </is>
      </c>
    </row>
    <row r="10"/>
    <row r="11">
      <c r="A11" s="12" t="inlineStr">
        <is>
          <t>Day one or Later</t>
        </is>
      </c>
    </row>
    <row r="12">
      <c r="A12" s="56" t="inlineStr">
        <is>
          <t>Day one</t>
        </is>
      </c>
    </row>
    <row r="13">
      <c r="A13" s="56" t="inlineStr">
        <is>
          <t>Later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2026-09-25T08:12:35Z</dcterms:created>
  <dcterms:modified xmlns:dcterms="http://purl.org/dc/terms/" xmlns:xsi="http://www.w3.org/2001/XMLSchema-instance" xsi:type="dcterms:W3CDTF">2026-09-25T08:12:35Z</dcterms:modified>
</cp:coreProperties>
</file>