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eceipt Register" sheetId="2" state="visible" r:id="rId2"/>
    <sheet xmlns:r="http://schemas.openxmlformats.org/officeDocument/2006/relationships" name="Print Receipt" sheetId="3" state="visible" r:id="rId3"/>
    <sheet xmlns:r="http://schemas.openxmlformats.org/officeDocument/2006/relationships" name="Receipt Rules" sheetId="4" state="visible" r:id="rId4"/>
    <sheet xmlns:r="http://schemas.openxmlformats.org/officeDocument/2006/relationships" name="Example Register" sheetId="5" state="visible" r:id="rId5"/>
    <sheet xmlns:r="http://schemas.openxmlformats.org/officeDocument/2006/relationships" name="Example Receipt" sheetId="6" state="visible" r:id="rId6"/>
    <sheet xmlns:r="http://schemas.openxmlformats.org/officeDocument/2006/relationships" name="Lists" sheetId="7" state="hidden" r:id="rId7"/>
  </sheets>
  <definedNames>
    <definedName name="_xlnm.Print_Area" localSheetId="0">'Instructions'!$A$1:$D$36</definedName>
    <definedName name="_xlnm.Print_Titles" localSheetId="1">'Receipt Register'!$17:$17</definedName>
    <definedName name="_xlnm.Print_Area" localSheetId="1">'Receipt Register'!$A$1:$O$323</definedName>
    <definedName name="_xlnm.Print_Area" localSheetId="2">'Print Receipt'!$A$6:$I$36</definedName>
    <definedName name="_xlnm.Print_Titles" localSheetId="3">'Receipt Rules'!$5:$5</definedName>
    <definedName name="_xlnm.Print_Area" localSheetId="3">'Receipt Rules'!$A$1:$E$20</definedName>
    <definedName name="_xlnm.Print_Titles" localSheetId="4">'Example Register'!$17:$17</definedName>
    <definedName name="_xlnm.Print_Area" localSheetId="4">'Example Register'!$A$1:$O$323</definedName>
    <definedName name="_xlnm.Print_Area" localSheetId="5">'Example Receipt'!$A$6:$I$36</definedName>
  </definedNames>
  <calcPr calcId="124519" fullCalcOnLoad="1"/>
</workbook>
</file>

<file path=xl/styles.xml><?xml version="1.0" encoding="utf-8"?>
<styleSheet xmlns="http://schemas.openxmlformats.org/spreadsheetml/2006/main">
  <numFmts count="6">
    <numFmt numFmtId="164" formatCode="#,##,##0;(#,##,##0);&quot;-&quot;"/>
    <numFmt numFmtId="165" formatCode="0;-0;&quot;None&quot;"/>
    <numFmt numFmtId="166" formatCode="DD-MMM-YYYY"/>
    <numFmt numFmtId="167" formatCode="#,##,##0;(#,##,##0);&quot;&quot;"/>
    <numFmt numFmtId="168" formatCode="#,##,##0.00"/>
    <numFmt numFmtId="169" formatCode="yyyy-mm-dd"/>
  </numFmts>
  <fonts count="11">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C52031"/>
      <sz val="9"/>
    </font>
    <font>
      <name val="Calibri"/>
      <b val="1"/>
      <color rgb="001F2937"/>
      <sz val="12"/>
    </font>
    <font>
      <name val="Calibri"/>
      <b val="1"/>
      <color rgb="001F2937"/>
      <sz val="15"/>
    </font>
    <font>
      <name val="Calibri"/>
      <b val="1"/>
      <color rgb="001F2937"/>
      <sz val="14"/>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5">
    <xf numFmtId="0" fontId="0" fillId="0" borderId="0" pivotButton="0" quotePrefix="0" xfId="0"/>
    <xf numFmtId="0" fontId="3"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6" borderId="0" applyAlignment="1" pivotButton="0" quotePrefix="0" xfId="0">
      <alignment horizontal="left" vertical="top" wrapText="1"/>
    </xf>
    <xf numFmtId="0" fontId="0" fillId="6"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5" fillId="3" borderId="1" applyAlignment="1" pivotButton="0" quotePrefix="0" xfId="0">
      <alignment horizontal="left" vertical="center" wrapText="1"/>
    </xf>
    <xf numFmtId="0" fontId="0" fillId="3" borderId="1" pivotButton="0" quotePrefix="0" xfId="0"/>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0" fontId="6" fillId="0" borderId="0" applyAlignment="1" pivotButton="0" quotePrefix="0" xfId="0">
      <alignment horizontal="left" vertical="center" wrapText="1"/>
    </xf>
    <xf numFmtId="1" fontId="2" fillId="4" borderId="1" applyAlignment="1" applyProtection="1" pivotButton="0" quotePrefix="0" xfId="0">
      <alignment horizontal="left" vertical="center" wrapText="1"/>
      <protection locked="0" hidden="0"/>
    </xf>
    <xf numFmtId="164" fontId="7" fillId="0" borderId="1" applyAlignment="1" pivotButton="0" quotePrefix="0" xfId="0">
      <alignment horizontal="right" vertical="center"/>
    </xf>
    <xf numFmtId="165" fontId="7" fillId="0" borderId="1" applyAlignment="1" pivotButton="0" quotePrefix="0" xfId="0">
      <alignment horizontal="center" vertical="center" wrapText="1"/>
    </xf>
    <xf numFmtId="0" fontId="1" fillId="5" borderId="1" applyAlignment="1" pivotButton="0" quotePrefix="0" xfId="0">
      <alignment horizontal="center" vertical="center" wrapText="1"/>
    </xf>
    <xf numFmtId="166" fontId="2" fillId="4" borderId="1" applyAlignment="1" applyProtection="1" pivotButton="0" quotePrefix="0" xfId="0">
      <alignment horizontal="center" vertical="center" wrapText="1"/>
      <protection locked="0" hidden="0"/>
    </xf>
    <xf numFmtId="0" fontId="5" fillId="0" borderId="1" applyAlignment="1" pivotButton="0" quotePrefix="0" xfId="0">
      <alignment horizontal="center" vertical="center" wrapText="1"/>
    </xf>
    <xf numFmtId="0" fontId="2" fillId="4" borderId="1" applyAlignment="1" applyProtection="1" pivotButton="0" quotePrefix="0" xfId="0">
      <alignment horizontal="center" vertical="center" wrapText="1"/>
      <protection locked="0" hidden="0"/>
    </xf>
    <xf numFmtId="167" fontId="2" fillId="4" borderId="1" applyAlignment="1" applyProtection="1" pivotButton="0" quotePrefix="0" xfId="0">
      <alignment horizontal="right" vertical="center"/>
      <protection locked="0" hidden="0"/>
    </xf>
    <xf numFmtId="164" fontId="5" fillId="0" borderId="1" applyAlignment="1" pivotButton="0" quotePrefix="0" xfId="0">
      <alignment horizontal="right" vertical="center"/>
    </xf>
    <xf numFmtId="0" fontId="2"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5" fillId="6" borderId="1" applyAlignment="1" pivotButton="0" quotePrefix="0" xfId="0">
      <alignment horizontal="left" vertical="center" wrapText="1"/>
    </xf>
    <xf numFmtId="0" fontId="0" fillId="6" borderId="1" pivotButton="0" quotePrefix="0" xfId="0"/>
    <xf numFmtId="164" fontId="5" fillId="6" borderId="1" applyAlignment="1" pivotButton="0" quotePrefix="0" xfId="0">
      <alignment horizontal="right" vertical="center"/>
    </xf>
    <xf numFmtId="0" fontId="4" fillId="0" borderId="0" pivotButton="0" quotePrefix="0" xfId="0"/>
    <xf numFmtId="0" fontId="2" fillId="0" borderId="0" pivotButton="0" quotePrefix="0" xfId="0"/>
    <xf numFmtId="0" fontId="5" fillId="4" borderId="1" applyAlignment="1" applyProtection="1" pivotButton="0" quotePrefix="0" xfId="0">
      <alignment horizontal="center" vertical="center" wrapText="1"/>
      <protection locked="0" hidden="0"/>
    </xf>
    <xf numFmtId="0" fontId="8"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2" borderId="0" applyAlignment="1" pivotButton="0" quotePrefix="0" xfId="0">
      <alignment horizontal="center" vertical="center" wrapText="1"/>
    </xf>
    <xf numFmtId="0" fontId="5" fillId="0" borderId="1" applyAlignment="1" pivotButton="0" quotePrefix="0" xfId="0">
      <alignment horizontal="left" vertical="center" wrapText="1"/>
    </xf>
    <xf numFmtId="166" fontId="5" fillId="0" borderId="1" applyAlignment="1" pivotButton="0" quotePrefix="0" xfId="0">
      <alignment horizontal="left" vertical="center" wrapText="1"/>
    </xf>
    <xf numFmtId="0" fontId="2" fillId="0" borderId="1" applyAlignment="1" pivotButton="0" quotePrefix="0" xfId="0">
      <alignment horizontal="left" vertical="center" wrapText="1"/>
    </xf>
    <xf numFmtId="168" fontId="9" fillId="0" borderId="1" applyAlignment="1" pivotButton="0" quotePrefix="0" xfId="0">
      <alignment horizontal="left" vertical="center" wrapText="1"/>
    </xf>
    <xf numFmtId="0" fontId="5" fillId="0" borderId="0" applyAlignment="1" pivotButton="0" quotePrefix="0" xfId="0">
      <alignment horizontal="left" vertical="center" wrapText="1"/>
    </xf>
    <xf numFmtId="164" fontId="5" fillId="0" borderId="0" applyAlignment="1" pivotButton="0" quotePrefix="0" xfId="0">
      <alignment horizontal="left" vertical="center" wrapText="1"/>
    </xf>
    <xf numFmtId="0" fontId="4" fillId="0" borderId="0" applyAlignment="1" pivotButton="0" quotePrefix="0" xfId="0">
      <alignment horizontal="left" vertical="top" wrapText="1"/>
    </xf>
    <xf numFmtId="0" fontId="5" fillId="0"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Money Receipt Format in Excel</t>
        </is>
      </c>
    </row>
    <row r="3" ht="36" customHeight="1">
      <c r="B3" s="2" t="inlineStr">
        <is>
          <t>A receipt register that numbers every receipt, writes the amount in words and prints a customer copy and an office copy</t>
        </is>
      </c>
    </row>
    <row r="4"/>
    <row r="5" ht="19" customHeight="1">
      <c r="B5" s="3" t="inlineStr">
        <is>
          <t xml:space="preserve">  READ THIS FIRST</t>
        </is>
      </c>
      <c r="C5" s="4" t="n"/>
    </row>
    <row r="6" ht="44" customHeight="1">
      <c r="B6" s="5" t="inlineStr">
        <is>
          <t>Over ₹5,000, a ₹1 stamp</t>
        </is>
      </c>
      <c r="C6" s="6" t="inlineStr">
        <is>
          <t>Under the Indian Stamp Act a receipt for more than ₹5,000 needs a ₹1 revenue stamp, signed across with the date. The duty is set centrally, so it is the same in every state. The Stamp column tells you which receipts need one.</t>
        </is>
      </c>
    </row>
    <row r="7" ht="31" customHeight="1">
      <c r="B7" s="5" t="inlineStr">
        <is>
          <t>An advance is different</t>
        </is>
      </c>
      <c r="C7" s="6" t="inlineStr">
        <is>
          <t>If you are GST-registered and the money is an advance, give a receipt voucher under GST as well. The Check column says so on every advance.</t>
        </is>
      </c>
    </row>
    <row r="8" ht="44" customHeight="1">
      <c r="B8" s="5" t="inlineStr">
        <is>
          <t>Cash has limits</t>
        </is>
      </c>
      <c r="C8" s="6" t="inlineStr">
        <is>
          <t>₹2,00,000 or more in cash from one person in a day, or against one invoice, is barred under section 186 of the Income-tax Act, 2025. So is a loan of ₹20,000 or more in cash, under section 185. The register flags both before you hand over a receipt.</t>
        </is>
      </c>
    </row>
    <row r="9" ht="31" customHeight="1">
      <c r="B9" s="5" t="inlineStr">
        <is>
          <t>Numbers never repeat</t>
        </is>
      </c>
      <c r="C9" s="6" t="inlineStr">
        <is>
          <t>The receipt number comes from the row, so each one is used once. A mistake is marked Cancelled, not deleted, and the next row gets a fresh number.</t>
        </is>
      </c>
    </row>
    <row r="10"/>
    <row r="11" ht="19" customHeight="1">
      <c r="B11" s="3" t="inlineStr">
        <is>
          <t xml:space="preserve">  WHAT IS IN THIS WORKBOOK</t>
        </is>
      </c>
      <c r="C11" s="4" t="n"/>
    </row>
    <row r="12" ht="31" customHeight="1">
      <c r="B12" s="5" t="inlineStr">
        <is>
          <t>Receipt Register</t>
        </is>
      </c>
      <c r="C12" s="6" t="inlineStr">
        <is>
          <t>One row per receipt: who paid, what for, how, how much, the balance left on the invoice, whether it needs a stamp, and a Check column. 300 rows.</t>
        </is>
      </c>
    </row>
    <row r="13" ht="31" customHeight="1">
      <c r="B13" s="5" t="inlineStr">
        <is>
          <t>Print Receipt</t>
        </is>
      </c>
      <c r="C13" s="6" t="inlineStr">
        <is>
          <t>Pick a receipt number and print. A customer copy and an office copy on one A4 sheet, with the amount in words in lakh and crore, and a stamp box when one is needed.</t>
        </is>
      </c>
    </row>
    <row r="14" ht="31" customHeight="1">
      <c r="B14" s="5" t="inlineStr">
        <is>
          <t>Receipt Rules</t>
        </is>
      </c>
      <c r="C14" s="6" t="inlineStr">
        <is>
          <t>The ten provisions behind the stamp and the Check column, quoted or summarised from the Acts.</t>
        </is>
      </c>
    </row>
    <row r="15" ht="31" customHeight="1">
      <c r="B15" s="5" t="inlineStr">
        <is>
          <t>Example Register, Example Receipt</t>
        </is>
      </c>
      <c r="C15" s="6" t="inlineStr">
        <is>
          <t>Two weeks at a made-up wholesale shop, filled in. Five receipts are flagged on purpose, under three rules, and one is cancelled, so you can see what each looks like.</t>
        </is>
      </c>
    </row>
    <row r="16"/>
    <row r="17" ht="19" customHeight="1">
      <c r="B17" s="3" t="inlineStr">
        <is>
          <t xml:space="preserve">  HOW TO USE IT</t>
        </is>
      </c>
      <c r="C17" s="4" t="n"/>
    </row>
    <row r="18" ht="18" customHeight="1">
      <c r="B18" s="5" t="inlineStr">
        <is>
          <t>Step 1</t>
        </is>
      </c>
      <c r="C18" s="6" t="inlineStr">
        <is>
          <t>Open the two Example sheets first. They show a filled register and a printed receipt.</t>
        </is>
      </c>
    </row>
    <row r="19" ht="57" customHeight="1">
      <c r="B19" s="5" t="inlineStr">
        <is>
          <t>Step 2</t>
        </is>
      </c>
      <c r="C19" s="6" t="inlineStr">
        <is>
          <t>On the Receipt Register, fill the set-up: your business name, address, phone, GSTIN if you have one, and how receipt numbers start (for example MR/26-27/, and 1 for the first). Set these once: changing them later renumbers every receipt, including ones you have handed over. Start a new series each financial year.</t>
        </is>
      </c>
    </row>
    <row r="20" ht="44" customHeight="1">
      <c r="B20" s="5" t="inlineStr">
        <is>
          <t>Step 3</t>
        </is>
      </c>
      <c r="C20" s="6" t="inlineStr">
        <is>
          <t>Enter every receipt on the next empty row: date, who paid, what for, how it was paid and the amount. For a cheque, UPI, card or bank transfer, add the cheque number, UTR or UPI reference.</t>
        </is>
      </c>
    </row>
    <row r="21" ht="31" customHeight="1">
      <c r="B21" s="5" t="inlineStr">
        <is>
          <t>Step 4</t>
        </is>
      </c>
      <c r="C21" s="6" t="inlineStr">
        <is>
          <t>If the money is against an invoice, type the invoice number on every receipt for it, and the invoice amount on the first one only. The register works out what is still due.</t>
        </is>
      </c>
    </row>
    <row r="22" ht="31" customHeight="1">
      <c r="B22" s="5" t="inlineStr">
        <is>
          <t>Step 5</t>
        </is>
      </c>
      <c r="C22" s="6" t="inlineStr">
        <is>
          <t>Read the Check column before you hand the receipt over. Anything other than OK is explained on the Receipt Rules sheet.</t>
        </is>
      </c>
    </row>
    <row r="23" ht="44" customHeight="1">
      <c r="B23" s="5" t="inlineStr">
        <is>
          <t>Step 6</t>
        </is>
      </c>
      <c r="C23" s="6" t="inlineStr">
        <is>
          <t>To print, open Print Receipt, pick the receipt number and print the sheet. Sign both copies. If the Stamp column says Yes, affix a ₹1 revenue stamp on the customer copy and sign across it with the date.</t>
        </is>
      </c>
    </row>
    <row r="24" ht="31" customHeight="1">
      <c r="B24" s="5" t="inlineStr">
        <is>
          <t>Step 7</t>
        </is>
      </c>
      <c r="C24" s="6" t="inlineStr">
        <is>
          <t>Made a mistake? Do not change or delete a receipt you have handed over. Mark it Cancelled, keep both copies, and give a fresh receipt on the next row.</t>
        </is>
      </c>
    </row>
    <row r="25" ht="44" customHeight="1">
      <c r="B25" s="5" t="inlineStr">
        <is>
          <t>Step 8</t>
        </is>
      </c>
      <c r="C25" s="6" t="inlineStr">
        <is>
          <t>When the 300 rows fill up, or a new financial year starts, save a copy of the file and carry on in the copy with the next number or a new series. Do not sort or reorder the register: the number belongs to the row.</t>
        </is>
      </c>
    </row>
    <row r="26"/>
    <row r="27" ht="19" customHeight="1">
      <c r="B27" s="3" t="inlineStr">
        <is>
          <t xml:space="preserve">  WHAT THIS WORKBOOK DOES NOT DO</t>
        </is>
      </c>
      <c r="C27" s="4" t="n"/>
    </row>
    <row r="28" ht="31" customHeight="1">
      <c r="B28" s="6" t="inlineStr">
        <is>
          <t>•  It is not a GST invoice or a GST receipt voucher. A sale still needs its tax invoice or bill of supply, and an advance its receipt voucher, if you are registered.</t>
        </is>
      </c>
      <c r="C28" s="7" t="n"/>
    </row>
    <row r="29" ht="31" customHeight="1">
      <c r="B29" s="6" t="inlineStr">
        <is>
          <t>•  It does not know your state's e-stamping or franking options. It assumes a printed receipt with an adhesive revenue stamp. If you send receipts only by email or WhatsApp, ask your accountant how the stamp applies.</t>
        </is>
      </c>
      <c r="C29" s="7" t="n"/>
    </row>
    <row r="30" ht="31" customHeight="1">
      <c r="B30" s="6" t="inlineStr">
        <is>
          <t>•  It checks a cash loan entry on its own. The ₹20,000 limit also counts earlier loans from the same person still unpaid.</t>
        </is>
      </c>
      <c r="C30" s="7" t="n"/>
    </row>
    <row r="31" ht="31" customHeight="1">
      <c r="B31" s="6" t="inlineStr">
        <is>
          <t>•  If your customer deducted TDS, the balance shows that amount as still due. Settle it against their TDS certificate, not as cash received.</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V323"/>
  <sheetViews>
    <sheetView workbookViewId="0">
      <pane xSplit="3" ySplit="17" topLeftCell="D18"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5" customWidth="1" min="3" max="3"/>
    <col width="28" customWidth="1" min="4" max="4"/>
    <col width="14" customWidth="1" min="5" max="5"/>
    <col width="13" customWidth="1" min="6" max="6"/>
    <col width="30" customWidth="1" min="7" max="7"/>
    <col width="22" customWidth="1" min="8" max="8"/>
    <col width="18" customWidth="1" min="9" max="9"/>
    <col width="13" customWidth="1" min="10" max="10"/>
    <col width="11" customWidth="1" min="11" max="11"/>
    <col width="13" customWidth="1" min="12" max="12"/>
    <col width="10" customWidth="1" min="13" max="13"/>
    <col width="50"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s>
  <sheetData>
    <row r="1"/>
    <row r="2" ht="26" customHeight="1">
      <c r="B2" s="1" t="inlineStr">
        <is>
          <t>RECEIPT REGISTER</t>
        </is>
      </c>
    </row>
    <row r="3" ht="16" customHeight="1">
      <c r="B3" s="11" t="inlineStr">
        <is>
          <t>One row for every receipt you give. The receipt number, the balance on the invoice, the stamp and the Check column work themselves out. Print any receipt from the Print Receipt sheet.</t>
        </is>
      </c>
    </row>
    <row r="4"/>
    <row r="5" ht="19" customHeight="1">
      <c r="B5" s="3" t="inlineStr">
        <is>
          <t xml:space="preserve">  SET UP (name, address, phone and GSTIN print on every receipt)</t>
        </is>
      </c>
      <c r="C5" s="4" t="n"/>
      <c r="D5" s="4" t="n"/>
      <c r="E5" s="4" t="n"/>
      <c r="F5" s="4" t="n"/>
      <c r="G5" s="4" t="n"/>
      <c r="H5" s="4" t="n"/>
      <c r="I5" s="4" t="n"/>
      <c r="J5" s="4" t="n"/>
      <c r="K5" s="4" t="n"/>
      <c r="L5" s="4" t="n"/>
      <c r="M5" s="4" t="n"/>
      <c r="N5" s="4" t="n"/>
    </row>
    <row r="6" ht="18" customHeight="1">
      <c r="B6" s="12" t="inlineStr">
        <is>
          <t>Name of the business</t>
        </is>
      </c>
      <c r="C6" s="13" t="n"/>
      <c r="D6" s="13" t="n"/>
      <c r="E6" s="14" t="n"/>
      <c r="F6" s="15" t="n"/>
      <c r="G6" s="15" t="n"/>
      <c r="H6" s="15" t="n"/>
    </row>
    <row r="7" ht="18" customHeight="1">
      <c r="B7" s="12" t="inlineStr">
        <is>
          <t>Address</t>
        </is>
      </c>
      <c r="C7" s="13" t="n"/>
      <c r="D7" s="13" t="n"/>
      <c r="E7" s="14" t="n"/>
      <c r="F7" s="15" t="n"/>
      <c r="G7" s="15" t="n"/>
      <c r="H7" s="15" t="n"/>
    </row>
    <row r="8" ht="18" customHeight="1">
      <c r="B8" s="12" t="inlineStr">
        <is>
          <t>Phone</t>
        </is>
      </c>
      <c r="C8" s="13" t="n"/>
      <c r="D8" s="13" t="n"/>
      <c r="E8" s="14" t="n"/>
      <c r="F8" s="15" t="n"/>
      <c r="G8" s="15" t="n"/>
      <c r="H8" s="15" t="n"/>
    </row>
    <row r="9" ht="18" customHeight="1">
      <c r="B9" s="12" t="inlineStr">
        <is>
          <t>GSTIN (leave blank if not registered)</t>
        </is>
      </c>
      <c r="C9" s="13" t="n"/>
      <c r="D9" s="13" t="n"/>
      <c r="E9" s="14" t="n"/>
      <c r="F9" s="15" t="n"/>
      <c r="G9" s="15" t="n"/>
      <c r="H9" s="15" t="n"/>
    </row>
    <row r="10" ht="18" customHeight="1">
      <c r="B10" s="12" t="inlineStr">
        <is>
          <t>Receipt number starts with</t>
        </is>
      </c>
      <c r="C10" s="13" t="n"/>
      <c r="D10" s="13" t="n"/>
      <c r="E10" s="14" t="inlineStr">
        <is>
          <t>MR/26-27/</t>
        </is>
      </c>
      <c r="F10" s="15" t="n"/>
      <c r="G10" s="15" t="n"/>
      <c r="H10" s="15" t="n"/>
      <c r="I10" s="16">
        <f>IF(LEN($E$10)+3&gt;16,"Keep it shorter: with the number it must stay within 16 characters","")</f>
        <v/>
      </c>
    </row>
    <row r="11" ht="18" customHeight="1">
      <c r="B11" s="12" t="inlineStr">
        <is>
          <t>First receipt number</t>
        </is>
      </c>
      <c r="C11" s="13" t="n"/>
      <c r="D11" s="13" t="n"/>
      <c r="E11" s="17" t="n">
        <v>1</v>
      </c>
      <c r="F11" s="15" t="n"/>
      <c r="G11" s="15" t="n"/>
      <c r="H11" s="15" t="n"/>
      <c r="I11" s="16">
        <f>IF(AND($E$11&lt;&gt;"",OR(NOT(ISNUMBER($E$11)),$E$11&lt;1)),"Enter a whole number, such as 1","")</f>
        <v/>
      </c>
    </row>
    <row r="12" ht="16" customHeight="1">
      <c r="B12" s="11" t="inlineStr">
        <is>
          <t>Set the receipt number fields once. Changing them later renumbers every receipt, including ones already handed over.</t>
        </is>
      </c>
    </row>
    <row r="13" ht="19" customHeight="1">
      <c r="B13" s="3" t="inlineStr">
        <is>
          <t xml:space="preserve">  WHERE YOU STAND</t>
        </is>
      </c>
      <c r="C13" s="4" t="n"/>
      <c r="D13" s="4" t="n"/>
      <c r="E13" s="4" t="n"/>
      <c r="F13" s="4" t="n"/>
      <c r="G13" s="4" t="n"/>
      <c r="H13" s="4" t="n"/>
      <c r="I13" s="4" t="n"/>
      <c r="J13" s="4" t="n"/>
      <c r="K13" s="4" t="n"/>
      <c r="L13" s="4" t="n"/>
      <c r="M13" s="4" t="n"/>
      <c r="N13" s="4" t="n"/>
    </row>
    <row r="14" ht="18" customHeight="1">
      <c r="B14" s="12" t="inlineStr">
        <is>
          <t>Received so far (₹)</t>
        </is>
      </c>
      <c r="C14" s="13" t="n"/>
      <c r="D14" s="18">
        <f>SUM($Q$18:$Q$317)</f>
        <v/>
      </c>
      <c r="E14" s="12" t="inlineStr">
        <is>
          <t>Of which in cash (₹)</t>
        </is>
      </c>
      <c r="F14" s="13" t="n"/>
      <c r="G14" s="18">
        <f>SUMIFS($Q$18:$Q$317,$H$18:$H$317,"Cash")</f>
        <v/>
      </c>
      <c r="H14" s="12" t="inlineStr">
        <is>
          <t>Receipts that need a ₹1 stamp</t>
        </is>
      </c>
      <c r="I14" s="13" t="n"/>
      <c r="J14" s="19">
        <f>COUNTIF($M$18:$M$317,"Yes*")</f>
        <v/>
      </c>
      <c r="K14" s="12" t="inlineStr">
        <is>
          <t>Receipts to look at</t>
        </is>
      </c>
      <c r="L14" s="13" t="n"/>
      <c r="M14" s="19">
        <f>SUM($V$18:$V$317)</f>
        <v/>
      </c>
    </row>
    <row r="15" ht="16" customHeight="1">
      <c r="B15" s="11" t="inlineStr">
        <is>
          <t>Anything other than OK in the Check column is something to look at before you hand the receipt over. The Receipt Rules sheet explains each message.</t>
        </is>
      </c>
    </row>
    <row r="16"/>
    <row r="17" ht="63" customHeight="1">
      <c r="B17" s="20" t="inlineStr">
        <is>
          <t>Date</t>
        </is>
      </c>
      <c r="C17" s="20" t="inlineStr">
        <is>
          <t>Receipt no.</t>
        </is>
      </c>
      <c r="D17" s="20" t="inlineStr">
        <is>
          <t>Received from</t>
        </is>
      </c>
      <c r="E17" s="20" t="inlineStr">
        <is>
          <t>Against invoice no. (optional)</t>
        </is>
      </c>
      <c r="F17" s="20" t="inlineStr">
        <is>
          <t>Invoice amount (first receipt only)</t>
        </is>
      </c>
      <c r="G17" s="20" t="inlineStr">
        <is>
          <t>Received for</t>
        </is>
      </c>
      <c r="H17" s="20" t="inlineStr">
        <is>
          <t>How it was paid</t>
        </is>
      </c>
      <c r="I17" s="20" t="inlineStr">
        <is>
          <t>Cheque no., UTR or UPI ref</t>
        </is>
      </c>
      <c r="J17" s="20" t="inlineStr">
        <is>
          <t>Amount</t>
        </is>
      </c>
      <c r="K17" s="20" t="inlineStr">
        <is>
          <t>Cancelled?</t>
        </is>
      </c>
      <c r="L17" s="20" t="inlineStr">
        <is>
          <t>Balance due on the invoice</t>
        </is>
      </c>
      <c r="M17" s="20" t="inlineStr">
        <is>
          <t>Stamp</t>
        </is>
      </c>
      <c r="N17" s="20" t="inlineStr">
        <is>
          <t>Check</t>
        </is>
      </c>
    </row>
    <row r="18">
      <c r="B18" s="21" t="n"/>
      <c r="C18" s="22">
        <f>IF(B18="","",$E$10&amp;TEXT(N($E$11)+0,"000"))</f>
        <v/>
      </c>
      <c r="D18" s="14" t="n"/>
      <c r="E18" s="23" t="n"/>
      <c r="F18" s="24" t="n"/>
      <c r="G18" s="14" t="n"/>
      <c r="H18" s="14" t="n"/>
      <c r="I18" s="23" t="n"/>
      <c r="J18" s="24" t="n"/>
      <c r="K18" s="23" t="n"/>
      <c r="L18" s="25">
        <f>IF(OR(E18="",N(U18)=0),"",U18-SUMIFS(Q$18:Q18,E$18:E18,E18))</f>
        <v/>
      </c>
      <c r="M18" s="26">
        <f>IF(OR(N(J18)=0,K18="Cancelled"),"",IF(AND(N(J18)&gt;5000,P18&lt;&gt;"G"),"Yes: ₹1","No"))</f>
        <v/>
      </c>
      <c r="N18" s="27">
        <f>IF(AND(B18="",D18="",N(J18)=0),"",IF(B18="","Enter the date",IF(FALSE,"Use the next empty row: a skipped row leaves a gap in the receipt numbers",IF(D18="","Enter who paid",IF(N(J18)=0,"Enter the amount",IF(G18="","Pick what the money was for",IF(P18="?","Pick what it was for from the list",IF(H18="","Pick how it was paid",IF(K18="Cancelled","Cancelled: keep this number unused and give a fresh receipt",IF(AND(H18&lt;&gt;"Cash",I18=""),"Enter the cheque no., UTR or UPI reference",IF(AND(L18&lt;&gt;"",N(L18)&lt;0),"More than the balance due on this invoice",IF(S18&gt;=200000,"₹2,00,000 or more in cash from this person today: barred, s.186",IF(T18&gt;=200000,"₹2,00,000 or more in cash against this invoice: barred, s.186",IF(AND(P18="T",H18="Cash",N(J18)&gt;=20000),"Loan of ₹20,000 or more in cash: barred, s.185",IF(AND(P18="D",H18="Cash",N(J18)&gt;=20000),"Cash deposit of ₹20,000 or more: ask your accountant whether s.185 applies",IF(AND(OR(P18="AG",P18="AS"),$E$9&lt;&gt;""),"Advance: also give a GST receipt voucher, s.31(3)(d) and Rule 50","OK"))))))))))))))))</f>
        <v/>
      </c>
      <c r="P18">
        <f>IF(G18="","",IFERROR(VLOOKUP(G18,Lists!$A$2:$B$9,2,FALSE),"?"))</f>
        <v/>
      </c>
      <c r="Q18">
        <f>IF(K18="Cancelled",0,N(J18))</f>
        <v/>
      </c>
      <c r="R18">
        <f>IF(OR(H18&lt;&gt;"Cash",P18="T",P18="D"),0,Q18)</f>
        <v/>
      </c>
      <c r="S18">
        <f>IF(R18=0,0,SUMIFS($R$18:$R$317,$B$18:$B$317,B18,$D$18:$D$317,D18))</f>
        <v/>
      </c>
      <c r="T18">
        <f>IF(OR(R18=0,E18=""),0,SUMIFS($R$18:$R$317,$E$18:$E$317,E18))</f>
        <v/>
      </c>
      <c r="U18">
        <f>IF(E18="","",IF(N(F18)&gt;0,F18,IFERROR(INDEX($F$18:$F$317,MATCH(E18,$E$18:$E$317,0)),"")))</f>
        <v/>
      </c>
      <c r="V18">
        <f>IF(OR(N18="",N18="OK",K18="Cancelled"),0,1)</f>
        <v/>
      </c>
    </row>
    <row r="19">
      <c r="B19" s="21" t="n"/>
      <c r="C19" s="22">
        <f>IF(B19="","",$E$10&amp;TEXT(N($E$11)+1,"000"))</f>
        <v/>
      </c>
      <c r="D19" s="14" t="n"/>
      <c r="E19" s="23" t="n"/>
      <c r="F19" s="24" t="n"/>
      <c r="G19" s="14" t="n"/>
      <c r="H19" s="14" t="n"/>
      <c r="I19" s="23" t="n"/>
      <c r="J19" s="24" t="n"/>
      <c r="K19" s="23" t="n"/>
      <c r="L19" s="25">
        <f>IF(OR(E19="",N(U19)=0),"",U19-SUMIFS(Q$18:Q19,E$18:E19,E19))</f>
        <v/>
      </c>
      <c r="M19" s="26">
        <f>IF(OR(N(J19)=0,K19="Cancelled"),"",IF(AND(N(J19)&gt;5000,P19&lt;&gt;"G"),"Yes: ₹1","No"))</f>
        <v/>
      </c>
      <c r="N19" s="27">
        <f>IF(AND(B19="",D19="",N(J19)=0),"",IF(B19="","Enter the date",IF(AND(ROW()&gt;18,B18=""),"Use the next empty row: a skipped row leaves a gap in the receipt numbers",IF(D19="","Enter who paid",IF(N(J19)=0,"Enter the amount",IF(G19="","Pick what the money was for",IF(P19="?","Pick what it was for from the list",IF(H19="","Pick how it was paid",IF(K19="Cancelled","Cancelled: keep this number unused and give a fresh receipt",IF(AND(H19&lt;&gt;"Cash",I19=""),"Enter the cheque no., UTR or UPI reference",IF(AND(L19&lt;&gt;"",N(L19)&lt;0),"More than the balance due on this invoice",IF(S19&gt;=200000,"₹2,00,000 or more in cash from this person today: barred, s.186",IF(T19&gt;=200000,"₹2,00,000 or more in cash against this invoice: barred, s.186",IF(AND(P19="T",H19="Cash",N(J19)&gt;=20000),"Loan of ₹20,000 or more in cash: barred, s.185",IF(AND(P19="D",H19="Cash",N(J19)&gt;=20000),"Cash deposit of ₹20,000 or more: ask your accountant whether s.185 applies",IF(AND(OR(P19="AG",P19="AS"),$E$9&lt;&gt;""),"Advance: also give a GST receipt voucher, s.31(3)(d) and Rule 50","OK"))))))))))))))))</f>
        <v/>
      </c>
      <c r="P19">
        <f>IF(G19="","",IFERROR(VLOOKUP(G19,Lists!$A$2:$B$9,2,FALSE),"?"))</f>
        <v/>
      </c>
      <c r="Q19">
        <f>IF(K19="Cancelled",0,N(J19))</f>
        <v/>
      </c>
      <c r="R19">
        <f>IF(OR(H19&lt;&gt;"Cash",P19="T",P19="D"),0,Q19)</f>
        <v/>
      </c>
      <c r="S19">
        <f>IF(R19=0,0,SUMIFS($R$18:$R$317,$B$18:$B$317,B19,$D$18:$D$317,D19))</f>
        <v/>
      </c>
      <c r="T19">
        <f>IF(OR(R19=0,E19=""),0,SUMIFS($R$18:$R$317,$E$18:$E$317,E19))</f>
        <v/>
      </c>
      <c r="U19">
        <f>IF(E19="","",IF(N(F19)&gt;0,F19,IFERROR(INDEX($F$18:$F$317,MATCH(E19,$E$18:$E$317,0)),"")))</f>
        <v/>
      </c>
      <c r="V19">
        <f>IF(OR(N19="",N19="OK",K19="Cancelled"),0,1)</f>
        <v/>
      </c>
    </row>
    <row r="20">
      <c r="B20" s="21" t="n"/>
      <c r="C20" s="22">
        <f>IF(B20="","",$E$10&amp;TEXT(N($E$11)+2,"000"))</f>
        <v/>
      </c>
      <c r="D20" s="14" t="n"/>
      <c r="E20" s="23" t="n"/>
      <c r="F20" s="24" t="n"/>
      <c r="G20" s="14" t="n"/>
      <c r="H20" s="14" t="n"/>
      <c r="I20" s="23" t="n"/>
      <c r="J20" s="24" t="n"/>
      <c r="K20" s="23" t="n"/>
      <c r="L20" s="25">
        <f>IF(OR(E20="",N(U20)=0),"",U20-SUMIFS(Q$18:Q20,E$18:E20,E20))</f>
        <v/>
      </c>
      <c r="M20" s="26">
        <f>IF(OR(N(J20)=0,K20="Cancelled"),"",IF(AND(N(J20)&gt;5000,P20&lt;&gt;"G"),"Yes: ₹1","No"))</f>
        <v/>
      </c>
      <c r="N20" s="27">
        <f>IF(AND(B20="",D20="",N(J20)=0),"",IF(B20="","Enter the date",IF(AND(ROW()&gt;18,B19=""),"Use the next empty row: a skipped row leaves a gap in the receipt numbers",IF(D20="","Enter who paid",IF(N(J20)=0,"Enter the amount",IF(G20="","Pick what the money was for",IF(P20="?","Pick what it was for from the list",IF(H20="","Pick how it was paid",IF(K20="Cancelled","Cancelled: keep this number unused and give a fresh receipt",IF(AND(H20&lt;&gt;"Cash",I20=""),"Enter the cheque no., UTR or UPI reference",IF(AND(L20&lt;&gt;"",N(L20)&lt;0),"More than the balance due on this invoice",IF(S20&gt;=200000,"₹2,00,000 or more in cash from this person today: barred, s.186",IF(T20&gt;=200000,"₹2,00,000 or more in cash against this invoice: barred, s.186",IF(AND(P20="T",H20="Cash",N(J20)&gt;=20000),"Loan of ₹20,000 or more in cash: barred, s.185",IF(AND(P20="D",H20="Cash",N(J20)&gt;=20000),"Cash deposit of ₹20,000 or more: ask your accountant whether s.185 applies",IF(AND(OR(P20="AG",P20="AS"),$E$9&lt;&gt;""),"Advance: also give a GST receipt voucher, s.31(3)(d) and Rule 50","OK"))))))))))))))))</f>
        <v/>
      </c>
      <c r="P20">
        <f>IF(G20="","",IFERROR(VLOOKUP(G20,Lists!$A$2:$B$9,2,FALSE),"?"))</f>
        <v/>
      </c>
      <c r="Q20">
        <f>IF(K20="Cancelled",0,N(J20))</f>
        <v/>
      </c>
      <c r="R20">
        <f>IF(OR(H20&lt;&gt;"Cash",P20="T",P20="D"),0,Q20)</f>
        <v/>
      </c>
      <c r="S20">
        <f>IF(R20=0,0,SUMIFS($R$18:$R$317,$B$18:$B$317,B20,$D$18:$D$317,D20))</f>
        <v/>
      </c>
      <c r="T20">
        <f>IF(OR(R20=0,E20=""),0,SUMIFS($R$18:$R$317,$E$18:$E$317,E20))</f>
        <v/>
      </c>
      <c r="U20">
        <f>IF(E20="","",IF(N(F20)&gt;0,F20,IFERROR(INDEX($F$18:$F$317,MATCH(E20,$E$18:$E$317,0)),"")))</f>
        <v/>
      </c>
      <c r="V20">
        <f>IF(OR(N20="",N20="OK",K20="Cancelled"),0,1)</f>
        <v/>
      </c>
    </row>
    <row r="21">
      <c r="B21" s="21" t="n"/>
      <c r="C21" s="22">
        <f>IF(B21="","",$E$10&amp;TEXT(N($E$11)+3,"000"))</f>
        <v/>
      </c>
      <c r="D21" s="14" t="n"/>
      <c r="E21" s="23" t="n"/>
      <c r="F21" s="24" t="n"/>
      <c r="G21" s="14" t="n"/>
      <c r="H21" s="14" t="n"/>
      <c r="I21" s="23" t="n"/>
      <c r="J21" s="24" t="n"/>
      <c r="K21" s="23" t="n"/>
      <c r="L21" s="25">
        <f>IF(OR(E21="",N(U21)=0),"",U21-SUMIFS(Q$18:Q21,E$18:E21,E21))</f>
        <v/>
      </c>
      <c r="M21" s="26">
        <f>IF(OR(N(J21)=0,K21="Cancelled"),"",IF(AND(N(J21)&gt;5000,P21&lt;&gt;"G"),"Yes: ₹1","No"))</f>
        <v/>
      </c>
      <c r="N21" s="27">
        <f>IF(AND(B21="",D21="",N(J21)=0),"",IF(B21="","Enter the date",IF(AND(ROW()&gt;18,B20=""),"Use the next empty row: a skipped row leaves a gap in the receipt numbers",IF(D21="","Enter who paid",IF(N(J21)=0,"Enter the amount",IF(G21="","Pick what the money was for",IF(P21="?","Pick what it was for from the list",IF(H21="","Pick how it was paid",IF(K21="Cancelled","Cancelled: keep this number unused and give a fresh receipt",IF(AND(H21&lt;&gt;"Cash",I21=""),"Enter the cheque no., UTR or UPI reference",IF(AND(L21&lt;&gt;"",N(L21)&lt;0),"More than the balance due on this invoice",IF(S21&gt;=200000,"₹2,00,000 or more in cash from this person today: barred, s.186",IF(T21&gt;=200000,"₹2,00,000 or more in cash against this invoice: barred, s.186",IF(AND(P21="T",H21="Cash",N(J21)&gt;=20000),"Loan of ₹20,000 or more in cash: barred, s.185",IF(AND(P21="D",H21="Cash",N(J21)&gt;=20000),"Cash deposit of ₹20,000 or more: ask your accountant whether s.185 applies",IF(AND(OR(P21="AG",P21="AS"),$E$9&lt;&gt;""),"Advance: also give a GST receipt voucher, s.31(3)(d) and Rule 50","OK"))))))))))))))))</f>
        <v/>
      </c>
      <c r="P21">
        <f>IF(G21="","",IFERROR(VLOOKUP(G21,Lists!$A$2:$B$9,2,FALSE),"?"))</f>
        <v/>
      </c>
      <c r="Q21">
        <f>IF(K21="Cancelled",0,N(J21))</f>
        <v/>
      </c>
      <c r="R21">
        <f>IF(OR(H21&lt;&gt;"Cash",P21="T",P21="D"),0,Q21)</f>
        <v/>
      </c>
      <c r="S21">
        <f>IF(R21=0,0,SUMIFS($R$18:$R$317,$B$18:$B$317,B21,$D$18:$D$317,D21))</f>
        <v/>
      </c>
      <c r="T21">
        <f>IF(OR(R21=0,E21=""),0,SUMIFS($R$18:$R$317,$E$18:$E$317,E21))</f>
        <v/>
      </c>
      <c r="U21">
        <f>IF(E21="","",IF(N(F21)&gt;0,F21,IFERROR(INDEX($F$18:$F$317,MATCH(E21,$E$18:$E$317,0)),"")))</f>
        <v/>
      </c>
      <c r="V21">
        <f>IF(OR(N21="",N21="OK",K21="Cancelled"),0,1)</f>
        <v/>
      </c>
    </row>
    <row r="22">
      <c r="B22" s="21" t="n"/>
      <c r="C22" s="22">
        <f>IF(B22="","",$E$10&amp;TEXT(N($E$11)+4,"000"))</f>
        <v/>
      </c>
      <c r="D22" s="14" t="n"/>
      <c r="E22" s="23" t="n"/>
      <c r="F22" s="24" t="n"/>
      <c r="G22" s="14" t="n"/>
      <c r="H22" s="14" t="n"/>
      <c r="I22" s="23" t="n"/>
      <c r="J22" s="24" t="n"/>
      <c r="K22" s="23" t="n"/>
      <c r="L22" s="25">
        <f>IF(OR(E22="",N(U22)=0),"",U22-SUMIFS(Q$18:Q22,E$18:E22,E22))</f>
        <v/>
      </c>
      <c r="M22" s="26">
        <f>IF(OR(N(J22)=0,K22="Cancelled"),"",IF(AND(N(J22)&gt;5000,P22&lt;&gt;"G"),"Yes: ₹1","No"))</f>
        <v/>
      </c>
      <c r="N22" s="27">
        <f>IF(AND(B22="",D22="",N(J22)=0),"",IF(B22="","Enter the date",IF(AND(ROW()&gt;18,B21=""),"Use the next empty row: a skipped row leaves a gap in the receipt numbers",IF(D22="","Enter who paid",IF(N(J22)=0,"Enter the amount",IF(G22="","Pick what the money was for",IF(P22="?","Pick what it was for from the list",IF(H22="","Pick how it was paid",IF(K22="Cancelled","Cancelled: keep this number unused and give a fresh receipt",IF(AND(H22&lt;&gt;"Cash",I22=""),"Enter the cheque no., UTR or UPI reference",IF(AND(L22&lt;&gt;"",N(L22)&lt;0),"More than the balance due on this invoice",IF(S22&gt;=200000,"₹2,00,000 or more in cash from this person today: barred, s.186",IF(T22&gt;=200000,"₹2,00,000 or more in cash against this invoice: barred, s.186",IF(AND(P22="T",H22="Cash",N(J22)&gt;=20000),"Loan of ₹20,000 or more in cash: barred, s.185",IF(AND(P22="D",H22="Cash",N(J22)&gt;=20000),"Cash deposit of ₹20,000 or more: ask your accountant whether s.185 applies",IF(AND(OR(P22="AG",P22="AS"),$E$9&lt;&gt;""),"Advance: also give a GST receipt voucher, s.31(3)(d) and Rule 50","OK"))))))))))))))))</f>
        <v/>
      </c>
      <c r="P22">
        <f>IF(G22="","",IFERROR(VLOOKUP(G22,Lists!$A$2:$B$9,2,FALSE),"?"))</f>
        <v/>
      </c>
      <c r="Q22">
        <f>IF(K22="Cancelled",0,N(J22))</f>
        <v/>
      </c>
      <c r="R22">
        <f>IF(OR(H22&lt;&gt;"Cash",P22="T",P22="D"),0,Q22)</f>
        <v/>
      </c>
      <c r="S22">
        <f>IF(R22=0,0,SUMIFS($R$18:$R$317,$B$18:$B$317,B22,$D$18:$D$317,D22))</f>
        <v/>
      </c>
      <c r="T22">
        <f>IF(OR(R22=0,E22=""),0,SUMIFS($R$18:$R$317,$E$18:$E$317,E22))</f>
        <v/>
      </c>
      <c r="U22">
        <f>IF(E22="","",IF(N(F22)&gt;0,F22,IFERROR(INDEX($F$18:$F$317,MATCH(E22,$E$18:$E$317,0)),"")))</f>
        <v/>
      </c>
      <c r="V22">
        <f>IF(OR(N22="",N22="OK",K22="Cancelled"),0,1)</f>
        <v/>
      </c>
    </row>
    <row r="23">
      <c r="B23" s="21" t="n"/>
      <c r="C23" s="22">
        <f>IF(B23="","",$E$10&amp;TEXT(N($E$11)+5,"000"))</f>
        <v/>
      </c>
      <c r="D23" s="14" t="n"/>
      <c r="E23" s="23" t="n"/>
      <c r="F23" s="24" t="n"/>
      <c r="G23" s="14" t="n"/>
      <c r="H23" s="14" t="n"/>
      <c r="I23" s="23" t="n"/>
      <c r="J23" s="24" t="n"/>
      <c r="K23" s="23" t="n"/>
      <c r="L23" s="25">
        <f>IF(OR(E23="",N(U23)=0),"",U23-SUMIFS(Q$18:Q23,E$18:E23,E23))</f>
        <v/>
      </c>
      <c r="M23" s="26">
        <f>IF(OR(N(J23)=0,K23="Cancelled"),"",IF(AND(N(J23)&gt;5000,P23&lt;&gt;"G"),"Yes: ₹1","No"))</f>
        <v/>
      </c>
      <c r="N23" s="27">
        <f>IF(AND(B23="",D23="",N(J23)=0),"",IF(B23="","Enter the date",IF(AND(ROW()&gt;18,B22=""),"Use the next empty row: a skipped row leaves a gap in the receipt numbers",IF(D23="","Enter who paid",IF(N(J23)=0,"Enter the amount",IF(G23="","Pick what the money was for",IF(P23="?","Pick what it was for from the list",IF(H23="","Pick how it was paid",IF(K23="Cancelled","Cancelled: keep this number unused and give a fresh receipt",IF(AND(H23&lt;&gt;"Cash",I23=""),"Enter the cheque no., UTR or UPI reference",IF(AND(L23&lt;&gt;"",N(L23)&lt;0),"More than the balance due on this invoice",IF(S23&gt;=200000,"₹2,00,000 or more in cash from this person today: barred, s.186",IF(T23&gt;=200000,"₹2,00,000 or more in cash against this invoice: barred, s.186",IF(AND(P23="T",H23="Cash",N(J23)&gt;=20000),"Loan of ₹20,000 or more in cash: barred, s.185",IF(AND(P23="D",H23="Cash",N(J23)&gt;=20000),"Cash deposit of ₹20,000 or more: ask your accountant whether s.185 applies",IF(AND(OR(P23="AG",P23="AS"),$E$9&lt;&gt;""),"Advance: also give a GST receipt voucher, s.31(3)(d) and Rule 50","OK"))))))))))))))))</f>
        <v/>
      </c>
      <c r="P23">
        <f>IF(G23="","",IFERROR(VLOOKUP(G23,Lists!$A$2:$B$9,2,FALSE),"?"))</f>
        <v/>
      </c>
      <c r="Q23">
        <f>IF(K23="Cancelled",0,N(J23))</f>
        <v/>
      </c>
      <c r="R23">
        <f>IF(OR(H23&lt;&gt;"Cash",P23="T",P23="D"),0,Q23)</f>
        <v/>
      </c>
      <c r="S23">
        <f>IF(R23=0,0,SUMIFS($R$18:$R$317,$B$18:$B$317,B23,$D$18:$D$317,D23))</f>
        <v/>
      </c>
      <c r="T23">
        <f>IF(OR(R23=0,E23=""),0,SUMIFS($R$18:$R$317,$E$18:$E$317,E23))</f>
        <v/>
      </c>
      <c r="U23">
        <f>IF(E23="","",IF(N(F23)&gt;0,F23,IFERROR(INDEX($F$18:$F$317,MATCH(E23,$E$18:$E$317,0)),"")))</f>
        <v/>
      </c>
      <c r="V23">
        <f>IF(OR(N23="",N23="OK",K23="Cancelled"),0,1)</f>
        <v/>
      </c>
    </row>
    <row r="24">
      <c r="B24" s="21" t="n"/>
      <c r="C24" s="22">
        <f>IF(B24="","",$E$10&amp;TEXT(N($E$11)+6,"000"))</f>
        <v/>
      </c>
      <c r="D24" s="14" t="n"/>
      <c r="E24" s="23" t="n"/>
      <c r="F24" s="24" t="n"/>
      <c r="G24" s="14" t="n"/>
      <c r="H24" s="14" t="n"/>
      <c r="I24" s="23" t="n"/>
      <c r="J24" s="24" t="n"/>
      <c r="K24" s="23" t="n"/>
      <c r="L24" s="25">
        <f>IF(OR(E24="",N(U24)=0),"",U24-SUMIFS(Q$18:Q24,E$18:E24,E24))</f>
        <v/>
      </c>
      <c r="M24" s="26">
        <f>IF(OR(N(J24)=0,K24="Cancelled"),"",IF(AND(N(J24)&gt;5000,P24&lt;&gt;"G"),"Yes: ₹1","No"))</f>
        <v/>
      </c>
      <c r="N24" s="27">
        <f>IF(AND(B24="",D24="",N(J24)=0),"",IF(B24="","Enter the date",IF(AND(ROW()&gt;18,B23=""),"Use the next empty row: a skipped row leaves a gap in the receipt numbers",IF(D24="","Enter who paid",IF(N(J24)=0,"Enter the amount",IF(G24="","Pick what the money was for",IF(P24="?","Pick what it was for from the list",IF(H24="","Pick how it was paid",IF(K24="Cancelled","Cancelled: keep this number unused and give a fresh receipt",IF(AND(H24&lt;&gt;"Cash",I24=""),"Enter the cheque no., UTR or UPI reference",IF(AND(L24&lt;&gt;"",N(L24)&lt;0),"More than the balance due on this invoice",IF(S24&gt;=200000,"₹2,00,000 or more in cash from this person today: barred, s.186",IF(T24&gt;=200000,"₹2,00,000 or more in cash against this invoice: barred, s.186",IF(AND(P24="T",H24="Cash",N(J24)&gt;=20000),"Loan of ₹20,000 or more in cash: barred, s.185",IF(AND(P24="D",H24="Cash",N(J24)&gt;=20000),"Cash deposit of ₹20,000 or more: ask your accountant whether s.185 applies",IF(AND(OR(P24="AG",P24="AS"),$E$9&lt;&gt;""),"Advance: also give a GST receipt voucher, s.31(3)(d) and Rule 50","OK"))))))))))))))))</f>
        <v/>
      </c>
      <c r="P24">
        <f>IF(G24="","",IFERROR(VLOOKUP(G24,Lists!$A$2:$B$9,2,FALSE),"?"))</f>
        <v/>
      </c>
      <c r="Q24">
        <f>IF(K24="Cancelled",0,N(J24))</f>
        <v/>
      </c>
      <c r="R24">
        <f>IF(OR(H24&lt;&gt;"Cash",P24="T",P24="D"),0,Q24)</f>
        <v/>
      </c>
      <c r="S24">
        <f>IF(R24=0,0,SUMIFS($R$18:$R$317,$B$18:$B$317,B24,$D$18:$D$317,D24))</f>
        <v/>
      </c>
      <c r="T24">
        <f>IF(OR(R24=0,E24=""),0,SUMIFS($R$18:$R$317,$E$18:$E$317,E24))</f>
        <v/>
      </c>
      <c r="U24">
        <f>IF(E24="","",IF(N(F24)&gt;0,F24,IFERROR(INDEX($F$18:$F$317,MATCH(E24,$E$18:$E$317,0)),"")))</f>
        <v/>
      </c>
      <c r="V24">
        <f>IF(OR(N24="",N24="OK",K24="Cancelled"),0,1)</f>
        <v/>
      </c>
    </row>
    <row r="25">
      <c r="B25" s="21" t="n"/>
      <c r="C25" s="22">
        <f>IF(B25="","",$E$10&amp;TEXT(N($E$11)+7,"000"))</f>
        <v/>
      </c>
      <c r="D25" s="14" t="n"/>
      <c r="E25" s="23" t="n"/>
      <c r="F25" s="24" t="n"/>
      <c r="G25" s="14" t="n"/>
      <c r="H25" s="14" t="n"/>
      <c r="I25" s="23" t="n"/>
      <c r="J25" s="24" t="n"/>
      <c r="K25" s="23" t="n"/>
      <c r="L25" s="25">
        <f>IF(OR(E25="",N(U25)=0),"",U25-SUMIFS(Q$18:Q25,E$18:E25,E25))</f>
        <v/>
      </c>
      <c r="M25" s="26">
        <f>IF(OR(N(J25)=0,K25="Cancelled"),"",IF(AND(N(J25)&gt;5000,P25&lt;&gt;"G"),"Yes: ₹1","No"))</f>
        <v/>
      </c>
      <c r="N25" s="27">
        <f>IF(AND(B25="",D25="",N(J25)=0),"",IF(B25="","Enter the date",IF(AND(ROW()&gt;18,B24=""),"Use the next empty row: a skipped row leaves a gap in the receipt numbers",IF(D25="","Enter who paid",IF(N(J25)=0,"Enter the amount",IF(G25="","Pick what the money was for",IF(P25="?","Pick what it was for from the list",IF(H25="","Pick how it was paid",IF(K25="Cancelled","Cancelled: keep this number unused and give a fresh receipt",IF(AND(H25&lt;&gt;"Cash",I25=""),"Enter the cheque no., UTR or UPI reference",IF(AND(L25&lt;&gt;"",N(L25)&lt;0),"More than the balance due on this invoice",IF(S25&gt;=200000,"₹2,00,000 or more in cash from this person today: barred, s.186",IF(T25&gt;=200000,"₹2,00,000 or more in cash against this invoice: barred, s.186",IF(AND(P25="T",H25="Cash",N(J25)&gt;=20000),"Loan of ₹20,000 or more in cash: barred, s.185",IF(AND(P25="D",H25="Cash",N(J25)&gt;=20000),"Cash deposit of ₹20,000 or more: ask your accountant whether s.185 applies",IF(AND(OR(P25="AG",P25="AS"),$E$9&lt;&gt;""),"Advance: also give a GST receipt voucher, s.31(3)(d) and Rule 50","OK"))))))))))))))))</f>
        <v/>
      </c>
      <c r="P25">
        <f>IF(G25="","",IFERROR(VLOOKUP(G25,Lists!$A$2:$B$9,2,FALSE),"?"))</f>
        <v/>
      </c>
      <c r="Q25">
        <f>IF(K25="Cancelled",0,N(J25))</f>
        <v/>
      </c>
      <c r="R25">
        <f>IF(OR(H25&lt;&gt;"Cash",P25="T",P25="D"),0,Q25)</f>
        <v/>
      </c>
      <c r="S25">
        <f>IF(R25=0,0,SUMIFS($R$18:$R$317,$B$18:$B$317,B25,$D$18:$D$317,D25))</f>
        <v/>
      </c>
      <c r="T25">
        <f>IF(OR(R25=0,E25=""),0,SUMIFS($R$18:$R$317,$E$18:$E$317,E25))</f>
        <v/>
      </c>
      <c r="U25">
        <f>IF(E25="","",IF(N(F25)&gt;0,F25,IFERROR(INDEX($F$18:$F$317,MATCH(E25,$E$18:$E$317,0)),"")))</f>
        <v/>
      </c>
      <c r="V25">
        <f>IF(OR(N25="",N25="OK",K25="Cancelled"),0,1)</f>
        <v/>
      </c>
    </row>
    <row r="26">
      <c r="B26" s="21" t="n"/>
      <c r="C26" s="22">
        <f>IF(B26="","",$E$10&amp;TEXT(N($E$11)+8,"000"))</f>
        <v/>
      </c>
      <c r="D26" s="14" t="n"/>
      <c r="E26" s="23" t="n"/>
      <c r="F26" s="24" t="n"/>
      <c r="G26" s="14" t="n"/>
      <c r="H26" s="14" t="n"/>
      <c r="I26" s="23" t="n"/>
      <c r="J26" s="24" t="n"/>
      <c r="K26" s="23" t="n"/>
      <c r="L26" s="25">
        <f>IF(OR(E26="",N(U26)=0),"",U26-SUMIFS(Q$18:Q26,E$18:E26,E26))</f>
        <v/>
      </c>
      <c r="M26" s="26">
        <f>IF(OR(N(J26)=0,K26="Cancelled"),"",IF(AND(N(J26)&gt;5000,P26&lt;&gt;"G"),"Yes: ₹1","No"))</f>
        <v/>
      </c>
      <c r="N26" s="27">
        <f>IF(AND(B26="",D26="",N(J26)=0),"",IF(B26="","Enter the date",IF(AND(ROW()&gt;18,B25=""),"Use the next empty row: a skipped row leaves a gap in the receipt numbers",IF(D26="","Enter who paid",IF(N(J26)=0,"Enter the amount",IF(G26="","Pick what the money was for",IF(P26="?","Pick what it was for from the list",IF(H26="","Pick how it was paid",IF(K26="Cancelled","Cancelled: keep this number unused and give a fresh receipt",IF(AND(H26&lt;&gt;"Cash",I26=""),"Enter the cheque no., UTR or UPI reference",IF(AND(L26&lt;&gt;"",N(L26)&lt;0),"More than the balance due on this invoice",IF(S26&gt;=200000,"₹2,00,000 or more in cash from this person today: barred, s.186",IF(T26&gt;=200000,"₹2,00,000 or more in cash against this invoice: barred, s.186",IF(AND(P26="T",H26="Cash",N(J26)&gt;=20000),"Loan of ₹20,000 or more in cash: barred, s.185",IF(AND(P26="D",H26="Cash",N(J26)&gt;=20000),"Cash deposit of ₹20,000 or more: ask your accountant whether s.185 applies",IF(AND(OR(P26="AG",P26="AS"),$E$9&lt;&gt;""),"Advance: also give a GST receipt voucher, s.31(3)(d) and Rule 50","OK"))))))))))))))))</f>
        <v/>
      </c>
      <c r="P26">
        <f>IF(G26="","",IFERROR(VLOOKUP(G26,Lists!$A$2:$B$9,2,FALSE),"?"))</f>
        <v/>
      </c>
      <c r="Q26">
        <f>IF(K26="Cancelled",0,N(J26))</f>
        <v/>
      </c>
      <c r="R26">
        <f>IF(OR(H26&lt;&gt;"Cash",P26="T",P26="D"),0,Q26)</f>
        <v/>
      </c>
      <c r="S26">
        <f>IF(R26=0,0,SUMIFS($R$18:$R$317,$B$18:$B$317,B26,$D$18:$D$317,D26))</f>
        <v/>
      </c>
      <c r="T26">
        <f>IF(OR(R26=0,E26=""),0,SUMIFS($R$18:$R$317,$E$18:$E$317,E26))</f>
        <v/>
      </c>
      <c r="U26">
        <f>IF(E26="","",IF(N(F26)&gt;0,F26,IFERROR(INDEX($F$18:$F$317,MATCH(E26,$E$18:$E$317,0)),"")))</f>
        <v/>
      </c>
      <c r="V26">
        <f>IF(OR(N26="",N26="OK",K26="Cancelled"),0,1)</f>
        <v/>
      </c>
    </row>
    <row r="27">
      <c r="B27" s="21" t="n"/>
      <c r="C27" s="22">
        <f>IF(B27="","",$E$10&amp;TEXT(N($E$11)+9,"000"))</f>
        <v/>
      </c>
      <c r="D27" s="14" t="n"/>
      <c r="E27" s="23" t="n"/>
      <c r="F27" s="24" t="n"/>
      <c r="G27" s="14" t="n"/>
      <c r="H27" s="14" t="n"/>
      <c r="I27" s="23" t="n"/>
      <c r="J27" s="24" t="n"/>
      <c r="K27" s="23" t="n"/>
      <c r="L27" s="25">
        <f>IF(OR(E27="",N(U27)=0),"",U27-SUMIFS(Q$18:Q27,E$18:E27,E27))</f>
        <v/>
      </c>
      <c r="M27" s="26">
        <f>IF(OR(N(J27)=0,K27="Cancelled"),"",IF(AND(N(J27)&gt;5000,P27&lt;&gt;"G"),"Yes: ₹1","No"))</f>
        <v/>
      </c>
      <c r="N27" s="27">
        <f>IF(AND(B27="",D27="",N(J27)=0),"",IF(B27="","Enter the date",IF(AND(ROW()&gt;18,B26=""),"Use the next empty row: a skipped row leaves a gap in the receipt numbers",IF(D27="","Enter who paid",IF(N(J27)=0,"Enter the amount",IF(G27="","Pick what the money was for",IF(P27="?","Pick what it was for from the list",IF(H27="","Pick how it was paid",IF(K27="Cancelled","Cancelled: keep this number unused and give a fresh receipt",IF(AND(H27&lt;&gt;"Cash",I27=""),"Enter the cheque no., UTR or UPI reference",IF(AND(L27&lt;&gt;"",N(L27)&lt;0),"More than the balance due on this invoice",IF(S27&gt;=200000,"₹2,00,000 or more in cash from this person today: barred, s.186",IF(T27&gt;=200000,"₹2,00,000 or more in cash against this invoice: barred, s.186",IF(AND(P27="T",H27="Cash",N(J27)&gt;=20000),"Loan of ₹20,000 or more in cash: barred, s.185",IF(AND(P27="D",H27="Cash",N(J27)&gt;=20000),"Cash deposit of ₹20,000 or more: ask your accountant whether s.185 applies",IF(AND(OR(P27="AG",P27="AS"),$E$9&lt;&gt;""),"Advance: also give a GST receipt voucher, s.31(3)(d) and Rule 50","OK"))))))))))))))))</f>
        <v/>
      </c>
      <c r="P27">
        <f>IF(G27="","",IFERROR(VLOOKUP(G27,Lists!$A$2:$B$9,2,FALSE),"?"))</f>
        <v/>
      </c>
      <c r="Q27">
        <f>IF(K27="Cancelled",0,N(J27))</f>
        <v/>
      </c>
      <c r="R27">
        <f>IF(OR(H27&lt;&gt;"Cash",P27="T",P27="D"),0,Q27)</f>
        <v/>
      </c>
      <c r="S27">
        <f>IF(R27=0,0,SUMIFS($R$18:$R$317,$B$18:$B$317,B27,$D$18:$D$317,D27))</f>
        <v/>
      </c>
      <c r="T27">
        <f>IF(OR(R27=0,E27=""),0,SUMIFS($R$18:$R$317,$E$18:$E$317,E27))</f>
        <v/>
      </c>
      <c r="U27">
        <f>IF(E27="","",IF(N(F27)&gt;0,F27,IFERROR(INDEX($F$18:$F$317,MATCH(E27,$E$18:$E$317,0)),"")))</f>
        <v/>
      </c>
      <c r="V27">
        <f>IF(OR(N27="",N27="OK",K27="Cancelled"),0,1)</f>
        <v/>
      </c>
    </row>
    <row r="28">
      <c r="B28" s="21" t="n"/>
      <c r="C28" s="22">
        <f>IF(B28="","",$E$10&amp;TEXT(N($E$11)+10,"000"))</f>
        <v/>
      </c>
      <c r="D28" s="14" t="n"/>
      <c r="E28" s="23" t="n"/>
      <c r="F28" s="24" t="n"/>
      <c r="G28" s="14" t="n"/>
      <c r="H28" s="14" t="n"/>
      <c r="I28" s="23" t="n"/>
      <c r="J28" s="24" t="n"/>
      <c r="K28" s="23" t="n"/>
      <c r="L28" s="25">
        <f>IF(OR(E28="",N(U28)=0),"",U28-SUMIFS(Q$18:Q28,E$18:E28,E28))</f>
        <v/>
      </c>
      <c r="M28" s="26">
        <f>IF(OR(N(J28)=0,K28="Cancelled"),"",IF(AND(N(J28)&gt;5000,P28&lt;&gt;"G"),"Yes: ₹1","No"))</f>
        <v/>
      </c>
      <c r="N28" s="27">
        <f>IF(AND(B28="",D28="",N(J28)=0),"",IF(B28="","Enter the date",IF(AND(ROW()&gt;18,B27=""),"Use the next empty row: a skipped row leaves a gap in the receipt numbers",IF(D28="","Enter who paid",IF(N(J28)=0,"Enter the amount",IF(G28="","Pick what the money was for",IF(P28="?","Pick what it was for from the list",IF(H28="","Pick how it was paid",IF(K28="Cancelled","Cancelled: keep this number unused and give a fresh receipt",IF(AND(H28&lt;&gt;"Cash",I28=""),"Enter the cheque no., UTR or UPI reference",IF(AND(L28&lt;&gt;"",N(L28)&lt;0),"More than the balance due on this invoice",IF(S28&gt;=200000,"₹2,00,000 or more in cash from this person today: barred, s.186",IF(T28&gt;=200000,"₹2,00,000 or more in cash against this invoice: barred, s.186",IF(AND(P28="T",H28="Cash",N(J28)&gt;=20000),"Loan of ₹20,000 or more in cash: barred, s.185",IF(AND(P28="D",H28="Cash",N(J28)&gt;=20000),"Cash deposit of ₹20,000 or more: ask your accountant whether s.185 applies",IF(AND(OR(P28="AG",P28="AS"),$E$9&lt;&gt;""),"Advance: also give a GST receipt voucher, s.31(3)(d) and Rule 50","OK"))))))))))))))))</f>
        <v/>
      </c>
      <c r="P28">
        <f>IF(G28="","",IFERROR(VLOOKUP(G28,Lists!$A$2:$B$9,2,FALSE),"?"))</f>
        <v/>
      </c>
      <c r="Q28">
        <f>IF(K28="Cancelled",0,N(J28))</f>
        <v/>
      </c>
      <c r="R28">
        <f>IF(OR(H28&lt;&gt;"Cash",P28="T",P28="D"),0,Q28)</f>
        <v/>
      </c>
      <c r="S28">
        <f>IF(R28=0,0,SUMIFS($R$18:$R$317,$B$18:$B$317,B28,$D$18:$D$317,D28))</f>
        <v/>
      </c>
      <c r="T28">
        <f>IF(OR(R28=0,E28=""),0,SUMIFS($R$18:$R$317,$E$18:$E$317,E28))</f>
        <v/>
      </c>
      <c r="U28">
        <f>IF(E28="","",IF(N(F28)&gt;0,F28,IFERROR(INDEX($F$18:$F$317,MATCH(E28,$E$18:$E$317,0)),"")))</f>
        <v/>
      </c>
      <c r="V28">
        <f>IF(OR(N28="",N28="OK",K28="Cancelled"),0,1)</f>
        <v/>
      </c>
    </row>
    <row r="29">
      <c r="B29" s="21" t="n"/>
      <c r="C29" s="22">
        <f>IF(B29="","",$E$10&amp;TEXT(N($E$11)+11,"000"))</f>
        <v/>
      </c>
      <c r="D29" s="14" t="n"/>
      <c r="E29" s="23" t="n"/>
      <c r="F29" s="24" t="n"/>
      <c r="G29" s="14" t="n"/>
      <c r="H29" s="14" t="n"/>
      <c r="I29" s="23" t="n"/>
      <c r="J29" s="24" t="n"/>
      <c r="K29" s="23" t="n"/>
      <c r="L29" s="25">
        <f>IF(OR(E29="",N(U29)=0),"",U29-SUMIFS(Q$18:Q29,E$18:E29,E29))</f>
        <v/>
      </c>
      <c r="M29" s="26">
        <f>IF(OR(N(J29)=0,K29="Cancelled"),"",IF(AND(N(J29)&gt;5000,P29&lt;&gt;"G"),"Yes: ₹1","No"))</f>
        <v/>
      </c>
      <c r="N29" s="27">
        <f>IF(AND(B29="",D29="",N(J29)=0),"",IF(B29="","Enter the date",IF(AND(ROW()&gt;18,B28=""),"Use the next empty row: a skipped row leaves a gap in the receipt numbers",IF(D29="","Enter who paid",IF(N(J29)=0,"Enter the amount",IF(G29="","Pick what the money was for",IF(P29="?","Pick what it was for from the list",IF(H29="","Pick how it was paid",IF(K29="Cancelled","Cancelled: keep this number unused and give a fresh receipt",IF(AND(H29&lt;&gt;"Cash",I29=""),"Enter the cheque no., UTR or UPI reference",IF(AND(L29&lt;&gt;"",N(L29)&lt;0),"More than the balance due on this invoice",IF(S29&gt;=200000,"₹2,00,000 or more in cash from this person today: barred, s.186",IF(T29&gt;=200000,"₹2,00,000 or more in cash against this invoice: barred, s.186",IF(AND(P29="T",H29="Cash",N(J29)&gt;=20000),"Loan of ₹20,000 or more in cash: barred, s.185",IF(AND(P29="D",H29="Cash",N(J29)&gt;=20000),"Cash deposit of ₹20,000 or more: ask your accountant whether s.185 applies",IF(AND(OR(P29="AG",P29="AS"),$E$9&lt;&gt;""),"Advance: also give a GST receipt voucher, s.31(3)(d) and Rule 50","OK"))))))))))))))))</f>
        <v/>
      </c>
      <c r="P29">
        <f>IF(G29="","",IFERROR(VLOOKUP(G29,Lists!$A$2:$B$9,2,FALSE),"?"))</f>
        <v/>
      </c>
      <c r="Q29">
        <f>IF(K29="Cancelled",0,N(J29))</f>
        <v/>
      </c>
      <c r="R29">
        <f>IF(OR(H29&lt;&gt;"Cash",P29="T",P29="D"),0,Q29)</f>
        <v/>
      </c>
      <c r="S29">
        <f>IF(R29=0,0,SUMIFS($R$18:$R$317,$B$18:$B$317,B29,$D$18:$D$317,D29))</f>
        <v/>
      </c>
      <c r="T29">
        <f>IF(OR(R29=0,E29=""),0,SUMIFS($R$18:$R$317,$E$18:$E$317,E29))</f>
        <v/>
      </c>
      <c r="U29">
        <f>IF(E29="","",IF(N(F29)&gt;0,F29,IFERROR(INDEX($F$18:$F$317,MATCH(E29,$E$18:$E$317,0)),"")))</f>
        <v/>
      </c>
      <c r="V29">
        <f>IF(OR(N29="",N29="OK",K29="Cancelled"),0,1)</f>
        <v/>
      </c>
    </row>
    <row r="30">
      <c r="B30" s="21" t="n"/>
      <c r="C30" s="22">
        <f>IF(B30="","",$E$10&amp;TEXT(N($E$11)+12,"000"))</f>
        <v/>
      </c>
      <c r="D30" s="14" t="n"/>
      <c r="E30" s="23" t="n"/>
      <c r="F30" s="24" t="n"/>
      <c r="G30" s="14" t="n"/>
      <c r="H30" s="14" t="n"/>
      <c r="I30" s="23" t="n"/>
      <c r="J30" s="24" t="n"/>
      <c r="K30" s="23" t="n"/>
      <c r="L30" s="25">
        <f>IF(OR(E30="",N(U30)=0),"",U30-SUMIFS(Q$18:Q30,E$18:E30,E30))</f>
        <v/>
      </c>
      <c r="M30" s="26">
        <f>IF(OR(N(J30)=0,K30="Cancelled"),"",IF(AND(N(J30)&gt;5000,P30&lt;&gt;"G"),"Yes: ₹1","No"))</f>
        <v/>
      </c>
      <c r="N30" s="27">
        <f>IF(AND(B30="",D30="",N(J30)=0),"",IF(B30="","Enter the date",IF(AND(ROW()&gt;18,B29=""),"Use the next empty row: a skipped row leaves a gap in the receipt numbers",IF(D30="","Enter who paid",IF(N(J30)=0,"Enter the amount",IF(G30="","Pick what the money was for",IF(P30="?","Pick what it was for from the list",IF(H30="","Pick how it was paid",IF(K30="Cancelled","Cancelled: keep this number unused and give a fresh receipt",IF(AND(H30&lt;&gt;"Cash",I30=""),"Enter the cheque no., UTR or UPI reference",IF(AND(L30&lt;&gt;"",N(L30)&lt;0),"More than the balance due on this invoice",IF(S30&gt;=200000,"₹2,00,000 or more in cash from this person today: barred, s.186",IF(T30&gt;=200000,"₹2,00,000 or more in cash against this invoice: barred, s.186",IF(AND(P30="T",H30="Cash",N(J30)&gt;=20000),"Loan of ₹20,000 or more in cash: barred, s.185",IF(AND(P30="D",H30="Cash",N(J30)&gt;=20000),"Cash deposit of ₹20,000 or more: ask your accountant whether s.185 applies",IF(AND(OR(P30="AG",P30="AS"),$E$9&lt;&gt;""),"Advance: also give a GST receipt voucher, s.31(3)(d) and Rule 50","OK"))))))))))))))))</f>
        <v/>
      </c>
      <c r="P30">
        <f>IF(G30="","",IFERROR(VLOOKUP(G30,Lists!$A$2:$B$9,2,FALSE),"?"))</f>
        <v/>
      </c>
      <c r="Q30">
        <f>IF(K30="Cancelled",0,N(J30))</f>
        <v/>
      </c>
      <c r="R30">
        <f>IF(OR(H30&lt;&gt;"Cash",P30="T",P30="D"),0,Q30)</f>
        <v/>
      </c>
      <c r="S30">
        <f>IF(R30=0,0,SUMIFS($R$18:$R$317,$B$18:$B$317,B30,$D$18:$D$317,D30))</f>
        <v/>
      </c>
      <c r="T30">
        <f>IF(OR(R30=0,E30=""),0,SUMIFS($R$18:$R$317,$E$18:$E$317,E30))</f>
        <v/>
      </c>
      <c r="U30">
        <f>IF(E30="","",IF(N(F30)&gt;0,F30,IFERROR(INDEX($F$18:$F$317,MATCH(E30,$E$18:$E$317,0)),"")))</f>
        <v/>
      </c>
      <c r="V30">
        <f>IF(OR(N30="",N30="OK",K30="Cancelled"),0,1)</f>
        <v/>
      </c>
    </row>
    <row r="31">
      <c r="B31" s="21" t="n"/>
      <c r="C31" s="22">
        <f>IF(B31="","",$E$10&amp;TEXT(N($E$11)+13,"000"))</f>
        <v/>
      </c>
      <c r="D31" s="14" t="n"/>
      <c r="E31" s="23" t="n"/>
      <c r="F31" s="24" t="n"/>
      <c r="G31" s="14" t="n"/>
      <c r="H31" s="14" t="n"/>
      <c r="I31" s="23" t="n"/>
      <c r="J31" s="24" t="n"/>
      <c r="K31" s="23" t="n"/>
      <c r="L31" s="25">
        <f>IF(OR(E31="",N(U31)=0),"",U31-SUMIFS(Q$18:Q31,E$18:E31,E31))</f>
        <v/>
      </c>
      <c r="M31" s="26">
        <f>IF(OR(N(J31)=0,K31="Cancelled"),"",IF(AND(N(J31)&gt;5000,P31&lt;&gt;"G"),"Yes: ₹1","No"))</f>
        <v/>
      </c>
      <c r="N31" s="27">
        <f>IF(AND(B31="",D31="",N(J31)=0),"",IF(B31="","Enter the date",IF(AND(ROW()&gt;18,B30=""),"Use the next empty row: a skipped row leaves a gap in the receipt numbers",IF(D31="","Enter who paid",IF(N(J31)=0,"Enter the amount",IF(G31="","Pick what the money was for",IF(P31="?","Pick what it was for from the list",IF(H31="","Pick how it was paid",IF(K31="Cancelled","Cancelled: keep this number unused and give a fresh receipt",IF(AND(H31&lt;&gt;"Cash",I31=""),"Enter the cheque no., UTR or UPI reference",IF(AND(L31&lt;&gt;"",N(L31)&lt;0),"More than the balance due on this invoice",IF(S31&gt;=200000,"₹2,00,000 or more in cash from this person today: barred, s.186",IF(T31&gt;=200000,"₹2,00,000 or more in cash against this invoice: barred, s.186",IF(AND(P31="T",H31="Cash",N(J31)&gt;=20000),"Loan of ₹20,000 or more in cash: barred, s.185",IF(AND(P31="D",H31="Cash",N(J31)&gt;=20000),"Cash deposit of ₹20,000 or more: ask your accountant whether s.185 applies",IF(AND(OR(P31="AG",P31="AS"),$E$9&lt;&gt;""),"Advance: also give a GST receipt voucher, s.31(3)(d) and Rule 50","OK"))))))))))))))))</f>
        <v/>
      </c>
      <c r="P31">
        <f>IF(G31="","",IFERROR(VLOOKUP(G31,Lists!$A$2:$B$9,2,FALSE),"?"))</f>
        <v/>
      </c>
      <c r="Q31">
        <f>IF(K31="Cancelled",0,N(J31))</f>
        <v/>
      </c>
      <c r="R31">
        <f>IF(OR(H31&lt;&gt;"Cash",P31="T",P31="D"),0,Q31)</f>
        <v/>
      </c>
      <c r="S31">
        <f>IF(R31=0,0,SUMIFS($R$18:$R$317,$B$18:$B$317,B31,$D$18:$D$317,D31))</f>
        <v/>
      </c>
      <c r="T31">
        <f>IF(OR(R31=0,E31=""),0,SUMIFS($R$18:$R$317,$E$18:$E$317,E31))</f>
        <v/>
      </c>
      <c r="U31">
        <f>IF(E31="","",IF(N(F31)&gt;0,F31,IFERROR(INDEX($F$18:$F$317,MATCH(E31,$E$18:$E$317,0)),"")))</f>
        <v/>
      </c>
      <c r="V31">
        <f>IF(OR(N31="",N31="OK",K31="Cancelled"),0,1)</f>
        <v/>
      </c>
    </row>
    <row r="32">
      <c r="B32" s="21" t="n"/>
      <c r="C32" s="22">
        <f>IF(B32="","",$E$10&amp;TEXT(N($E$11)+14,"000"))</f>
        <v/>
      </c>
      <c r="D32" s="14" t="n"/>
      <c r="E32" s="23" t="n"/>
      <c r="F32" s="24" t="n"/>
      <c r="G32" s="14" t="n"/>
      <c r="H32" s="14" t="n"/>
      <c r="I32" s="23" t="n"/>
      <c r="J32" s="24" t="n"/>
      <c r="K32" s="23" t="n"/>
      <c r="L32" s="25">
        <f>IF(OR(E32="",N(U32)=0),"",U32-SUMIFS(Q$18:Q32,E$18:E32,E32))</f>
        <v/>
      </c>
      <c r="M32" s="26">
        <f>IF(OR(N(J32)=0,K32="Cancelled"),"",IF(AND(N(J32)&gt;5000,P32&lt;&gt;"G"),"Yes: ₹1","No"))</f>
        <v/>
      </c>
      <c r="N32" s="27">
        <f>IF(AND(B32="",D32="",N(J32)=0),"",IF(B32="","Enter the date",IF(AND(ROW()&gt;18,B31=""),"Use the next empty row: a skipped row leaves a gap in the receipt numbers",IF(D32="","Enter who paid",IF(N(J32)=0,"Enter the amount",IF(G32="","Pick what the money was for",IF(P32="?","Pick what it was for from the list",IF(H32="","Pick how it was paid",IF(K32="Cancelled","Cancelled: keep this number unused and give a fresh receipt",IF(AND(H32&lt;&gt;"Cash",I32=""),"Enter the cheque no., UTR or UPI reference",IF(AND(L32&lt;&gt;"",N(L32)&lt;0),"More than the balance due on this invoice",IF(S32&gt;=200000,"₹2,00,000 or more in cash from this person today: barred, s.186",IF(T32&gt;=200000,"₹2,00,000 or more in cash against this invoice: barred, s.186",IF(AND(P32="T",H32="Cash",N(J32)&gt;=20000),"Loan of ₹20,000 or more in cash: barred, s.185",IF(AND(P32="D",H32="Cash",N(J32)&gt;=20000),"Cash deposit of ₹20,000 or more: ask your accountant whether s.185 applies",IF(AND(OR(P32="AG",P32="AS"),$E$9&lt;&gt;""),"Advance: also give a GST receipt voucher, s.31(3)(d) and Rule 50","OK"))))))))))))))))</f>
        <v/>
      </c>
      <c r="P32">
        <f>IF(G32="","",IFERROR(VLOOKUP(G32,Lists!$A$2:$B$9,2,FALSE),"?"))</f>
        <v/>
      </c>
      <c r="Q32">
        <f>IF(K32="Cancelled",0,N(J32))</f>
        <v/>
      </c>
      <c r="R32">
        <f>IF(OR(H32&lt;&gt;"Cash",P32="T",P32="D"),0,Q32)</f>
        <v/>
      </c>
      <c r="S32">
        <f>IF(R32=0,0,SUMIFS($R$18:$R$317,$B$18:$B$317,B32,$D$18:$D$317,D32))</f>
        <v/>
      </c>
      <c r="T32">
        <f>IF(OR(R32=0,E32=""),0,SUMIFS($R$18:$R$317,$E$18:$E$317,E32))</f>
        <v/>
      </c>
      <c r="U32">
        <f>IF(E32="","",IF(N(F32)&gt;0,F32,IFERROR(INDEX($F$18:$F$317,MATCH(E32,$E$18:$E$317,0)),"")))</f>
        <v/>
      </c>
      <c r="V32">
        <f>IF(OR(N32="",N32="OK",K32="Cancelled"),0,1)</f>
        <v/>
      </c>
    </row>
    <row r="33">
      <c r="B33" s="21" t="n"/>
      <c r="C33" s="22">
        <f>IF(B33="","",$E$10&amp;TEXT(N($E$11)+15,"000"))</f>
        <v/>
      </c>
      <c r="D33" s="14" t="n"/>
      <c r="E33" s="23" t="n"/>
      <c r="F33" s="24" t="n"/>
      <c r="G33" s="14" t="n"/>
      <c r="H33" s="14" t="n"/>
      <c r="I33" s="23" t="n"/>
      <c r="J33" s="24" t="n"/>
      <c r="K33" s="23" t="n"/>
      <c r="L33" s="25">
        <f>IF(OR(E33="",N(U33)=0),"",U33-SUMIFS(Q$18:Q33,E$18:E33,E33))</f>
        <v/>
      </c>
      <c r="M33" s="26">
        <f>IF(OR(N(J33)=0,K33="Cancelled"),"",IF(AND(N(J33)&gt;5000,P33&lt;&gt;"G"),"Yes: ₹1","No"))</f>
        <v/>
      </c>
      <c r="N33" s="27">
        <f>IF(AND(B33="",D33="",N(J33)=0),"",IF(B33="","Enter the date",IF(AND(ROW()&gt;18,B32=""),"Use the next empty row: a skipped row leaves a gap in the receipt numbers",IF(D33="","Enter who paid",IF(N(J33)=0,"Enter the amount",IF(G33="","Pick what the money was for",IF(P33="?","Pick what it was for from the list",IF(H33="","Pick how it was paid",IF(K33="Cancelled","Cancelled: keep this number unused and give a fresh receipt",IF(AND(H33&lt;&gt;"Cash",I33=""),"Enter the cheque no., UTR or UPI reference",IF(AND(L33&lt;&gt;"",N(L33)&lt;0),"More than the balance due on this invoice",IF(S33&gt;=200000,"₹2,00,000 or more in cash from this person today: barred, s.186",IF(T33&gt;=200000,"₹2,00,000 or more in cash against this invoice: barred, s.186",IF(AND(P33="T",H33="Cash",N(J33)&gt;=20000),"Loan of ₹20,000 or more in cash: barred, s.185",IF(AND(P33="D",H33="Cash",N(J33)&gt;=20000),"Cash deposit of ₹20,000 or more: ask your accountant whether s.185 applies",IF(AND(OR(P33="AG",P33="AS"),$E$9&lt;&gt;""),"Advance: also give a GST receipt voucher, s.31(3)(d) and Rule 50","OK"))))))))))))))))</f>
        <v/>
      </c>
      <c r="P33">
        <f>IF(G33="","",IFERROR(VLOOKUP(G33,Lists!$A$2:$B$9,2,FALSE),"?"))</f>
        <v/>
      </c>
      <c r="Q33">
        <f>IF(K33="Cancelled",0,N(J33))</f>
        <v/>
      </c>
      <c r="R33">
        <f>IF(OR(H33&lt;&gt;"Cash",P33="T",P33="D"),0,Q33)</f>
        <v/>
      </c>
      <c r="S33">
        <f>IF(R33=0,0,SUMIFS($R$18:$R$317,$B$18:$B$317,B33,$D$18:$D$317,D33))</f>
        <v/>
      </c>
      <c r="T33">
        <f>IF(OR(R33=0,E33=""),0,SUMIFS($R$18:$R$317,$E$18:$E$317,E33))</f>
        <v/>
      </c>
      <c r="U33">
        <f>IF(E33="","",IF(N(F33)&gt;0,F33,IFERROR(INDEX($F$18:$F$317,MATCH(E33,$E$18:$E$317,0)),"")))</f>
        <v/>
      </c>
      <c r="V33">
        <f>IF(OR(N33="",N33="OK",K33="Cancelled"),0,1)</f>
        <v/>
      </c>
    </row>
    <row r="34">
      <c r="B34" s="21" t="n"/>
      <c r="C34" s="22">
        <f>IF(B34="","",$E$10&amp;TEXT(N($E$11)+16,"000"))</f>
        <v/>
      </c>
      <c r="D34" s="14" t="n"/>
      <c r="E34" s="23" t="n"/>
      <c r="F34" s="24" t="n"/>
      <c r="G34" s="14" t="n"/>
      <c r="H34" s="14" t="n"/>
      <c r="I34" s="23" t="n"/>
      <c r="J34" s="24" t="n"/>
      <c r="K34" s="23" t="n"/>
      <c r="L34" s="25">
        <f>IF(OR(E34="",N(U34)=0),"",U34-SUMIFS(Q$18:Q34,E$18:E34,E34))</f>
        <v/>
      </c>
      <c r="M34" s="26">
        <f>IF(OR(N(J34)=0,K34="Cancelled"),"",IF(AND(N(J34)&gt;5000,P34&lt;&gt;"G"),"Yes: ₹1","No"))</f>
        <v/>
      </c>
      <c r="N34" s="27">
        <f>IF(AND(B34="",D34="",N(J34)=0),"",IF(B34="","Enter the date",IF(AND(ROW()&gt;18,B33=""),"Use the next empty row: a skipped row leaves a gap in the receipt numbers",IF(D34="","Enter who paid",IF(N(J34)=0,"Enter the amount",IF(G34="","Pick what the money was for",IF(P34="?","Pick what it was for from the list",IF(H34="","Pick how it was paid",IF(K34="Cancelled","Cancelled: keep this number unused and give a fresh receipt",IF(AND(H34&lt;&gt;"Cash",I34=""),"Enter the cheque no., UTR or UPI reference",IF(AND(L34&lt;&gt;"",N(L34)&lt;0),"More than the balance due on this invoice",IF(S34&gt;=200000,"₹2,00,000 or more in cash from this person today: barred, s.186",IF(T34&gt;=200000,"₹2,00,000 or more in cash against this invoice: barred, s.186",IF(AND(P34="T",H34="Cash",N(J34)&gt;=20000),"Loan of ₹20,000 or more in cash: barred, s.185",IF(AND(P34="D",H34="Cash",N(J34)&gt;=20000),"Cash deposit of ₹20,000 or more: ask your accountant whether s.185 applies",IF(AND(OR(P34="AG",P34="AS"),$E$9&lt;&gt;""),"Advance: also give a GST receipt voucher, s.31(3)(d) and Rule 50","OK"))))))))))))))))</f>
        <v/>
      </c>
      <c r="P34">
        <f>IF(G34="","",IFERROR(VLOOKUP(G34,Lists!$A$2:$B$9,2,FALSE),"?"))</f>
        <v/>
      </c>
      <c r="Q34">
        <f>IF(K34="Cancelled",0,N(J34))</f>
        <v/>
      </c>
      <c r="R34">
        <f>IF(OR(H34&lt;&gt;"Cash",P34="T",P34="D"),0,Q34)</f>
        <v/>
      </c>
      <c r="S34">
        <f>IF(R34=0,0,SUMIFS($R$18:$R$317,$B$18:$B$317,B34,$D$18:$D$317,D34))</f>
        <v/>
      </c>
      <c r="T34">
        <f>IF(OR(R34=0,E34=""),0,SUMIFS($R$18:$R$317,$E$18:$E$317,E34))</f>
        <v/>
      </c>
      <c r="U34">
        <f>IF(E34="","",IF(N(F34)&gt;0,F34,IFERROR(INDEX($F$18:$F$317,MATCH(E34,$E$18:$E$317,0)),"")))</f>
        <v/>
      </c>
      <c r="V34">
        <f>IF(OR(N34="",N34="OK",K34="Cancelled"),0,1)</f>
        <v/>
      </c>
    </row>
    <row r="35">
      <c r="B35" s="21" t="n"/>
      <c r="C35" s="22">
        <f>IF(B35="","",$E$10&amp;TEXT(N($E$11)+17,"000"))</f>
        <v/>
      </c>
      <c r="D35" s="14" t="n"/>
      <c r="E35" s="23" t="n"/>
      <c r="F35" s="24" t="n"/>
      <c r="G35" s="14" t="n"/>
      <c r="H35" s="14" t="n"/>
      <c r="I35" s="23" t="n"/>
      <c r="J35" s="24" t="n"/>
      <c r="K35" s="23" t="n"/>
      <c r="L35" s="25">
        <f>IF(OR(E35="",N(U35)=0),"",U35-SUMIFS(Q$18:Q35,E$18:E35,E35))</f>
        <v/>
      </c>
      <c r="M35" s="26">
        <f>IF(OR(N(J35)=0,K35="Cancelled"),"",IF(AND(N(J35)&gt;5000,P35&lt;&gt;"G"),"Yes: ₹1","No"))</f>
        <v/>
      </c>
      <c r="N35" s="27">
        <f>IF(AND(B35="",D35="",N(J35)=0),"",IF(B35="","Enter the date",IF(AND(ROW()&gt;18,B34=""),"Use the next empty row: a skipped row leaves a gap in the receipt numbers",IF(D35="","Enter who paid",IF(N(J35)=0,"Enter the amount",IF(G35="","Pick what the money was for",IF(P35="?","Pick what it was for from the list",IF(H35="","Pick how it was paid",IF(K35="Cancelled","Cancelled: keep this number unused and give a fresh receipt",IF(AND(H35&lt;&gt;"Cash",I35=""),"Enter the cheque no., UTR or UPI reference",IF(AND(L35&lt;&gt;"",N(L35)&lt;0),"More than the balance due on this invoice",IF(S35&gt;=200000,"₹2,00,000 or more in cash from this person today: barred, s.186",IF(T35&gt;=200000,"₹2,00,000 or more in cash against this invoice: barred, s.186",IF(AND(P35="T",H35="Cash",N(J35)&gt;=20000),"Loan of ₹20,000 or more in cash: barred, s.185",IF(AND(P35="D",H35="Cash",N(J35)&gt;=20000),"Cash deposit of ₹20,000 or more: ask your accountant whether s.185 applies",IF(AND(OR(P35="AG",P35="AS"),$E$9&lt;&gt;""),"Advance: also give a GST receipt voucher, s.31(3)(d) and Rule 50","OK"))))))))))))))))</f>
        <v/>
      </c>
      <c r="P35">
        <f>IF(G35="","",IFERROR(VLOOKUP(G35,Lists!$A$2:$B$9,2,FALSE),"?"))</f>
        <v/>
      </c>
      <c r="Q35">
        <f>IF(K35="Cancelled",0,N(J35))</f>
        <v/>
      </c>
      <c r="R35">
        <f>IF(OR(H35&lt;&gt;"Cash",P35="T",P35="D"),0,Q35)</f>
        <v/>
      </c>
      <c r="S35">
        <f>IF(R35=0,0,SUMIFS($R$18:$R$317,$B$18:$B$317,B35,$D$18:$D$317,D35))</f>
        <v/>
      </c>
      <c r="T35">
        <f>IF(OR(R35=0,E35=""),0,SUMIFS($R$18:$R$317,$E$18:$E$317,E35))</f>
        <v/>
      </c>
      <c r="U35">
        <f>IF(E35="","",IF(N(F35)&gt;0,F35,IFERROR(INDEX($F$18:$F$317,MATCH(E35,$E$18:$E$317,0)),"")))</f>
        <v/>
      </c>
      <c r="V35">
        <f>IF(OR(N35="",N35="OK",K35="Cancelled"),0,1)</f>
        <v/>
      </c>
    </row>
    <row r="36">
      <c r="B36" s="21" t="n"/>
      <c r="C36" s="22">
        <f>IF(B36="","",$E$10&amp;TEXT(N($E$11)+18,"000"))</f>
        <v/>
      </c>
      <c r="D36" s="14" t="n"/>
      <c r="E36" s="23" t="n"/>
      <c r="F36" s="24" t="n"/>
      <c r="G36" s="14" t="n"/>
      <c r="H36" s="14" t="n"/>
      <c r="I36" s="23" t="n"/>
      <c r="J36" s="24" t="n"/>
      <c r="K36" s="23" t="n"/>
      <c r="L36" s="25">
        <f>IF(OR(E36="",N(U36)=0),"",U36-SUMIFS(Q$18:Q36,E$18:E36,E36))</f>
        <v/>
      </c>
      <c r="M36" s="26">
        <f>IF(OR(N(J36)=0,K36="Cancelled"),"",IF(AND(N(J36)&gt;5000,P36&lt;&gt;"G"),"Yes: ₹1","No"))</f>
        <v/>
      </c>
      <c r="N36" s="27">
        <f>IF(AND(B36="",D36="",N(J36)=0),"",IF(B36="","Enter the date",IF(AND(ROW()&gt;18,B35=""),"Use the next empty row: a skipped row leaves a gap in the receipt numbers",IF(D36="","Enter who paid",IF(N(J36)=0,"Enter the amount",IF(G36="","Pick what the money was for",IF(P36="?","Pick what it was for from the list",IF(H36="","Pick how it was paid",IF(K36="Cancelled","Cancelled: keep this number unused and give a fresh receipt",IF(AND(H36&lt;&gt;"Cash",I36=""),"Enter the cheque no., UTR or UPI reference",IF(AND(L36&lt;&gt;"",N(L36)&lt;0),"More than the balance due on this invoice",IF(S36&gt;=200000,"₹2,00,000 or more in cash from this person today: barred, s.186",IF(T36&gt;=200000,"₹2,00,000 or more in cash against this invoice: barred, s.186",IF(AND(P36="T",H36="Cash",N(J36)&gt;=20000),"Loan of ₹20,000 or more in cash: barred, s.185",IF(AND(P36="D",H36="Cash",N(J36)&gt;=20000),"Cash deposit of ₹20,000 or more: ask your accountant whether s.185 applies",IF(AND(OR(P36="AG",P36="AS"),$E$9&lt;&gt;""),"Advance: also give a GST receipt voucher, s.31(3)(d) and Rule 50","OK"))))))))))))))))</f>
        <v/>
      </c>
      <c r="P36">
        <f>IF(G36="","",IFERROR(VLOOKUP(G36,Lists!$A$2:$B$9,2,FALSE),"?"))</f>
        <v/>
      </c>
      <c r="Q36">
        <f>IF(K36="Cancelled",0,N(J36))</f>
        <v/>
      </c>
      <c r="R36">
        <f>IF(OR(H36&lt;&gt;"Cash",P36="T",P36="D"),0,Q36)</f>
        <v/>
      </c>
      <c r="S36">
        <f>IF(R36=0,0,SUMIFS($R$18:$R$317,$B$18:$B$317,B36,$D$18:$D$317,D36))</f>
        <v/>
      </c>
      <c r="T36">
        <f>IF(OR(R36=0,E36=""),0,SUMIFS($R$18:$R$317,$E$18:$E$317,E36))</f>
        <v/>
      </c>
      <c r="U36">
        <f>IF(E36="","",IF(N(F36)&gt;0,F36,IFERROR(INDEX($F$18:$F$317,MATCH(E36,$E$18:$E$317,0)),"")))</f>
        <v/>
      </c>
      <c r="V36">
        <f>IF(OR(N36="",N36="OK",K36="Cancelled"),0,1)</f>
        <v/>
      </c>
    </row>
    <row r="37">
      <c r="B37" s="21" t="n"/>
      <c r="C37" s="22">
        <f>IF(B37="","",$E$10&amp;TEXT(N($E$11)+19,"000"))</f>
        <v/>
      </c>
      <c r="D37" s="14" t="n"/>
      <c r="E37" s="23" t="n"/>
      <c r="F37" s="24" t="n"/>
      <c r="G37" s="14" t="n"/>
      <c r="H37" s="14" t="n"/>
      <c r="I37" s="23" t="n"/>
      <c r="J37" s="24" t="n"/>
      <c r="K37" s="23" t="n"/>
      <c r="L37" s="25">
        <f>IF(OR(E37="",N(U37)=0),"",U37-SUMIFS(Q$18:Q37,E$18:E37,E37))</f>
        <v/>
      </c>
      <c r="M37" s="26">
        <f>IF(OR(N(J37)=0,K37="Cancelled"),"",IF(AND(N(J37)&gt;5000,P37&lt;&gt;"G"),"Yes: ₹1","No"))</f>
        <v/>
      </c>
      <c r="N37" s="27">
        <f>IF(AND(B37="",D37="",N(J37)=0),"",IF(B37="","Enter the date",IF(AND(ROW()&gt;18,B36=""),"Use the next empty row: a skipped row leaves a gap in the receipt numbers",IF(D37="","Enter who paid",IF(N(J37)=0,"Enter the amount",IF(G37="","Pick what the money was for",IF(P37="?","Pick what it was for from the list",IF(H37="","Pick how it was paid",IF(K37="Cancelled","Cancelled: keep this number unused and give a fresh receipt",IF(AND(H37&lt;&gt;"Cash",I37=""),"Enter the cheque no., UTR or UPI reference",IF(AND(L37&lt;&gt;"",N(L37)&lt;0),"More than the balance due on this invoice",IF(S37&gt;=200000,"₹2,00,000 or more in cash from this person today: barred, s.186",IF(T37&gt;=200000,"₹2,00,000 or more in cash against this invoice: barred, s.186",IF(AND(P37="T",H37="Cash",N(J37)&gt;=20000),"Loan of ₹20,000 or more in cash: barred, s.185",IF(AND(P37="D",H37="Cash",N(J37)&gt;=20000),"Cash deposit of ₹20,000 or more: ask your accountant whether s.185 applies",IF(AND(OR(P37="AG",P37="AS"),$E$9&lt;&gt;""),"Advance: also give a GST receipt voucher, s.31(3)(d) and Rule 50","OK"))))))))))))))))</f>
        <v/>
      </c>
      <c r="P37">
        <f>IF(G37="","",IFERROR(VLOOKUP(G37,Lists!$A$2:$B$9,2,FALSE),"?"))</f>
        <v/>
      </c>
      <c r="Q37">
        <f>IF(K37="Cancelled",0,N(J37))</f>
        <v/>
      </c>
      <c r="R37">
        <f>IF(OR(H37&lt;&gt;"Cash",P37="T",P37="D"),0,Q37)</f>
        <v/>
      </c>
      <c r="S37">
        <f>IF(R37=0,0,SUMIFS($R$18:$R$317,$B$18:$B$317,B37,$D$18:$D$317,D37))</f>
        <v/>
      </c>
      <c r="T37">
        <f>IF(OR(R37=0,E37=""),0,SUMIFS($R$18:$R$317,$E$18:$E$317,E37))</f>
        <v/>
      </c>
      <c r="U37">
        <f>IF(E37="","",IF(N(F37)&gt;0,F37,IFERROR(INDEX($F$18:$F$317,MATCH(E37,$E$18:$E$317,0)),"")))</f>
        <v/>
      </c>
      <c r="V37">
        <f>IF(OR(N37="",N37="OK",K37="Cancelled"),0,1)</f>
        <v/>
      </c>
    </row>
    <row r="38">
      <c r="B38" s="21" t="n"/>
      <c r="C38" s="22">
        <f>IF(B38="","",$E$10&amp;TEXT(N($E$11)+20,"000"))</f>
        <v/>
      </c>
      <c r="D38" s="14" t="n"/>
      <c r="E38" s="23" t="n"/>
      <c r="F38" s="24" t="n"/>
      <c r="G38" s="14" t="n"/>
      <c r="H38" s="14" t="n"/>
      <c r="I38" s="23" t="n"/>
      <c r="J38" s="24" t="n"/>
      <c r="K38" s="23" t="n"/>
      <c r="L38" s="25">
        <f>IF(OR(E38="",N(U38)=0),"",U38-SUMIFS(Q$18:Q38,E$18:E38,E38))</f>
        <v/>
      </c>
      <c r="M38" s="26">
        <f>IF(OR(N(J38)=0,K38="Cancelled"),"",IF(AND(N(J38)&gt;5000,P38&lt;&gt;"G"),"Yes: ₹1","No"))</f>
        <v/>
      </c>
      <c r="N38" s="27">
        <f>IF(AND(B38="",D38="",N(J38)=0),"",IF(B38="","Enter the date",IF(AND(ROW()&gt;18,B37=""),"Use the next empty row: a skipped row leaves a gap in the receipt numbers",IF(D38="","Enter who paid",IF(N(J38)=0,"Enter the amount",IF(G38="","Pick what the money was for",IF(P38="?","Pick what it was for from the list",IF(H38="","Pick how it was paid",IF(K38="Cancelled","Cancelled: keep this number unused and give a fresh receipt",IF(AND(H38&lt;&gt;"Cash",I38=""),"Enter the cheque no., UTR or UPI reference",IF(AND(L38&lt;&gt;"",N(L38)&lt;0),"More than the balance due on this invoice",IF(S38&gt;=200000,"₹2,00,000 or more in cash from this person today: barred, s.186",IF(T38&gt;=200000,"₹2,00,000 or more in cash against this invoice: barred, s.186",IF(AND(P38="T",H38="Cash",N(J38)&gt;=20000),"Loan of ₹20,000 or more in cash: barred, s.185",IF(AND(P38="D",H38="Cash",N(J38)&gt;=20000),"Cash deposit of ₹20,000 or more: ask your accountant whether s.185 applies",IF(AND(OR(P38="AG",P38="AS"),$E$9&lt;&gt;""),"Advance: also give a GST receipt voucher, s.31(3)(d) and Rule 50","OK"))))))))))))))))</f>
        <v/>
      </c>
      <c r="P38">
        <f>IF(G38="","",IFERROR(VLOOKUP(G38,Lists!$A$2:$B$9,2,FALSE),"?"))</f>
        <v/>
      </c>
      <c r="Q38">
        <f>IF(K38="Cancelled",0,N(J38))</f>
        <v/>
      </c>
      <c r="R38">
        <f>IF(OR(H38&lt;&gt;"Cash",P38="T",P38="D"),0,Q38)</f>
        <v/>
      </c>
      <c r="S38">
        <f>IF(R38=0,0,SUMIFS($R$18:$R$317,$B$18:$B$317,B38,$D$18:$D$317,D38))</f>
        <v/>
      </c>
      <c r="T38">
        <f>IF(OR(R38=0,E38=""),0,SUMIFS($R$18:$R$317,$E$18:$E$317,E38))</f>
        <v/>
      </c>
      <c r="U38">
        <f>IF(E38="","",IF(N(F38)&gt;0,F38,IFERROR(INDEX($F$18:$F$317,MATCH(E38,$E$18:$E$317,0)),"")))</f>
        <v/>
      </c>
      <c r="V38">
        <f>IF(OR(N38="",N38="OK",K38="Cancelled"),0,1)</f>
        <v/>
      </c>
    </row>
    <row r="39">
      <c r="B39" s="21" t="n"/>
      <c r="C39" s="22">
        <f>IF(B39="","",$E$10&amp;TEXT(N($E$11)+21,"000"))</f>
        <v/>
      </c>
      <c r="D39" s="14" t="n"/>
      <c r="E39" s="23" t="n"/>
      <c r="F39" s="24" t="n"/>
      <c r="G39" s="14" t="n"/>
      <c r="H39" s="14" t="n"/>
      <c r="I39" s="23" t="n"/>
      <c r="J39" s="24" t="n"/>
      <c r="K39" s="23" t="n"/>
      <c r="L39" s="25">
        <f>IF(OR(E39="",N(U39)=0),"",U39-SUMIFS(Q$18:Q39,E$18:E39,E39))</f>
        <v/>
      </c>
      <c r="M39" s="26">
        <f>IF(OR(N(J39)=0,K39="Cancelled"),"",IF(AND(N(J39)&gt;5000,P39&lt;&gt;"G"),"Yes: ₹1","No"))</f>
        <v/>
      </c>
      <c r="N39" s="27">
        <f>IF(AND(B39="",D39="",N(J39)=0),"",IF(B39="","Enter the date",IF(AND(ROW()&gt;18,B38=""),"Use the next empty row: a skipped row leaves a gap in the receipt numbers",IF(D39="","Enter who paid",IF(N(J39)=0,"Enter the amount",IF(G39="","Pick what the money was for",IF(P39="?","Pick what it was for from the list",IF(H39="","Pick how it was paid",IF(K39="Cancelled","Cancelled: keep this number unused and give a fresh receipt",IF(AND(H39&lt;&gt;"Cash",I39=""),"Enter the cheque no., UTR or UPI reference",IF(AND(L39&lt;&gt;"",N(L39)&lt;0),"More than the balance due on this invoice",IF(S39&gt;=200000,"₹2,00,000 or more in cash from this person today: barred, s.186",IF(T39&gt;=200000,"₹2,00,000 or more in cash against this invoice: barred, s.186",IF(AND(P39="T",H39="Cash",N(J39)&gt;=20000),"Loan of ₹20,000 or more in cash: barred, s.185",IF(AND(P39="D",H39="Cash",N(J39)&gt;=20000),"Cash deposit of ₹20,000 or more: ask your accountant whether s.185 applies",IF(AND(OR(P39="AG",P39="AS"),$E$9&lt;&gt;""),"Advance: also give a GST receipt voucher, s.31(3)(d) and Rule 50","OK"))))))))))))))))</f>
        <v/>
      </c>
      <c r="P39">
        <f>IF(G39="","",IFERROR(VLOOKUP(G39,Lists!$A$2:$B$9,2,FALSE),"?"))</f>
        <v/>
      </c>
      <c r="Q39">
        <f>IF(K39="Cancelled",0,N(J39))</f>
        <v/>
      </c>
      <c r="R39">
        <f>IF(OR(H39&lt;&gt;"Cash",P39="T",P39="D"),0,Q39)</f>
        <v/>
      </c>
      <c r="S39">
        <f>IF(R39=0,0,SUMIFS($R$18:$R$317,$B$18:$B$317,B39,$D$18:$D$317,D39))</f>
        <v/>
      </c>
      <c r="T39">
        <f>IF(OR(R39=0,E39=""),0,SUMIFS($R$18:$R$317,$E$18:$E$317,E39))</f>
        <v/>
      </c>
      <c r="U39">
        <f>IF(E39="","",IF(N(F39)&gt;0,F39,IFERROR(INDEX($F$18:$F$317,MATCH(E39,$E$18:$E$317,0)),"")))</f>
        <v/>
      </c>
      <c r="V39">
        <f>IF(OR(N39="",N39="OK",K39="Cancelled"),0,1)</f>
        <v/>
      </c>
    </row>
    <row r="40">
      <c r="B40" s="21" t="n"/>
      <c r="C40" s="22">
        <f>IF(B40="","",$E$10&amp;TEXT(N($E$11)+22,"000"))</f>
        <v/>
      </c>
      <c r="D40" s="14" t="n"/>
      <c r="E40" s="23" t="n"/>
      <c r="F40" s="24" t="n"/>
      <c r="G40" s="14" t="n"/>
      <c r="H40" s="14" t="n"/>
      <c r="I40" s="23" t="n"/>
      <c r="J40" s="24" t="n"/>
      <c r="K40" s="23" t="n"/>
      <c r="L40" s="25">
        <f>IF(OR(E40="",N(U40)=0),"",U40-SUMIFS(Q$18:Q40,E$18:E40,E40))</f>
        <v/>
      </c>
      <c r="M40" s="26">
        <f>IF(OR(N(J40)=0,K40="Cancelled"),"",IF(AND(N(J40)&gt;5000,P40&lt;&gt;"G"),"Yes: ₹1","No"))</f>
        <v/>
      </c>
      <c r="N40" s="27">
        <f>IF(AND(B40="",D40="",N(J40)=0),"",IF(B40="","Enter the date",IF(AND(ROW()&gt;18,B39=""),"Use the next empty row: a skipped row leaves a gap in the receipt numbers",IF(D40="","Enter who paid",IF(N(J40)=0,"Enter the amount",IF(G40="","Pick what the money was for",IF(P40="?","Pick what it was for from the list",IF(H40="","Pick how it was paid",IF(K40="Cancelled","Cancelled: keep this number unused and give a fresh receipt",IF(AND(H40&lt;&gt;"Cash",I40=""),"Enter the cheque no., UTR or UPI reference",IF(AND(L40&lt;&gt;"",N(L40)&lt;0),"More than the balance due on this invoice",IF(S40&gt;=200000,"₹2,00,000 or more in cash from this person today: barred, s.186",IF(T40&gt;=200000,"₹2,00,000 or more in cash against this invoice: barred, s.186",IF(AND(P40="T",H40="Cash",N(J40)&gt;=20000),"Loan of ₹20,000 or more in cash: barred, s.185",IF(AND(P40="D",H40="Cash",N(J40)&gt;=20000),"Cash deposit of ₹20,000 or more: ask your accountant whether s.185 applies",IF(AND(OR(P40="AG",P40="AS"),$E$9&lt;&gt;""),"Advance: also give a GST receipt voucher, s.31(3)(d) and Rule 50","OK"))))))))))))))))</f>
        <v/>
      </c>
      <c r="P40">
        <f>IF(G40="","",IFERROR(VLOOKUP(G40,Lists!$A$2:$B$9,2,FALSE),"?"))</f>
        <v/>
      </c>
      <c r="Q40">
        <f>IF(K40="Cancelled",0,N(J40))</f>
        <v/>
      </c>
      <c r="R40">
        <f>IF(OR(H40&lt;&gt;"Cash",P40="T",P40="D"),0,Q40)</f>
        <v/>
      </c>
      <c r="S40">
        <f>IF(R40=0,0,SUMIFS($R$18:$R$317,$B$18:$B$317,B40,$D$18:$D$317,D40))</f>
        <v/>
      </c>
      <c r="T40">
        <f>IF(OR(R40=0,E40=""),0,SUMIFS($R$18:$R$317,$E$18:$E$317,E40))</f>
        <v/>
      </c>
      <c r="U40">
        <f>IF(E40="","",IF(N(F40)&gt;0,F40,IFERROR(INDEX($F$18:$F$317,MATCH(E40,$E$18:$E$317,0)),"")))</f>
        <v/>
      </c>
      <c r="V40">
        <f>IF(OR(N40="",N40="OK",K40="Cancelled"),0,1)</f>
        <v/>
      </c>
    </row>
    <row r="41">
      <c r="B41" s="21" t="n"/>
      <c r="C41" s="22">
        <f>IF(B41="","",$E$10&amp;TEXT(N($E$11)+23,"000"))</f>
        <v/>
      </c>
      <c r="D41" s="14" t="n"/>
      <c r="E41" s="23" t="n"/>
      <c r="F41" s="24" t="n"/>
      <c r="G41" s="14" t="n"/>
      <c r="H41" s="14" t="n"/>
      <c r="I41" s="23" t="n"/>
      <c r="J41" s="24" t="n"/>
      <c r="K41" s="23" t="n"/>
      <c r="L41" s="25">
        <f>IF(OR(E41="",N(U41)=0),"",U41-SUMIFS(Q$18:Q41,E$18:E41,E41))</f>
        <v/>
      </c>
      <c r="M41" s="26">
        <f>IF(OR(N(J41)=0,K41="Cancelled"),"",IF(AND(N(J41)&gt;5000,P41&lt;&gt;"G"),"Yes: ₹1","No"))</f>
        <v/>
      </c>
      <c r="N41" s="27">
        <f>IF(AND(B41="",D41="",N(J41)=0),"",IF(B41="","Enter the date",IF(AND(ROW()&gt;18,B40=""),"Use the next empty row: a skipped row leaves a gap in the receipt numbers",IF(D41="","Enter who paid",IF(N(J41)=0,"Enter the amount",IF(G41="","Pick what the money was for",IF(P41="?","Pick what it was for from the list",IF(H41="","Pick how it was paid",IF(K41="Cancelled","Cancelled: keep this number unused and give a fresh receipt",IF(AND(H41&lt;&gt;"Cash",I41=""),"Enter the cheque no., UTR or UPI reference",IF(AND(L41&lt;&gt;"",N(L41)&lt;0),"More than the balance due on this invoice",IF(S41&gt;=200000,"₹2,00,000 or more in cash from this person today: barred, s.186",IF(T41&gt;=200000,"₹2,00,000 or more in cash against this invoice: barred, s.186",IF(AND(P41="T",H41="Cash",N(J41)&gt;=20000),"Loan of ₹20,000 or more in cash: barred, s.185",IF(AND(P41="D",H41="Cash",N(J41)&gt;=20000),"Cash deposit of ₹20,000 or more: ask your accountant whether s.185 applies",IF(AND(OR(P41="AG",P41="AS"),$E$9&lt;&gt;""),"Advance: also give a GST receipt voucher, s.31(3)(d) and Rule 50","OK"))))))))))))))))</f>
        <v/>
      </c>
      <c r="P41">
        <f>IF(G41="","",IFERROR(VLOOKUP(G41,Lists!$A$2:$B$9,2,FALSE),"?"))</f>
        <v/>
      </c>
      <c r="Q41">
        <f>IF(K41="Cancelled",0,N(J41))</f>
        <v/>
      </c>
      <c r="R41">
        <f>IF(OR(H41&lt;&gt;"Cash",P41="T",P41="D"),0,Q41)</f>
        <v/>
      </c>
      <c r="S41">
        <f>IF(R41=0,0,SUMIFS($R$18:$R$317,$B$18:$B$317,B41,$D$18:$D$317,D41))</f>
        <v/>
      </c>
      <c r="T41">
        <f>IF(OR(R41=0,E41=""),0,SUMIFS($R$18:$R$317,$E$18:$E$317,E41))</f>
        <v/>
      </c>
      <c r="U41">
        <f>IF(E41="","",IF(N(F41)&gt;0,F41,IFERROR(INDEX($F$18:$F$317,MATCH(E41,$E$18:$E$317,0)),"")))</f>
        <v/>
      </c>
      <c r="V41">
        <f>IF(OR(N41="",N41="OK",K41="Cancelled"),0,1)</f>
        <v/>
      </c>
    </row>
    <row r="42">
      <c r="B42" s="21" t="n"/>
      <c r="C42" s="22">
        <f>IF(B42="","",$E$10&amp;TEXT(N($E$11)+24,"000"))</f>
        <v/>
      </c>
      <c r="D42" s="14" t="n"/>
      <c r="E42" s="23" t="n"/>
      <c r="F42" s="24" t="n"/>
      <c r="G42" s="14" t="n"/>
      <c r="H42" s="14" t="n"/>
      <c r="I42" s="23" t="n"/>
      <c r="J42" s="24" t="n"/>
      <c r="K42" s="23" t="n"/>
      <c r="L42" s="25">
        <f>IF(OR(E42="",N(U42)=0),"",U42-SUMIFS(Q$18:Q42,E$18:E42,E42))</f>
        <v/>
      </c>
      <c r="M42" s="26">
        <f>IF(OR(N(J42)=0,K42="Cancelled"),"",IF(AND(N(J42)&gt;5000,P42&lt;&gt;"G"),"Yes: ₹1","No"))</f>
        <v/>
      </c>
      <c r="N42" s="27">
        <f>IF(AND(B42="",D42="",N(J42)=0),"",IF(B42="","Enter the date",IF(AND(ROW()&gt;18,B41=""),"Use the next empty row: a skipped row leaves a gap in the receipt numbers",IF(D42="","Enter who paid",IF(N(J42)=0,"Enter the amount",IF(G42="","Pick what the money was for",IF(P42="?","Pick what it was for from the list",IF(H42="","Pick how it was paid",IF(K42="Cancelled","Cancelled: keep this number unused and give a fresh receipt",IF(AND(H42&lt;&gt;"Cash",I42=""),"Enter the cheque no., UTR or UPI reference",IF(AND(L42&lt;&gt;"",N(L42)&lt;0),"More than the balance due on this invoice",IF(S42&gt;=200000,"₹2,00,000 or more in cash from this person today: barred, s.186",IF(T42&gt;=200000,"₹2,00,000 or more in cash against this invoice: barred, s.186",IF(AND(P42="T",H42="Cash",N(J42)&gt;=20000),"Loan of ₹20,000 or more in cash: barred, s.185",IF(AND(P42="D",H42="Cash",N(J42)&gt;=20000),"Cash deposit of ₹20,000 or more: ask your accountant whether s.185 applies",IF(AND(OR(P42="AG",P42="AS"),$E$9&lt;&gt;""),"Advance: also give a GST receipt voucher, s.31(3)(d) and Rule 50","OK"))))))))))))))))</f>
        <v/>
      </c>
      <c r="P42">
        <f>IF(G42="","",IFERROR(VLOOKUP(G42,Lists!$A$2:$B$9,2,FALSE),"?"))</f>
        <v/>
      </c>
      <c r="Q42">
        <f>IF(K42="Cancelled",0,N(J42))</f>
        <v/>
      </c>
      <c r="R42">
        <f>IF(OR(H42&lt;&gt;"Cash",P42="T",P42="D"),0,Q42)</f>
        <v/>
      </c>
      <c r="S42">
        <f>IF(R42=0,0,SUMIFS($R$18:$R$317,$B$18:$B$317,B42,$D$18:$D$317,D42))</f>
        <v/>
      </c>
      <c r="T42">
        <f>IF(OR(R42=0,E42=""),0,SUMIFS($R$18:$R$317,$E$18:$E$317,E42))</f>
        <v/>
      </c>
      <c r="U42">
        <f>IF(E42="","",IF(N(F42)&gt;0,F42,IFERROR(INDEX($F$18:$F$317,MATCH(E42,$E$18:$E$317,0)),"")))</f>
        <v/>
      </c>
      <c r="V42">
        <f>IF(OR(N42="",N42="OK",K42="Cancelled"),0,1)</f>
        <v/>
      </c>
    </row>
    <row r="43">
      <c r="B43" s="21" t="n"/>
      <c r="C43" s="22">
        <f>IF(B43="","",$E$10&amp;TEXT(N($E$11)+25,"000"))</f>
        <v/>
      </c>
      <c r="D43" s="14" t="n"/>
      <c r="E43" s="23" t="n"/>
      <c r="F43" s="24" t="n"/>
      <c r="G43" s="14" t="n"/>
      <c r="H43" s="14" t="n"/>
      <c r="I43" s="23" t="n"/>
      <c r="J43" s="24" t="n"/>
      <c r="K43" s="23" t="n"/>
      <c r="L43" s="25">
        <f>IF(OR(E43="",N(U43)=0),"",U43-SUMIFS(Q$18:Q43,E$18:E43,E43))</f>
        <v/>
      </c>
      <c r="M43" s="26">
        <f>IF(OR(N(J43)=0,K43="Cancelled"),"",IF(AND(N(J43)&gt;5000,P43&lt;&gt;"G"),"Yes: ₹1","No"))</f>
        <v/>
      </c>
      <c r="N43" s="27">
        <f>IF(AND(B43="",D43="",N(J43)=0),"",IF(B43="","Enter the date",IF(AND(ROW()&gt;18,B42=""),"Use the next empty row: a skipped row leaves a gap in the receipt numbers",IF(D43="","Enter who paid",IF(N(J43)=0,"Enter the amount",IF(G43="","Pick what the money was for",IF(P43="?","Pick what it was for from the list",IF(H43="","Pick how it was paid",IF(K43="Cancelled","Cancelled: keep this number unused and give a fresh receipt",IF(AND(H43&lt;&gt;"Cash",I43=""),"Enter the cheque no., UTR or UPI reference",IF(AND(L43&lt;&gt;"",N(L43)&lt;0),"More than the balance due on this invoice",IF(S43&gt;=200000,"₹2,00,000 or more in cash from this person today: barred, s.186",IF(T43&gt;=200000,"₹2,00,000 or more in cash against this invoice: barred, s.186",IF(AND(P43="T",H43="Cash",N(J43)&gt;=20000),"Loan of ₹20,000 or more in cash: barred, s.185",IF(AND(P43="D",H43="Cash",N(J43)&gt;=20000),"Cash deposit of ₹20,000 or more: ask your accountant whether s.185 applies",IF(AND(OR(P43="AG",P43="AS"),$E$9&lt;&gt;""),"Advance: also give a GST receipt voucher, s.31(3)(d) and Rule 50","OK"))))))))))))))))</f>
        <v/>
      </c>
      <c r="P43">
        <f>IF(G43="","",IFERROR(VLOOKUP(G43,Lists!$A$2:$B$9,2,FALSE),"?"))</f>
        <v/>
      </c>
      <c r="Q43">
        <f>IF(K43="Cancelled",0,N(J43))</f>
        <v/>
      </c>
      <c r="R43">
        <f>IF(OR(H43&lt;&gt;"Cash",P43="T",P43="D"),0,Q43)</f>
        <v/>
      </c>
      <c r="S43">
        <f>IF(R43=0,0,SUMIFS($R$18:$R$317,$B$18:$B$317,B43,$D$18:$D$317,D43))</f>
        <v/>
      </c>
      <c r="T43">
        <f>IF(OR(R43=0,E43=""),0,SUMIFS($R$18:$R$317,$E$18:$E$317,E43))</f>
        <v/>
      </c>
      <c r="U43">
        <f>IF(E43="","",IF(N(F43)&gt;0,F43,IFERROR(INDEX($F$18:$F$317,MATCH(E43,$E$18:$E$317,0)),"")))</f>
        <v/>
      </c>
      <c r="V43">
        <f>IF(OR(N43="",N43="OK",K43="Cancelled"),0,1)</f>
        <v/>
      </c>
    </row>
    <row r="44">
      <c r="B44" s="21" t="n"/>
      <c r="C44" s="22">
        <f>IF(B44="","",$E$10&amp;TEXT(N($E$11)+26,"000"))</f>
        <v/>
      </c>
      <c r="D44" s="14" t="n"/>
      <c r="E44" s="23" t="n"/>
      <c r="F44" s="24" t="n"/>
      <c r="G44" s="14" t="n"/>
      <c r="H44" s="14" t="n"/>
      <c r="I44" s="23" t="n"/>
      <c r="J44" s="24" t="n"/>
      <c r="K44" s="23" t="n"/>
      <c r="L44" s="25">
        <f>IF(OR(E44="",N(U44)=0),"",U44-SUMIFS(Q$18:Q44,E$18:E44,E44))</f>
        <v/>
      </c>
      <c r="M44" s="26">
        <f>IF(OR(N(J44)=0,K44="Cancelled"),"",IF(AND(N(J44)&gt;5000,P44&lt;&gt;"G"),"Yes: ₹1","No"))</f>
        <v/>
      </c>
      <c r="N44" s="27">
        <f>IF(AND(B44="",D44="",N(J44)=0),"",IF(B44="","Enter the date",IF(AND(ROW()&gt;18,B43=""),"Use the next empty row: a skipped row leaves a gap in the receipt numbers",IF(D44="","Enter who paid",IF(N(J44)=0,"Enter the amount",IF(G44="","Pick what the money was for",IF(P44="?","Pick what it was for from the list",IF(H44="","Pick how it was paid",IF(K44="Cancelled","Cancelled: keep this number unused and give a fresh receipt",IF(AND(H44&lt;&gt;"Cash",I44=""),"Enter the cheque no., UTR or UPI reference",IF(AND(L44&lt;&gt;"",N(L44)&lt;0),"More than the balance due on this invoice",IF(S44&gt;=200000,"₹2,00,000 or more in cash from this person today: barred, s.186",IF(T44&gt;=200000,"₹2,00,000 or more in cash against this invoice: barred, s.186",IF(AND(P44="T",H44="Cash",N(J44)&gt;=20000),"Loan of ₹20,000 or more in cash: barred, s.185",IF(AND(P44="D",H44="Cash",N(J44)&gt;=20000),"Cash deposit of ₹20,000 or more: ask your accountant whether s.185 applies",IF(AND(OR(P44="AG",P44="AS"),$E$9&lt;&gt;""),"Advance: also give a GST receipt voucher, s.31(3)(d) and Rule 50","OK"))))))))))))))))</f>
        <v/>
      </c>
      <c r="P44">
        <f>IF(G44="","",IFERROR(VLOOKUP(G44,Lists!$A$2:$B$9,2,FALSE),"?"))</f>
        <v/>
      </c>
      <c r="Q44">
        <f>IF(K44="Cancelled",0,N(J44))</f>
        <v/>
      </c>
      <c r="R44">
        <f>IF(OR(H44&lt;&gt;"Cash",P44="T",P44="D"),0,Q44)</f>
        <v/>
      </c>
      <c r="S44">
        <f>IF(R44=0,0,SUMIFS($R$18:$R$317,$B$18:$B$317,B44,$D$18:$D$317,D44))</f>
        <v/>
      </c>
      <c r="T44">
        <f>IF(OR(R44=0,E44=""),0,SUMIFS($R$18:$R$317,$E$18:$E$317,E44))</f>
        <v/>
      </c>
      <c r="U44">
        <f>IF(E44="","",IF(N(F44)&gt;0,F44,IFERROR(INDEX($F$18:$F$317,MATCH(E44,$E$18:$E$317,0)),"")))</f>
        <v/>
      </c>
      <c r="V44">
        <f>IF(OR(N44="",N44="OK",K44="Cancelled"),0,1)</f>
        <v/>
      </c>
    </row>
    <row r="45">
      <c r="B45" s="21" t="n"/>
      <c r="C45" s="22">
        <f>IF(B45="","",$E$10&amp;TEXT(N($E$11)+27,"000"))</f>
        <v/>
      </c>
      <c r="D45" s="14" t="n"/>
      <c r="E45" s="23" t="n"/>
      <c r="F45" s="24" t="n"/>
      <c r="G45" s="14" t="n"/>
      <c r="H45" s="14" t="n"/>
      <c r="I45" s="23" t="n"/>
      <c r="J45" s="24" t="n"/>
      <c r="K45" s="23" t="n"/>
      <c r="L45" s="25">
        <f>IF(OR(E45="",N(U45)=0),"",U45-SUMIFS(Q$18:Q45,E$18:E45,E45))</f>
        <v/>
      </c>
      <c r="M45" s="26">
        <f>IF(OR(N(J45)=0,K45="Cancelled"),"",IF(AND(N(J45)&gt;5000,P45&lt;&gt;"G"),"Yes: ₹1","No"))</f>
        <v/>
      </c>
      <c r="N45" s="27">
        <f>IF(AND(B45="",D45="",N(J45)=0),"",IF(B45="","Enter the date",IF(AND(ROW()&gt;18,B44=""),"Use the next empty row: a skipped row leaves a gap in the receipt numbers",IF(D45="","Enter who paid",IF(N(J45)=0,"Enter the amount",IF(G45="","Pick what the money was for",IF(P45="?","Pick what it was for from the list",IF(H45="","Pick how it was paid",IF(K45="Cancelled","Cancelled: keep this number unused and give a fresh receipt",IF(AND(H45&lt;&gt;"Cash",I45=""),"Enter the cheque no., UTR or UPI reference",IF(AND(L45&lt;&gt;"",N(L45)&lt;0),"More than the balance due on this invoice",IF(S45&gt;=200000,"₹2,00,000 or more in cash from this person today: barred, s.186",IF(T45&gt;=200000,"₹2,00,000 or more in cash against this invoice: barred, s.186",IF(AND(P45="T",H45="Cash",N(J45)&gt;=20000),"Loan of ₹20,000 or more in cash: barred, s.185",IF(AND(P45="D",H45="Cash",N(J45)&gt;=20000),"Cash deposit of ₹20,000 or more: ask your accountant whether s.185 applies",IF(AND(OR(P45="AG",P45="AS"),$E$9&lt;&gt;""),"Advance: also give a GST receipt voucher, s.31(3)(d) and Rule 50","OK"))))))))))))))))</f>
        <v/>
      </c>
      <c r="P45">
        <f>IF(G45="","",IFERROR(VLOOKUP(G45,Lists!$A$2:$B$9,2,FALSE),"?"))</f>
        <v/>
      </c>
      <c r="Q45">
        <f>IF(K45="Cancelled",0,N(J45))</f>
        <v/>
      </c>
      <c r="R45">
        <f>IF(OR(H45&lt;&gt;"Cash",P45="T",P45="D"),0,Q45)</f>
        <v/>
      </c>
      <c r="S45">
        <f>IF(R45=0,0,SUMIFS($R$18:$R$317,$B$18:$B$317,B45,$D$18:$D$317,D45))</f>
        <v/>
      </c>
      <c r="T45">
        <f>IF(OR(R45=0,E45=""),0,SUMIFS($R$18:$R$317,$E$18:$E$317,E45))</f>
        <v/>
      </c>
      <c r="U45">
        <f>IF(E45="","",IF(N(F45)&gt;0,F45,IFERROR(INDEX($F$18:$F$317,MATCH(E45,$E$18:$E$317,0)),"")))</f>
        <v/>
      </c>
      <c r="V45">
        <f>IF(OR(N45="",N45="OK",K45="Cancelled"),0,1)</f>
        <v/>
      </c>
    </row>
    <row r="46">
      <c r="B46" s="21" t="n"/>
      <c r="C46" s="22">
        <f>IF(B46="","",$E$10&amp;TEXT(N($E$11)+28,"000"))</f>
        <v/>
      </c>
      <c r="D46" s="14" t="n"/>
      <c r="E46" s="23" t="n"/>
      <c r="F46" s="24" t="n"/>
      <c r="G46" s="14" t="n"/>
      <c r="H46" s="14" t="n"/>
      <c r="I46" s="23" t="n"/>
      <c r="J46" s="24" t="n"/>
      <c r="K46" s="23" t="n"/>
      <c r="L46" s="25">
        <f>IF(OR(E46="",N(U46)=0),"",U46-SUMIFS(Q$18:Q46,E$18:E46,E46))</f>
        <v/>
      </c>
      <c r="M46" s="26">
        <f>IF(OR(N(J46)=0,K46="Cancelled"),"",IF(AND(N(J46)&gt;5000,P46&lt;&gt;"G"),"Yes: ₹1","No"))</f>
        <v/>
      </c>
      <c r="N46" s="27">
        <f>IF(AND(B46="",D46="",N(J46)=0),"",IF(B46="","Enter the date",IF(AND(ROW()&gt;18,B45=""),"Use the next empty row: a skipped row leaves a gap in the receipt numbers",IF(D46="","Enter who paid",IF(N(J46)=0,"Enter the amount",IF(G46="","Pick what the money was for",IF(P46="?","Pick what it was for from the list",IF(H46="","Pick how it was paid",IF(K46="Cancelled","Cancelled: keep this number unused and give a fresh receipt",IF(AND(H46&lt;&gt;"Cash",I46=""),"Enter the cheque no., UTR or UPI reference",IF(AND(L46&lt;&gt;"",N(L46)&lt;0),"More than the balance due on this invoice",IF(S46&gt;=200000,"₹2,00,000 or more in cash from this person today: barred, s.186",IF(T46&gt;=200000,"₹2,00,000 or more in cash against this invoice: barred, s.186",IF(AND(P46="T",H46="Cash",N(J46)&gt;=20000),"Loan of ₹20,000 or more in cash: barred, s.185",IF(AND(P46="D",H46="Cash",N(J46)&gt;=20000),"Cash deposit of ₹20,000 or more: ask your accountant whether s.185 applies",IF(AND(OR(P46="AG",P46="AS"),$E$9&lt;&gt;""),"Advance: also give a GST receipt voucher, s.31(3)(d) and Rule 50","OK"))))))))))))))))</f>
        <v/>
      </c>
      <c r="P46">
        <f>IF(G46="","",IFERROR(VLOOKUP(G46,Lists!$A$2:$B$9,2,FALSE),"?"))</f>
        <v/>
      </c>
      <c r="Q46">
        <f>IF(K46="Cancelled",0,N(J46))</f>
        <v/>
      </c>
      <c r="R46">
        <f>IF(OR(H46&lt;&gt;"Cash",P46="T",P46="D"),0,Q46)</f>
        <v/>
      </c>
      <c r="S46">
        <f>IF(R46=0,0,SUMIFS($R$18:$R$317,$B$18:$B$317,B46,$D$18:$D$317,D46))</f>
        <v/>
      </c>
      <c r="T46">
        <f>IF(OR(R46=0,E46=""),0,SUMIFS($R$18:$R$317,$E$18:$E$317,E46))</f>
        <v/>
      </c>
      <c r="U46">
        <f>IF(E46="","",IF(N(F46)&gt;0,F46,IFERROR(INDEX($F$18:$F$317,MATCH(E46,$E$18:$E$317,0)),"")))</f>
        <v/>
      </c>
      <c r="V46">
        <f>IF(OR(N46="",N46="OK",K46="Cancelled"),0,1)</f>
        <v/>
      </c>
    </row>
    <row r="47">
      <c r="B47" s="21" t="n"/>
      <c r="C47" s="22">
        <f>IF(B47="","",$E$10&amp;TEXT(N($E$11)+29,"000"))</f>
        <v/>
      </c>
      <c r="D47" s="14" t="n"/>
      <c r="E47" s="23" t="n"/>
      <c r="F47" s="24" t="n"/>
      <c r="G47" s="14" t="n"/>
      <c r="H47" s="14" t="n"/>
      <c r="I47" s="23" t="n"/>
      <c r="J47" s="24" t="n"/>
      <c r="K47" s="23" t="n"/>
      <c r="L47" s="25">
        <f>IF(OR(E47="",N(U47)=0),"",U47-SUMIFS(Q$18:Q47,E$18:E47,E47))</f>
        <v/>
      </c>
      <c r="M47" s="26">
        <f>IF(OR(N(J47)=0,K47="Cancelled"),"",IF(AND(N(J47)&gt;5000,P47&lt;&gt;"G"),"Yes: ₹1","No"))</f>
        <v/>
      </c>
      <c r="N47" s="27">
        <f>IF(AND(B47="",D47="",N(J47)=0),"",IF(B47="","Enter the date",IF(AND(ROW()&gt;18,B46=""),"Use the next empty row: a skipped row leaves a gap in the receipt numbers",IF(D47="","Enter who paid",IF(N(J47)=0,"Enter the amount",IF(G47="","Pick what the money was for",IF(P47="?","Pick what it was for from the list",IF(H47="","Pick how it was paid",IF(K47="Cancelled","Cancelled: keep this number unused and give a fresh receipt",IF(AND(H47&lt;&gt;"Cash",I47=""),"Enter the cheque no., UTR or UPI reference",IF(AND(L47&lt;&gt;"",N(L47)&lt;0),"More than the balance due on this invoice",IF(S47&gt;=200000,"₹2,00,000 or more in cash from this person today: barred, s.186",IF(T47&gt;=200000,"₹2,00,000 or more in cash against this invoice: barred, s.186",IF(AND(P47="T",H47="Cash",N(J47)&gt;=20000),"Loan of ₹20,000 or more in cash: barred, s.185",IF(AND(P47="D",H47="Cash",N(J47)&gt;=20000),"Cash deposit of ₹20,000 or more: ask your accountant whether s.185 applies",IF(AND(OR(P47="AG",P47="AS"),$E$9&lt;&gt;""),"Advance: also give a GST receipt voucher, s.31(3)(d) and Rule 50","OK"))))))))))))))))</f>
        <v/>
      </c>
      <c r="P47">
        <f>IF(G47="","",IFERROR(VLOOKUP(G47,Lists!$A$2:$B$9,2,FALSE),"?"))</f>
        <v/>
      </c>
      <c r="Q47">
        <f>IF(K47="Cancelled",0,N(J47))</f>
        <v/>
      </c>
      <c r="R47">
        <f>IF(OR(H47&lt;&gt;"Cash",P47="T",P47="D"),0,Q47)</f>
        <v/>
      </c>
      <c r="S47">
        <f>IF(R47=0,0,SUMIFS($R$18:$R$317,$B$18:$B$317,B47,$D$18:$D$317,D47))</f>
        <v/>
      </c>
      <c r="T47">
        <f>IF(OR(R47=0,E47=""),0,SUMIFS($R$18:$R$317,$E$18:$E$317,E47))</f>
        <v/>
      </c>
      <c r="U47">
        <f>IF(E47="","",IF(N(F47)&gt;0,F47,IFERROR(INDEX($F$18:$F$317,MATCH(E47,$E$18:$E$317,0)),"")))</f>
        <v/>
      </c>
      <c r="V47">
        <f>IF(OR(N47="",N47="OK",K47="Cancelled"),0,1)</f>
        <v/>
      </c>
    </row>
    <row r="48">
      <c r="B48" s="21" t="n"/>
      <c r="C48" s="22">
        <f>IF(B48="","",$E$10&amp;TEXT(N($E$11)+30,"000"))</f>
        <v/>
      </c>
      <c r="D48" s="14" t="n"/>
      <c r="E48" s="23" t="n"/>
      <c r="F48" s="24" t="n"/>
      <c r="G48" s="14" t="n"/>
      <c r="H48" s="14" t="n"/>
      <c r="I48" s="23" t="n"/>
      <c r="J48" s="24" t="n"/>
      <c r="K48" s="23" t="n"/>
      <c r="L48" s="25">
        <f>IF(OR(E48="",N(U48)=0),"",U48-SUMIFS(Q$18:Q48,E$18:E48,E48))</f>
        <v/>
      </c>
      <c r="M48" s="26">
        <f>IF(OR(N(J48)=0,K48="Cancelled"),"",IF(AND(N(J48)&gt;5000,P48&lt;&gt;"G"),"Yes: ₹1","No"))</f>
        <v/>
      </c>
      <c r="N48" s="27">
        <f>IF(AND(B48="",D48="",N(J48)=0),"",IF(B48="","Enter the date",IF(AND(ROW()&gt;18,B47=""),"Use the next empty row: a skipped row leaves a gap in the receipt numbers",IF(D48="","Enter who paid",IF(N(J48)=0,"Enter the amount",IF(G48="","Pick what the money was for",IF(P48="?","Pick what it was for from the list",IF(H48="","Pick how it was paid",IF(K48="Cancelled","Cancelled: keep this number unused and give a fresh receipt",IF(AND(H48&lt;&gt;"Cash",I48=""),"Enter the cheque no., UTR or UPI reference",IF(AND(L48&lt;&gt;"",N(L48)&lt;0),"More than the balance due on this invoice",IF(S48&gt;=200000,"₹2,00,000 or more in cash from this person today: barred, s.186",IF(T48&gt;=200000,"₹2,00,000 or more in cash against this invoice: barred, s.186",IF(AND(P48="T",H48="Cash",N(J48)&gt;=20000),"Loan of ₹20,000 or more in cash: barred, s.185",IF(AND(P48="D",H48="Cash",N(J48)&gt;=20000),"Cash deposit of ₹20,000 or more: ask your accountant whether s.185 applies",IF(AND(OR(P48="AG",P48="AS"),$E$9&lt;&gt;""),"Advance: also give a GST receipt voucher, s.31(3)(d) and Rule 50","OK"))))))))))))))))</f>
        <v/>
      </c>
      <c r="P48">
        <f>IF(G48="","",IFERROR(VLOOKUP(G48,Lists!$A$2:$B$9,2,FALSE),"?"))</f>
        <v/>
      </c>
      <c r="Q48">
        <f>IF(K48="Cancelled",0,N(J48))</f>
        <v/>
      </c>
      <c r="R48">
        <f>IF(OR(H48&lt;&gt;"Cash",P48="T",P48="D"),0,Q48)</f>
        <v/>
      </c>
      <c r="S48">
        <f>IF(R48=0,0,SUMIFS($R$18:$R$317,$B$18:$B$317,B48,$D$18:$D$317,D48))</f>
        <v/>
      </c>
      <c r="T48">
        <f>IF(OR(R48=0,E48=""),0,SUMIFS($R$18:$R$317,$E$18:$E$317,E48))</f>
        <v/>
      </c>
      <c r="U48">
        <f>IF(E48="","",IF(N(F48)&gt;0,F48,IFERROR(INDEX($F$18:$F$317,MATCH(E48,$E$18:$E$317,0)),"")))</f>
        <v/>
      </c>
      <c r="V48">
        <f>IF(OR(N48="",N48="OK",K48="Cancelled"),0,1)</f>
        <v/>
      </c>
    </row>
    <row r="49">
      <c r="B49" s="21" t="n"/>
      <c r="C49" s="22">
        <f>IF(B49="","",$E$10&amp;TEXT(N($E$11)+31,"000"))</f>
        <v/>
      </c>
      <c r="D49" s="14" t="n"/>
      <c r="E49" s="23" t="n"/>
      <c r="F49" s="24" t="n"/>
      <c r="G49" s="14" t="n"/>
      <c r="H49" s="14" t="n"/>
      <c r="I49" s="23" t="n"/>
      <c r="J49" s="24" t="n"/>
      <c r="K49" s="23" t="n"/>
      <c r="L49" s="25">
        <f>IF(OR(E49="",N(U49)=0),"",U49-SUMIFS(Q$18:Q49,E$18:E49,E49))</f>
        <v/>
      </c>
      <c r="M49" s="26">
        <f>IF(OR(N(J49)=0,K49="Cancelled"),"",IF(AND(N(J49)&gt;5000,P49&lt;&gt;"G"),"Yes: ₹1","No"))</f>
        <v/>
      </c>
      <c r="N49" s="27">
        <f>IF(AND(B49="",D49="",N(J49)=0),"",IF(B49="","Enter the date",IF(AND(ROW()&gt;18,B48=""),"Use the next empty row: a skipped row leaves a gap in the receipt numbers",IF(D49="","Enter who paid",IF(N(J49)=0,"Enter the amount",IF(G49="","Pick what the money was for",IF(P49="?","Pick what it was for from the list",IF(H49="","Pick how it was paid",IF(K49="Cancelled","Cancelled: keep this number unused and give a fresh receipt",IF(AND(H49&lt;&gt;"Cash",I49=""),"Enter the cheque no., UTR or UPI reference",IF(AND(L49&lt;&gt;"",N(L49)&lt;0),"More than the balance due on this invoice",IF(S49&gt;=200000,"₹2,00,000 or more in cash from this person today: barred, s.186",IF(T49&gt;=200000,"₹2,00,000 or more in cash against this invoice: barred, s.186",IF(AND(P49="T",H49="Cash",N(J49)&gt;=20000),"Loan of ₹20,000 or more in cash: barred, s.185",IF(AND(P49="D",H49="Cash",N(J49)&gt;=20000),"Cash deposit of ₹20,000 or more: ask your accountant whether s.185 applies",IF(AND(OR(P49="AG",P49="AS"),$E$9&lt;&gt;""),"Advance: also give a GST receipt voucher, s.31(3)(d) and Rule 50","OK"))))))))))))))))</f>
        <v/>
      </c>
      <c r="P49">
        <f>IF(G49="","",IFERROR(VLOOKUP(G49,Lists!$A$2:$B$9,2,FALSE),"?"))</f>
        <v/>
      </c>
      <c r="Q49">
        <f>IF(K49="Cancelled",0,N(J49))</f>
        <v/>
      </c>
      <c r="R49">
        <f>IF(OR(H49&lt;&gt;"Cash",P49="T",P49="D"),0,Q49)</f>
        <v/>
      </c>
      <c r="S49">
        <f>IF(R49=0,0,SUMIFS($R$18:$R$317,$B$18:$B$317,B49,$D$18:$D$317,D49))</f>
        <v/>
      </c>
      <c r="T49">
        <f>IF(OR(R49=0,E49=""),0,SUMIFS($R$18:$R$317,$E$18:$E$317,E49))</f>
        <v/>
      </c>
      <c r="U49">
        <f>IF(E49="","",IF(N(F49)&gt;0,F49,IFERROR(INDEX($F$18:$F$317,MATCH(E49,$E$18:$E$317,0)),"")))</f>
        <v/>
      </c>
      <c r="V49">
        <f>IF(OR(N49="",N49="OK",K49="Cancelled"),0,1)</f>
        <v/>
      </c>
    </row>
    <row r="50">
      <c r="B50" s="21" t="n"/>
      <c r="C50" s="22">
        <f>IF(B50="","",$E$10&amp;TEXT(N($E$11)+32,"000"))</f>
        <v/>
      </c>
      <c r="D50" s="14" t="n"/>
      <c r="E50" s="23" t="n"/>
      <c r="F50" s="24" t="n"/>
      <c r="G50" s="14" t="n"/>
      <c r="H50" s="14" t="n"/>
      <c r="I50" s="23" t="n"/>
      <c r="J50" s="24" t="n"/>
      <c r="K50" s="23" t="n"/>
      <c r="L50" s="25">
        <f>IF(OR(E50="",N(U50)=0),"",U50-SUMIFS(Q$18:Q50,E$18:E50,E50))</f>
        <v/>
      </c>
      <c r="M50" s="26">
        <f>IF(OR(N(J50)=0,K50="Cancelled"),"",IF(AND(N(J50)&gt;5000,P50&lt;&gt;"G"),"Yes: ₹1","No"))</f>
        <v/>
      </c>
      <c r="N50" s="27">
        <f>IF(AND(B50="",D50="",N(J50)=0),"",IF(B50="","Enter the date",IF(AND(ROW()&gt;18,B49=""),"Use the next empty row: a skipped row leaves a gap in the receipt numbers",IF(D50="","Enter who paid",IF(N(J50)=0,"Enter the amount",IF(G50="","Pick what the money was for",IF(P50="?","Pick what it was for from the list",IF(H50="","Pick how it was paid",IF(K50="Cancelled","Cancelled: keep this number unused and give a fresh receipt",IF(AND(H50&lt;&gt;"Cash",I50=""),"Enter the cheque no., UTR or UPI reference",IF(AND(L50&lt;&gt;"",N(L50)&lt;0),"More than the balance due on this invoice",IF(S50&gt;=200000,"₹2,00,000 or more in cash from this person today: barred, s.186",IF(T50&gt;=200000,"₹2,00,000 or more in cash against this invoice: barred, s.186",IF(AND(P50="T",H50="Cash",N(J50)&gt;=20000),"Loan of ₹20,000 or more in cash: barred, s.185",IF(AND(P50="D",H50="Cash",N(J50)&gt;=20000),"Cash deposit of ₹20,000 or more: ask your accountant whether s.185 applies",IF(AND(OR(P50="AG",P50="AS"),$E$9&lt;&gt;""),"Advance: also give a GST receipt voucher, s.31(3)(d) and Rule 50","OK"))))))))))))))))</f>
        <v/>
      </c>
      <c r="P50">
        <f>IF(G50="","",IFERROR(VLOOKUP(G50,Lists!$A$2:$B$9,2,FALSE),"?"))</f>
        <v/>
      </c>
      <c r="Q50">
        <f>IF(K50="Cancelled",0,N(J50))</f>
        <v/>
      </c>
      <c r="R50">
        <f>IF(OR(H50&lt;&gt;"Cash",P50="T",P50="D"),0,Q50)</f>
        <v/>
      </c>
      <c r="S50">
        <f>IF(R50=0,0,SUMIFS($R$18:$R$317,$B$18:$B$317,B50,$D$18:$D$317,D50))</f>
        <v/>
      </c>
      <c r="T50">
        <f>IF(OR(R50=0,E50=""),0,SUMIFS($R$18:$R$317,$E$18:$E$317,E50))</f>
        <v/>
      </c>
      <c r="U50">
        <f>IF(E50="","",IF(N(F50)&gt;0,F50,IFERROR(INDEX($F$18:$F$317,MATCH(E50,$E$18:$E$317,0)),"")))</f>
        <v/>
      </c>
      <c r="V50">
        <f>IF(OR(N50="",N50="OK",K50="Cancelled"),0,1)</f>
        <v/>
      </c>
    </row>
    <row r="51">
      <c r="B51" s="21" t="n"/>
      <c r="C51" s="22">
        <f>IF(B51="","",$E$10&amp;TEXT(N($E$11)+33,"000"))</f>
        <v/>
      </c>
      <c r="D51" s="14" t="n"/>
      <c r="E51" s="23" t="n"/>
      <c r="F51" s="24" t="n"/>
      <c r="G51" s="14" t="n"/>
      <c r="H51" s="14" t="n"/>
      <c r="I51" s="23" t="n"/>
      <c r="J51" s="24" t="n"/>
      <c r="K51" s="23" t="n"/>
      <c r="L51" s="25">
        <f>IF(OR(E51="",N(U51)=0),"",U51-SUMIFS(Q$18:Q51,E$18:E51,E51))</f>
        <v/>
      </c>
      <c r="M51" s="26">
        <f>IF(OR(N(J51)=0,K51="Cancelled"),"",IF(AND(N(J51)&gt;5000,P51&lt;&gt;"G"),"Yes: ₹1","No"))</f>
        <v/>
      </c>
      <c r="N51" s="27">
        <f>IF(AND(B51="",D51="",N(J51)=0),"",IF(B51="","Enter the date",IF(AND(ROW()&gt;18,B50=""),"Use the next empty row: a skipped row leaves a gap in the receipt numbers",IF(D51="","Enter who paid",IF(N(J51)=0,"Enter the amount",IF(G51="","Pick what the money was for",IF(P51="?","Pick what it was for from the list",IF(H51="","Pick how it was paid",IF(K51="Cancelled","Cancelled: keep this number unused and give a fresh receipt",IF(AND(H51&lt;&gt;"Cash",I51=""),"Enter the cheque no., UTR or UPI reference",IF(AND(L51&lt;&gt;"",N(L51)&lt;0),"More than the balance due on this invoice",IF(S51&gt;=200000,"₹2,00,000 or more in cash from this person today: barred, s.186",IF(T51&gt;=200000,"₹2,00,000 or more in cash against this invoice: barred, s.186",IF(AND(P51="T",H51="Cash",N(J51)&gt;=20000),"Loan of ₹20,000 or more in cash: barred, s.185",IF(AND(P51="D",H51="Cash",N(J51)&gt;=20000),"Cash deposit of ₹20,000 or more: ask your accountant whether s.185 applies",IF(AND(OR(P51="AG",P51="AS"),$E$9&lt;&gt;""),"Advance: also give a GST receipt voucher, s.31(3)(d) and Rule 50","OK"))))))))))))))))</f>
        <v/>
      </c>
      <c r="P51">
        <f>IF(G51="","",IFERROR(VLOOKUP(G51,Lists!$A$2:$B$9,2,FALSE),"?"))</f>
        <v/>
      </c>
      <c r="Q51">
        <f>IF(K51="Cancelled",0,N(J51))</f>
        <v/>
      </c>
      <c r="R51">
        <f>IF(OR(H51&lt;&gt;"Cash",P51="T",P51="D"),0,Q51)</f>
        <v/>
      </c>
      <c r="S51">
        <f>IF(R51=0,0,SUMIFS($R$18:$R$317,$B$18:$B$317,B51,$D$18:$D$317,D51))</f>
        <v/>
      </c>
      <c r="T51">
        <f>IF(OR(R51=0,E51=""),0,SUMIFS($R$18:$R$317,$E$18:$E$317,E51))</f>
        <v/>
      </c>
      <c r="U51">
        <f>IF(E51="","",IF(N(F51)&gt;0,F51,IFERROR(INDEX($F$18:$F$317,MATCH(E51,$E$18:$E$317,0)),"")))</f>
        <v/>
      </c>
      <c r="V51">
        <f>IF(OR(N51="",N51="OK",K51="Cancelled"),0,1)</f>
        <v/>
      </c>
    </row>
    <row r="52">
      <c r="B52" s="21" t="n"/>
      <c r="C52" s="22">
        <f>IF(B52="","",$E$10&amp;TEXT(N($E$11)+34,"000"))</f>
        <v/>
      </c>
      <c r="D52" s="14" t="n"/>
      <c r="E52" s="23" t="n"/>
      <c r="F52" s="24" t="n"/>
      <c r="G52" s="14" t="n"/>
      <c r="H52" s="14" t="n"/>
      <c r="I52" s="23" t="n"/>
      <c r="J52" s="24" t="n"/>
      <c r="K52" s="23" t="n"/>
      <c r="L52" s="25">
        <f>IF(OR(E52="",N(U52)=0),"",U52-SUMIFS(Q$18:Q52,E$18:E52,E52))</f>
        <v/>
      </c>
      <c r="M52" s="26">
        <f>IF(OR(N(J52)=0,K52="Cancelled"),"",IF(AND(N(J52)&gt;5000,P52&lt;&gt;"G"),"Yes: ₹1","No"))</f>
        <v/>
      </c>
      <c r="N52" s="27">
        <f>IF(AND(B52="",D52="",N(J52)=0),"",IF(B52="","Enter the date",IF(AND(ROW()&gt;18,B51=""),"Use the next empty row: a skipped row leaves a gap in the receipt numbers",IF(D52="","Enter who paid",IF(N(J52)=0,"Enter the amount",IF(G52="","Pick what the money was for",IF(P52="?","Pick what it was for from the list",IF(H52="","Pick how it was paid",IF(K52="Cancelled","Cancelled: keep this number unused and give a fresh receipt",IF(AND(H52&lt;&gt;"Cash",I52=""),"Enter the cheque no., UTR or UPI reference",IF(AND(L52&lt;&gt;"",N(L52)&lt;0),"More than the balance due on this invoice",IF(S52&gt;=200000,"₹2,00,000 or more in cash from this person today: barred, s.186",IF(T52&gt;=200000,"₹2,00,000 or more in cash against this invoice: barred, s.186",IF(AND(P52="T",H52="Cash",N(J52)&gt;=20000),"Loan of ₹20,000 or more in cash: barred, s.185",IF(AND(P52="D",H52="Cash",N(J52)&gt;=20000),"Cash deposit of ₹20,000 or more: ask your accountant whether s.185 applies",IF(AND(OR(P52="AG",P52="AS"),$E$9&lt;&gt;""),"Advance: also give a GST receipt voucher, s.31(3)(d) and Rule 50","OK"))))))))))))))))</f>
        <v/>
      </c>
      <c r="P52">
        <f>IF(G52="","",IFERROR(VLOOKUP(G52,Lists!$A$2:$B$9,2,FALSE),"?"))</f>
        <v/>
      </c>
      <c r="Q52">
        <f>IF(K52="Cancelled",0,N(J52))</f>
        <v/>
      </c>
      <c r="R52">
        <f>IF(OR(H52&lt;&gt;"Cash",P52="T",P52="D"),0,Q52)</f>
        <v/>
      </c>
      <c r="S52">
        <f>IF(R52=0,0,SUMIFS($R$18:$R$317,$B$18:$B$317,B52,$D$18:$D$317,D52))</f>
        <v/>
      </c>
      <c r="T52">
        <f>IF(OR(R52=0,E52=""),0,SUMIFS($R$18:$R$317,$E$18:$E$317,E52))</f>
        <v/>
      </c>
      <c r="U52">
        <f>IF(E52="","",IF(N(F52)&gt;0,F52,IFERROR(INDEX($F$18:$F$317,MATCH(E52,$E$18:$E$317,0)),"")))</f>
        <v/>
      </c>
      <c r="V52">
        <f>IF(OR(N52="",N52="OK",K52="Cancelled"),0,1)</f>
        <v/>
      </c>
    </row>
    <row r="53">
      <c r="B53" s="21" t="n"/>
      <c r="C53" s="22">
        <f>IF(B53="","",$E$10&amp;TEXT(N($E$11)+35,"000"))</f>
        <v/>
      </c>
      <c r="D53" s="14" t="n"/>
      <c r="E53" s="23" t="n"/>
      <c r="F53" s="24" t="n"/>
      <c r="G53" s="14" t="n"/>
      <c r="H53" s="14" t="n"/>
      <c r="I53" s="23" t="n"/>
      <c r="J53" s="24" t="n"/>
      <c r="K53" s="23" t="n"/>
      <c r="L53" s="25">
        <f>IF(OR(E53="",N(U53)=0),"",U53-SUMIFS(Q$18:Q53,E$18:E53,E53))</f>
        <v/>
      </c>
      <c r="M53" s="26">
        <f>IF(OR(N(J53)=0,K53="Cancelled"),"",IF(AND(N(J53)&gt;5000,P53&lt;&gt;"G"),"Yes: ₹1","No"))</f>
        <v/>
      </c>
      <c r="N53" s="27">
        <f>IF(AND(B53="",D53="",N(J53)=0),"",IF(B53="","Enter the date",IF(AND(ROW()&gt;18,B52=""),"Use the next empty row: a skipped row leaves a gap in the receipt numbers",IF(D53="","Enter who paid",IF(N(J53)=0,"Enter the amount",IF(G53="","Pick what the money was for",IF(P53="?","Pick what it was for from the list",IF(H53="","Pick how it was paid",IF(K53="Cancelled","Cancelled: keep this number unused and give a fresh receipt",IF(AND(H53&lt;&gt;"Cash",I53=""),"Enter the cheque no., UTR or UPI reference",IF(AND(L53&lt;&gt;"",N(L53)&lt;0),"More than the balance due on this invoice",IF(S53&gt;=200000,"₹2,00,000 or more in cash from this person today: barred, s.186",IF(T53&gt;=200000,"₹2,00,000 or more in cash against this invoice: barred, s.186",IF(AND(P53="T",H53="Cash",N(J53)&gt;=20000),"Loan of ₹20,000 or more in cash: barred, s.185",IF(AND(P53="D",H53="Cash",N(J53)&gt;=20000),"Cash deposit of ₹20,000 or more: ask your accountant whether s.185 applies",IF(AND(OR(P53="AG",P53="AS"),$E$9&lt;&gt;""),"Advance: also give a GST receipt voucher, s.31(3)(d) and Rule 50","OK"))))))))))))))))</f>
        <v/>
      </c>
      <c r="P53">
        <f>IF(G53="","",IFERROR(VLOOKUP(G53,Lists!$A$2:$B$9,2,FALSE),"?"))</f>
        <v/>
      </c>
      <c r="Q53">
        <f>IF(K53="Cancelled",0,N(J53))</f>
        <v/>
      </c>
      <c r="R53">
        <f>IF(OR(H53&lt;&gt;"Cash",P53="T",P53="D"),0,Q53)</f>
        <v/>
      </c>
      <c r="S53">
        <f>IF(R53=0,0,SUMIFS($R$18:$R$317,$B$18:$B$317,B53,$D$18:$D$317,D53))</f>
        <v/>
      </c>
      <c r="T53">
        <f>IF(OR(R53=0,E53=""),0,SUMIFS($R$18:$R$317,$E$18:$E$317,E53))</f>
        <v/>
      </c>
      <c r="U53">
        <f>IF(E53="","",IF(N(F53)&gt;0,F53,IFERROR(INDEX($F$18:$F$317,MATCH(E53,$E$18:$E$317,0)),"")))</f>
        <v/>
      </c>
      <c r="V53">
        <f>IF(OR(N53="",N53="OK",K53="Cancelled"),0,1)</f>
        <v/>
      </c>
    </row>
    <row r="54">
      <c r="B54" s="21" t="n"/>
      <c r="C54" s="22">
        <f>IF(B54="","",$E$10&amp;TEXT(N($E$11)+36,"000"))</f>
        <v/>
      </c>
      <c r="D54" s="14" t="n"/>
      <c r="E54" s="23" t="n"/>
      <c r="F54" s="24" t="n"/>
      <c r="G54" s="14" t="n"/>
      <c r="H54" s="14" t="n"/>
      <c r="I54" s="23" t="n"/>
      <c r="J54" s="24" t="n"/>
      <c r="K54" s="23" t="n"/>
      <c r="L54" s="25">
        <f>IF(OR(E54="",N(U54)=0),"",U54-SUMIFS(Q$18:Q54,E$18:E54,E54))</f>
        <v/>
      </c>
      <c r="M54" s="26">
        <f>IF(OR(N(J54)=0,K54="Cancelled"),"",IF(AND(N(J54)&gt;5000,P54&lt;&gt;"G"),"Yes: ₹1","No"))</f>
        <v/>
      </c>
      <c r="N54" s="27">
        <f>IF(AND(B54="",D54="",N(J54)=0),"",IF(B54="","Enter the date",IF(AND(ROW()&gt;18,B53=""),"Use the next empty row: a skipped row leaves a gap in the receipt numbers",IF(D54="","Enter who paid",IF(N(J54)=0,"Enter the amount",IF(G54="","Pick what the money was for",IF(P54="?","Pick what it was for from the list",IF(H54="","Pick how it was paid",IF(K54="Cancelled","Cancelled: keep this number unused and give a fresh receipt",IF(AND(H54&lt;&gt;"Cash",I54=""),"Enter the cheque no., UTR or UPI reference",IF(AND(L54&lt;&gt;"",N(L54)&lt;0),"More than the balance due on this invoice",IF(S54&gt;=200000,"₹2,00,000 or more in cash from this person today: barred, s.186",IF(T54&gt;=200000,"₹2,00,000 or more in cash against this invoice: barred, s.186",IF(AND(P54="T",H54="Cash",N(J54)&gt;=20000),"Loan of ₹20,000 or more in cash: barred, s.185",IF(AND(P54="D",H54="Cash",N(J54)&gt;=20000),"Cash deposit of ₹20,000 or more: ask your accountant whether s.185 applies",IF(AND(OR(P54="AG",P54="AS"),$E$9&lt;&gt;""),"Advance: also give a GST receipt voucher, s.31(3)(d) and Rule 50","OK"))))))))))))))))</f>
        <v/>
      </c>
      <c r="P54">
        <f>IF(G54="","",IFERROR(VLOOKUP(G54,Lists!$A$2:$B$9,2,FALSE),"?"))</f>
        <v/>
      </c>
      <c r="Q54">
        <f>IF(K54="Cancelled",0,N(J54))</f>
        <v/>
      </c>
      <c r="R54">
        <f>IF(OR(H54&lt;&gt;"Cash",P54="T",P54="D"),0,Q54)</f>
        <v/>
      </c>
      <c r="S54">
        <f>IF(R54=0,0,SUMIFS($R$18:$R$317,$B$18:$B$317,B54,$D$18:$D$317,D54))</f>
        <v/>
      </c>
      <c r="T54">
        <f>IF(OR(R54=0,E54=""),0,SUMIFS($R$18:$R$317,$E$18:$E$317,E54))</f>
        <v/>
      </c>
      <c r="U54">
        <f>IF(E54="","",IF(N(F54)&gt;0,F54,IFERROR(INDEX($F$18:$F$317,MATCH(E54,$E$18:$E$317,0)),"")))</f>
        <v/>
      </c>
      <c r="V54">
        <f>IF(OR(N54="",N54="OK",K54="Cancelled"),0,1)</f>
        <v/>
      </c>
    </row>
    <row r="55">
      <c r="B55" s="21" t="n"/>
      <c r="C55" s="22">
        <f>IF(B55="","",$E$10&amp;TEXT(N($E$11)+37,"000"))</f>
        <v/>
      </c>
      <c r="D55" s="14" t="n"/>
      <c r="E55" s="23" t="n"/>
      <c r="F55" s="24" t="n"/>
      <c r="G55" s="14" t="n"/>
      <c r="H55" s="14" t="n"/>
      <c r="I55" s="23" t="n"/>
      <c r="J55" s="24" t="n"/>
      <c r="K55" s="23" t="n"/>
      <c r="L55" s="25">
        <f>IF(OR(E55="",N(U55)=0),"",U55-SUMIFS(Q$18:Q55,E$18:E55,E55))</f>
        <v/>
      </c>
      <c r="M55" s="26">
        <f>IF(OR(N(J55)=0,K55="Cancelled"),"",IF(AND(N(J55)&gt;5000,P55&lt;&gt;"G"),"Yes: ₹1","No"))</f>
        <v/>
      </c>
      <c r="N55" s="27">
        <f>IF(AND(B55="",D55="",N(J55)=0),"",IF(B55="","Enter the date",IF(AND(ROW()&gt;18,B54=""),"Use the next empty row: a skipped row leaves a gap in the receipt numbers",IF(D55="","Enter who paid",IF(N(J55)=0,"Enter the amount",IF(G55="","Pick what the money was for",IF(P55="?","Pick what it was for from the list",IF(H55="","Pick how it was paid",IF(K55="Cancelled","Cancelled: keep this number unused and give a fresh receipt",IF(AND(H55&lt;&gt;"Cash",I55=""),"Enter the cheque no., UTR or UPI reference",IF(AND(L55&lt;&gt;"",N(L55)&lt;0),"More than the balance due on this invoice",IF(S55&gt;=200000,"₹2,00,000 or more in cash from this person today: barred, s.186",IF(T55&gt;=200000,"₹2,00,000 or more in cash against this invoice: barred, s.186",IF(AND(P55="T",H55="Cash",N(J55)&gt;=20000),"Loan of ₹20,000 or more in cash: barred, s.185",IF(AND(P55="D",H55="Cash",N(J55)&gt;=20000),"Cash deposit of ₹20,000 or more: ask your accountant whether s.185 applies",IF(AND(OR(P55="AG",P55="AS"),$E$9&lt;&gt;""),"Advance: also give a GST receipt voucher, s.31(3)(d) and Rule 50","OK"))))))))))))))))</f>
        <v/>
      </c>
      <c r="P55">
        <f>IF(G55="","",IFERROR(VLOOKUP(G55,Lists!$A$2:$B$9,2,FALSE),"?"))</f>
        <v/>
      </c>
      <c r="Q55">
        <f>IF(K55="Cancelled",0,N(J55))</f>
        <v/>
      </c>
      <c r="R55">
        <f>IF(OR(H55&lt;&gt;"Cash",P55="T",P55="D"),0,Q55)</f>
        <v/>
      </c>
      <c r="S55">
        <f>IF(R55=0,0,SUMIFS($R$18:$R$317,$B$18:$B$317,B55,$D$18:$D$317,D55))</f>
        <v/>
      </c>
      <c r="T55">
        <f>IF(OR(R55=0,E55=""),0,SUMIFS($R$18:$R$317,$E$18:$E$317,E55))</f>
        <v/>
      </c>
      <c r="U55">
        <f>IF(E55="","",IF(N(F55)&gt;0,F55,IFERROR(INDEX($F$18:$F$317,MATCH(E55,$E$18:$E$317,0)),"")))</f>
        <v/>
      </c>
      <c r="V55">
        <f>IF(OR(N55="",N55="OK",K55="Cancelled"),0,1)</f>
        <v/>
      </c>
    </row>
    <row r="56">
      <c r="B56" s="21" t="n"/>
      <c r="C56" s="22">
        <f>IF(B56="","",$E$10&amp;TEXT(N($E$11)+38,"000"))</f>
        <v/>
      </c>
      <c r="D56" s="14" t="n"/>
      <c r="E56" s="23" t="n"/>
      <c r="F56" s="24" t="n"/>
      <c r="G56" s="14" t="n"/>
      <c r="H56" s="14" t="n"/>
      <c r="I56" s="23" t="n"/>
      <c r="J56" s="24" t="n"/>
      <c r="K56" s="23" t="n"/>
      <c r="L56" s="25">
        <f>IF(OR(E56="",N(U56)=0),"",U56-SUMIFS(Q$18:Q56,E$18:E56,E56))</f>
        <v/>
      </c>
      <c r="M56" s="26">
        <f>IF(OR(N(J56)=0,K56="Cancelled"),"",IF(AND(N(J56)&gt;5000,P56&lt;&gt;"G"),"Yes: ₹1","No"))</f>
        <v/>
      </c>
      <c r="N56" s="27">
        <f>IF(AND(B56="",D56="",N(J56)=0),"",IF(B56="","Enter the date",IF(AND(ROW()&gt;18,B55=""),"Use the next empty row: a skipped row leaves a gap in the receipt numbers",IF(D56="","Enter who paid",IF(N(J56)=0,"Enter the amount",IF(G56="","Pick what the money was for",IF(P56="?","Pick what it was for from the list",IF(H56="","Pick how it was paid",IF(K56="Cancelled","Cancelled: keep this number unused and give a fresh receipt",IF(AND(H56&lt;&gt;"Cash",I56=""),"Enter the cheque no., UTR or UPI reference",IF(AND(L56&lt;&gt;"",N(L56)&lt;0),"More than the balance due on this invoice",IF(S56&gt;=200000,"₹2,00,000 or more in cash from this person today: barred, s.186",IF(T56&gt;=200000,"₹2,00,000 or more in cash against this invoice: barred, s.186",IF(AND(P56="T",H56="Cash",N(J56)&gt;=20000),"Loan of ₹20,000 or more in cash: barred, s.185",IF(AND(P56="D",H56="Cash",N(J56)&gt;=20000),"Cash deposit of ₹20,000 or more: ask your accountant whether s.185 applies",IF(AND(OR(P56="AG",P56="AS"),$E$9&lt;&gt;""),"Advance: also give a GST receipt voucher, s.31(3)(d) and Rule 50","OK"))))))))))))))))</f>
        <v/>
      </c>
      <c r="P56">
        <f>IF(G56="","",IFERROR(VLOOKUP(G56,Lists!$A$2:$B$9,2,FALSE),"?"))</f>
        <v/>
      </c>
      <c r="Q56">
        <f>IF(K56="Cancelled",0,N(J56))</f>
        <v/>
      </c>
      <c r="R56">
        <f>IF(OR(H56&lt;&gt;"Cash",P56="T",P56="D"),0,Q56)</f>
        <v/>
      </c>
      <c r="S56">
        <f>IF(R56=0,0,SUMIFS($R$18:$R$317,$B$18:$B$317,B56,$D$18:$D$317,D56))</f>
        <v/>
      </c>
      <c r="T56">
        <f>IF(OR(R56=0,E56=""),0,SUMIFS($R$18:$R$317,$E$18:$E$317,E56))</f>
        <v/>
      </c>
      <c r="U56">
        <f>IF(E56="","",IF(N(F56)&gt;0,F56,IFERROR(INDEX($F$18:$F$317,MATCH(E56,$E$18:$E$317,0)),"")))</f>
        <v/>
      </c>
      <c r="V56">
        <f>IF(OR(N56="",N56="OK",K56="Cancelled"),0,1)</f>
        <v/>
      </c>
    </row>
    <row r="57">
      <c r="B57" s="21" t="n"/>
      <c r="C57" s="22">
        <f>IF(B57="","",$E$10&amp;TEXT(N($E$11)+39,"000"))</f>
        <v/>
      </c>
      <c r="D57" s="14" t="n"/>
      <c r="E57" s="23" t="n"/>
      <c r="F57" s="24" t="n"/>
      <c r="G57" s="14" t="n"/>
      <c r="H57" s="14" t="n"/>
      <c r="I57" s="23" t="n"/>
      <c r="J57" s="24" t="n"/>
      <c r="K57" s="23" t="n"/>
      <c r="L57" s="25">
        <f>IF(OR(E57="",N(U57)=0),"",U57-SUMIFS(Q$18:Q57,E$18:E57,E57))</f>
        <v/>
      </c>
      <c r="M57" s="26">
        <f>IF(OR(N(J57)=0,K57="Cancelled"),"",IF(AND(N(J57)&gt;5000,P57&lt;&gt;"G"),"Yes: ₹1","No"))</f>
        <v/>
      </c>
      <c r="N57" s="27">
        <f>IF(AND(B57="",D57="",N(J57)=0),"",IF(B57="","Enter the date",IF(AND(ROW()&gt;18,B56=""),"Use the next empty row: a skipped row leaves a gap in the receipt numbers",IF(D57="","Enter who paid",IF(N(J57)=0,"Enter the amount",IF(G57="","Pick what the money was for",IF(P57="?","Pick what it was for from the list",IF(H57="","Pick how it was paid",IF(K57="Cancelled","Cancelled: keep this number unused and give a fresh receipt",IF(AND(H57&lt;&gt;"Cash",I57=""),"Enter the cheque no., UTR or UPI reference",IF(AND(L57&lt;&gt;"",N(L57)&lt;0),"More than the balance due on this invoice",IF(S57&gt;=200000,"₹2,00,000 or more in cash from this person today: barred, s.186",IF(T57&gt;=200000,"₹2,00,000 or more in cash against this invoice: barred, s.186",IF(AND(P57="T",H57="Cash",N(J57)&gt;=20000),"Loan of ₹20,000 or more in cash: barred, s.185",IF(AND(P57="D",H57="Cash",N(J57)&gt;=20000),"Cash deposit of ₹20,000 or more: ask your accountant whether s.185 applies",IF(AND(OR(P57="AG",P57="AS"),$E$9&lt;&gt;""),"Advance: also give a GST receipt voucher, s.31(3)(d) and Rule 50","OK"))))))))))))))))</f>
        <v/>
      </c>
      <c r="P57">
        <f>IF(G57="","",IFERROR(VLOOKUP(G57,Lists!$A$2:$B$9,2,FALSE),"?"))</f>
        <v/>
      </c>
      <c r="Q57">
        <f>IF(K57="Cancelled",0,N(J57))</f>
        <v/>
      </c>
      <c r="R57">
        <f>IF(OR(H57&lt;&gt;"Cash",P57="T",P57="D"),0,Q57)</f>
        <v/>
      </c>
      <c r="S57">
        <f>IF(R57=0,0,SUMIFS($R$18:$R$317,$B$18:$B$317,B57,$D$18:$D$317,D57))</f>
        <v/>
      </c>
      <c r="T57">
        <f>IF(OR(R57=0,E57=""),0,SUMIFS($R$18:$R$317,$E$18:$E$317,E57))</f>
        <v/>
      </c>
      <c r="U57">
        <f>IF(E57="","",IF(N(F57)&gt;0,F57,IFERROR(INDEX($F$18:$F$317,MATCH(E57,$E$18:$E$317,0)),"")))</f>
        <v/>
      </c>
      <c r="V57">
        <f>IF(OR(N57="",N57="OK",K57="Cancelled"),0,1)</f>
        <v/>
      </c>
    </row>
    <row r="58">
      <c r="B58" s="21" t="n"/>
      <c r="C58" s="22">
        <f>IF(B58="","",$E$10&amp;TEXT(N($E$11)+40,"000"))</f>
        <v/>
      </c>
      <c r="D58" s="14" t="n"/>
      <c r="E58" s="23" t="n"/>
      <c r="F58" s="24" t="n"/>
      <c r="G58" s="14" t="n"/>
      <c r="H58" s="14" t="n"/>
      <c r="I58" s="23" t="n"/>
      <c r="J58" s="24" t="n"/>
      <c r="K58" s="23" t="n"/>
      <c r="L58" s="25">
        <f>IF(OR(E58="",N(U58)=0),"",U58-SUMIFS(Q$18:Q58,E$18:E58,E58))</f>
        <v/>
      </c>
      <c r="M58" s="26">
        <f>IF(OR(N(J58)=0,K58="Cancelled"),"",IF(AND(N(J58)&gt;5000,P58&lt;&gt;"G"),"Yes: ₹1","No"))</f>
        <v/>
      </c>
      <c r="N58" s="27">
        <f>IF(AND(B58="",D58="",N(J58)=0),"",IF(B58="","Enter the date",IF(AND(ROW()&gt;18,B57=""),"Use the next empty row: a skipped row leaves a gap in the receipt numbers",IF(D58="","Enter who paid",IF(N(J58)=0,"Enter the amount",IF(G58="","Pick what the money was for",IF(P58="?","Pick what it was for from the list",IF(H58="","Pick how it was paid",IF(K58="Cancelled","Cancelled: keep this number unused and give a fresh receipt",IF(AND(H58&lt;&gt;"Cash",I58=""),"Enter the cheque no., UTR or UPI reference",IF(AND(L58&lt;&gt;"",N(L58)&lt;0),"More than the balance due on this invoice",IF(S58&gt;=200000,"₹2,00,000 or more in cash from this person today: barred, s.186",IF(T58&gt;=200000,"₹2,00,000 or more in cash against this invoice: barred, s.186",IF(AND(P58="T",H58="Cash",N(J58)&gt;=20000),"Loan of ₹20,000 or more in cash: barred, s.185",IF(AND(P58="D",H58="Cash",N(J58)&gt;=20000),"Cash deposit of ₹20,000 or more: ask your accountant whether s.185 applies",IF(AND(OR(P58="AG",P58="AS"),$E$9&lt;&gt;""),"Advance: also give a GST receipt voucher, s.31(3)(d) and Rule 50","OK"))))))))))))))))</f>
        <v/>
      </c>
      <c r="P58">
        <f>IF(G58="","",IFERROR(VLOOKUP(G58,Lists!$A$2:$B$9,2,FALSE),"?"))</f>
        <v/>
      </c>
      <c r="Q58">
        <f>IF(K58="Cancelled",0,N(J58))</f>
        <v/>
      </c>
      <c r="R58">
        <f>IF(OR(H58&lt;&gt;"Cash",P58="T",P58="D"),0,Q58)</f>
        <v/>
      </c>
      <c r="S58">
        <f>IF(R58=0,0,SUMIFS($R$18:$R$317,$B$18:$B$317,B58,$D$18:$D$317,D58))</f>
        <v/>
      </c>
      <c r="T58">
        <f>IF(OR(R58=0,E58=""),0,SUMIFS($R$18:$R$317,$E$18:$E$317,E58))</f>
        <v/>
      </c>
      <c r="U58">
        <f>IF(E58="","",IF(N(F58)&gt;0,F58,IFERROR(INDEX($F$18:$F$317,MATCH(E58,$E$18:$E$317,0)),"")))</f>
        <v/>
      </c>
      <c r="V58">
        <f>IF(OR(N58="",N58="OK",K58="Cancelled"),0,1)</f>
        <v/>
      </c>
    </row>
    <row r="59">
      <c r="B59" s="21" t="n"/>
      <c r="C59" s="22">
        <f>IF(B59="","",$E$10&amp;TEXT(N($E$11)+41,"000"))</f>
        <v/>
      </c>
      <c r="D59" s="14" t="n"/>
      <c r="E59" s="23" t="n"/>
      <c r="F59" s="24" t="n"/>
      <c r="G59" s="14" t="n"/>
      <c r="H59" s="14" t="n"/>
      <c r="I59" s="23" t="n"/>
      <c r="J59" s="24" t="n"/>
      <c r="K59" s="23" t="n"/>
      <c r="L59" s="25">
        <f>IF(OR(E59="",N(U59)=0),"",U59-SUMIFS(Q$18:Q59,E$18:E59,E59))</f>
        <v/>
      </c>
      <c r="M59" s="26">
        <f>IF(OR(N(J59)=0,K59="Cancelled"),"",IF(AND(N(J59)&gt;5000,P59&lt;&gt;"G"),"Yes: ₹1","No"))</f>
        <v/>
      </c>
      <c r="N59" s="27">
        <f>IF(AND(B59="",D59="",N(J59)=0),"",IF(B59="","Enter the date",IF(AND(ROW()&gt;18,B58=""),"Use the next empty row: a skipped row leaves a gap in the receipt numbers",IF(D59="","Enter who paid",IF(N(J59)=0,"Enter the amount",IF(G59="","Pick what the money was for",IF(P59="?","Pick what it was for from the list",IF(H59="","Pick how it was paid",IF(K59="Cancelled","Cancelled: keep this number unused and give a fresh receipt",IF(AND(H59&lt;&gt;"Cash",I59=""),"Enter the cheque no., UTR or UPI reference",IF(AND(L59&lt;&gt;"",N(L59)&lt;0),"More than the balance due on this invoice",IF(S59&gt;=200000,"₹2,00,000 or more in cash from this person today: barred, s.186",IF(T59&gt;=200000,"₹2,00,000 or more in cash against this invoice: barred, s.186",IF(AND(P59="T",H59="Cash",N(J59)&gt;=20000),"Loan of ₹20,000 or more in cash: barred, s.185",IF(AND(P59="D",H59="Cash",N(J59)&gt;=20000),"Cash deposit of ₹20,000 or more: ask your accountant whether s.185 applies",IF(AND(OR(P59="AG",P59="AS"),$E$9&lt;&gt;""),"Advance: also give a GST receipt voucher, s.31(3)(d) and Rule 50","OK"))))))))))))))))</f>
        <v/>
      </c>
      <c r="P59">
        <f>IF(G59="","",IFERROR(VLOOKUP(G59,Lists!$A$2:$B$9,2,FALSE),"?"))</f>
        <v/>
      </c>
      <c r="Q59">
        <f>IF(K59="Cancelled",0,N(J59))</f>
        <v/>
      </c>
      <c r="R59">
        <f>IF(OR(H59&lt;&gt;"Cash",P59="T",P59="D"),0,Q59)</f>
        <v/>
      </c>
      <c r="S59">
        <f>IF(R59=0,0,SUMIFS($R$18:$R$317,$B$18:$B$317,B59,$D$18:$D$317,D59))</f>
        <v/>
      </c>
      <c r="T59">
        <f>IF(OR(R59=0,E59=""),0,SUMIFS($R$18:$R$317,$E$18:$E$317,E59))</f>
        <v/>
      </c>
      <c r="U59">
        <f>IF(E59="","",IF(N(F59)&gt;0,F59,IFERROR(INDEX($F$18:$F$317,MATCH(E59,$E$18:$E$317,0)),"")))</f>
        <v/>
      </c>
      <c r="V59">
        <f>IF(OR(N59="",N59="OK",K59="Cancelled"),0,1)</f>
        <v/>
      </c>
    </row>
    <row r="60">
      <c r="B60" s="21" t="n"/>
      <c r="C60" s="22">
        <f>IF(B60="","",$E$10&amp;TEXT(N($E$11)+42,"000"))</f>
        <v/>
      </c>
      <c r="D60" s="14" t="n"/>
      <c r="E60" s="23" t="n"/>
      <c r="F60" s="24" t="n"/>
      <c r="G60" s="14" t="n"/>
      <c r="H60" s="14" t="n"/>
      <c r="I60" s="23" t="n"/>
      <c r="J60" s="24" t="n"/>
      <c r="K60" s="23" t="n"/>
      <c r="L60" s="25">
        <f>IF(OR(E60="",N(U60)=0),"",U60-SUMIFS(Q$18:Q60,E$18:E60,E60))</f>
        <v/>
      </c>
      <c r="M60" s="26">
        <f>IF(OR(N(J60)=0,K60="Cancelled"),"",IF(AND(N(J60)&gt;5000,P60&lt;&gt;"G"),"Yes: ₹1","No"))</f>
        <v/>
      </c>
      <c r="N60" s="27">
        <f>IF(AND(B60="",D60="",N(J60)=0),"",IF(B60="","Enter the date",IF(AND(ROW()&gt;18,B59=""),"Use the next empty row: a skipped row leaves a gap in the receipt numbers",IF(D60="","Enter who paid",IF(N(J60)=0,"Enter the amount",IF(G60="","Pick what the money was for",IF(P60="?","Pick what it was for from the list",IF(H60="","Pick how it was paid",IF(K60="Cancelled","Cancelled: keep this number unused and give a fresh receipt",IF(AND(H60&lt;&gt;"Cash",I60=""),"Enter the cheque no., UTR or UPI reference",IF(AND(L60&lt;&gt;"",N(L60)&lt;0),"More than the balance due on this invoice",IF(S60&gt;=200000,"₹2,00,000 or more in cash from this person today: barred, s.186",IF(T60&gt;=200000,"₹2,00,000 or more in cash against this invoice: barred, s.186",IF(AND(P60="T",H60="Cash",N(J60)&gt;=20000),"Loan of ₹20,000 or more in cash: barred, s.185",IF(AND(P60="D",H60="Cash",N(J60)&gt;=20000),"Cash deposit of ₹20,000 or more: ask your accountant whether s.185 applies",IF(AND(OR(P60="AG",P60="AS"),$E$9&lt;&gt;""),"Advance: also give a GST receipt voucher, s.31(3)(d) and Rule 50","OK"))))))))))))))))</f>
        <v/>
      </c>
      <c r="P60">
        <f>IF(G60="","",IFERROR(VLOOKUP(G60,Lists!$A$2:$B$9,2,FALSE),"?"))</f>
        <v/>
      </c>
      <c r="Q60">
        <f>IF(K60="Cancelled",0,N(J60))</f>
        <v/>
      </c>
      <c r="R60">
        <f>IF(OR(H60&lt;&gt;"Cash",P60="T",P60="D"),0,Q60)</f>
        <v/>
      </c>
      <c r="S60">
        <f>IF(R60=0,0,SUMIFS($R$18:$R$317,$B$18:$B$317,B60,$D$18:$D$317,D60))</f>
        <v/>
      </c>
      <c r="T60">
        <f>IF(OR(R60=0,E60=""),0,SUMIFS($R$18:$R$317,$E$18:$E$317,E60))</f>
        <v/>
      </c>
      <c r="U60">
        <f>IF(E60="","",IF(N(F60)&gt;0,F60,IFERROR(INDEX($F$18:$F$317,MATCH(E60,$E$18:$E$317,0)),"")))</f>
        <v/>
      </c>
      <c r="V60">
        <f>IF(OR(N60="",N60="OK",K60="Cancelled"),0,1)</f>
        <v/>
      </c>
    </row>
    <row r="61">
      <c r="B61" s="21" t="n"/>
      <c r="C61" s="22">
        <f>IF(B61="","",$E$10&amp;TEXT(N($E$11)+43,"000"))</f>
        <v/>
      </c>
      <c r="D61" s="14" t="n"/>
      <c r="E61" s="23" t="n"/>
      <c r="F61" s="24" t="n"/>
      <c r="G61" s="14" t="n"/>
      <c r="H61" s="14" t="n"/>
      <c r="I61" s="23" t="n"/>
      <c r="J61" s="24" t="n"/>
      <c r="K61" s="23" t="n"/>
      <c r="L61" s="25">
        <f>IF(OR(E61="",N(U61)=0),"",U61-SUMIFS(Q$18:Q61,E$18:E61,E61))</f>
        <v/>
      </c>
      <c r="M61" s="26">
        <f>IF(OR(N(J61)=0,K61="Cancelled"),"",IF(AND(N(J61)&gt;5000,P61&lt;&gt;"G"),"Yes: ₹1","No"))</f>
        <v/>
      </c>
      <c r="N61" s="27">
        <f>IF(AND(B61="",D61="",N(J61)=0),"",IF(B61="","Enter the date",IF(AND(ROW()&gt;18,B60=""),"Use the next empty row: a skipped row leaves a gap in the receipt numbers",IF(D61="","Enter who paid",IF(N(J61)=0,"Enter the amount",IF(G61="","Pick what the money was for",IF(P61="?","Pick what it was for from the list",IF(H61="","Pick how it was paid",IF(K61="Cancelled","Cancelled: keep this number unused and give a fresh receipt",IF(AND(H61&lt;&gt;"Cash",I61=""),"Enter the cheque no., UTR or UPI reference",IF(AND(L61&lt;&gt;"",N(L61)&lt;0),"More than the balance due on this invoice",IF(S61&gt;=200000,"₹2,00,000 or more in cash from this person today: barred, s.186",IF(T61&gt;=200000,"₹2,00,000 or more in cash against this invoice: barred, s.186",IF(AND(P61="T",H61="Cash",N(J61)&gt;=20000),"Loan of ₹20,000 or more in cash: barred, s.185",IF(AND(P61="D",H61="Cash",N(J61)&gt;=20000),"Cash deposit of ₹20,000 or more: ask your accountant whether s.185 applies",IF(AND(OR(P61="AG",P61="AS"),$E$9&lt;&gt;""),"Advance: also give a GST receipt voucher, s.31(3)(d) and Rule 50","OK"))))))))))))))))</f>
        <v/>
      </c>
      <c r="P61">
        <f>IF(G61="","",IFERROR(VLOOKUP(G61,Lists!$A$2:$B$9,2,FALSE),"?"))</f>
        <v/>
      </c>
      <c r="Q61">
        <f>IF(K61="Cancelled",0,N(J61))</f>
        <v/>
      </c>
      <c r="R61">
        <f>IF(OR(H61&lt;&gt;"Cash",P61="T",P61="D"),0,Q61)</f>
        <v/>
      </c>
      <c r="S61">
        <f>IF(R61=0,0,SUMIFS($R$18:$R$317,$B$18:$B$317,B61,$D$18:$D$317,D61))</f>
        <v/>
      </c>
      <c r="T61">
        <f>IF(OR(R61=0,E61=""),0,SUMIFS($R$18:$R$317,$E$18:$E$317,E61))</f>
        <v/>
      </c>
      <c r="U61">
        <f>IF(E61="","",IF(N(F61)&gt;0,F61,IFERROR(INDEX($F$18:$F$317,MATCH(E61,$E$18:$E$317,0)),"")))</f>
        <v/>
      </c>
      <c r="V61">
        <f>IF(OR(N61="",N61="OK",K61="Cancelled"),0,1)</f>
        <v/>
      </c>
    </row>
    <row r="62">
      <c r="B62" s="21" t="n"/>
      <c r="C62" s="22">
        <f>IF(B62="","",$E$10&amp;TEXT(N($E$11)+44,"000"))</f>
        <v/>
      </c>
      <c r="D62" s="14" t="n"/>
      <c r="E62" s="23" t="n"/>
      <c r="F62" s="24" t="n"/>
      <c r="G62" s="14" t="n"/>
      <c r="H62" s="14" t="n"/>
      <c r="I62" s="23" t="n"/>
      <c r="J62" s="24" t="n"/>
      <c r="K62" s="23" t="n"/>
      <c r="L62" s="25">
        <f>IF(OR(E62="",N(U62)=0),"",U62-SUMIFS(Q$18:Q62,E$18:E62,E62))</f>
        <v/>
      </c>
      <c r="M62" s="26">
        <f>IF(OR(N(J62)=0,K62="Cancelled"),"",IF(AND(N(J62)&gt;5000,P62&lt;&gt;"G"),"Yes: ₹1","No"))</f>
        <v/>
      </c>
      <c r="N62" s="27">
        <f>IF(AND(B62="",D62="",N(J62)=0),"",IF(B62="","Enter the date",IF(AND(ROW()&gt;18,B61=""),"Use the next empty row: a skipped row leaves a gap in the receipt numbers",IF(D62="","Enter who paid",IF(N(J62)=0,"Enter the amount",IF(G62="","Pick what the money was for",IF(P62="?","Pick what it was for from the list",IF(H62="","Pick how it was paid",IF(K62="Cancelled","Cancelled: keep this number unused and give a fresh receipt",IF(AND(H62&lt;&gt;"Cash",I62=""),"Enter the cheque no., UTR or UPI reference",IF(AND(L62&lt;&gt;"",N(L62)&lt;0),"More than the balance due on this invoice",IF(S62&gt;=200000,"₹2,00,000 or more in cash from this person today: barred, s.186",IF(T62&gt;=200000,"₹2,00,000 or more in cash against this invoice: barred, s.186",IF(AND(P62="T",H62="Cash",N(J62)&gt;=20000),"Loan of ₹20,000 or more in cash: barred, s.185",IF(AND(P62="D",H62="Cash",N(J62)&gt;=20000),"Cash deposit of ₹20,000 or more: ask your accountant whether s.185 applies",IF(AND(OR(P62="AG",P62="AS"),$E$9&lt;&gt;""),"Advance: also give a GST receipt voucher, s.31(3)(d) and Rule 50","OK"))))))))))))))))</f>
        <v/>
      </c>
      <c r="P62">
        <f>IF(G62="","",IFERROR(VLOOKUP(G62,Lists!$A$2:$B$9,2,FALSE),"?"))</f>
        <v/>
      </c>
      <c r="Q62">
        <f>IF(K62="Cancelled",0,N(J62))</f>
        <v/>
      </c>
      <c r="R62">
        <f>IF(OR(H62&lt;&gt;"Cash",P62="T",P62="D"),0,Q62)</f>
        <v/>
      </c>
      <c r="S62">
        <f>IF(R62=0,0,SUMIFS($R$18:$R$317,$B$18:$B$317,B62,$D$18:$D$317,D62))</f>
        <v/>
      </c>
      <c r="T62">
        <f>IF(OR(R62=0,E62=""),0,SUMIFS($R$18:$R$317,$E$18:$E$317,E62))</f>
        <v/>
      </c>
      <c r="U62">
        <f>IF(E62="","",IF(N(F62)&gt;0,F62,IFERROR(INDEX($F$18:$F$317,MATCH(E62,$E$18:$E$317,0)),"")))</f>
        <v/>
      </c>
      <c r="V62">
        <f>IF(OR(N62="",N62="OK",K62="Cancelled"),0,1)</f>
        <v/>
      </c>
    </row>
    <row r="63">
      <c r="B63" s="21" t="n"/>
      <c r="C63" s="22">
        <f>IF(B63="","",$E$10&amp;TEXT(N($E$11)+45,"000"))</f>
        <v/>
      </c>
      <c r="D63" s="14" t="n"/>
      <c r="E63" s="23" t="n"/>
      <c r="F63" s="24" t="n"/>
      <c r="G63" s="14" t="n"/>
      <c r="H63" s="14" t="n"/>
      <c r="I63" s="23" t="n"/>
      <c r="J63" s="24" t="n"/>
      <c r="K63" s="23" t="n"/>
      <c r="L63" s="25">
        <f>IF(OR(E63="",N(U63)=0),"",U63-SUMIFS(Q$18:Q63,E$18:E63,E63))</f>
        <v/>
      </c>
      <c r="M63" s="26">
        <f>IF(OR(N(J63)=0,K63="Cancelled"),"",IF(AND(N(J63)&gt;5000,P63&lt;&gt;"G"),"Yes: ₹1","No"))</f>
        <v/>
      </c>
      <c r="N63" s="27">
        <f>IF(AND(B63="",D63="",N(J63)=0),"",IF(B63="","Enter the date",IF(AND(ROW()&gt;18,B62=""),"Use the next empty row: a skipped row leaves a gap in the receipt numbers",IF(D63="","Enter who paid",IF(N(J63)=0,"Enter the amount",IF(G63="","Pick what the money was for",IF(P63="?","Pick what it was for from the list",IF(H63="","Pick how it was paid",IF(K63="Cancelled","Cancelled: keep this number unused and give a fresh receipt",IF(AND(H63&lt;&gt;"Cash",I63=""),"Enter the cheque no., UTR or UPI reference",IF(AND(L63&lt;&gt;"",N(L63)&lt;0),"More than the balance due on this invoice",IF(S63&gt;=200000,"₹2,00,000 or more in cash from this person today: barred, s.186",IF(T63&gt;=200000,"₹2,00,000 or more in cash against this invoice: barred, s.186",IF(AND(P63="T",H63="Cash",N(J63)&gt;=20000),"Loan of ₹20,000 or more in cash: barred, s.185",IF(AND(P63="D",H63="Cash",N(J63)&gt;=20000),"Cash deposit of ₹20,000 or more: ask your accountant whether s.185 applies",IF(AND(OR(P63="AG",P63="AS"),$E$9&lt;&gt;""),"Advance: also give a GST receipt voucher, s.31(3)(d) and Rule 50","OK"))))))))))))))))</f>
        <v/>
      </c>
      <c r="P63">
        <f>IF(G63="","",IFERROR(VLOOKUP(G63,Lists!$A$2:$B$9,2,FALSE),"?"))</f>
        <v/>
      </c>
      <c r="Q63">
        <f>IF(K63="Cancelled",0,N(J63))</f>
        <v/>
      </c>
      <c r="R63">
        <f>IF(OR(H63&lt;&gt;"Cash",P63="T",P63="D"),0,Q63)</f>
        <v/>
      </c>
      <c r="S63">
        <f>IF(R63=0,0,SUMIFS($R$18:$R$317,$B$18:$B$317,B63,$D$18:$D$317,D63))</f>
        <v/>
      </c>
      <c r="T63">
        <f>IF(OR(R63=0,E63=""),0,SUMIFS($R$18:$R$317,$E$18:$E$317,E63))</f>
        <v/>
      </c>
      <c r="U63">
        <f>IF(E63="","",IF(N(F63)&gt;0,F63,IFERROR(INDEX($F$18:$F$317,MATCH(E63,$E$18:$E$317,0)),"")))</f>
        <v/>
      </c>
      <c r="V63">
        <f>IF(OR(N63="",N63="OK",K63="Cancelled"),0,1)</f>
        <v/>
      </c>
    </row>
    <row r="64">
      <c r="B64" s="21" t="n"/>
      <c r="C64" s="22">
        <f>IF(B64="","",$E$10&amp;TEXT(N($E$11)+46,"000"))</f>
        <v/>
      </c>
      <c r="D64" s="14" t="n"/>
      <c r="E64" s="23" t="n"/>
      <c r="F64" s="24" t="n"/>
      <c r="G64" s="14" t="n"/>
      <c r="H64" s="14" t="n"/>
      <c r="I64" s="23" t="n"/>
      <c r="J64" s="24" t="n"/>
      <c r="K64" s="23" t="n"/>
      <c r="L64" s="25">
        <f>IF(OR(E64="",N(U64)=0),"",U64-SUMIFS(Q$18:Q64,E$18:E64,E64))</f>
        <v/>
      </c>
      <c r="M64" s="26">
        <f>IF(OR(N(J64)=0,K64="Cancelled"),"",IF(AND(N(J64)&gt;5000,P64&lt;&gt;"G"),"Yes: ₹1","No"))</f>
        <v/>
      </c>
      <c r="N64" s="27">
        <f>IF(AND(B64="",D64="",N(J64)=0),"",IF(B64="","Enter the date",IF(AND(ROW()&gt;18,B63=""),"Use the next empty row: a skipped row leaves a gap in the receipt numbers",IF(D64="","Enter who paid",IF(N(J64)=0,"Enter the amount",IF(G64="","Pick what the money was for",IF(P64="?","Pick what it was for from the list",IF(H64="","Pick how it was paid",IF(K64="Cancelled","Cancelled: keep this number unused and give a fresh receipt",IF(AND(H64&lt;&gt;"Cash",I64=""),"Enter the cheque no., UTR or UPI reference",IF(AND(L64&lt;&gt;"",N(L64)&lt;0),"More than the balance due on this invoice",IF(S64&gt;=200000,"₹2,00,000 or more in cash from this person today: barred, s.186",IF(T64&gt;=200000,"₹2,00,000 or more in cash against this invoice: barred, s.186",IF(AND(P64="T",H64="Cash",N(J64)&gt;=20000),"Loan of ₹20,000 or more in cash: barred, s.185",IF(AND(P64="D",H64="Cash",N(J64)&gt;=20000),"Cash deposit of ₹20,000 or more: ask your accountant whether s.185 applies",IF(AND(OR(P64="AG",P64="AS"),$E$9&lt;&gt;""),"Advance: also give a GST receipt voucher, s.31(3)(d) and Rule 50","OK"))))))))))))))))</f>
        <v/>
      </c>
      <c r="P64">
        <f>IF(G64="","",IFERROR(VLOOKUP(G64,Lists!$A$2:$B$9,2,FALSE),"?"))</f>
        <v/>
      </c>
      <c r="Q64">
        <f>IF(K64="Cancelled",0,N(J64))</f>
        <v/>
      </c>
      <c r="R64">
        <f>IF(OR(H64&lt;&gt;"Cash",P64="T",P64="D"),0,Q64)</f>
        <v/>
      </c>
      <c r="S64">
        <f>IF(R64=0,0,SUMIFS($R$18:$R$317,$B$18:$B$317,B64,$D$18:$D$317,D64))</f>
        <v/>
      </c>
      <c r="T64">
        <f>IF(OR(R64=0,E64=""),0,SUMIFS($R$18:$R$317,$E$18:$E$317,E64))</f>
        <v/>
      </c>
      <c r="U64">
        <f>IF(E64="","",IF(N(F64)&gt;0,F64,IFERROR(INDEX($F$18:$F$317,MATCH(E64,$E$18:$E$317,0)),"")))</f>
        <v/>
      </c>
      <c r="V64">
        <f>IF(OR(N64="",N64="OK",K64="Cancelled"),0,1)</f>
        <v/>
      </c>
    </row>
    <row r="65">
      <c r="B65" s="21" t="n"/>
      <c r="C65" s="22">
        <f>IF(B65="","",$E$10&amp;TEXT(N($E$11)+47,"000"))</f>
        <v/>
      </c>
      <c r="D65" s="14" t="n"/>
      <c r="E65" s="23" t="n"/>
      <c r="F65" s="24" t="n"/>
      <c r="G65" s="14" t="n"/>
      <c r="H65" s="14" t="n"/>
      <c r="I65" s="23" t="n"/>
      <c r="J65" s="24" t="n"/>
      <c r="K65" s="23" t="n"/>
      <c r="L65" s="25">
        <f>IF(OR(E65="",N(U65)=0),"",U65-SUMIFS(Q$18:Q65,E$18:E65,E65))</f>
        <v/>
      </c>
      <c r="M65" s="26">
        <f>IF(OR(N(J65)=0,K65="Cancelled"),"",IF(AND(N(J65)&gt;5000,P65&lt;&gt;"G"),"Yes: ₹1","No"))</f>
        <v/>
      </c>
      <c r="N65" s="27">
        <f>IF(AND(B65="",D65="",N(J65)=0),"",IF(B65="","Enter the date",IF(AND(ROW()&gt;18,B64=""),"Use the next empty row: a skipped row leaves a gap in the receipt numbers",IF(D65="","Enter who paid",IF(N(J65)=0,"Enter the amount",IF(G65="","Pick what the money was for",IF(P65="?","Pick what it was for from the list",IF(H65="","Pick how it was paid",IF(K65="Cancelled","Cancelled: keep this number unused and give a fresh receipt",IF(AND(H65&lt;&gt;"Cash",I65=""),"Enter the cheque no., UTR or UPI reference",IF(AND(L65&lt;&gt;"",N(L65)&lt;0),"More than the balance due on this invoice",IF(S65&gt;=200000,"₹2,00,000 or more in cash from this person today: barred, s.186",IF(T65&gt;=200000,"₹2,00,000 or more in cash against this invoice: barred, s.186",IF(AND(P65="T",H65="Cash",N(J65)&gt;=20000),"Loan of ₹20,000 or more in cash: barred, s.185",IF(AND(P65="D",H65="Cash",N(J65)&gt;=20000),"Cash deposit of ₹20,000 or more: ask your accountant whether s.185 applies",IF(AND(OR(P65="AG",P65="AS"),$E$9&lt;&gt;""),"Advance: also give a GST receipt voucher, s.31(3)(d) and Rule 50","OK"))))))))))))))))</f>
        <v/>
      </c>
      <c r="P65">
        <f>IF(G65="","",IFERROR(VLOOKUP(G65,Lists!$A$2:$B$9,2,FALSE),"?"))</f>
        <v/>
      </c>
      <c r="Q65">
        <f>IF(K65="Cancelled",0,N(J65))</f>
        <v/>
      </c>
      <c r="R65">
        <f>IF(OR(H65&lt;&gt;"Cash",P65="T",P65="D"),0,Q65)</f>
        <v/>
      </c>
      <c r="S65">
        <f>IF(R65=0,0,SUMIFS($R$18:$R$317,$B$18:$B$317,B65,$D$18:$D$317,D65))</f>
        <v/>
      </c>
      <c r="T65">
        <f>IF(OR(R65=0,E65=""),0,SUMIFS($R$18:$R$317,$E$18:$E$317,E65))</f>
        <v/>
      </c>
      <c r="U65">
        <f>IF(E65="","",IF(N(F65)&gt;0,F65,IFERROR(INDEX($F$18:$F$317,MATCH(E65,$E$18:$E$317,0)),"")))</f>
        <v/>
      </c>
      <c r="V65">
        <f>IF(OR(N65="",N65="OK",K65="Cancelled"),0,1)</f>
        <v/>
      </c>
    </row>
    <row r="66">
      <c r="B66" s="21" t="n"/>
      <c r="C66" s="22">
        <f>IF(B66="","",$E$10&amp;TEXT(N($E$11)+48,"000"))</f>
        <v/>
      </c>
      <c r="D66" s="14" t="n"/>
      <c r="E66" s="23" t="n"/>
      <c r="F66" s="24" t="n"/>
      <c r="G66" s="14" t="n"/>
      <c r="H66" s="14" t="n"/>
      <c r="I66" s="23" t="n"/>
      <c r="J66" s="24" t="n"/>
      <c r="K66" s="23" t="n"/>
      <c r="L66" s="25">
        <f>IF(OR(E66="",N(U66)=0),"",U66-SUMIFS(Q$18:Q66,E$18:E66,E66))</f>
        <v/>
      </c>
      <c r="M66" s="26">
        <f>IF(OR(N(J66)=0,K66="Cancelled"),"",IF(AND(N(J66)&gt;5000,P66&lt;&gt;"G"),"Yes: ₹1","No"))</f>
        <v/>
      </c>
      <c r="N66" s="27">
        <f>IF(AND(B66="",D66="",N(J66)=0),"",IF(B66="","Enter the date",IF(AND(ROW()&gt;18,B65=""),"Use the next empty row: a skipped row leaves a gap in the receipt numbers",IF(D66="","Enter who paid",IF(N(J66)=0,"Enter the amount",IF(G66="","Pick what the money was for",IF(P66="?","Pick what it was for from the list",IF(H66="","Pick how it was paid",IF(K66="Cancelled","Cancelled: keep this number unused and give a fresh receipt",IF(AND(H66&lt;&gt;"Cash",I66=""),"Enter the cheque no., UTR or UPI reference",IF(AND(L66&lt;&gt;"",N(L66)&lt;0),"More than the balance due on this invoice",IF(S66&gt;=200000,"₹2,00,000 or more in cash from this person today: barred, s.186",IF(T66&gt;=200000,"₹2,00,000 or more in cash against this invoice: barred, s.186",IF(AND(P66="T",H66="Cash",N(J66)&gt;=20000),"Loan of ₹20,000 or more in cash: barred, s.185",IF(AND(P66="D",H66="Cash",N(J66)&gt;=20000),"Cash deposit of ₹20,000 or more: ask your accountant whether s.185 applies",IF(AND(OR(P66="AG",P66="AS"),$E$9&lt;&gt;""),"Advance: also give a GST receipt voucher, s.31(3)(d) and Rule 50","OK"))))))))))))))))</f>
        <v/>
      </c>
      <c r="P66">
        <f>IF(G66="","",IFERROR(VLOOKUP(G66,Lists!$A$2:$B$9,2,FALSE),"?"))</f>
        <v/>
      </c>
      <c r="Q66">
        <f>IF(K66="Cancelled",0,N(J66))</f>
        <v/>
      </c>
      <c r="R66">
        <f>IF(OR(H66&lt;&gt;"Cash",P66="T",P66="D"),0,Q66)</f>
        <v/>
      </c>
      <c r="S66">
        <f>IF(R66=0,0,SUMIFS($R$18:$R$317,$B$18:$B$317,B66,$D$18:$D$317,D66))</f>
        <v/>
      </c>
      <c r="T66">
        <f>IF(OR(R66=0,E66=""),0,SUMIFS($R$18:$R$317,$E$18:$E$317,E66))</f>
        <v/>
      </c>
      <c r="U66">
        <f>IF(E66="","",IF(N(F66)&gt;0,F66,IFERROR(INDEX($F$18:$F$317,MATCH(E66,$E$18:$E$317,0)),"")))</f>
        <v/>
      </c>
      <c r="V66">
        <f>IF(OR(N66="",N66="OK",K66="Cancelled"),0,1)</f>
        <v/>
      </c>
    </row>
    <row r="67">
      <c r="B67" s="21" t="n"/>
      <c r="C67" s="22">
        <f>IF(B67="","",$E$10&amp;TEXT(N($E$11)+49,"000"))</f>
        <v/>
      </c>
      <c r="D67" s="14" t="n"/>
      <c r="E67" s="23" t="n"/>
      <c r="F67" s="24" t="n"/>
      <c r="G67" s="14" t="n"/>
      <c r="H67" s="14" t="n"/>
      <c r="I67" s="23" t="n"/>
      <c r="J67" s="24" t="n"/>
      <c r="K67" s="23" t="n"/>
      <c r="L67" s="25">
        <f>IF(OR(E67="",N(U67)=0),"",U67-SUMIFS(Q$18:Q67,E$18:E67,E67))</f>
        <v/>
      </c>
      <c r="M67" s="26">
        <f>IF(OR(N(J67)=0,K67="Cancelled"),"",IF(AND(N(J67)&gt;5000,P67&lt;&gt;"G"),"Yes: ₹1","No"))</f>
        <v/>
      </c>
      <c r="N67" s="27">
        <f>IF(AND(B67="",D67="",N(J67)=0),"",IF(B67="","Enter the date",IF(AND(ROW()&gt;18,B66=""),"Use the next empty row: a skipped row leaves a gap in the receipt numbers",IF(D67="","Enter who paid",IF(N(J67)=0,"Enter the amount",IF(G67="","Pick what the money was for",IF(P67="?","Pick what it was for from the list",IF(H67="","Pick how it was paid",IF(K67="Cancelled","Cancelled: keep this number unused and give a fresh receipt",IF(AND(H67&lt;&gt;"Cash",I67=""),"Enter the cheque no., UTR or UPI reference",IF(AND(L67&lt;&gt;"",N(L67)&lt;0),"More than the balance due on this invoice",IF(S67&gt;=200000,"₹2,00,000 or more in cash from this person today: barred, s.186",IF(T67&gt;=200000,"₹2,00,000 or more in cash against this invoice: barred, s.186",IF(AND(P67="T",H67="Cash",N(J67)&gt;=20000),"Loan of ₹20,000 or more in cash: barred, s.185",IF(AND(P67="D",H67="Cash",N(J67)&gt;=20000),"Cash deposit of ₹20,000 or more: ask your accountant whether s.185 applies",IF(AND(OR(P67="AG",P67="AS"),$E$9&lt;&gt;""),"Advance: also give a GST receipt voucher, s.31(3)(d) and Rule 50","OK"))))))))))))))))</f>
        <v/>
      </c>
      <c r="P67">
        <f>IF(G67="","",IFERROR(VLOOKUP(G67,Lists!$A$2:$B$9,2,FALSE),"?"))</f>
        <v/>
      </c>
      <c r="Q67">
        <f>IF(K67="Cancelled",0,N(J67))</f>
        <v/>
      </c>
      <c r="R67">
        <f>IF(OR(H67&lt;&gt;"Cash",P67="T",P67="D"),0,Q67)</f>
        <v/>
      </c>
      <c r="S67">
        <f>IF(R67=0,0,SUMIFS($R$18:$R$317,$B$18:$B$317,B67,$D$18:$D$317,D67))</f>
        <v/>
      </c>
      <c r="T67">
        <f>IF(OR(R67=0,E67=""),0,SUMIFS($R$18:$R$317,$E$18:$E$317,E67))</f>
        <v/>
      </c>
      <c r="U67">
        <f>IF(E67="","",IF(N(F67)&gt;0,F67,IFERROR(INDEX($F$18:$F$317,MATCH(E67,$E$18:$E$317,0)),"")))</f>
        <v/>
      </c>
      <c r="V67">
        <f>IF(OR(N67="",N67="OK",K67="Cancelled"),0,1)</f>
        <v/>
      </c>
    </row>
    <row r="68">
      <c r="B68" s="21" t="n"/>
      <c r="C68" s="22">
        <f>IF(B68="","",$E$10&amp;TEXT(N($E$11)+50,"000"))</f>
        <v/>
      </c>
      <c r="D68" s="14" t="n"/>
      <c r="E68" s="23" t="n"/>
      <c r="F68" s="24" t="n"/>
      <c r="G68" s="14" t="n"/>
      <c r="H68" s="14" t="n"/>
      <c r="I68" s="23" t="n"/>
      <c r="J68" s="24" t="n"/>
      <c r="K68" s="23" t="n"/>
      <c r="L68" s="25">
        <f>IF(OR(E68="",N(U68)=0),"",U68-SUMIFS(Q$18:Q68,E$18:E68,E68))</f>
        <v/>
      </c>
      <c r="M68" s="26">
        <f>IF(OR(N(J68)=0,K68="Cancelled"),"",IF(AND(N(J68)&gt;5000,P68&lt;&gt;"G"),"Yes: ₹1","No"))</f>
        <v/>
      </c>
      <c r="N68" s="27">
        <f>IF(AND(B68="",D68="",N(J68)=0),"",IF(B68="","Enter the date",IF(AND(ROW()&gt;18,B67=""),"Use the next empty row: a skipped row leaves a gap in the receipt numbers",IF(D68="","Enter who paid",IF(N(J68)=0,"Enter the amount",IF(G68="","Pick what the money was for",IF(P68="?","Pick what it was for from the list",IF(H68="","Pick how it was paid",IF(K68="Cancelled","Cancelled: keep this number unused and give a fresh receipt",IF(AND(H68&lt;&gt;"Cash",I68=""),"Enter the cheque no., UTR or UPI reference",IF(AND(L68&lt;&gt;"",N(L68)&lt;0),"More than the balance due on this invoice",IF(S68&gt;=200000,"₹2,00,000 or more in cash from this person today: barred, s.186",IF(T68&gt;=200000,"₹2,00,000 or more in cash against this invoice: barred, s.186",IF(AND(P68="T",H68="Cash",N(J68)&gt;=20000),"Loan of ₹20,000 or more in cash: barred, s.185",IF(AND(P68="D",H68="Cash",N(J68)&gt;=20000),"Cash deposit of ₹20,000 or more: ask your accountant whether s.185 applies",IF(AND(OR(P68="AG",P68="AS"),$E$9&lt;&gt;""),"Advance: also give a GST receipt voucher, s.31(3)(d) and Rule 50","OK"))))))))))))))))</f>
        <v/>
      </c>
      <c r="P68">
        <f>IF(G68="","",IFERROR(VLOOKUP(G68,Lists!$A$2:$B$9,2,FALSE),"?"))</f>
        <v/>
      </c>
      <c r="Q68">
        <f>IF(K68="Cancelled",0,N(J68))</f>
        <v/>
      </c>
      <c r="R68">
        <f>IF(OR(H68&lt;&gt;"Cash",P68="T",P68="D"),0,Q68)</f>
        <v/>
      </c>
      <c r="S68">
        <f>IF(R68=0,0,SUMIFS($R$18:$R$317,$B$18:$B$317,B68,$D$18:$D$317,D68))</f>
        <v/>
      </c>
      <c r="T68">
        <f>IF(OR(R68=0,E68=""),0,SUMIFS($R$18:$R$317,$E$18:$E$317,E68))</f>
        <v/>
      </c>
      <c r="U68">
        <f>IF(E68="","",IF(N(F68)&gt;0,F68,IFERROR(INDEX($F$18:$F$317,MATCH(E68,$E$18:$E$317,0)),"")))</f>
        <v/>
      </c>
      <c r="V68">
        <f>IF(OR(N68="",N68="OK",K68="Cancelled"),0,1)</f>
        <v/>
      </c>
    </row>
    <row r="69">
      <c r="B69" s="21" t="n"/>
      <c r="C69" s="22">
        <f>IF(B69="","",$E$10&amp;TEXT(N($E$11)+51,"000"))</f>
        <v/>
      </c>
      <c r="D69" s="14" t="n"/>
      <c r="E69" s="23" t="n"/>
      <c r="F69" s="24" t="n"/>
      <c r="G69" s="14" t="n"/>
      <c r="H69" s="14" t="n"/>
      <c r="I69" s="23" t="n"/>
      <c r="J69" s="24" t="n"/>
      <c r="K69" s="23" t="n"/>
      <c r="L69" s="25">
        <f>IF(OR(E69="",N(U69)=0),"",U69-SUMIFS(Q$18:Q69,E$18:E69,E69))</f>
        <v/>
      </c>
      <c r="M69" s="26">
        <f>IF(OR(N(J69)=0,K69="Cancelled"),"",IF(AND(N(J69)&gt;5000,P69&lt;&gt;"G"),"Yes: ₹1","No"))</f>
        <v/>
      </c>
      <c r="N69" s="27">
        <f>IF(AND(B69="",D69="",N(J69)=0),"",IF(B69="","Enter the date",IF(AND(ROW()&gt;18,B68=""),"Use the next empty row: a skipped row leaves a gap in the receipt numbers",IF(D69="","Enter who paid",IF(N(J69)=0,"Enter the amount",IF(G69="","Pick what the money was for",IF(P69="?","Pick what it was for from the list",IF(H69="","Pick how it was paid",IF(K69="Cancelled","Cancelled: keep this number unused and give a fresh receipt",IF(AND(H69&lt;&gt;"Cash",I69=""),"Enter the cheque no., UTR or UPI reference",IF(AND(L69&lt;&gt;"",N(L69)&lt;0),"More than the balance due on this invoice",IF(S69&gt;=200000,"₹2,00,000 or more in cash from this person today: barred, s.186",IF(T69&gt;=200000,"₹2,00,000 or more in cash against this invoice: barred, s.186",IF(AND(P69="T",H69="Cash",N(J69)&gt;=20000),"Loan of ₹20,000 or more in cash: barred, s.185",IF(AND(P69="D",H69="Cash",N(J69)&gt;=20000),"Cash deposit of ₹20,000 or more: ask your accountant whether s.185 applies",IF(AND(OR(P69="AG",P69="AS"),$E$9&lt;&gt;""),"Advance: also give a GST receipt voucher, s.31(3)(d) and Rule 50","OK"))))))))))))))))</f>
        <v/>
      </c>
      <c r="P69">
        <f>IF(G69="","",IFERROR(VLOOKUP(G69,Lists!$A$2:$B$9,2,FALSE),"?"))</f>
        <v/>
      </c>
      <c r="Q69">
        <f>IF(K69="Cancelled",0,N(J69))</f>
        <v/>
      </c>
      <c r="R69">
        <f>IF(OR(H69&lt;&gt;"Cash",P69="T",P69="D"),0,Q69)</f>
        <v/>
      </c>
      <c r="S69">
        <f>IF(R69=0,0,SUMIFS($R$18:$R$317,$B$18:$B$317,B69,$D$18:$D$317,D69))</f>
        <v/>
      </c>
      <c r="T69">
        <f>IF(OR(R69=0,E69=""),0,SUMIFS($R$18:$R$317,$E$18:$E$317,E69))</f>
        <v/>
      </c>
      <c r="U69">
        <f>IF(E69="","",IF(N(F69)&gt;0,F69,IFERROR(INDEX($F$18:$F$317,MATCH(E69,$E$18:$E$317,0)),"")))</f>
        <v/>
      </c>
      <c r="V69">
        <f>IF(OR(N69="",N69="OK",K69="Cancelled"),0,1)</f>
        <v/>
      </c>
    </row>
    <row r="70">
      <c r="B70" s="21" t="n"/>
      <c r="C70" s="22">
        <f>IF(B70="","",$E$10&amp;TEXT(N($E$11)+52,"000"))</f>
        <v/>
      </c>
      <c r="D70" s="14" t="n"/>
      <c r="E70" s="23" t="n"/>
      <c r="F70" s="24" t="n"/>
      <c r="G70" s="14" t="n"/>
      <c r="H70" s="14" t="n"/>
      <c r="I70" s="23" t="n"/>
      <c r="J70" s="24" t="n"/>
      <c r="K70" s="23" t="n"/>
      <c r="L70" s="25">
        <f>IF(OR(E70="",N(U70)=0),"",U70-SUMIFS(Q$18:Q70,E$18:E70,E70))</f>
        <v/>
      </c>
      <c r="M70" s="26">
        <f>IF(OR(N(J70)=0,K70="Cancelled"),"",IF(AND(N(J70)&gt;5000,P70&lt;&gt;"G"),"Yes: ₹1","No"))</f>
        <v/>
      </c>
      <c r="N70" s="27">
        <f>IF(AND(B70="",D70="",N(J70)=0),"",IF(B70="","Enter the date",IF(AND(ROW()&gt;18,B69=""),"Use the next empty row: a skipped row leaves a gap in the receipt numbers",IF(D70="","Enter who paid",IF(N(J70)=0,"Enter the amount",IF(G70="","Pick what the money was for",IF(P70="?","Pick what it was for from the list",IF(H70="","Pick how it was paid",IF(K70="Cancelled","Cancelled: keep this number unused and give a fresh receipt",IF(AND(H70&lt;&gt;"Cash",I70=""),"Enter the cheque no., UTR or UPI reference",IF(AND(L70&lt;&gt;"",N(L70)&lt;0),"More than the balance due on this invoice",IF(S70&gt;=200000,"₹2,00,000 or more in cash from this person today: barred, s.186",IF(T70&gt;=200000,"₹2,00,000 or more in cash against this invoice: barred, s.186",IF(AND(P70="T",H70="Cash",N(J70)&gt;=20000),"Loan of ₹20,000 or more in cash: barred, s.185",IF(AND(P70="D",H70="Cash",N(J70)&gt;=20000),"Cash deposit of ₹20,000 or more: ask your accountant whether s.185 applies",IF(AND(OR(P70="AG",P70="AS"),$E$9&lt;&gt;""),"Advance: also give a GST receipt voucher, s.31(3)(d) and Rule 50","OK"))))))))))))))))</f>
        <v/>
      </c>
      <c r="P70">
        <f>IF(G70="","",IFERROR(VLOOKUP(G70,Lists!$A$2:$B$9,2,FALSE),"?"))</f>
        <v/>
      </c>
      <c r="Q70">
        <f>IF(K70="Cancelled",0,N(J70))</f>
        <v/>
      </c>
      <c r="R70">
        <f>IF(OR(H70&lt;&gt;"Cash",P70="T",P70="D"),0,Q70)</f>
        <v/>
      </c>
      <c r="S70">
        <f>IF(R70=0,0,SUMIFS($R$18:$R$317,$B$18:$B$317,B70,$D$18:$D$317,D70))</f>
        <v/>
      </c>
      <c r="T70">
        <f>IF(OR(R70=0,E70=""),0,SUMIFS($R$18:$R$317,$E$18:$E$317,E70))</f>
        <v/>
      </c>
      <c r="U70">
        <f>IF(E70="","",IF(N(F70)&gt;0,F70,IFERROR(INDEX($F$18:$F$317,MATCH(E70,$E$18:$E$317,0)),"")))</f>
        <v/>
      </c>
      <c r="V70">
        <f>IF(OR(N70="",N70="OK",K70="Cancelled"),0,1)</f>
        <v/>
      </c>
    </row>
    <row r="71">
      <c r="B71" s="21" t="n"/>
      <c r="C71" s="22">
        <f>IF(B71="","",$E$10&amp;TEXT(N($E$11)+53,"000"))</f>
        <v/>
      </c>
      <c r="D71" s="14" t="n"/>
      <c r="E71" s="23" t="n"/>
      <c r="F71" s="24" t="n"/>
      <c r="G71" s="14" t="n"/>
      <c r="H71" s="14" t="n"/>
      <c r="I71" s="23" t="n"/>
      <c r="J71" s="24" t="n"/>
      <c r="K71" s="23" t="n"/>
      <c r="L71" s="25">
        <f>IF(OR(E71="",N(U71)=0),"",U71-SUMIFS(Q$18:Q71,E$18:E71,E71))</f>
        <v/>
      </c>
      <c r="M71" s="26">
        <f>IF(OR(N(J71)=0,K71="Cancelled"),"",IF(AND(N(J71)&gt;5000,P71&lt;&gt;"G"),"Yes: ₹1","No"))</f>
        <v/>
      </c>
      <c r="N71" s="27">
        <f>IF(AND(B71="",D71="",N(J71)=0),"",IF(B71="","Enter the date",IF(AND(ROW()&gt;18,B70=""),"Use the next empty row: a skipped row leaves a gap in the receipt numbers",IF(D71="","Enter who paid",IF(N(J71)=0,"Enter the amount",IF(G71="","Pick what the money was for",IF(P71="?","Pick what it was for from the list",IF(H71="","Pick how it was paid",IF(K71="Cancelled","Cancelled: keep this number unused and give a fresh receipt",IF(AND(H71&lt;&gt;"Cash",I71=""),"Enter the cheque no., UTR or UPI reference",IF(AND(L71&lt;&gt;"",N(L71)&lt;0),"More than the balance due on this invoice",IF(S71&gt;=200000,"₹2,00,000 or more in cash from this person today: barred, s.186",IF(T71&gt;=200000,"₹2,00,000 or more in cash against this invoice: barred, s.186",IF(AND(P71="T",H71="Cash",N(J71)&gt;=20000),"Loan of ₹20,000 or more in cash: barred, s.185",IF(AND(P71="D",H71="Cash",N(J71)&gt;=20000),"Cash deposit of ₹20,000 or more: ask your accountant whether s.185 applies",IF(AND(OR(P71="AG",P71="AS"),$E$9&lt;&gt;""),"Advance: also give a GST receipt voucher, s.31(3)(d) and Rule 50","OK"))))))))))))))))</f>
        <v/>
      </c>
      <c r="P71">
        <f>IF(G71="","",IFERROR(VLOOKUP(G71,Lists!$A$2:$B$9,2,FALSE),"?"))</f>
        <v/>
      </c>
      <c r="Q71">
        <f>IF(K71="Cancelled",0,N(J71))</f>
        <v/>
      </c>
      <c r="R71">
        <f>IF(OR(H71&lt;&gt;"Cash",P71="T",P71="D"),0,Q71)</f>
        <v/>
      </c>
      <c r="S71">
        <f>IF(R71=0,0,SUMIFS($R$18:$R$317,$B$18:$B$317,B71,$D$18:$D$317,D71))</f>
        <v/>
      </c>
      <c r="T71">
        <f>IF(OR(R71=0,E71=""),0,SUMIFS($R$18:$R$317,$E$18:$E$317,E71))</f>
        <v/>
      </c>
      <c r="U71">
        <f>IF(E71="","",IF(N(F71)&gt;0,F71,IFERROR(INDEX($F$18:$F$317,MATCH(E71,$E$18:$E$317,0)),"")))</f>
        <v/>
      </c>
      <c r="V71">
        <f>IF(OR(N71="",N71="OK",K71="Cancelled"),0,1)</f>
        <v/>
      </c>
    </row>
    <row r="72">
      <c r="B72" s="21" t="n"/>
      <c r="C72" s="22">
        <f>IF(B72="","",$E$10&amp;TEXT(N($E$11)+54,"000"))</f>
        <v/>
      </c>
      <c r="D72" s="14" t="n"/>
      <c r="E72" s="23" t="n"/>
      <c r="F72" s="24" t="n"/>
      <c r="G72" s="14" t="n"/>
      <c r="H72" s="14" t="n"/>
      <c r="I72" s="23" t="n"/>
      <c r="J72" s="24" t="n"/>
      <c r="K72" s="23" t="n"/>
      <c r="L72" s="25">
        <f>IF(OR(E72="",N(U72)=0),"",U72-SUMIFS(Q$18:Q72,E$18:E72,E72))</f>
        <v/>
      </c>
      <c r="M72" s="26">
        <f>IF(OR(N(J72)=0,K72="Cancelled"),"",IF(AND(N(J72)&gt;5000,P72&lt;&gt;"G"),"Yes: ₹1","No"))</f>
        <v/>
      </c>
      <c r="N72" s="27">
        <f>IF(AND(B72="",D72="",N(J72)=0),"",IF(B72="","Enter the date",IF(AND(ROW()&gt;18,B71=""),"Use the next empty row: a skipped row leaves a gap in the receipt numbers",IF(D72="","Enter who paid",IF(N(J72)=0,"Enter the amount",IF(G72="","Pick what the money was for",IF(P72="?","Pick what it was for from the list",IF(H72="","Pick how it was paid",IF(K72="Cancelled","Cancelled: keep this number unused and give a fresh receipt",IF(AND(H72&lt;&gt;"Cash",I72=""),"Enter the cheque no., UTR or UPI reference",IF(AND(L72&lt;&gt;"",N(L72)&lt;0),"More than the balance due on this invoice",IF(S72&gt;=200000,"₹2,00,000 or more in cash from this person today: barred, s.186",IF(T72&gt;=200000,"₹2,00,000 or more in cash against this invoice: barred, s.186",IF(AND(P72="T",H72="Cash",N(J72)&gt;=20000),"Loan of ₹20,000 or more in cash: barred, s.185",IF(AND(P72="D",H72="Cash",N(J72)&gt;=20000),"Cash deposit of ₹20,000 or more: ask your accountant whether s.185 applies",IF(AND(OR(P72="AG",P72="AS"),$E$9&lt;&gt;""),"Advance: also give a GST receipt voucher, s.31(3)(d) and Rule 50","OK"))))))))))))))))</f>
        <v/>
      </c>
      <c r="P72">
        <f>IF(G72="","",IFERROR(VLOOKUP(G72,Lists!$A$2:$B$9,2,FALSE),"?"))</f>
        <v/>
      </c>
      <c r="Q72">
        <f>IF(K72="Cancelled",0,N(J72))</f>
        <v/>
      </c>
      <c r="R72">
        <f>IF(OR(H72&lt;&gt;"Cash",P72="T",P72="D"),0,Q72)</f>
        <v/>
      </c>
      <c r="S72">
        <f>IF(R72=0,0,SUMIFS($R$18:$R$317,$B$18:$B$317,B72,$D$18:$D$317,D72))</f>
        <v/>
      </c>
      <c r="T72">
        <f>IF(OR(R72=0,E72=""),0,SUMIFS($R$18:$R$317,$E$18:$E$317,E72))</f>
        <v/>
      </c>
      <c r="U72">
        <f>IF(E72="","",IF(N(F72)&gt;0,F72,IFERROR(INDEX($F$18:$F$317,MATCH(E72,$E$18:$E$317,0)),"")))</f>
        <v/>
      </c>
      <c r="V72">
        <f>IF(OR(N72="",N72="OK",K72="Cancelled"),0,1)</f>
        <v/>
      </c>
    </row>
    <row r="73">
      <c r="B73" s="21" t="n"/>
      <c r="C73" s="22">
        <f>IF(B73="","",$E$10&amp;TEXT(N($E$11)+55,"000"))</f>
        <v/>
      </c>
      <c r="D73" s="14" t="n"/>
      <c r="E73" s="23" t="n"/>
      <c r="F73" s="24" t="n"/>
      <c r="G73" s="14" t="n"/>
      <c r="H73" s="14" t="n"/>
      <c r="I73" s="23" t="n"/>
      <c r="J73" s="24" t="n"/>
      <c r="K73" s="23" t="n"/>
      <c r="L73" s="25">
        <f>IF(OR(E73="",N(U73)=0),"",U73-SUMIFS(Q$18:Q73,E$18:E73,E73))</f>
        <v/>
      </c>
      <c r="M73" s="26">
        <f>IF(OR(N(J73)=0,K73="Cancelled"),"",IF(AND(N(J73)&gt;5000,P73&lt;&gt;"G"),"Yes: ₹1","No"))</f>
        <v/>
      </c>
      <c r="N73" s="27">
        <f>IF(AND(B73="",D73="",N(J73)=0),"",IF(B73="","Enter the date",IF(AND(ROW()&gt;18,B72=""),"Use the next empty row: a skipped row leaves a gap in the receipt numbers",IF(D73="","Enter who paid",IF(N(J73)=0,"Enter the amount",IF(G73="","Pick what the money was for",IF(P73="?","Pick what it was for from the list",IF(H73="","Pick how it was paid",IF(K73="Cancelled","Cancelled: keep this number unused and give a fresh receipt",IF(AND(H73&lt;&gt;"Cash",I73=""),"Enter the cheque no., UTR or UPI reference",IF(AND(L73&lt;&gt;"",N(L73)&lt;0),"More than the balance due on this invoice",IF(S73&gt;=200000,"₹2,00,000 or more in cash from this person today: barred, s.186",IF(T73&gt;=200000,"₹2,00,000 or more in cash against this invoice: barred, s.186",IF(AND(P73="T",H73="Cash",N(J73)&gt;=20000),"Loan of ₹20,000 or more in cash: barred, s.185",IF(AND(P73="D",H73="Cash",N(J73)&gt;=20000),"Cash deposit of ₹20,000 or more: ask your accountant whether s.185 applies",IF(AND(OR(P73="AG",P73="AS"),$E$9&lt;&gt;""),"Advance: also give a GST receipt voucher, s.31(3)(d) and Rule 50","OK"))))))))))))))))</f>
        <v/>
      </c>
      <c r="P73">
        <f>IF(G73="","",IFERROR(VLOOKUP(G73,Lists!$A$2:$B$9,2,FALSE),"?"))</f>
        <v/>
      </c>
      <c r="Q73">
        <f>IF(K73="Cancelled",0,N(J73))</f>
        <v/>
      </c>
      <c r="R73">
        <f>IF(OR(H73&lt;&gt;"Cash",P73="T",P73="D"),0,Q73)</f>
        <v/>
      </c>
      <c r="S73">
        <f>IF(R73=0,0,SUMIFS($R$18:$R$317,$B$18:$B$317,B73,$D$18:$D$317,D73))</f>
        <v/>
      </c>
      <c r="T73">
        <f>IF(OR(R73=0,E73=""),0,SUMIFS($R$18:$R$317,$E$18:$E$317,E73))</f>
        <v/>
      </c>
      <c r="U73">
        <f>IF(E73="","",IF(N(F73)&gt;0,F73,IFERROR(INDEX($F$18:$F$317,MATCH(E73,$E$18:$E$317,0)),"")))</f>
        <v/>
      </c>
      <c r="V73">
        <f>IF(OR(N73="",N73="OK",K73="Cancelled"),0,1)</f>
        <v/>
      </c>
    </row>
    <row r="74">
      <c r="B74" s="21" t="n"/>
      <c r="C74" s="22">
        <f>IF(B74="","",$E$10&amp;TEXT(N($E$11)+56,"000"))</f>
        <v/>
      </c>
      <c r="D74" s="14" t="n"/>
      <c r="E74" s="23" t="n"/>
      <c r="F74" s="24" t="n"/>
      <c r="G74" s="14" t="n"/>
      <c r="H74" s="14" t="n"/>
      <c r="I74" s="23" t="n"/>
      <c r="J74" s="24" t="n"/>
      <c r="K74" s="23" t="n"/>
      <c r="L74" s="25">
        <f>IF(OR(E74="",N(U74)=0),"",U74-SUMIFS(Q$18:Q74,E$18:E74,E74))</f>
        <v/>
      </c>
      <c r="M74" s="26">
        <f>IF(OR(N(J74)=0,K74="Cancelled"),"",IF(AND(N(J74)&gt;5000,P74&lt;&gt;"G"),"Yes: ₹1","No"))</f>
        <v/>
      </c>
      <c r="N74" s="27">
        <f>IF(AND(B74="",D74="",N(J74)=0),"",IF(B74="","Enter the date",IF(AND(ROW()&gt;18,B73=""),"Use the next empty row: a skipped row leaves a gap in the receipt numbers",IF(D74="","Enter who paid",IF(N(J74)=0,"Enter the amount",IF(G74="","Pick what the money was for",IF(P74="?","Pick what it was for from the list",IF(H74="","Pick how it was paid",IF(K74="Cancelled","Cancelled: keep this number unused and give a fresh receipt",IF(AND(H74&lt;&gt;"Cash",I74=""),"Enter the cheque no., UTR or UPI reference",IF(AND(L74&lt;&gt;"",N(L74)&lt;0),"More than the balance due on this invoice",IF(S74&gt;=200000,"₹2,00,000 or more in cash from this person today: barred, s.186",IF(T74&gt;=200000,"₹2,00,000 or more in cash against this invoice: barred, s.186",IF(AND(P74="T",H74="Cash",N(J74)&gt;=20000),"Loan of ₹20,000 or more in cash: barred, s.185",IF(AND(P74="D",H74="Cash",N(J74)&gt;=20000),"Cash deposit of ₹20,000 or more: ask your accountant whether s.185 applies",IF(AND(OR(P74="AG",P74="AS"),$E$9&lt;&gt;""),"Advance: also give a GST receipt voucher, s.31(3)(d) and Rule 50","OK"))))))))))))))))</f>
        <v/>
      </c>
      <c r="P74">
        <f>IF(G74="","",IFERROR(VLOOKUP(G74,Lists!$A$2:$B$9,2,FALSE),"?"))</f>
        <v/>
      </c>
      <c r="Q74">
        <f>IF(K74="Cancelled",0,N(J74))</f>
        <v/>
      </c>
      <c r="R74">
        <f>IF(OR(H74&lt;&gt;"Cash",P74="T",P74="D"),0,Q74)</f>
        <v/>
      </c>
      <c r="S74">
        <f>IF(R74=0,0,SUMIFS($R$18:$R$317,$B$18:$B$317,B74,$D$18:$D$317,D74))</f>
        <v/>
      </c>
      <c r="T74">
        <f>IF(OR(R74=0,E74=""),0,SUMIFS($R$18:$R$317,$E$18:$E$317,E74))</f>
        <v/>
      </c>
      <c r="U74">
        <f>IF(E74="","",IF(N(F74)&gt;0,F74,IFERROR(INDEX($F$18:$F$317,MATCH(E74,$E$18:$E$317,0)),"")))</f>
        <v/>
      </c>
      <c r="V74">
        <f>IF(OR(N74="",N74="OK",K74="Cancelled"),0,1)</f>
        <v/>
      </c>
    </row>
    <row r="75">
      <c r="B75" s="21" t="n"/>
      <c r="C75" s="22">
        <f>IF(B75="","",$E$10&amp;TEXT(N($E$11)+57,"000"))</f>
        <v/>
      </c>
      <c r="D75" s="14" t="n"/>
      <c r="E75" s="23" t="n"/>
      <c r="F75" s="24" t="n"/>
      <c r="G75" s="14" t="n"/>
      <c r="H75" s="14" t="n"/>
      <c r="I75" s="23" t="n"/>
      <c r="J75" s="24" t="n"/>
      <c r="K75" s="23" t="n"/>
      <c r="L75" s="25">
        <f>IF(OR(E75="",N(U75)=0),"",U75-SUMIFS(Q$18:Q75,E$18:E75,E75))</f>
        <v/>
      </c>
      <c r="M75" s="26">
        <f>IF(OR(N(J75)=0,K75="Cancelled"),"",IF(AND(N(J75)&gt;5000,P75&lt;&gt;"G"),"Yes: ₹1","No"))</f>
        <v/>
      </c>
      <c r="N75" s="27">
        <f>IF(AND(B75="",D75="",N(J75)=0),"",IF(B75="","Enter the date",IF(AND(ROW()&gt;18,B74=""),"Use the next empty row: a skipped row leaves a gap in the receipt numbers",IF(D75="","Enter who paid",IF(N(J75)=0,"Enter the amount",IF(G75="","Pick what the money was for",IF(P75="?","Pick what it was for from the list",IF(H75="","Pick how it was paid",IF(K75="Cancelled","Cancelled: keep this number unused and give a fresh receipt",IF(AND(H75&lt;&gt;"Cash",I75=""),"Enter the cheque no., UTR or UPI reference",IF(AND(L75&lt;&gt;"",N(L75)&lt;0),"More than the balance due on this invoice",IF(S75&gt;=200000,"₹2,00,000 or more in cash from this person today: barred, s.186",IF(T75&gt;=200000,"₹2,00,000 or more in cash against this invoice: barred, s.186",IF(AND(P75="T",H75="Cash",N(J75)&gt;=20000),"Loan of ₹20,000 or more in cash: barred, s.185",IF(AND(P75="D",H75="Cash",N(J75)&gt;=20000),"Cash deposit of ₹20,000 or more: ask your accountant whether s.185 applies",IF(AND(OR(P75="AG",P75="AS"),$E$9&lt;&gt;""),"Advance: also give a GST receipt voucher, s.31(3)(d) and Rule 50","OK"))))))))))))))))</f>
        <v/>
      </c>
      <c r="P75">
        <f>IF(G75="","",IFERROR(VLOOKUP(G75,Lists!$A$2:$B$9,2,FALSE),"?"))</f>
        <v/>
      </c>
      <c r="Q75">
        <f>IF(K75="Cancelled",0,N(J75))</f>
        <v/>
      </c>
      <c r="R75">
        <f>IF(OR(H75&lt;&gt;"Cash",P75="T",P75="D"),0,Q75)</f>
        <v/>
      </c>
      <c r="S75">
        <f>IF(R75=0,0,SUMIFS($R$18:$R$317,$B$18:$B$317,B75,$D$18:$D$317,D75))</f>
        <v/>
      </c>
      <c r="T75">
        <f>IF(OR(R75=0,E75=""),0,SUMIFS($R$18:$R$317,$E$18:$E$317,E75))</f>
        <v/>
      </c>
      <c r="U75">
        <f>IF(E75="","",IF(N(F75)&gt;0,F75,IFERROR(INDEX($F$18:$F$317,MATCH(E75,$E$18:$E$317,0)),"")))</f>
        <v/>
      </c>
      <c r="V75">
        <f>IF(OR(N75="",N75="OK",K75="Cancelled"),0,1)</f>
        <v/>
      </c>
    </row>
    <row r="76">
      <c r="B76" s="21" t="n"/>
      <c r="C76" s="22">
        <f>IF(B76="","",$E$10&amp;TEXT(N($E$11)+58,"000"))</f>
        <v/>
      </c>
      <c r="D76" s="14" t="n"/>
      <c r="E76" s="23" t="n"/>
      <c r="F76" s="24" t="n"/>
      <c r="G76" s="14" t="n"/>
      <c r="H76" s="14" t="n"/>
      <c r="I76" s="23" t="n"/>
      <c r="J76" s="24" t="n"/>
      <c r="K76" s="23" t="n"/>
      <c r="L76" s="25">
        <f>IF(OR(E76="",N(U76)=0),"",U76-SUMIFS(Q$18:Q76,E$18:E76,E76))</f>
        <v/>
      </c>
      <c r="M76" s="26">
        <f>IF(OR(N(J76)=0,K76="Cancelled"),"",IF(AND(N(J76)&gt;5000,P76&lt;&gt;"G"),"Yes: ₹1","No"))</f>
        <v/>
      </c>
      <c r="N76" s="27">
        <f>IF(AND(B76="",D76="",N(J76)=0),"",IF(B76="","Enter the date",IF(AND(ROW()&gt;18,B75=""),"Use the next empty row: a skipped row leaves a gap in the receipt numbers",IF(D76="","Enter who paid",IF(N(J76)=0,"Enter the amount",IF(G76="","Pick what the money was for",IF(P76="?","Pick what it was for from the list",IF(H76="","Pick how it was paid",IF(K76="Cancelled","Cancelled: keep this number unused and give a fresh receipt",IF(AND(H76&lt;&gt;"Cash",I76=""),"Enter the cheque no., UTR or UPI reference",IF(AND(L76&lt;&gt;"",N(L76)&lt;0),"More than the balance due on this invoice",IF(S76&gt;=200000,"₹2,00,000 or more in cash from this person today: barred, s.186",IF(T76&gt;=200000,"₹2,00,000 or more in cash against this invoice: barred, s.186",IF(AND(P76="T",H76="Cash",N(J76)&gt;=20000),"Loan of ₹20,000 or more in cash: barred, s.185",IF(AND(P76="D",H76="Cash",N(J76)&gt;=20000),"Cash deposit of ₹20,000 or more: ask your accountant whether s.185 applies",IF(AND(OR(P76="AG",P76="AS"),$E$9&lt;&gt;""),"Advance: also give a GST receipt voucher, s.31(3)(d) and Rule 50","OK"))))))))))))))))</f>
        <v/>
      </c>
      <c r="P76">
        <f>IF(G76="","",IFERROR(VLOOKUP(G76,Lists!$A$2:$B$9,2,FALSE),"?"))</f>
        <v/>
      </c>
      <c r="Q76">
        <f>IF(K76="Cancelled",0,N(J76))</f>
        <v/>
      </c>
      <c r="R76">
        <f>IF(OR(H76&lt;&gt;"Cash",P76="T",P76="D"),0,Q76)</f>
        <v/>
      </c>
      <c r="S76">
        <f>IF(R76=0,0,SUMIFS($R$18:$R$317,$B$18:$B$317,B76,$D$18:$D$317,D76))</f>
        <v/>
      </c>
      <c r="T76">
        <f>IF(OR(R76=0,E76=""),0,SUMIFS($R$18:$R$317,$E$18:$E$317,E76))</f>
        <v/>
      </c>
      <c r="U76">
        <f>IF(E76="","",IF(N(F76)&gt;0,F76,IFERROR(INDEX($F$18:$F$317,MATCH(E76,$E$18:$E$317,0)),"")))</f>
        <v/>
      </c>
      <c r="V76">
        <f>IF(OR(N76="",N76="OK",K76="Cancelled"),0,1)</f>
        <v/>
      </c>
    </row>
    <row r="77">
      <c r="B77" s="21" t="n"/>
      <c r="C77" s="22">
        <f>IF(B77="","",$E$10&amp;TEXT(N($E$11)+59,"000"))</f>
        <v/>
      </c>
      <c r="D77" s="14" t="n"/>
      <c r="E77" s="23" t="n"/>
      <c r="F77" s="24" t="n"/>
      <c r="G77" s="14" t="n"/>
      <c r="H77" s="14" t="n"/>
      <c r="I77" s="23" t="n"/>
      <c r="J77" s="24" t="n"/>
      <c r="K77" s="23" t="n"/>
      <c r="L77" s="25">
        <f>IF(OR(E77="",N(U77)=0),"",U77-SUMIFS(Q$18:Q77,E$18:E77,E77))</f>
        <v/>
      </c>
      <c r="M77" s="26">
        <f>IF(OR(N(J77)=0,K77="Cancelled"),"",IF(AND(N(J77)&gt;5000,P77&lt;&gt;"G"),"Yes: ₹1","No"))</f>
        <v/>
      </c>
      <c r="N77" s="27">
        <f>IF(AND(B77="",D77="",N(J77)=0),"",IF(B77="","Enter the date",IF(AND(ROW()&gt;18,B76=""),"Use the next empty row: a skipped row leaves a gap in the receipt numbers",IF(D77="","Enter who paid",IF(N(J77)=0,"Enter the amount",IF(G77="","Pick what the money was for",IF(P77="?","Pick what it was for from the list",IF(H77="","Pick how it was paid",IF(K77="Cancelled","Cancelled: keep this number unused and give a fresh receipt",IF(AND(H77&lt;&gt;"Cash",I77=""),"Enter the cheque no., UTR or UPI reference",IF(AND(L77&lt;&gt;"",N(L77)&lt;0),"More than the balance due on this invoice",IF(S77&gt;=200000,"₹2,00,000 or more in cash from this person today: barred, s.186",IF(T77&gt;=200000,"₹2,00,000 or more in cash against this invoice: barred, s.186",IF(AND(P77="T",H77="Cash",N(J77)&gt;=20000),"Loan of ₹20,000 or more in cash: barred, s.185",IF(AND(P77="D",H77="Cash",N(J77)&gt;=20000),"Cash deposit of ₹20,000 or more: ask your accountant whether s.185 applies",IF(AND(OR(P77="AG",P77="AS"),$E$9&lt;&gt;""),"Advance: also give a GST receipt voucher, s.31(3)(d) and Rule 50","OK"))))))))))))))))</f>
        <v/>
      </c>
      <c r="P77">
        <f>IF(G77="","",IFERROR(VLOOKUP(G77,Lists!$A$2:$B$9,2,FALSE),"?"))</f>
        <v/>
      </c>
      <c r="Q77">
        <f>IF(K77="Cancelled",0,N(J77))</f>
        <v/>
      </c>
      <c r="R77">
        <f>IF(OR(H77&lt;&gt;"Cash",P77="T",P77="D"),0,Q77)</f>
        <v/>
      </c>
      <c r="S77">
        <f>IF(R77=0,0,SUMIFS($R$18:$R$317,$B$18:$B$317,B77,$D$18:$D$317,D77))</f>
        <v/>
      </c>
      <c r="T77">
        <f>IF(OR(R77=0,E77=""),0,SUMIFS($R$18:$R$317,$E$18:$E$317,E77))</f>
        <v/>
      </c>
      <c r="U77">
        <f>IF(E77="","",IF(N(F77)&gt;0,F77,IFERROR(INDEX($F$18:$F$317,MATCH(E77,$E$18:$E$317,0)),"")))</f>
        <v/>
      </c>
      <c r="V77">
        <f>IF(OR(N77="",N77="OK",K77="Cancelled"),0,1)</f>
        <v/>
      </c>
    </row>
    <row r="78">
      <c r="B78" s="21" t="n"/>
      <c r="C78" s="22">
        <f>IF(B78="","",$E$10&amp;TEXT(N($E$11)+60,"000"))</f>
        <v/>
      </c>
      <c r="D78" s="14" t="n"/>
      <c r="E78" s="23" t="n"/>
      <c r="F78" s="24" t="n"/>
      <c r="G78" s="14" t="n"/>
      <c r="H78" s="14" t="n"/>
      <c r="I78" s="23" t="n"/>
      <c r="J78" s="24" t="n"/>
      <c r="K78" s="23" t="n"/>
      <c r="L78" s="25">
        <f>IF(OR(E78="",N(U78)=0),"",U78-SUMIFS(Q$18:Q78,E$18:E78,E78))</f>
        <v/>
      </c>
      <c r="M78" s="26">
        <f>IF(OR(N(J78)=0,K78="Cancelled"),"",IF(AND(N(J78)&gt;5000,P78&lt;&gt;"G"),"Yes: ₹1","No"))</f>
        <v/>
      </c>
      <c r="N78" s="27">
        <f>IF(AND(B78="",D78="",N(J78)=0),"",IF(B78="","Enter the date",IF(AND(ROW()&gt;18,B77=""),"Use the next empty row: a skipped row leaves a gap in the receipt numbers",IF(D78="","Enter who paid",IF(N(J78)=0,"Enter the amount",IF(G78="","Pick what the money was for",IF(P78="?","Pick what it was for from the list",IF(H78="","Pick how it was paid",IF(K78="Cancelled","Cancelled: keep this number unused and give a fresh receipt",IF(AND(H78&lt;&gt;"Cash",I78=""),"Enter the cheque no., UTR or UPI reference",IF(AND(L78&lt;&gt;"",N(L78)&lt;0),"More than the balance due on this invoice",IF(S78&gt;=200000,"₹2,00,000 or more in cash from this person today: barred, s.186",IF(T78&gt;=200000,"₹2,00,000 or more in cash against this invoice: barred, s.186",IF(AND(P78="T",H78="Cash",N(J78)&gt;=20000),"Loan of ₹20,000 or more in cash: barred, s.185",IF(AND(P78="D",H78="Cash",N(J78)&gt;=20000),"Cash deposit of ₹20,000 or more: ask your accountant whether s.185 applies",IF(AND(OR(P78="AG",P78="AS"),$E$9&lt;&gt;""),"Advance: also give a GST receipt voucher, s.31(3)(d) and Rule 50","OK"))))))))))))))))</f>
        <v/>
      </c>
      <c r="P78">
        <f>IF(G78="","",IFERROR(VLOOKUP(G78,Lists!$A$2:$B$9,2,FALSE),"?"))</f>
        <v/>
      </c>
      <c r="Q78">
        <f>IF(K78="Cancelled",0,N(J78))</f>
        <v/>
      </c>
      <c r="R78">
        <f>IF(OR(H78&lt;&gt;"Cash",P78="T",P78="D"),0,Q78)</f>
        <v/>
      </c>
      <c r="S78">
        <f>IF(R78=0,0,SUMIFS($R$18:$R$317,$B$18:$B$317,B78,$D$18:$D$317,D78))</f>
        <v/>
      </c>
      <c r="T78">
        <f>IF(OR(R78=0,E78=""),0,SUMIFS($R$18:$R$317,$E$18:$E$317,E78))</f>
        <v/>
      </c>
      <c r="U78">
        <f>IF(E78="","",IF(N(F78)&gt;0,F78,IFERROR(INDEX($F$18:$F$317,MATCH(E78,$E$18:$E$317,0)),"")))</f>
        <v/>
      </c>
      <c r="V78">
        <f>IF(OR(N78="",N78="OK",K78="Cancelled"),0,1)</f>
        <v/>
      </c>
    </row>
    <row r="79">
      <c r="B79" s="21" t="n"/>
      <c r="C79" s="22">
        <f>IF(B79="","",$E$10&amp;TEXT(N($E$11)+61,"000"))</f>
        <v/>
      </c>
      <c r="D79" s="14" t="n"/>
      <c r="E79" s="23" t="n"/>
      <c r="F79" s="24" t="n"/>
      <c r="G79" s="14" t="n"/>
      <c r="H79" s="14" t="n"/>
      <c r="I79" s="23" t="n"/>
      <c r="J79" s="24" t="n"/>
      <c r="K79" s="23" t="n"/>
      <c r="L79" s="25">
        <f>IF(OR(E79="",N(U79)=0),"",U79-SUMIFS(Q$18:Q79,E$18:E79,E79))</f>
        <v/>
      </c>
      <c r="M79" s="26">
        <f>IF(OR(N(J79)=0,K79="Cancelled"),"",IF(AND(N(J79)&gt;5000,P79&lt;&gt;"G"),"Yes: ₹1","No"))</f>
        <v/>
      </c>
      <c r="N79" s="27">
        <f>IF(AND(B79="",D79="",N(J79)=0),"",IF(B79="","Enter the date",IF(AND(ROW()&gt;18,B78=""),"Use the next empty row: a skipped row leaves a gap in the receipt numbers",IF(D79="","Enter who paid",IF(N(J79)=0,"Enter the amount",IF(G79="","Pick what the money was for",IF(P79="?","Pick what it was for from the list",IF(H79="","Pick how it was paid",IF(K79="Cancelled","Cancelled: keep this number unused and give a fresh receipt",IF(AND(H79&lt;&gt;"Cash",I79=""),"Enter the cheque no., UTR or UPI reference",IF(AND(L79&lt;&gt;"",N(L79)&lt;0),"More than the balance due on this invoice",IF(S79&gt;=200000,"₹2,00,000 or more in cash from this person today: barred, s.186",IF(T79&gt;=200000,"₹2,00,000 or more in cash against this invoice: barred, s.186",IF(AND(P79="T",H79="Cash",N(J79)&gt;=20000),"Loan of ₹20,000 or more in cash: barred, s.185",IF(AND(P79="D",H79="Cash",N(J79)&gt;=20000),"Cash deposit of ₹20,000 or more: ask your accountant whether s.185 applies",IF(AND(OR(P79="AG",P79="AS"),$E$9&lt;&gt;""),"Advance: also give a GST receipt voucher, s.31(3)(d) and Rule 50","OK"))))))))))))))))</f>
        <v/>
      </c>
      <c r="P79">
        <f>IF(G79="","",IFERROR(VLOOKUP(G79,Lists!$A$2:$B$9,2,FALSE),"?"))</f>
        <v/>
      </c>
      <c r="Q79">
        <f>IF(K79="Cancelled",0,N(J79))</f>
        <v/>
      </c>
      <c r="R79">
        <f>IF(OR(H79&lt;&gt;"Cash",P79="T",P79="D"),0,Q79)</f>
        <v/>
      </c>
      <c r="S79">
        <f>IF(R79=0,0,SUMIFS($R$18:$R$317,$B$18:$B$317,B79,$D$18:$D$317,D79))</f>
        <v/>
      </c>
      <c r="T79">
        <f>IF(OR(R79=0,E79=""),0,SUMIFS($R$18:$R$317,$E$18:$E$317,E79))</f>
        <v/>
      </c>
      <c r="U79">
        <f>IF(E79="","",IF(N(F79)&gt;0,F79,IFERROR(INDEX($F$18:$F$317,MATCH(E79,$E$18:$E$317,0)),"")))</f>
        <v/>
      </c>
      <c r="V79">
        <f>IF(OR(N79="",N79="OK",K79="Cancelled"),0,1)</f>
        <v/>
      </c>
    </row>
    <row r="80">
      <c r="B80" s="21" t="n"/>
      <c r="C80" s="22">
        <f>IF(B80="","",$E$10&amp;TEXT(N($E$11)+62,"000"))</f>
        <v/>
      </c>
      <c r="D80" s="14" t="n"/>
      <c r="E80" s="23" t="n"/>
      <c r="F80" s="24" t="n"/>
      <c r="G80" s="14" t="n"/>
      <c r="H80" s="14" t="n"/>
      <c r="I80" s="23" t="n"/>
      <c r="J80" s="24" t="n"/>
      <c r="K80" s="23" t="n"/>
      <c r="L80" s="25">
        <f>IF(OR(E80="",N(U80)=0),"",U80-SUMIFS(Q$18:Q80,E$18:E80,E80))</f>
        <v/>
      </c>
      <c r="M80" s="26">
        <f>IF(OR(N(J80)=0,K80="Cancelled"),"",IF(AND(N(J80)&gt;5000,P80&lt;&gt;"G"),"Yes: ₹1","No"))</f>
        <v/>
      </c>
      <c r="N80" s="27">
        <f>IF(AND(B80="",D80="",N(J80)=0),"",IF(B80="","Enter the date",IF(AND(ROW()&gt;18,B79=""),"Use the next empty row: a skipped row leaves a gap in the receipt numbers",IF(D80="","Enter who paid",IF(N(J80)=0,"Enter the amount",IF(G80="","Pick what the money was for",IF(P80="?","Pick what it was for from the list",IF(H80="","Pick how it was paid",IF(K80="Cancelled","Cancelled: keep this number unused and give a fresh receipt",IF(AND(H80&lt;&gt;"Cash",I80=""),"Enter the cheque no., UTR or UPI reference",IF(AND(L80&lt;&gt;"",N(L80)&lt;0),"More than the balance due on this invoice",IF(S80&gt;=200000,"₹2,00,000 or more in cash from this person today: barred, s.186",IF(T80&gt;=200000,"₹2,00,000 or more in cash against this invoice: barred, s.186",IF(AND(P80="T",H80="Cash",N(J80)&gt;=20000),"Loan of ₹20,000 or more in cash: barred, s.185",IF(AND(P80="D",H80="Cash",N(J80)&gt;=20000),"Cash deposit of ₹20,000 or more: ask your accountant whether s.185 applies",IF(AND(OR(P80="AG",P80="AS"),$E$9&lt;&gt;""),"Advance: also give a GST receipt voucher, s.31(3)(d) and Rule 50","OK"))))))))))))))))</f>
        <v/>
      </c>
      <c r="P80">
        <f>IF(G80="","",IFERROR(VLOOKUP(G80,Lists!$A$2:$B$9,2,FALSE),"?"))</f>
        <v/>
      </c>
      <c r="Q80">
        <f>IF(K80="Cancelled",0,N(J80))</f>
        <v/>
      </c>
      <c r="R80">
        <f>IF(OR(H80&lt;&gt;"Cash",P80="T",P80="D"),0,Q80)</f>
        <v/>
      </c>
      <c r="S80">
        <f>IF(R80=0,0,SUMIFS($R$18:$R$317,$B$18:$B$317,B80,$D$18:$D$317,D80))</f>
        <v/>
      </c>
      <c r="T80">
        <f>IF(OR(R80=0,E80=""),0,SUMIFS($R$18:$R$317,$E$18:$E$317,E80))</f>
        <v/>
      </c>
      <c r="U80">
        <f>IF(E80="","",IF(N(F80)&gt;0,F80,IFERROR(INDEX($F$18:$F$317,MATCH(E80,$E$18:$E$317,0)),"")))</f>
        <v/>
      </c>
      <c r="V80">
        <f>IF(OR(N80="",N80="OK",K80="Cancelled"),0,1)</f>
        <v/>
      </c>
    </row>
    <row r="81">
      <c r="B81" s="21" t="n"/>
      <c r="C81" s="22">
        <f>IF(B81="","",$E$10&amp;TEXT(N($E$11)+63,"000"))</f>
        <v/>
      </c>
      <c r="D81" s="14" t="n"/>
      <c r="E81" s="23" t="n"/>
      <c r="F81" s="24" t="n"/>
      <c r="G81" s="14" t="n"/>
      <c r="H81" s="14" t="n"/>
      <c r="I81" s="23" t="n"/>
      <c r="J81" s="24" t="n"/>
      <c r="K81" s="23" t="n"/>
      <c r="L81" s="25">
        <f>IF(OR(E81="",N(U81)=0),"",U81-SUMIFS(Q$18:Q81,E$18:E81,E81))</f>
        <v/>
      </c>
      <c r="M81" s="26">
        <f>IF(OR(N(J81)=0,K81="Cancelled"),"",IF(AND(N(J81)&gt;5000,P81&lt;&gt;"G"),"Yes: ₹1","No"))</f>
        <v/>
      </c>
      <c r="N81" s="27">
        <f>IF(AND(B81="",D81="",N(J81)=0),"",IF(B81="","Enter the date",IF(AND(ROW()&gt;18,B80=""),"Use the next empty row: a skipped row leaves a gap in the receipt numbers",IF(D81="","Enter who paid",IF(N(J81)=0,"Enter the amount",IF(G81="","Pick what the money was for",IF(P81="?","Pick what it was for from the list",IF(H81="","Pick how it was paid",IF(K81="Cancelled","Cancelled: keep this number unused and give a fresh receipt",IF(AND(H81&lt;&gt;"Cash",I81=""),"Enter the cheque no., UTR or UPI reference",IF(AND(L81&lt;&gt;"",N(L81)&lt;0),"More than the balance due on this invoice",IF(S81&gt;=200000,"₹2,00,000 or more in cash from this person today: barred, s.186",IF(T81&gt;=200000,"₹2,00,000 or more in cash against this invoice: barred, s.186",IF(AND(P81="T",H81="Cash",N(J81)&gt;=20000),"Loan of ₹20,000 or more in cash: barred, s.185",IF(AND(P81="D",H81="Cash",N(J81)&gt;=20000),"Cash deposit of ₹20,000 or more: ask your accountant whether s.185 applies",IF(AND(OR(P81="AG",P81="AS"),$E$9&lt;&gt;""),"Advance: also give a GST receipt voucher, s.31(3)(d) and Rule 50","OK"))))))))))))))))</f>
        <v/>
      </c>
      <c r="P81">
        <f>IF(G81="","",IFERROR(VLOOKUP(G81,Lists!$A$2:$B$9,2,FALSE),"?"))</f>
        <v/>
      </c>
      <c r="Q81">
        <f>IF(K81="Cancelled",0,N(J81))</f>
        <v/>
      </c>
      <c r="R81">
        <f>IF(OR(H81&lt;&gt;"Cash",P81="T",P81="D"),0,Q81)</f>
        <v/>
      </c>
      <c r="S81">
        <f>IF(R81=0,0,SUMIFS($R$18:$R$317,$B$18:$B$317,B81,$D$18:$D$317,D81))</f>
        <v/>
      </c>
      <c r="T81">
        <f>IF(OR(R81=0,E81=""),0,SUMIFS($R$18:$R$317,$E$18:$E$317,E81))</f>
        <v/>
      </c>
      <c r="U81">
        <f>IF(E81="","",IF(N(F81)&gt;0,F81,IFERROR(INDEX($F$18:$F$317,MATCH(E81,$E$18:$E$317,0)),"")))</f>
        <v/>
      </c>
      <c r="V81">
        <f>IF(OR(N81="",N81="OK",K81="Cancelled"),0,1)</f>
        <v/>
      </c>
    </row>
    <row r="82">
      <c r="B82" s="21" t="n"/>
      <c r="C82" s="22">
        <f>IF(B82="","",$E$10&amp;TEXT(N($E$11)+64,"000"))</f>
        <v/>
      </c>
      <c r="D82" s="14" t="n"/>
      <c r="E82" s="23" t="n"/>
      <c r="F82" s="24" t="n"/>
      <c r="G82" s="14" t="n"/>
      <c r="H82" s="14" t="n"/>
      <c r="I82" s="23" t="n"/>
      <c r="J82" s="24" t="n"/>
      <c r="K82" s="23" t="n"/>
      <c r="L82" s="25">
        <f>IF(OR(E82="",N(U82)=0),"",U82-SUMIFS(Q$18:Q82,E$18:E82,E82))</f>
        <v/>
      </c>
      <c r="M82" s="26">
        <f>IF(OR(N(J82)=0,K82="Cancelled"),"",IF(AND(N(J82)&gt;5000,P82&lt;&gt;"G"),"Yes: ₹1","No"))</f>
        <v/>
      </c>
      <c r="N82" s="27">
        <f>IF(AND(B82="",D82="",N(J82)=0),"",IF(B82="","Enter the date",IF(AND(ROW()&gt;18,B81=""),"Use the next empty row: a skipped row leaves a gap in the receipt numbers",IF(D82="","Enter who paid",IF(N(J82)=0,"Enter the amount",IF(G82="","Pick what the money was for",IF(P82="?","Pick what it was for from the list",IF(H82="","Pick how it was paid",IF(K82="Cancelled","Cancelled: keep this number unused and give a fresh receipt",IF(AND(H82&lt;&gt;"Cash",I82=""),"Enter the cheque no., UTR or UPI reference",IF(AND(L82&lt;&gt;"",N(L82)&lt;0),"More than the balance due on this invoice",IF(S82&gt;=200000,"₹2,00,000 or more in cash from this person today: barred, s.186",IF(T82&gt;=200000,"₹2,00,000 or more in cash against this invoice: barred, s.186",IF(AND(P82="T",H82="Cash",N(J82)&gt;=20000),"Loan of ₹20,000 or more in cash: barred, s.185",IF(AND(P82="D",H82="Cash",N(J82)&gt;=20000),"Cash deposit of ₹20,000 or more: ask your accountant whether s.185 applies",IF(AND(OR(P82="AG",P82="AS"),$E$9&lt;&gt;""),"Advance: also give a GST receipt voucher, s.31(3)(d) and Rule 50","OK"))))))))))))))))</f>
        <v/>
      </c>
      <c r="P82">
        <f>IF(G82="","",IFERROR(VLOOKUP(G82,Lists!$A$2:$B$9,2,FALSE),"?"))</f>
        <v/>
      </c>
      <c r="Q82">
        <f>IF(K82="Cancelled",0,N(J82))</f>
        <v/>
      </c>
      <c r="R82">
        <f>IF(OR(H82&lt;&gt;"Cash",P82="T",P82="D"),0,Q82)</f>
        <v/>
      </c>
      <c r="S82">
        <f>IF(R82=0,0,SUMIFS($R$18:$R$317,$B$18:$B$317,B82,$D$18:$D$317,D82))</f>
        <v/>
      </c>
      <c r="T82">
        <f>IF(OR(R82=0,E82=""),0,SUMIFS($R$18:$R$317,$E$18:$E$317,E82))</f>
        <v/>
      </c>
      <c r="U82">
        <f>IF(E82="","",IF(N(F82)&gt;0,F82,IFERROR(INDEX($F$18:$F$317,MATCH(E82,$E$18:$E$317,0)),"")))</f>
        <v/>
      </c>
      <c r="V82">
        <f>IF(OR(N82="",N82="OK",K82="Cancelled"),0,1)</f>
        <v/>
      </c>
    </row>
    <row r="83">
      <c r="B83" s="21" t="n"/>
      <c r="C83" s="22">
        <f>IF(B83="","",$E$10&amp;TEXT(N($E$11)+65,"000"))</f>
        <v/>
      </c>
      <c r="D83" s="14" t="n"/>
      <c r="E83" s="23" t="n"/>
      <c r="F83" s="24" t="n"/>
      <c r="G83" s="14" t="n"/>
      <c r="H83" s="14" t="n"/>
      <c r="I83" s="23" t="n"/>
      <c r="J83" s="24" t="n"/>
      <c r="K83" s="23" t="n"/>
      <c r="L83" s="25">
        <f>IF(OR(E83="",N(U83)=0),"",U83-SUMIFS(Q$18:Q83,E$18:E83,E83))</f>
        <v/>
      </c>
      <c r="M83" s="26">
        <f>IF(OR(N(J83)=0,K83="Cancelled"),"",IF(AND(N(J83)&gt;5000,P83&lt;&gt;"G"),"Yes: ₹1","No"))</f>
        <v/>
      </c>
      <c r="N83" s="27">
        <f>IF(AND(B83="",D83="",N(J83)=0),"",IF(B83="","Enter the date",IF(AND(ROW()&gt;18,B82=""),"Use the next empty row: a skipped row leaves a gap in the receipt numbers",IF(D83="","Enter who paid",IF(N(J83)=0,"Enter the amount",IF(G83="","Pick what the money was for",IF(P83="?","Pick what it was for from the list",IF(H83="","Pick how it was paid",IF(K83="Cancelled","Cancelled: keep this number unused and give a fresh receipt",IF(AND(H83&lt;&gt;"Cash",I83=""),"Enter the cheque no., UTR or UPI reference",IF(AND(L83&lt;&gt;"",N(L83)&lt;0),"More than the balance due on this invoice",IF(S83&gt;=200000,"₹2,00,000 or more in cash from this person today: barred, s.186",IF(T83&gt;=200000,"₹2,00,000 or more in cash against this invoice: barred, s.186",IF(AND(P83="T",H83="Cash",N(J83)&gt;=20000),"Loan of ₹20,000 or more in cash: barred, s.185",IF(AND(P83="D",H83="Cash",N(J83)&gt;=20000),"Cash deposit of ₹20,000 or more: ask your accountant whether s.185 applies",IF(AND(OR(P83="AG",P83="AS"),$E$9&lt;&gt;""),"Advance: also give a GST receipt voucher, s.31(3)(d) and Rule 50","OK"))))))))))))))))</f>
        <v/>
      </c>
      <c r="P83">
        <f>IF(G83="","",IFERROR(VLOOKUP(G83,Lists!$A$2:$B$9,2,FALSE),"?"))</f>
        <v/>
      </c>
      <c r="Q83">
        <f>IF(K83="Cancelled",0,N(J83))</f>
        <v/>
      </c>
      <c r="R83">
        <f>IF(OR(H83&lt;&gt;"Cash",P83="T",P83="D"),0,Q83)</f>
        <v/>
      </c>
      <c r="S83">
        <f>IF(R83=0,0,SUMIFS($R$18:$R$317,$B$18:$B$317,B83,$D$18:$D$317,D83))</f>
        <v/>
      </c>
      <c r="T83">
        <f>IF(OR(R83=0,E83=""),0,SUMIFS($R$18:$R$317,$E$18:$E$317,E83))</f>
        <v/>
      </c>
      <c r="U83">
        <f>IF(E83="","",IF(N(F83)&gt;0,F83,IFERROR(INDEX($F$18:$F$317,MATCH(E83,$E$18:$E$317,0)),"")))</f>
        <v/>
      </c>
      <c r="V83">
        <f>IF(OR(N83="",N83="OK",K83="Cancelled"),0,1)</f>
        <v/>
      </c>
    </row>
    <row r="84">
      <c r="B84" s="21" t="n"/>
      <c r="C84" s="22">
        <f>IF(B84="","",$E$10&amp;TEXT(N($E$11)+66,"000"))</f>
        <v/>
      </c>
      <c r="D84" s="14" t="n"/>
      <c r="E84" s="23" t="n"/>
      <c r="F84" s="24" t="n"/>
      <c r="G84" s="14" t="n"/>
      <c r="H84" s="14" t="n"/>
      <c r="I84" s="23" t="n"/>
      <c r="J84" s="24" t="n"/>
      <c r="K84" s="23" t="n"/>
      <c r="L84" s="25">
        <f>IF(OR(E84="",N(U84)=0),"",U84-SUMIFS(Q$18:Q84,E$18:E84,E84))</f>
        <v/>
      </c>
      <c r="M84" s="26">
        <f>IF(OR(N(J84)=0,K84="Cancelled"),"",IF(AND(N(J84)&gt;5000,P84&lt;&gt;"G"),"Yes: ₹1","No"))</f>
        <v/>
      </c>
      <c r="N84" s="27">
        <f>IF(AND(B84="",D84="",N(J84)=0),"",IF(B84="","Enter the date",IF(AND(ROW()&gt;18,B83=""),"Use the next empty row: a skipped row leaves a gap in the receipt numbers",IF(D84="","Enter who paid",IF(N(J84)=0,"Enter the amount",IF(G84="","Pick what the money was for",IF(P84="?","Pick what it was for from the list",IF(H84="","Pick how it was paid",IF(K84="Cancelled","Cancelled: keep this number unused and give a fresh receipt",IF(AND(H84&lt;&gt;"Cash",I84=""),"Enter the cheque no., UTR or UPI reference",IF(AND(L84&lt;&gt;"",N(L84)&lt;0),"More than the balance due on this invoice",IF(S84&gt;=200000,"₹2,00,000 or more in cash from this person today: barred, s.186",IF(T84&gt;=200000,"₹2,00,000 or more in cash against this invoice: barred, s.186",IF(AND(P84="T",H84="Cash",N(J84)&gt;=20000),"Loan of ₹20,000 or more in cash: barred, s.185",IF(AND(P84="D",H84="Cash",N(J84)&gt;=20000),"Cash deposit of ₹20,000 or more: ask your accountant whether s.185 applies",IF(AND(OR(P84="AG",P84="AS"),$E$9&lt;&gt;""),"Advance: also give a GST receipt voucher, s.31(3)(d) and Rule 50","OK"))))))))))))))))</f>
        <v/>
      </c>
      <c r="P84">
        <f>IF(G84="","",IFERROR(VLOOKUP(G84,Lists!$A$2:$B$9,2,FALSE),"?"))</f>
        <v/>
      </c>
      <c r="Q84">
        <f>IF(K84="Cancelled",0,N(J84))</f>
        <v/>
      </c>
      <c r="R84">
        <f>IF(OR(H84&lt;&gt;"Cash",P84="T",P84="D"),0,Q84)</f>
        <v/>
      </c>
      <c r="S84">
        <f>IF(R84=0,0,SUMIFS($R$18:$R$317,$B$18:$B$317,B84,$D$18:$D$317,D84))</f>
        <v/>
      </c>
      <c r="T84">
        <f>IF(OR(R84=0,E84=""),0,SUMIFS($R$18:$R$317,$E$18:$E$317,E84))</f>
        <v/>
      </c>
      <c r="U84">
        <f>IF(E84="","",IF(N(F84)&gt;0,F84,IFERROR(INDEX($F$18:$F$317,MATCH(E84,$E$18:$E$317,0)),"")))</f>
        <v/>
      </c>
      <c r="V84">
        <f>IF(OR(N84="",N84="OK",K84="Cancelled"),0,1)</f>
        <v/>
      </c>
    </row>
    <row r="85">
      <c r="B85" s="21" t="n"/>
      <c r="C85" s="22">
        <f>IF(B85="","",$E$10&amp;TEXT(N($E$11)+67,"000"))</f>
        <v/>
      </c>
      <c r="D85" s="14" t="n"/>
      <c r="E85" s="23" t="n"/>
      <c r="F85" s="24" t="n"/>
      <c r="G85" s="14" t="n"/>
      <c r="H85" s="14" t="n"/>
      <c r="I85" s="23" t="n"/>
      <c r="J85" s="24" t="n"/>
      <c r="K85" s="23" t="n"/>
      <c r="L85" s="25">
        <f>IF(OR(E85="",N(U85)=0),"",U85-SUMIFS(Q$18:Q85,E$18:E85,E85))</f>
        <v/>
      </c>
      <c r="M85" s="26">
        <f>IF(OR(N(J85)=0,K85="Cancelled"),"",IF(AND(N(J85)&gt;5000,P85&lt;&gt;"G"),"Yes: ₹1","No"))</f>
        <v/>
      </c>
      <c r="N85" s="27">
        <f>IF(AND(B85="",D85="",N(J85)=0),"",IF(B85="","Enter the date",IF(AND(ROW()&gt;18,B84=""),"Use the next empty row: a skipped row leaves a gap in the receipt numbers",IF(D85="","Enter who paid",IF(N(J85)=0,"Enter the amount",IF(G85="","Pick what the money was for",IF(P85="?","Pick what it was for from the list",IF(H85="","Pick how it was paid",IF(K85="Cancelled","Cancelled: keep this number unused and give a fresh receipt",IF(AND(H85&lt;&gt;"Cash",I85=""),"Enter the cheque no., UTR or UPI reference",IF(AND(L85&lt;&gt;"",N(L85)&lt;0),"More than the balance due on this invoice",IF(S85&gt;=200000,"₹2,00,000 or more in cash from this person today: barred, s.186",IF(T85&gt;=200000,"₹2,00,000 or more in cash against this invoice: barred, s.186",IF(AND(P85="T",H85="Cash",N(J85)&gt;=20000),"Loan of ₹20,000 or more in cash: barred, s.185",IF(AND(P85="D",H85="Cash",N(J85)&gt;=20000),"Cash deposit of ₹20,000 or more: ask your accountant whether s.185 applies",IF(AND(OR(P85="AG",P85="AS"),$E$9&lt;&gt;""),"Advance: also give a GST receipt voucher, s.31(3)(d) and Rule 50","OK"))))))))))))))))</f>
        <v/>
      </c>
      <c r="P85">
        <f>IF(G85="","",IFERROR(VLOOKUP(G85,Lists!$A$2:$B$9,2,FALSE),"?"))</f>
        <v/>
      </c>
      <c r="Q85">
        <f>IF(K85="Cancelled",0,N(J85))</f>
        <v/>
      </c>
      <c r="R85">
        <f>IF(OR(H85&lt;&gt;"Cash",P85="T",P85="D"),0,Q85)</f>
        <v/>
      </c>
      <c r="S85">
        <f>IF(R85=0,0,SUMIFS($R$18:$R$317,$B$18:$B$317,B85,$D$18:$D$317,D85))</f>
        <v/>
      </c>
      <c r="T85">
        <f>IF(OR(R85=0,E85=""),0,SUMIFS($R$18:$R$317,$E$18:$E$317,E85))</f>
        <v/>
      </c>
      <c r="U85">
        <f>IF(E85="","",IF(N(F85)&gt;0,F85,IFERROR(INDEX($F$18:$F$317,MATCH(E85,$E$18:$E$317,0)),"")))</f>
        <v/>
      </c>
      <c r="V85">
        <f>IF(OR(N85="",N85="OK",K85="Cancelled"),0,1)</f>
        <v/>
      </c>
    </row>
    <row r="86">
      <c r="B86" s="21" t="n"/>
      <c r="C86" s="22">
        <f>IF(B86="","",$E$10&amp;TEXT(N($E$11)+68,"000"))</f>
        <v/>
      </c>
      <c r="D86" s="14" t="n"/>
      <c r="E86" s="23" t="n"/>
      <c r="F86" s="24" t="n"/>
      <c r="G86" s="14" t="n"/>
      <c r="H86" s="14" t="n"/>
      <c r="I86" s="23" t="n"/>
      <c r="J86" s="24" t="n"/>
      <c r="K86" s="23" t="n"/>
      <c r="L86" s="25">
        <f>IF(OR(E86="",N(U86)=0),"",U86-SUMIFS(Q$18:Q86,E$18:E86,E86))</f>
        <v/>
      </c>
      <c r="M86" s="26">
        <f>IF(OR(N(J86)=0,K86="Cancelled"),"",IF(AND(N(J86)&gt;5000,P86&lt;&gt;"G"),"Yes: ₹1","No"))</f>
        <v/>
      </c>
      <c r="N86" s="27">
        <f>IF(AND(B86="",D86="",N(J86)=0),"",IF(B86="","Enter the date",IF(AND(ROW()&gt;18,B85=""),"Use the next empty row: a skipped row leaves a gap in the receipt numbers",IF(D86="","Enter who paid",IF(N(J86)=0,"Enter the amount",IF(G86="","Pick what the money was for",IF(P86="?","Pick what it was for from the list",IF(H86="","Pick how it was paid",IF(K86="Cancelled","Cancelled: keep this number unused and give a fresh receipt",IF(AND(H86&lt;&gt;"Cash",I86=""),"Enter the cheque no., UTR or UPI reference",IF(AND(L86&lt;&gt;"",N(L86)&lt;0),"More than the balance due on this invoice",IF(S86&gt;=200000,"₹2,00,000 or more in cash from this person today: barred, s.186",IF(T86&gt;=200000,"₹2,00,000 or more in cash against this invoice: barred, s.186",IF(AND(P86="T",H86="Cash",N(J86)&gt;=20000),"Loan of ₹20,000 or more in cash: barred, s.185",IF(AND(P86="D",H86="Cash",N(J86)&gt;=20000),"Cash deposit of ₹20,000 or more: ask your accountant whether s.185 applies",IF(AND(OR(P86="AG",P86="AS"),$E$9&lt;&gt;""),"Advance: also give a GST receipt voucher, s.31(3)(d) and Rule 50","OK"))))))))))))))))</f>
        <v/>
      </c>
      <c r="P86">
        <f>IF(G86="","",IFERROR(VLOOKUP(G86,Lists!$A$2:$B$9,2,FALSE),"?"))</f>
        <v/>
      </c>
      <c r="Q86">
        <f>IF(K86="Cancelled",0,N(J86))</f>
        <v/>
      </c>
      <c r="R86">
        <f>IF(OR(H86&lt;&gt;"Cash",P86="T",P86="D"),0,Q86)</f>
        <v/>
      </c>
      <c r="S86">
        <f>IF(R86=0,0,SUMIFS($R$18:$R$317,$B$18:$B$317,B86,$D$18:$D$317,D86))</f>
        <v/>
      </c>
      <c r="T86">
        <f>IF(OR(R86=0,E86=""),0,SUMIFS($R$18:$R$317,$E$18:$E$317,E86))</f>
        <v/>
      </c>
      <c r="U86">
        <f>IF(E86="","",IF(N(F86)&gt;0,F86,IFERROR(INDEX($F$18:$F$317,MATCH(E86,$E$18:$E$317,0)),"")))</f>
        <v/>
      </c>
      <c r="V86">
        <f>IF(OR(N86="",N86="OK",K86="Cancelled"),0,1)</f>
        <v/>
      </c>
    </row>
    <row r="87">
      <c r="B87" s="21" t="n"/>
      <c r="C87" s="22">
        <f>IF(B87="","",$E$10&amp;TEXT(N($E$11)+69,"000"))</f>
        <v/>
      </c>
      <c r="D87" s="14" t="n"/>
      <c r="E87" s="23" t="n"/>
      <c r="F87" s="24" t="n"/>
      <c r="G87" s="14" t="n"/>
      <c r="H87" s="14" t="n"/>
      <c r="I87" s="23" t="n"/>
      <c r="J87" s="24" t="n"/>
      <c r="K87" s="23" t="n"/>
      <c r="L87" s="25">
        <f>IF(OR(E87="",N(U87)=0),"",U87-SUMIFS(Q$18:Q87,E$18:E87,E87))</f>
        <v/>
      </c>
      <c r="M87" s="26">
        <f>IF(OR(N(J87)=0,K87="Cancelled"),"",IF(AND(N(J87)&gt;5000,P87&lt;&gt;"G"),"Yes: ₹1","No"))</f>
        <v/>
      </c>
      <c r="N87" s="27">
        <f>IF(AND(B87="",D87="",N(J87)=0),"",IF(B87="","Enter the date",IF(AND(ROW()&gt;18,B86=""),"Use the next empty row: a skipped row leaves a gap in the receipt numbers",IF(D87="","Enter who paid",IF(N(J87)=0,"Enter the amount",IF(G87="","Pick what the money was for",IF(P87="?","Pick what it was for from the list",IF(H87="","Pick how it was paid",IF(K87="Cancelled","Cancelled: keep this number unused and give a fresh receipt",IF(AND(H87&lt;&gt;"Cash",I87=""),"Enter the cheque no., UTR or UPI reference",IF(AND(L87&lt;&gt;"",N(L87)&lt;0),"More than the balance due on this invoice",IF(S87&gt;=200000,"₹2,00,000 or more in cash from this person today: barred, s.186",IF(T87&gt;=200000,"₹2,00,000 or more in cash against this invoice: barred, s.186",IF(AND(P87="T",H87="Cash",N(J87)&gt;=20000),"Loan of ₹20,000 or more in cash: barred, s.185",IF(AND(P87="D",H87="Cash",N(J87)&gt;=20000),"Cash deposit of ₹20,000 or more: ask your accountant whether s.185 applies",IF(AND(OR(P87="AG",P87="AS"),$E$9&lt;&gt;""),"Advance: also give a GST receipt voucher, s.31(3)(d) and Rule 50","OK"))))))))))))))))</f>
        <v/>
      </c>
      <c r="P87">
        <f>IF(G87="","",IFERROR(VLOOKUP(G87,Lists!$A$2:$B$9,2,FALSE),"?"))</f>
        <v/>
      </c>
      <c r="Q87">
        <f>IF(K87="Cancelled",0,N(J87))</f>
        <v/>
      </c>
      <c r="R87">
        <f>IF(OR(H87&lt;&gt;"Cash",P87="T",P87="D"),0,Q87)</f>
        <v/>
      </c>
      <c r="S87">
        <f>IF(R87=0,0,SUMIFS($R$18:$R$317,$B$18:$B$317,B87,$D$18:$D$317,D87))</f>
        <v/>
      </c>
      <c r="T87">
        <f>IF(OR(R87=0,E87=""),0,SUMIFS($R$18:$R$317,$E$18:$E$317,E87))</f>
        <v/>
      </c>
      <c r="U87">
        <f>IF(E87="","",IF(N(F87)&gt;0,F87,IFERROR(INDEX($F$18:$F$317,MATCH(E87,$E$18:$E$317,0)),"")))</f>
        <v/>
      </c>
      <c r="V87">
        <f>IF(OR(N87="",N87="OK",K87="Cancelled"),0,1)</f>
        <v/>
      </c>
    </row>
    <row r="88">
      <c r="B88" s="21" t="n"/>
      <c r="C88" s="22">
        <f>IF(B88="","",$E$10&amp;TEXT(N($E$11)+70,"000"))</f>
        <v/>
      </c>
      <c r="D88" s="14" t="n"/>
      <c r="E88" s="23" t="n"/>
      <c r="F88" s="24" t="n"/>
      <c r="G88" s="14" t="n"/>
      <c r="H88" s="14" t="n"/>
      <c r="I88" s="23" t="n"/>
      <c r="J88" s="24" t="n"/>
      <c r="K88" s="23" t="n"/>
      <c r="L88" s="25">
        <f>IF(OR(E88="",N(U88)=0),"",U88-SUMIFS(Q$18:Q88,E$18:E88,E88))</f>
        <v/>
      </c>
      <c r="M88" s="26">
        <f>IF(OR(N(J88)=0,K88="Cancelled"),"",IF(AND(N(J88)&gt;5000,P88&lt;&gt;"G"),"Yes: ₹1","No"))</f>
        <v/>
      </c>
      <c r="N88" s="27">
        <f>IF(AND(B88="",D88="",N(J88)=0),"",IF(B88="","Enter the date",IF(AND(ROW()&gt;18,B87=""),"Use the next empty row: a skipped row leaves a gap in the receipt numbers",IF(D88="","Enter who paid",IF(N(J88)=0,"Enter the amount",IF(G88="","Pick what the money was for",IF(P88="?","Pick what it was for from the list",IF(H88="","Pick how it was paid",IF(K88="Cancelled","Cancelled: keep this number unused and give a fresh receipt",IF(AND(H88&lt;&gt;"Cash",I88=""),"Enter the cheque no., UTR or UPI reference",IF(AND(L88&lt;&gt;"",N(L88)&lt;0),"More than the balance due on this invoice",IF(S88&gt;=200000,"₹2,00,000 or more in cash from this person today: barred, s.186",IF(T88&gt;=200000,"₹2,00,000 or more in cash against this invoice: barred, s.186",IF(AND(P88="T",H88="Cash",N(J88)&gt;=20000),"Loan of ₹20,000 or more in cash: barred, s.185",IF(AND(P88="D",H88="Cash",N(J88)&gt;=20000),"Cash deposit of ₹20,000 or more: ask your accountant whether s.185 applies",IF(AND(OR(P88="AG",P88="AS"),$E$9&lt;&gt;""),"Advance: also give a GST receipt voucher, s.31(3)(d) and Rule 50","OK"))))))))))))))))</f>
        <v/>
      </c>
      <c r="P88">
        <f>IF(G88="","",IFERROR(VLOOKUP(G88,Lists!$A$2:$B$9,2,FALSE),"?"))</f>
        <v/>
      </c>
      <c r="Q88">
        <f>IF(K88="Cancelled",0,N(J88))</f>
        <v/>
      </c>
      <c r="R88">
        <f>IF(OR(H88&lt;&gt;"Cash",P88="T",P88="D"),0,Q88)</f>
        <v/>
      </c>
      <c r="S88">
        <f>IF(R88=0,0,SUMIFS($R$18:$R$317,$B$18:$B$317,B88,$D$18:$D$317,D88))</f>
        <v/>
      </c>
      <c r="T88">
        <f>IF(OR(R88=0,E88=""),0,SUMIFS($R$18:$R$317,$E$18:$E$317,E88))</f>
        <v/>
      </c>
      <c r="U88">
        <f>IF(E88="","",IF(N(F88)&gt;0,F88,IFERROR(INDEX($F$18:$F$317,MATCH(E88,$E$18:$E$317,0)),"")))</f>
        <v/>
      </c>
      <c r="V88">
        <f>IF(OR(N88="",N88="OK",K88="Cancelled"),0,1)</f>
        <v/>
      </c>
    </row>
    <row r="89">
      <c r="B89" s="21" t="n"/>
      <c r="C89" s="22">
        <f>IF(B89="","",$E$10&amp;TEXT(N($E$11)+71,"000"))</f>
        <v/>
      </c>
      <c r="D89" s="14" t="n"/>
      <c r="E89" s="23" t="n"/>
      <c r="F89" s="24" t="n"/>
      <c r="G89" s="14" t="n"/>
      <c r="H89" s="14" t="n"/>
      <c r="I89" s="23" t="n"/>
      <c r="J89" s="24" t="n"/>
      <c r="K89" s="23" t="n"/>
      <c r="L89" s="25">
        <f>IF(OR(E89="",N(U89)=0),"",U89-SUMIFS(Q$18:Q89,E$18:E89,E89))</f>
        <v/>
      </c>
      <c r="M89" s="26">
        <f>IF(OR(N(J89)=0,K89="Cancelled"),"",IF(AND(N(J89)&gt;5000,P89&lt;&gt;"G"),"Yes: ₹1","No"))</f>
        <v/>
      </c>
      <c r="N89" s="27">
        <f>IF(AND(B89="",D89="",N(J89)=0),"",IF(B89="","Enter the date",IF(AND(ROW()&gt;18,B88=""),"Use the next empty row: a skipped row leaves a gap in the receipt numbers",IF(D89="","Enter who paid",IF(N(J89)=0,"Enter the amount",IF(G89="","Pick what the money was for",IF(P89="?","Pick what it was for from the list",IF(H89="","Pick how it was paid",IF(K89="Cancelled","Cancelled: keep this number unused and give a fresh receipt",IF(AND(H89&lt;&gt;"Cash",I89=""),"Enter the cheque no., UTR or UPI reference",IF(AND(L89&lt;&gt;"",N(L89)&lt;0),"More than the balance due on this invoice",IF(S89&gt;=200000,"₹2,00,000 or more in cash from this person today: barred, s.186",IF(T89&gt;=200000,"₹2,00,000 or more in cash against this invoice: barred, s.186",IF(AND(P89="T",H89="Cash",N(J89)&gt;=20000),"Loan of ₹20,000 or more in cash: barred, s.185",IF(AND(P89="D",H89="Cash",N(J89)&gt;=20000),"Cash deposit of ₹20,000 or more: ask your accountant whether s.185 applies",IF(AND(OR(P89="AG",P89="AS"),$E$9&lt;&gt;""),"Advance: also give a GST receipt voucher, s.31(3)(d) and Rule 50","OK"))))))))))))))))</f>
        <v/>
      </c>
      <c r="P89">
        <f>IF(G89="","",IFERROR(VLOOKUP(G89,Lists!$A$2:$B$9,2,FALSE),"?"))</f>
        <v/>
      </c>
      <c r="Q89">
        <f>IF(K89="Cancelled",0,N(J89))</f>
        <v/>
      </c>
      <c r="R89">
        <f>IF(OR(H89&lt;&gt;"Cash",P89="T",P89="D"),0,Q89)</f>
        <v/>
      </c>
      <c r="S89">
        <f>IF(R89=0,0,SUMIFS($R$18:$R$317,$B$18:$B$317,B89,$D$18:$D$317,D89))</f>
        <v/>
      </c>
      <c r="T89">
        <f>IF(OR(R89=0,E89=""),0,SUMIFS($R$18:$R$317,$E$18:$E$317,E89))</f>
        <v/>
      </c>
      <c r="U89">
        <f>IF(E89="","",IF(N(F89)&gt;0,F89,IFERROR(INDEX($F$18:$F$317,MATCH(E89,$E$18:$E$317,0)),"")))</f>
        <v/>
      </c>
      <c r="V89">
        <f>IF(OR(N89="",N89="OK",K89="Cancelled"),0,1)</f>
        <v/>
      </c>
    </row>
    <row r="90">
      <c r="B90" s="21" t="n"/>
      <c r="C90" s="22">
        <f>IF(B90="","",$E$10&amp;TEXT(N($E$11)+72,"000"))</f>
        <v/>
      </c>
      <c r="D90" s="14" t="n"/>
      <c r="E90" s="23" t="n"/>
      <c r="F90" s="24" t="n"/>
      <c r="G90" s="14" t="n"/>
      <c r="H90" s="14" t="n"/>
      <c r="I90" s="23" t="n"/>
      <c r="J90" s="24" t="n"/>
      <c r="K90" s="23" t="n"/>
      <c r="L90" s="25">
        <f>IF(OR(E90="",N(U90)=0),"",U90-SUMIFS(Q$18:Q90,E$18:E90,E90))</f>
        <v/>
      </c>
      <c r="M90" s="26">
        <f>IF(OR(N(J90)=0,K90="Cancelled"),"",IF(AND(N(J90)&gt;5000,P90&lt;&gt;"G"),"Yes: ₹1","No"))</f>
        <v/>
      </c>
      <c r="N90" s="27">
        <f>IF(AND(B90="",D90="",N(J90)=0),"",IF(B90="","Enter the date",IF(AND(ROW()&gt;18,B89=""),"Use the next empty row: a skipped row leaves a gap in the receipt numbers",IF(D90="","Enter who paid",IF(N(J90)=0,"Enter the amount",IF(G90="","Pick what the money was for",IF(P90="?","Pick what it was for from the list",IF(H90="","Pick how it was paid",IF(K90="Cancelled","Cancelled: keep this number unused and give a fresh receipt",IF(AND(H90&lt;&gt;"Cash",I90=""),"Enter the cheque no., UTR or UPI reference",IF(AND(L90&lt;&gt;"",N(L90)&lt;0),"More than the balance due on this invoice",IF(S90&gt;=200000,"₹2,00,000 or more in cash from this person today: barred, s.186",IF(T90&gt;=200000,"₹2,00,000 or more in cash against this invoice: barred, s.186",IF(AND(P90="T",H90="Cash",N(J90)&gt;=20000),"Loan of ₹20,000 or more in cash: barred, s.185",IF(AND(P90="D",H90="Cash",N(J90)&gt;=20000),"Cash deposit of ₹20,000 or more: ask your accountant whether s.185 applies",IF(AND(OR(P90="AG",P90="AS"),$E$9&lt;&gt;""),"Advance: also give a GST receipt voucher, s.31(3)(d) and Rule 50","OK"))))))))))))))))</f>
        <v/>
      </c>
      <c r="P90">
        <f>IF(G90="","",IFERROR(VLOOKUP(G90,Lists!$A$2:$B$9,2,FALSE),"?"))</f>
        <v/>
      </c>
      <c r="Q90">
        <f>IF(K90="Cancelled",0,N(J90))</f>
        <v/>
      </c>
      <c r="R90">
        <f>IF(OR(H90&lt;&gt;"Cash",P90="T",P90="D"),0,Q90)</f>
        <v/>
      </c>
      <c r="S90">
        <f>IF(R90=0,0,SUMIFS($R$18:$R$317,$B$18:$B$317,B90,$D$18:$D$317,D90))</f>
        <v/>
      </c>
      <c r="T90">
        <f>IF(OR(R90=0,E90=""),0,SUMIFS($R$18:$R$317,$E$18:$E$317,E90))</f>
        <v/>
      </c>
      <c r="U90">
        <f>IF(E90="","",IF(N(F90)&gt;0,F90,IFERROR(INDEX($F$18:$F$317,MATCH(E90,$E$18:$E$317,0)),"")))</f>
        <v/>
      </c>
      <c r="V90">
        <f>IF(OR(N90="",N90="OK",K90="Cancelled"),0,1)</f>
        <v/>
      </c>
    </row>
    <row r="91">
      <c r="B91" s="21" t="n"/>
      <c r="C91" s="22">
        <f>IF(B91="","",$E$10&amp;TEXT(N($E$11)+73,"000"))</f>
        <v/>
      </c>
      <c r="D91" s="14" t="n"/>
      <c r="E91" s="23" t="n"/>
      <c r="F91" s="24" t="n"/>
      <c r="G91" s="14" t="n"/>
      <c r="H91" s="14" t="n"/>
      <c r="I91" s="23" t="n"/>
      <c r="J91" s="24" t="n"/>
      <c r="K91" s="23" t="n"/>
      <c r="L91" s="25">
        <f>IF(OR(E91="",N(U91)=0),"",U91-SUMIFS(Q$18:Q91,E$18:E91,E91))</f>
        <v/>
      </c>
      <c r="M91" s="26">
        <f>IF(OR(N(J91)=0,K91="Cancelled"),"",IF(AND(N(J91)&gt;5000,P91&lt;&gt;"G"),"Yes: ₹1","No"))</f>
        <v/>
      </c>
      <c r="N91" s="27">
        <f>IF(AND(B91="",D91="",N(J91)=0),"",IF(B91="","Enter the date",IF(AND(ROW()&gt;18,B90=""),"Use the next empty row: a skipped row leaves a gap in the receipt numbers",IF(D91="","Enter who paid",IF(N(J91)=0,"Enter the amount",IF(G91="","Pick what the money was for",IF(P91="?","Pick what it was for from the list",IF(H91="","Pick how it was paid",IF(K91="Cancelled","Cancelled: keep this number unused and give a fresh receipt",IF(AND(H91&lt;&gt;"Cash",I91=""),"Enter the cheque no., UTR or UPI reference",IF(AND(L91&lt;&gt;"",N(L91)&lt;0),"More than the balance due on this invoice",IF(S91&gt;=200000,"₹2,00,000 or more in cash from this person today: barred, s.186",IF(T91&gt;=200000,"₹2,00,000 or more in cash against this invoice: barred, s.186",IF(AND(P91="T",H91="Cash",N(J91)&gt;=20000),"Loan of ₹20,000 or more in cash: barred, s.185",IF(AND(P91="D",H91="Cash",N(J91)&gt;=20000),"Cash deposit of ₹20,000 or more: ask your accountant whether s.185 applies",IF(AND(OR(P91="AG",P91="AS"),$E$9&lt;&gt;""),"Advance: also give a GST receipt voucher, s.31(3)(d) and Rule 50","OK"))))))))))))))))</f>
        <v/>
      </c>
      <c r="P91">
        <f>IF(G91="","",IFERROR(VLOOKUP(G91,Lists!$A$2:$B$9,2,FALSE),"?"))</f>
        <v/>
      </c>
      <c r="Q91">
        <f>IF(K91="Cancelled",0,N(J91))</f>
        <v/>
      </c>
      <c r="R91">
        <f>IF(OR(H91&lt;&gt;"Cash",P91="T",P91="D"),0,Q91)</f>
        <v/>
      </c>
      <c r="S91">
        <f>IF(R91=0,0,SUMIFS($R$18:$R$317,$B$18:$B$317,B91,$D$18:$D$317,D91))</f>
        <v/>
      </c>
      <c r="T91">
        <f>IF(OR(R91=0,E91=""),0,SUMIFS($R$18:$R$317,$E$18:$E$317,E91))</f>
        <v/>
      </c>
      <c r="U91">
        <f>IF(E91="","",IF(N(F91)&gt;0,F91,IFERROR(INDEX($F$18:$F$317,MATCH(E91,$E$18:$E$317,0)),"")))</f>
        <v/>
      </c>
      <c r="V91">
        <f>IF(OR(N91="",N91="OK",K91="Cancelled"),0,1)</f>
        <v/>
      </c>
    </row>
    <row r="92">
      <c r="B92" s="21" t="n"/>
      <c r="C92" s="22">
        <f>IF(B92="","",$E$10&amp;TEXT(N($E$11)+74,"000"))</f>
        <v/>
      </c>
      <c r="D92" s="14" t="n"/>
      <c r="E92" s="23" t="n"/>
      <c r="F92" s="24" t="n"/>
      <c r="G92" s="14" t="n"/>
      <c r="H92" s="14" t="n"/>
      <c r="I92" s="23" t="n"/>
      <c r="J92" s="24" t="n"/>
      <c r="K92" s="23" t="n"/>
      <c r="L92" s="25">
        <f>IF(OR(E92="",N(U92)=0),"",U92-SUMIFS(Q$18:Q92,E$18:E92,E92))</f>
        <v/>
      </c>
      <c r="M92" s="26">
        <f>IF(OR(N(J92)=0,K92="Cancelled"),"",IF(AND(N(J92)&gt;5000,P92&lt;&gt;"G"),"Yes: ₹1","No"))</f>
        <v/>
      </c>
      <c r="N92" s="27">
        <f>IF(AND(B92="",D92="",N(J92)=0),"",IF(B92="","Enter the date",IF(AND(ROW()&gt;18,B91=""),"Use the next empty row: a skipped row leaves a gap in the receipt numbers",IF(D92="","Enter who paid",IF(N(J92)=0,"Enter the amount",IF(G92="","Pick what the money was for",IF(P92="?","Pick what it was for from the list",IF(H92="","Pick how it was paid",IF(K92="Cancelled","Cancelled: keep this number unused and give a fresh receipt",IF(AND(H92&lt;&gt;"Cash",I92=""),"Enter the cheque no., UTR or UPI reference",IF(AND(L92&lt;&gt;"",N(L92)&lt;0),"More than the balance due on this invoice",IF(S92&gt;=200000,"₹2,00,000 or more in cash from this person today: barred, s.186",IF(T92&gt;=200000,"₹2,00,000 or more in cash against this invoice: barred, s.186",IF(AND(P92="T",H92="Cash",N(J92)&gt;=20000),"Loan of ₹20,000 or more in cash: barred, s.185",IF(AND(P92="D",H92="Cash",N(J92)&gt;=20000),"Cash deposit of ₹20,000 or more: ask your accountant whether s.185 applies",IF(AND(OR(P92="AG",P92="AS"),$E$9&lt;&gt;""),"Advance: also give a GST receipt voucher, s.31(3)(d) and Rule 50","OK"))))))))))))))))</f>
        <v/>
      </c>
      <c r="P92">
        <f>IF(G92="","",IFERROR(VLOOKUP(G92,Lists!$A$2:$B$9,2,FALSE),"?"))</f>
        <v/>
      </c>
      <c r="Q92">
        <f>IF(K92="Cancelled",0,N(J92))</f>
        <v/>
      </c>
      <c r="R92">
        <f>IF(OR(H92&lt;&gt;"Cash",P92="T",P92="D"),0,Q92)</f>
        <v/>
      </c>
      <c r="S92">
        <f>IF(R92=0,0,SUMIFS($R$18:$R$317,$B$18:$B$317,B92,$D$18:$D$317,D92))</f>
        <v/>
      </c>
      <c r="T92">
        <f>IF(OR(R92=0,E92=""),0,SUMIFS($R$18:$R$317,$E$18:$E$317,E92))</f>
        <v/>
      </c>
      <c r="U92">
        <f>IF(E92="","",IF(N(F92)&gt;0,F92,IFERROR(INDEX($F$18:$F$317,MATCH(E92,$E$18:$E$317,0)),"")))</f>
        <v/>
      </c>
      <c r="V92">
        <f>IF(OR(N92="",N92="OK",K92="Cancelled"),0,1)</f>
        <v/>
      </c>
    </row>
    <row r="93">
      <c r="B93" s="21" t="n"/>
      <c r="C93" s="22">
        <f>IF(B93="","",$E$10&amp;TEXT(N($E$11)+75,"000"))</f>
        <v/>
      </c>
      <c r="D93" s="14" t="n"/>
      <c r="E93" s="23" t="n"/>
      <c r="F93" s="24" t="n"/>
      <c r="G93" s="14" t="n"/>
      <c r="H93" s="14" t="n"/>
      <c r="I93" s="23" t="n"/>
      <c r="J93" s="24" t="n"/>
      <c r="K93" s="23" t="n"/>
      <c r="L93" s="25">
        <f>IF(OR(E93="",N(U93)=0),"",U93-SUMIFS(Q$18:Q93,E$18:E93,E93))</f>
        <v/>
      </c>
      <c r="M93" s="26">
        <f>IF(OR(N(J93)=0,K93="Cancelled"),"",IF(AND(N(J93)&gt;5000,P93&lt;&gt;"G"),"Yes: ₹1","No"))</f>
        <v/>
      </c>
      <c r="N93" s="27">
        <f>IF(AND(B93="",D93="",N(J93)=0),"",IF(B93="","Enter the date",IF(AND(ROW()&gt;18,B92=""),"Use the next empty row: a skipped row leaves a gap in the receipt numbers",IF(D93="","Enter who paid",IF(N(J93)=0,"Enter the amount",IF(G93="","Pick what the money was for",IF(P93="?","Pick what it was for from the list",IF(H93="","Pick how it was paid",IF(K93="Cancelled","Cancelled: keep this number unused and give a fresh receipt",IF(AND(H93&lt;&gt;"Cash",I93=""),"Enter the cheque no., UTR or UPI reference",IF(AND(L93&lt;&gt;"",N(L93)&lt;0),"More than the balance due on this invoice",IF(S93&gt;=200000,"₹2,00,000 or more in cash from this person today: barred, s.186",IF(T93&gt;=200000,"₹2,00,000 or more in cash against this invoice: barred, s.186",IF(AND(P93="T",H93="Cash",N(J93)&gt;=20000),"Loan of ₹20,000 or more in cash: barred, s.185",IF(AND(P93="D",H93="Cash",N(J93)&gt;=20000),"Cash deposit of ₹20,000 or more: ask your accountant whether s.185 applies",IF(AND(OR(P93="AG",P93="AS"),$E$9&lt;&gt;""),"Advance: also give a GST receipt voucher, s.31(3)(d) and Rule 50","OK"))))))))))))))))</f>
        <v/>
      </c>
      <c r="P93">
        <f>IF(G93="","",IFERROR(VLOOKUP(G93,Lists!$A$2:$B$9,2,FALSE),"?"))</f>
        <v/>
      </c>
      <c r="Q93">
        <f>IF(K93="Cancelled",0,N(J93))</f>
        <v/>
      </c>
      <c r="R93">
        <f>IF(OR(H93&lt;&gt;"Cash",P93="T",P93="D"),0,Q93)</f>
        <v/>
      </c>
      <c r="S93">
        <f>IF(R93=0,0,SUMIFS($R$18:$R$317,$B$18:$B$317,B93,$D$18:$D$317,D93))</f>
        <v/>
      </c>
      <c r="T93">
        <f>IF(OR(R93=0,E93=""),0,SUMIFS($R$18:$R$317,$E$18:$E$317,E93))</f>
        <v/>
      </c>
      <c r="U93">
        <f>IF(E93="","",IF(N(F93)&gt;0,F93,IFERROR(INDEX($F$18:$F$317,MATCH(E93,$E$18:$E$317,0)),"")))</f>
        <v/>
      </c>
      <c r="V93">
        <f>IF(OR(N93="",N93="OK",K93="Cancelled"),0,1)</f>
        <v/>
      </c>
    </row>
    <row r="94">
      <c r="B94" s="21" t="n"/>
      <c r="C94" s="22">
        <f>IF(B94="","",$E$10&amp;TEXT(N($E$11)+76,"000"))</f>
        <v/>
      </c>
      <c r="D94" s="14" t="n"/>
      <c r="E94" s="23" t="n"/>
      <c r="F94" s="24" t="n"/>
      <c r="G94" s="14" t="n"/>
      <c r="H94" s="14" t="n"/>
      <c r="I94" s="23" t="n"/>
      <c r="J94" s="24" t="n"/>
      <c r="K94" s="23" t="n"/>
      <c r="L94" s="25">
        <f>IF(OR(E94="",N(U94)=0),"",U94-SUMIFS(Q$18:Q94,E$18:E94,E94))</f>
        <v/>
      </c>
      <c r="M94" s="26">
        <f>IF(OR(N(J94)=0,K94="Cancelled"),"",IF(AND(N(J94)&gt;5000,P94&lt;&gt;"G"),"Yes: ₹1","No"))</f>
        <v/>
      </c>
      <c r="N94" s="27">
        <f>IF(AND(B94="",D94="",N(J94)=0),"",IF(B94="","Enter the date",IF(AND(ROW()&gt;18,B93=""),"Use the next empty row: a skipped row leaves a gap in the receipt numbers",IF(D94="","Enter who paid",IF(N(J94)=0,"Enter the amount",IF(G94="","Pick what the money was for",IF(P94="?","Pick what it was for from the list",IF(H94="","Pick how it was paid",IF(K94="Cancelled","Cancelled: keep this number unused and give a fresh receipt",IF(AND(H94&lt;&gt;"Cash",I94=""),"Enter the cheque no., UTR or UPI reference",IF(AND(L94&lt;&gt;"",N(L94)&lt;0),"More than the balance due on this invoice",IF(S94&gt;=200000,"₹2,00,000 or more in cash from this person today: barred, s.186",IF(T94&gt;=200000,"₹2,00,000 or more in cash against this invoice: barred, s.186",IF(AND(P94="T",H94="Cash",N(J94)&gt;=20000),"Loan of ₹20,000 or more in cash: barred, s.185",IF(AND(P94="D",H94="Cash",N(J94)&gt;=20000),"Cash deposit of ₹20,000 or more: ask your accountant whether s.185 applies",IF(AND(OR(P94="AG",P94="AS"),$E$9&lt;&gt;""),"Advance: also give a GST receipt voucher, s.31(3)(d) and Rule 50","OK"))))))))))))))))</f>
        <v/>
      </c>
      <c r="P94">
        <f>IF(G94="","",IFERROR(VLOOKUP(G94,Lists!$A$2:$B$9,2,FALSE),"?"))</f>
        <v/>
      </c>
      <c r="Q94">
        <f>IF(K94="Cancelled",0,N(J94))</f>
        <v/>
      </c>
      <c r="R94">
        <f>IF(OR(H94&lt;&gt;"Cash",P94="T",P94="D"),0,Q94)</f>
        <v/>
      </c>
      <c r="S94">
        <f>IF(R94=0,0,SUMIFS($R$18:$R$317,$B$18:$B$317,B94,$D$18:$D$317,D94))</f>
        <v/>
      </c>
      <c r="T94">
        <f>IF(OR(R94=0,E94=""),0,SUMIFS($R$18:$R$317,$E$18:$E$317,E94))</f>
        <v/>
      </c>
      <c r="U94">
        <f>IF(E94="","",IF(N(F94)&gt;0,F94,IFERROR(INDEX($F$18:$F$317,MATCH(E94,$E$18:$E$317,0)),"")))</f>
        <v/>
      </c>
      <c r="V94">
        <f>IF(OR(N94="",N94="OK",K94="Cancelled"),0,1)</f>
        <v/>
      </c>
    </row>
    <row r="95">
      <c r="B95" s="21" t="n"/>
      <c r="C95" s="22">
        <f>IF(B95="","",$E$10&amp;TEXT(N($E$11)+77,"000"))</f>
        <v/>
      </c>
      <c r="D95" s="14" t="n"/>
      <c r="E95" s="23" t="n"/>
      <c r="F95" s="24" t="n"/>
      <c r="G95" s="14" t="n"/>
      <c r="H95" s="14" t="n"/>
      <c r="I95" s="23" t="n"/>
      <c r="J95" s="24" t="n"/>
      <c r="K95" s="23" t="n"/>
      <c r="L95" s="25">
        <f>IF(OR(E95="",N(U95)=0),"",U95-SUMIFS(Q$18:Q95,E$18:E95,E95))</f>
        <v/>
      </c>
      <c r="M95" s="26">
        <f>IF(OR(N(J95)=0,K95="Cancelled"),"",IF(AND(N(J95)&gt;5000,P95&lt;&gt;"G"),"Yes: ₹1","No"))</f>
        <v/>
      </c>
      <c r="N95" s="27">
        <f>IF(AND(B95="",D95="",N(J95)=0),"",IF(B95="","Enter the date",IF(AND(ROW()&gt;18,B94=""),"Use the next empty row: a skipped row leaves a gap in the receipt numbers",IF(D95="","Enter who paid",IF(N(J95)=0,"Enter the amount",IF(G95="","Pick what the money was for",IF(P95="?","Pick what it was for from the list",IF(H95="","Pick how it was paid",IF(K95="Cancelled","Cancelled: keep this number unused and give a fresh receipt",IF(AND(H95&lt;&gt;"Cash",I95=""),"Enter the cheque no., UTR or UPI reference",IF(AND(L95&lt;&gt;"",N(L95)&lt;0),"More than the balance due on this invoice",IF(S95&gt;=200000,"₹2,00,000 or more in cash from this person today: barred, s.186",IF(T95&gt;=200000,"₹2,00,000 or more in cash against this invoice: barred, s.186",IF(AND(P95="T",H95="Cash",N(J95)&gt;=20000),"Loan of ₹20,000 or more in cash: barred, s.185",IF(AND(P95="D",H95="Cash",N(J95)&gt;=20000),"Cash deposit of ₹20,000 or more: ask your accountant whether s.185 applies",IF(AND(OR(P95="AG",P95="AS"),$E$9&lt;&gt;""),"Advance: also give a GST receipt voucher, s.31(3)(d) and Rule 50","OK"))))))))))))))))</f>
        <v/>
      </c>
      <c r="P95">
        <f>IF(G95="","",IFERROR(VLOOKUP(G95,Lists!$A$2:$B$9,2,FALSE),"?"))</f>
        <v/>
      </c>
      <c r="Q95">
        <f>IF(K95="Cancelled",0,N(J95))</f>
        <v/>
      </c>
      <c r="R95">
        <f>IF(OR(H95&lt;&gt;"Cash",P95="T",P95="D"),0,Q95)</f>
        <v/>
      </c>
      <c r="S95">
        <f>IF(R95=0,0,SUMIFS($R$18:$R$317,$B$18:$B$317,B95,$D$18:$D$317,D95))</f>
        <v/>
      </c>
      <c r="T95">
        <f>IF(OR(R95=0,E95=""),0,SUMIFS($R$18:$R$317,$E$18:$E$317,E95))</f>
        <v/>
      </c>
      <c r="U95">
        <f>IF(E95="","",IF(N(F95)&gt;0,F95,IFERROR(INDEX($F$18:$F$317,MATCH(E95,$E$18:$E$317,0)),"")))</f>
        <v/>
      </c>
      <c r="V95">
        <f>IF(OR(N95="",N95="OK",K95="Cancelled"),0,1)</f>
        <v/>
      </c>
    </row>
    <row r="96">
      <c r="B96" s="21" t="n"/>
      <c r="C96" s="22">
        <f>IF(B96="","",$E$10&amp;TEXT(N($E$11)+78,"000"))</f>
        <v/>
      </c>
      <c r="D96" s="14" t="n"/>
      <c r="E96" s="23" t="n"/>
      <c r="F96" s="24" t="n"/>
      <c r="G96" s="14" t="n"/>
      <c r="H96" s="14" t="n"/>
      <c r="I96" s="23" t="n"/>
      <c r="J96" s="24" t="n"/>
      <c r="K96" s="23" t="n"/>
      <c r="L96" s="25">
        <f>IF(OR(E96="",N(U96)=0),"",U96-SUMIFS(Q$18:Q96,E$18:E96,E96))</f>
        <v/>
      </c>
      <c r="M96" s="26">
        <f>IF(OR(N(J96)=0,K96="Cancelled"),"",IF(AND(N(J96)&gt;5000,P96&lt;&gt;"G"),"Yes: ₹1","No"))</f>
        <v/>
      </c>
      <c r="N96" s="27">
        <f>IF(AND(B96="",D96="",N(J96)=0),"",IF(B96="","Enter the date",IF(AND(ROW()&gt;18,B95=""),"Use the next empty row: a skipped row leaves a gap in the receipt numbers",IF(D96="","Enter who paid",IF(N(J96)=0,"Enter the amount",IF(G96="","Pick what the money was for",IF(P96="?","Pick what it was for from the list",IF(H96="","Pick how it was paid",IF(K96="Cancelled","Cancelled: keep this number unused and give a fresh receipt",IF(AND(H96&lt;&gt;"Cash",I96=""),"Enter the cheque no., UTR or UPI reference",IF(AND(L96&lt;&gt;"",N(L96)&lt;0),"More than the balance due on this invoice",IF(S96&gt;=200000,"₹2,00,000 or more in cash from this person today: barred, s.186",IF(T96&gt;=200000,"₹2,00,000 or more in cash against this invoice: barred, s.186",IF(AND(P96="T",H96="Cash",N(J96)&gt;=20000),"Loan of ₹20,000 or more in cash: barred, s.185",IF(AND(P96="D",H96="Cash",N(J96)&gt;=20000),"Cash deposit of ₹20,000 or more: ask your accountant whether s.185 applies",IF(AND(OR(P96="AG",P96="AS"),$E$9&lt;&gt;""),"Advance: also give a GST receipt voucher, s.31(3)(d) and Rule 50","OK"))))))))))))))))</f>
        <v/>
      </c>
      <c r="P96">
        <f>IF(G96="","",IFERROR(VLOOKUP(G96,Lists!$A$2:$B$9,2,FALSE),"?"))</f>
        <v/>
      </c>
      <c r="Q96">
        <f>IF(K96="Cancelled",0,N(J96))</f>
        <v/>
      </c>
      <c r="R96">
        <f>IF(OR(H96&lt;&gt;"Cash",P96="T",P96="D"),0,Q96)</f>
        <v/>
      </c>
      <c r="S96">
        <f>IF(R96=0,0,SUMIFS($R$18:$R$317,$B$18:$B$317,B96,$D$18:$D$317,D96))</f>
        <v/>
      </c>
      <c r="T96">
        <f>IF(OR(R96=0,E96=""),0,SUMIFS($R$18:$R$317,$E$18:$E$317,E96))</f>
        <v/>
      </c>
      <c r="U96">
        <f>IF(E96="","",IF(N(F96)&gt;0,F96,IFERROR(INDEX($F$18:$F$317,MATCH(E96,$E$18:$E$317,0)),"")))</f>
        <v/>
      </c>
      <c r="V96">
        <f>IF(OR(N96="",N96="OK",K96="Cancelled"),0,1)</f>
        <v/>
      </c>
    </row>
    <row r="97">
      <c r="B97" s="21" t="n"/>
      <c r="C97" s="22">
        <f>IF(B97="","",$E$10&amp;TEXT(N($E$11)+79,"000"))</f>
        <v/>
      </c>
      <c r="D97" s="14" t="n"/>
      <c r="E97" s="23" t="n"/>
      <c r="F97" s="24" t="n"/>
      <c r="G97" s="14" t="n"/>
      <c r="H97" s="14" t="n"/>
      <c r="I97" s="23" t="n"/>
      <c r="J97" s="24" t="n"/>
      <c r="K97" s="23" t="n"/>
      <c r="L97" s="25">
        <f>IF(OR(E97="",N(U97)=0),"",U97-SUMIFS(Q$18:Q97,E$18:E97,E97))</f>
        <v/>
      </c>
      <c r="M97" s="26">
        <f>IF(OR(N(J97)=0,K97="Cancelled"),"",IF(AND(N(J97)&gt;5000,P97&lt;&gt;"G"),"Yes: ₹1","No"))</f>
        <v/>
      </c>
      <c r="N97" s="27">
        <f>IF(AND(B97="",D97="",N(J97)=0),"",IF(B97="","Enter the date",IF(AND(ROW()&gt;18,B96=""),"Use the next empty row: a skipped row leaves a gap in the receipt numbers",IF(D97="","Enter who paid",IF(N(J97)=0,"Enter the amount",IF(G97="","Pick what the money was for",IF(P97="?","Pick what it was for from the list",IF(H97="","Pick how it was paid",IF(K97="Cancelled","Cancelled: keep this number unused and give a fresh receipt",IF(AND(H97&lt;&gt;"Cash",I97=""),"Enter the cheque no., UTR or UPI reference",IF(AND(L97&lt;&gt;"",N(L97)&lt;0),"More than the balance due on this invoice",IF(S97&gt;=200000,"₹2,00,000 or more in cash from this person today: barred, s.186",IF(T97&gt;=200000,"₹2,00,000 or more in cash against this invoice: barred, s.186",IF(AND(P97="T",H97="Cash",N(J97)&gt;=20000),"Loan of ₹20,000 or more in cash: barred, s.185",IF(AND(P97="D",H97="Cash",N(J97)&gt;=20000),"Cash deposit of ₹20,000 or more: ask your accountant whether s.185 applies",IF(AND(OR(P97="AG",P97="AS"),$E$9&lt;&gt;""),"Advance: also give a GST receipt voucher, s.31(3)(d) and Rule 50","OK"))))))))))))))))</f>
        <v/>
      </c>
      <c r="P97">
        <f>IF(G97="","",IFERROR(VLOOKUP(G97,Lists!$A$2:$B$9,2,FALSE),"?"))</f>
        <v/>
      </c>
      <c r="Q97">
        <f>IF(K97="Cancelled",0,N(J97))</f>
        <v/>
      </c>
      <c r="R97">
        <f>IF(OR(H97&lt;&gt;"Cash",P97="T",P97="D"),0,Q97)</f>
        <v/>
      </c>
      <c r="S97">
        <f>IF(R97=0,0,SUMIFS($R$18:$R$317,$B$18:$B$317,B97,$D$18:$D$317,D97))</f>
        <v/>
      </c>
      <c r="T97">
        <f>IF(OR(R97=0,E97=""),0,SUMIFS($R$18:$R$317,$E$18:$E$317,E97))</f>
        <v/>
      </c>
      <c r="U97">
        <f>IF(E97="","",IF(N(F97)&gt;0,F97,IFERROR(INDEX($F$18:$F$317,MATCH(E97,$E$18:$E$317,0)),"")))</f>
        <v/>
      </c>
      <c r="V97">
        <f>IF(OR(N97="",N97="OK",K97="Cancelled"),0,1)</f>
        <v/>
      </c>
    </row>
    <row r="98">
      <c r="B98" s="21" t="n"/>
      <c r="C98" s="22">
        <f>IF(B98="","",$E$10&amp;TEXT(N($E$11)+80,"000"))</f>
        <v/>
      </c>
      <c r="D98" s="14" t="n"/>
      <c r="E98" s="23" t="n"/>
      <c r="F98" s="24" t="n"/>
      <c r="G98" s="14" t="n"/>
      <c r="H98" s="14" t="n"/>
      <c r="I98" s="23" t="n"/>
      <c r="J98" s="24" t="n"/>
      <c r="K98" s="23" t="n"/>
      <c r="L98" s="25">
        <f>IF(OR(E98="",N(U98)=0),"",U98-SUMIFS(Q$18:Q98,E$18:E98,E98))</f>
        <v/>
      </c>
      <c r="M98" s="26">
        <f>IF(OR(N(J98)=0,K98="Cancelled"),"",IF(AND(N(J98)&gt;5000,P98&lt;&gt;"G"),"Yes: ₹1","No"))</f>
        <v/>
      </c>
      <c r="N98" s="27">
        <f>IF(AND(B98="",D98="",N(J98)=0),"",IF(B98="","Enter the date",IF(AND(ROW()&gt;18,B97=""),"Use the next empty row: a skipped row leaves a gap in the receipt numbers",IF(D98="","Enter who paid",IF(N(J98)=0,"Enter the amount",IF(G98="","Pick what the money was for",IF(P98="?","Pick what it was for from the list",IF(H98="","Pick how it was paid",IF(K98="Cancelled","Cancelled: keep this number unused and give a fresh receipt",IF(AND(H98&lt;&gt;"Cash",I98=""),"Enter the cheque no., UTR or UPI reference",IF(AND(L98&lt;&gt;"",N(L98)&lt;0),"More than the balance due on this invoice",IF(S98&gt;=200000,"₹2,00,000 or more in cash from this person today: barred, s.186",IF(T98&gt;=200000,"₹2,00,000 or more in cash against this invoice: barred, s.186",IF(AND(P98="T",H98="Cash",N(J98)&gt;=20000),"Loan of ₹20,000 or more in cash: barred, s.185",IF(AND(P98="D",H98="Cash",N(J98)&gt;=20000),"Cash deposit of ₹20,000 or more: ask your accountant whether s.185 applies",IF(AND(OR(P98="AG",P98="AS"),$E$9&lt;&gt;""),"Advance: also give a GST receipt voucher, s.31(3)(d) and Rule 50","OK"))))))))))))))))</f>
        <v/>
      </c>
      <c r="P98">
        <f>IF(G98="","",IFERROR(VLOOKUP(G98,Lists!$A$2:$B$9,2,FALSE),"?"))</f>
        <v/>
      </c>
      <c r="Q98">
        <f>IF(K98="Cancelled",0,N(J98))</f>
        <v/>
      </c>
      <c r="R98">
        <f>IF(OR(H98&lt;&gt;"Cash",P98="T",P98="D"),0,Q98)</f>
        <v/>
      </c>
      <c r="S98">
        <f>IF(R98=0,0,SUMIFS($R$18:$R$317,$B$18:$B$317,B98,$D$18:$D$317,D98))</f>
        <v/>
      </c>
      <c r="T98">
        <f>IF(OR(R98=0,E98=""),0,SUMIFS($R$18:$R$317,$E$18:$E$317,E98))</f>
        <v/>
      </c>
      <c r="U98">
        <f>IF(E98="","",IF(N(F98)&gt;0,F98,IFERROR(INDEX($F$18:$F$317,MATCH(E98,$E$18:$E$317,0)),"")))</f>
        <v/>
      </c>
      <c r="V98">
        <f>IF(OR(N98="",N98="OK",K98="Cancelled"),0,1)</f>
        <v/>
      </c>
    </row>
    <row r="99">
      <c r="B99" s="21" t="n"/>
      <c r="C99" s="22">
        <f>IF(B99="","",$E$10&amp;TEXT(N($E$11)+81,"000"))</f>
        <v/>
      </c>
      <c r="D99" s="14" t="n"/>
      <c r="E99" s="23" t="n"/>
      <c r="F99" s="24" t="n"/>
      <c r="G99" s="14" t="n"/>
      <c r="H99" s="14" t="n"/>
      <c r="I99" s="23" t="n"/>
      <c r="J99" s="24" t="n"/>
      <c r="K99" s="23" t="n"/>
      <c r="L99" s="25">
        <f>IF(OR(E99="",N(U99)=0),"",U99-SUMIFS(Q$18:Q99,E$18:E99,E99))</f>
        <v/>
      </c>
      <c r="M99" s="26">
        <f>IF(OR(N(J99)=0,K99="Cancelled"),"",IF(AND(N(J99)&gt;5000,P99&lt;&gt;"G"),"Yes: ₹1","No"))</f>
        <v/>
      </c>
      <c r="N99" s="27">
        <f>IF(AND(B99="",D99="",N(J99)=0),"",IF(B99="","Enter the date",IF(AND(ROW()&gt;18,B98=""),"Use the next empty row: a skipped row leaves a gap in the receipt numbers",IF(D99="","Enter who paid",IF(N(J99)=0,"Enter the amount",IF(G99="","Pick what the money was for",IF(P99="?","Pick what it was for from the list",IF(H99="","Pick how it was paid",IF(K99="Cancelled","Cancelled: keep this number unused and give a fresh receipt",IF(AND(H99&lt;&gt;"Cash",I99=""),"Enter the cheque no., UTR or UPI reference",IF(AND(L99&lt;&gt;"",N(L99)&lt;0),"More than the balance due on this invoice",IF(S99&gt;=200000,"₹2,00,000 or more in cash from this person today: barred, s.186",IF(T99&gt;=200000,"₹2,00,000 or more in cash against this invoice: barred, s.186",IF(AND(P99="T",H99="Cash",N(J99)&gt;=20000),"Loan of ₹20,000 or more in cash: barred, s.185",IF(AND(P99="D",H99="Cash",N(J99)&gt;=20000),"Cash deposit of ₹20,000 or more: ask your accountant whether s.185 applies",IF(AND(OR(P99="AG",P99="AS"),$E$9&lt;&gt;""),"Advance: also give a GST receipt voucher, s.31(3)(d) and Rule 50","OK"))))))))))))))))</f>
        <v/>
      </c>
      <c r="P99">
        <f>IF(G99="","",IFERROR(VLOOKUP(G99,Lists!$A$2:$B$9,2,FALSE),"?"))</f>
        <v/>
      </c>
      <c r="Q99">
        <f>IF(K99="Cancelled",0,N(J99))</f>
        <v/>
      </c>
      <c r="R99">
        <f>IF(OR(H99&lt;&gt;"Cash",P99="T",P99="D"),0,Q99)</f>
        <v/>
      </c>
      <c r="S99">
        <f>IF(R99=0,0,SUMIFS($R$18:$R$317,$B$18:$B$317,B99,$D$18:$D$317,D99))</f>
        <v/>
      </c>
      <c r="T99">
        <f>IF(OR(R99=0,E99=""),0,SUMIFS($R$18:$R$317,$E$18:$E$317,E99))</f>
        <v/>
      </c>
      <c r="U99">
        <f>IF(E99="","",IF(N(F99)&gt;0,F99,IFERROR(INDEX($F$18:$F$317,MATCH(E99,$E$18:$E$317,0)),"")))</f>
        <v/>
      </c>
      <c r="V99">
        <f>IF(OR(N99="",N99="OK",K99="Cancelled"),0,1)</f>
        <v/>
      </c>
    </row>
    <row r="100">
      <c r="B100" s="21" t="n"/>
      <c r="C100" s="22">
        <f>IF(B100="","",$E$10&amp;TEXT(N($E$11)+82,"000"))</f>
        <v/>
      </c>
      <c r="D100" s="14" t="n"/>
      <c r="E100" s="23" t="n"/>
      <c r="F100" s="24" t="n"/>
      <c r="G100" s="14" t="n"/>
      <c r="H100" s="14" t="n"/>
      <c r="I100" s="23" t="n"/>
      <c r="J100" s="24" t="n"/>
      <c r="K100" s="23" t="n"/>
      <c r="L100" s="25">
        <f>IF(OR(E100="",N(U100)=0),"",U100-SUMIFS(Q$18:Q100,E$18:E100,E100))</f>
        <v/>
      </c>
      <c r="M100" s="26">
        <f>IF(OR(N(J100)=0,K100="Cancelled"),"",IF(AND(N(J100)&gt;5000,P100&lt;&gt;"G"),"Yes: ₹1","No"))</f>
        <v/>
      </c>
      <c r="N100" s="27">
        <f>IF(AND(B100="",D100="",N(J100)=0),"",IF(B100="","Enter the date",IF(AND(ROW()&gt;18,B99=""),"Use the next empty row: a skipped row leaves a gap in the receipt numbers",IF(D100="","Enter who paid",IF(N(J100)=0,"Enter the amount",IF(G100="","Pick what the money was for",IF(P100="?","Pick what it was for from the list",IF(H100="","Pick how it was paid",IF(K100="Cancelled","Cancelled: keep this number unused and give a fresh receipt",IF(AND(H100&lt;&gt;"Cash",I100=""),"Enter the cheque no., UTR or UPI reference",IF(AND(L100&lt;&gt;"",N(L100)&lt;0),"More than the balance due on this invoice",IF(S100&gt;=200000,"₹2,00,000 or more in cash from this person today: barred, s.186",IF(T100&gt;=200000,"₹2,00,000 or more in cash against this invoice: barred, s.186",IF(AND(P100="T",H100="Cash",N(J100)&gt;=20000),"Loan of ₹20,000 or more in cash: barred, s.185",IF(AND(P100="D",H100="Cash",N(J100)&gt;=20000),"Cash deposit of ₹20,000 or more: ask your accountant whether s.185 applies",IF(AND(OR(P100="AG",P100="AS"),$E$9&lt;&gt;""),"Advance: also give a GST receipt voucher, s.31(3)(d) and Rule 50","OK"))))))))))))))))</f>
        <v/>
      </c>
      <c r="P100">
        <f>IF(G100="","",IFERROR(VLOOKUP(G100,Lists!$A$2:$B$9,2,FALSE),"?"))</f>
        <v/>
      </c>
      <c r="Q100">
        <f>IF(K100="Cancelled",0,N(J100))</f>
        <v/>
      </c>
      <c r="R100">
        <f>IF(OR(H100&lt;&gt;"Cash",P100="T",P100="D"),0,Q100)</f>
        <v/>
      </c>
      <c r="S100">
        <f>IF(R100=0,0,SUMIFS($R$18:$R$317,$B$18:$B$317,B100,$D$18:$D$317,D100))</f>
        <v/>
      </c>
      <c r="T100">
        <f>IF(OR(R100=0,E100=""),0,SUMIFS($R$18:$R$317,$E$18:$E$317,E100))</f>
        <v/>
      </c>
      <c r="U100">
        <f>IF(E100="","",IF(N(F100)&gt;0,F100,IFERROR(INDEX($F$18:$F$317,MATCH(E100,$E$18:$E$317,0)),"")))</f>
        <v/>
      </c>
      <c r="V100">
        <f>IF(OR(N100="",N100="OK",K100="Cancelled"),0,1)</f>
        <v/>
      </c>
    </row>
    <row r="101">
      <c r="B101" s="21" t="n"/>
      <c r="C101" s="22">
        <f>IF(B101="","",$E$10&amp;TEXT(N($E$11)+83,"000"))</f>
        <v/>
      </c>
      <c r="D101" s="14" t="n"/>
      <c r="E101" s="23" t="n"/>
      <c r="F101" s="24" t="n"/>
      <c r="G101" s="14" t="n"/>
      <c r="H101" s="14" t="n"/>
      <c r="I101" s="23" t="n"/>
      <c r="J101" s="24" t="n"/>
      <c r="K101" s="23" t="n"/>
      <c r="L101" s="25">
        <f>IF(OR(E101="",N(U101)=0),"",U101-SUMIFS(Q$18:Q101,E$18:E101,E101))</f>
        <v/>
      </c>
      <c r="M101" s="26">
        <f>IF(OR(N(J101)=0,K101="Cancelled"),"",IF(AND(N(J101)&gt;5000,P101&lt;&gt;"G"),"Yes: ₹1","No"))</f>
        <v/>
      </c>
      <c r="N101" s="27">
        <f>IF(AND(B101="",D101="",N(J101)=0),"",IF(B101="","Enter the date",IF(AND(ROW()&gt;18,B100=""),"Use the next empty row: a skipped row leaves a gap in the receipt numbers",IF(D101="","Enter who paid",IF(N(J101)=0,"Enter the amount",IF(G101="","Pick what the money was for",IF(P101="?","Pick what it was for from the list",IF(H101="","Pick how it was paid",IF(K101="Cancelled","Cancelled: keep this number unused and give a fresh receipt",IF(AND(H101&lt;&gt;"Cash",I101=""),"Enter the cheque no., UTR or UPI reference",IF(AND(L101&lt;&gt;"",N(L101)&lt;0),"More than the balance due on this invoice",IF(S101&gt;=200000,"₹2,00,000 or more in cash from this person today: barred, s.186",IF(T101&gt;=200000,"₹2,00,000 or more in cash against this invoice: barred, s.186",IF(AND(P101="T",H101="Cash",N(J101)&gt;=20000),"Loan of ₹20,000 or more in cash: barred, s.185",IF(AND(P101="D",H101="Cash",N(J101)&gt;=20000),"Cash deposit of ₹20,000 or more: ask your accountant whether s.185 applies",IF(AND(OR(P101="AG",P101="AS"),$E$9&lt;&gt;""),"Advance: also give a GST receipt voucher, s.31(3)(d) and Rule 50","OK"))))))))))))))))</f>
        <v/>
      </c>
      <c r="P101">
        <f>IF(G101="","",IFERROR(VLOOKUP(G101,Lists!$A$2:$B$9,2,FALSE),"?"))</f>
        <v/>
      </c>
      <c r="Q101">
        <f>IF(K101="Cancelled",0,N(J101))</f>
        <v/>
      </c>
      <c r="R101">
        <f>IF(OR(H101&lt;&gt;"Cash",P101="T",P101="D"),0,Q101)</f>
        <v/>
      </c>
      <c r="S101">
        <f>IF(R101=0,0,SUMIFS($R$18:$R$317,$B$18:$B$317,B101,$D$18:$D$317,D101))</f>
        <v/>
      </c>
      <c r="T101">
        <f>IF(OR(R101=0,E101=""),0,SUMIFS($R$18:$R$317,$E$18:$E$317,E101))</f>
        <v/>
      </c>
      <c r="U101">
        <f>IF(E101="","",IF(N(F101)&gt;0,F101,IFERROR(INDEX($F$18:$F$317,MATCH(E101,$E$18:$E$317,0)),"")))</f>
        <v/>
      </c>
      <c r="V101">
        <f>IF(OR(N101="",N101="OK",K101="Cancelled"),0,1)</f>
        <v/>
      </c>
    </row>
    <row r="102">
      <c r="B102" s="21" t="n"/>
      <c r="C102" s="22">
        <f>IF(B102="","",$E$10&amp;TEXT(N($E$11)+84,"000"))</f>
        <v/>
      </c>
      <c r="D102" s="14" t="n"/>
      <c r="E102" s="23" t="n"/>
      <c r="F102" s="24" t="n"/>
      <c r="G102" s="14" t="n"/>
      <c r="H102" s="14" t="n"/>
      <c r="I102" s="23" t="n"/>
      <c r="J102" s="24" t="n"/>
      <c r="K102" s="23" t="n"/>
      <c r="L102" s="25">
        <f>IF(OR(E102="",N(U102)=0),"",U102-SUMIFS(Q$18:Q102,E$18:E102,E102))</f>
        <v/>
      </c>
      <c r="M102" s="26">
        <f>IF(OR(N(J102)=0,K102="Cancelled"),"",IF(AND(N(J102)&gt;5000,P102&lt;&gt;"G"),"Yes: ₹1","No"))</f>
        <v/>
      </c>
      <c r="N102" s="27">
        <f>IF(AND(B102="",D102="",N(J102)=0),"",IF(B102="","Enter the date",IF(AND(ROW()&gt;18,B101=""),"Use the next empty row: a skipped row leaves a gap in the receipt numbers",IF(D102="","Enter who paid",IF(N(J102)=0,"Enter the amount",IF(G102="","Pick what the money was for",IF(P102="?","Pick what it was for from the list",IF(H102="","Pick how it was paid",IF(K102="Cancelled","Cancelled: keep this number unused and give a fresh receipt",IF(AND(H102&lt;&gt;"Cash",I102=""),"Enter the cheque no., UTR or UPI reference",IF(AND(L102&lt;&gt;"",N(L102)&lt;0),"More than the balance due on this invoice",IF(S102&gt;=200000,"₹2,00,000 or more in cash from this person today: barred, s.186",IF(T102&gt;=200000,"₹2,00,000 or more in cash against this invoice: barred, s.186",IF(AND(P102="T",H102="Cash",N(J102)&gt;=20000),"Loan of ₹20,000 or more in cash: barred, s.185",IF(AND(P102="D",H102="Cash",N(J102)&gt;=20000),"Cash deposit of ₹20,000 or more: ask your accountant whether s.185 applies",IF(AND(OR(P102="AG",P102="AS"),$E$9&lt;&gt;""),"Advance: also give a GST receipt voucher, s.31(3)(d) and Rule 50","OK"))))))))))))))))</f>
        <v/>
      </c>
      <c r="P102">
        <f>IF(G102="","",IFERROR(VLOOKUP(G102,Lists!$A$2:$B$9,2,FALSE),"?"))</f>
        <v/>
      </c>
      <c r="Q102">
        <f>IF(K102="Cancelled",0,N(J102))</f>
        <v/>
      </c>
      <c r="R102">
        <f>IF(OR(H102&lt;&gt;"Cash",P102="T",P102="D"),0,Q102)</f>
        <v/>
      </c>
      <c r="S102">
        <f>IF(R102=0,0,SUMIFS($R$18:$R$317,$B$18:$B$317,B102,$D$18:$D$317,D102))</f>
        <v/>
      </c>
      <c r="T102">
        <f>IF(OR(R102=0,E102=""),0,SUMIFS($R$18:$R$317,$E$18:$E$317,E102))</f>
        <v/>
      </c>
      <c r="U102">
        <f>IF(E102="","",IF(N(F102)&gt;0,F102,IFERROR(INDEX($F$18:$F$317,MATCH(E102,$E$18:$E$317,0)),"")))</f>
        <v/>
      </c>
      <c r="V102">
        <f>IF(OR(N102="",N102="OK",K102="Cancelled"),0,1)</f>
        <v/>
      </c>
    </row>
    <row r="103">
      <c r="B103" s="21" t="n"/>
      <c r="C103" s="22">
        <f>IF(B103="","",$E$10&amp;TEXT(N($E$11)+85,"000"))</f>
        <v/>
      </c>
      <c r="D103" s="14" t="n"/>
      <c r="E103" s="23" t="n"/>
      <c r="F103" s="24" t="n"/>
      <c r="G103" s="14" t="n"/>
      <c r="H103" s="14" t="n"/>
      <c r="I103" s="23" t="n"/>
      <c r="J103" s="24" t="n"/>
      <c r="K103" s="23" t="n"/>
      <c r="L103" s="25">
        <f>IF(OR(E103="",N(U103)=0),"",U103-SUMIFS(Q$18:Q103,E$18:E103,E103))</f>
        <v/>
      </c>
      <c r="M103" s="26">
        <f>IF(OR(N(J103)=0,K103="Cancelled"),"",IF(AND(N(J103)&gt;5000,P103&lt;&gt;"G"),"Yes: ₹1","No"))</f>
        <v/>
      </c>
      <c r="N103" s="27">
        <f>IF(AND(B103="",D103="",N(J103)=0),"",IF(B103="","Enter the date",IF(AND(ROW()&gt;18,B102=""),"Use the next empty row: a skipped row leaves a gap in the receipt numbers",IF(D103="","Enter who paid",IF(N(J103)=0,"Enter the amount",IF(G103="","Pick what the money was for",IF(P103="?","Pick what it was for from the list",IF(H103="","Pick how it was paid",IF(K103="Cancelled","Cancelled: keep this number unused and give a fresh receipt",IF(AND(H103&lt;&gt;"Cash",I103=""),"Enter the cheque no., UTR or UPI reference",IF(AND(L103&lt;&gt;"",N(L103)&lt;0),"More than the balance due on this invoice",IF(S103&gt;=200000,"₹2,00,000 or more in cash from this person today: barred, s.186",IF(T103&gt;=200000,"₹2,00,000 or more in cash against this invoice: barred, s.186",IF(AND(P103="T",H103="Cash",N(J103)&gt;=20000),"Loan of ₹20,000 or more in cash: barred, s.185",IF(AND(P103="D",H103="Cash",N(J103)&gt;=20000),"Cash deposit of ₹20,000 or more: ask your accountant whether s.185 applies",IF(AND(OR(P103="AG",P103="AS"),$E$9&lt;&gt;""),"Advance: also give a GST receipt voucher, s.31(3)(d) and Rule 50","OK"))))))))))))))))</f>
        <v/>
      </c>
      <c r="P103">
        <f>IF(G103="","",IFERROR(VLOOKUP(G103,Lists!$A$2:$B$9,2,FALSE),"?"))</f>
        <v/>
      </c>
      <c r="Q103">
        <f>IF(K103="Cancelled",0,N(J103))</f>
        <v/>
      </c>
      <c r="R103">
        <f>IF(OR(H103&lt;&gt;"Cash",P103="T",P103="D"),0,Q103)</f>
        <v/>
      </c>
      <c r="S103">
        <f>IF(R103=0,0,SUMIFS($R$18:$R$317,$B$18:$B$317,B103,$D$18:$D$317,D103))</f>
        <v/>
      </c>
      <c r="T103">
        <f>IF(OR(R103=0,E103=""),0,SUMIFS($R$18:$R$317,$E$18:$E$317,E103))</f>
        <v/>
      </c>
      <c r="U103">
        <f>IF(E103="","",IF(N(F103)&gt;0,F103,IFERROR(INDEX($F$18:$F$317,MATCH(E103,$E$18:$E$317,0)),"")))</f>
        <v/>
      </c>
      <c r="V103">
        <f>IF(OR(N103="",N103="OK",K103="Cancelled"),0,1)</f>
        <v/>
      </c>
    </row>
    <row r="104">
      <c r="B104" s="21" t="n"/>
      <c r="C104" s="22">
        <f>IF(B104="","",$E$10&amp;TEXT(N($E$11)+86,"000"))</f>
        <v/>
      </c>
      <c r="D104" s="14" t="n"/>
      <c r="E104" s="23" t="n"/>
      <c r="F104" s="24" t="n"/>
      <c r="G104" s="14" t="n"/>
      <c r="H104" s="14" t="n"/>
      <c r="I104" s="23" t="n"/>
      <c r="J104" s="24" t="n"/>
      <c r="K104" s="23" t="n"/>
      <c r="L104" s="25">
        <f>IF(OR(E104="",N(U104)=0),"",U104-SUMIFS(Q$18:Q104,E$18:E104,E104))</f>
        <v/>
      </c>
      <c r="M104" s="26">
        <f>IF(OR(N(J104)=0,K104="Cancelled"),"",IF(AND(N(J104)&gt;5000,P104&lt;&gt;"G"),"Yes: ₹1","No"))</f>
        <v/>
      </c>
      <c r="N104" s="27">
        <f>IF(AND(B104="",D104="",N(J104)=0),"",IF(B104="","Enter the date",IF(AND(ROW()&gt;18,B103=""),"Use the next empty row: a skipped row leaves a gap in the receipt numbers",IF(D104="","Enter who paid",IF(N(J104)=0,"Enter the amount",IF(G104="","Pick what the money was for",IF(P104="?","Pick what it was for from the list",IF(H104="","Pick how it was paid",IF(K104="Cancelled","Cancelled: keep this number unused and give a fresh receipt",IF(AND(H104&lt;&gt;"Cash",I104=""),"Enter the cheque no., UTR or UPI reference",IF(AND(L104&lt;&gt;"",N(L104)&lt;0),"More than the balance due on this invoice",IF(S104&gt;=200000,"₹2,00,000 or more in cash from this person today: barred, s.186",IF(T104&gt;=200000,"₹2,00,000 or more in cash against this invoice: barred, s.186",IF(AND(P104="T",H104="Cash",N(J104)&gt;=20000),"Loan of ₹20,000 or more in cash: barred, s.185",IF(AND(P104="D",H104="Cash",N(J104)&gt;=20000),"Cash deposit of ₹20,000 or more: ask your accountant whether s.185 applies",IF(AND(OR(P104="AG",P104="AS"),$E$9&lt;&gt;""),"Advance: also give a GST receipt voucher, s.31(3)(d) and Rule 50","OK"))))))))))))))))</f>
        <v/>
      </c>
      <c r="P104">
        <f>IF(G104="","",IFERROR(VLOOKUP(G104,Lists!$A$2:$B$9,2,FALSE),"?"))</f>
        <v/>
      </c>
      <c r="Q104">
        <f>IF(K104="Cancelled",0,N(J104))</f>
        <v/>
      </c>
      <c r="R104">
        <f>IF(OR(H104&lt;&gt;"Cash",P104="T",P104="D"),0,Q104)</f>
        <v/>
      </c>
      <c r="S104">
        <f>IF(R104=0,0,SUMIFS($R$18:$R$317,$B$18:$B$317,B104,$D$18:$D$317,D104))</f>
        <v/>
      </c>
      <c r="T104">
        <f>IF(OR(R104=0,E104=""),0,SUMIFS($R$18:$R$317,$E$18:$E$317,E104))</f>
        <v/>
      </c>
      <c r="U104">
        <f>IF(E104="","",IF(N(F104)&gt;0,F104,IFERROR(INDEX($F$18:$F$317,MATCH(E104,$E$18:$E$317,0)),"")))</f>
        <v/>
      </c>
      <c r="V104">
        <f>IF(OR(N104="",N104="OK",K104="Cancelled"),0,1)</f>
        <v/>
      </c>
    </row>
    <row r="105">
      <c r="B105" s="21" t="n"/>
      <c r="C105" s="22">
        <f>IF(B105="","",$E$10&amp;TEXT(N($E$11)+87,"000"))</f>
        <v/>
      </c>
      <c r="D105" s="14" t="n"/>
      <c r="E105" s="23" t="n"/>
      <c r="F105" s="24" t="n"/>
      <c r="G105" s="14" t="n"/>
      <c r="H105" s="14" t="n"/>
      <c r="I105" s="23" t="n"/>
      <c r="J105" s="24" t="n"/>
      <c r="K105" s="23" t="n"/>
      <c r="L105" s="25">
        <f>IF(OR(E105="",N(U105)=0),"",U105-SUMIFS(Q$18:Q105,E$18:E105,E105))</f>
        <v/>
      </c>
      <c r="M105" s="26">
        <f>IF(OR(N(J105)=0,K105="Cancelled"),"",IF(AND(N(J105)&gt;5000,P105&lt;&gt;"G"),"Yes: ₹1","No"))</f>
        <v/>
      </c>
      <c r="N105" s="27">
        <f>IF(AND(B105="",D105="",N(J105)=0),"",IF(B105="","Enter the date",IF(AND(ROW()&gt;18,B104=""),"Use the next empty row: a skipped row leaves a gap in the receipt numbers",IF(D105="","Enter who paid",IF(N(J105)=0,"Enter the amount",IF(G105="","Pick what the money was for",IF(P105="?","Pick what it was for from the list",IF(H105="","Pick how it was paid",IF(K105="Cancelled","Cancelled: keep this number unused and give a fresh receipt",IF(AND(H105&lt;&gt;"Cash",I105=""),"Enter the cheque no., UTR or UPI reference",IF(AND(L105&lt;&gt;"",N(L105)&lt;0),"More than the balance due on this invoice",IF(S105&gt;=200000,"₹2,00,000 or more in cash from this person today: barred, s.186",IF(T105&gt;=200000,"₹2,00,000 or more in cash against this invoice: barred, s.186",IF(AND(P105="T",H105="Cash",N(J105)&gt;=20000),"Loan of ₹20,000 or more in cash: barred, s.185",IF(AND(P105="D",H105="Cash",N(J105)&gt;=20000),"Cash deposit of ₹20,000 or more: ask your accountant whether s.185 applies",IF(AND(OR(P105="AG",P105="AS"),$E$9&lt;&gt;""),"Advance: also give a GST receipt voucher, s.31(3)(d) and Rule 50","OK"))))))))))))))))</f>
        <v/>
      </c>
      <c r="P105">
        <f>IF(G105="","",IFERROR(VLOOKUP(G105,Lists!$A$2:$B$9,2,FALSE),"?"))</f>
        <v/>
      </c>
      <c r="Q105">
        <f>IF(K105="Cancelled",0,N(J105))</f>
        <v/>
      </c>
      <c r="R105">
        <f>IF(OR(H105&lt;&gt;"Cash",P105="T",P105="D"),0,Q105)</f>
        <v/>
      </c>
      <c r="S105">
        <f>IF(R105=0,0,SUMIFS($R$18:$R$317,$B$18:$B$317,B105,$D$18:$D$317,D105))</f>
        <v/>
      </c>
      <c r="T105">
        <f>IF(OR(R105=0,E105=""),0,SUMIFS($R$18:$R$317,$E$18:$E$317,E105))</f>
        <v/>
      </c>
      <c r="U105">
        <f>IF(E105="","",IF(N(F105)&gt;0,F105,IFERROR(INDEX($F$18:$F$317,MATCH(E105,$E$18:$E$317,0)),"")))</f>
        <v/>
      </c>
      <c r="V105">
        <f>IF(OR(N105="",N105="OK",K105="Cancelled"),0,1)</f>
        <v/>
      </c>
    </row>
    <row r="106">
      <c r="B106" s="21" t="n"/>
      <c r="C106" s="22">
        <f>IF(B106="","",$E$10&amp;TEXT(N($E$11)+88,"000"))</f>
        <v/>
      </c>
      <c r="D106" s="14" t="n"/>
      <c r="E106" s="23" t="n"/>
      <c r="F106" s="24" t="n"/>
      <c r="G106" s="14" t="n"/>
      <c r="H106" s="14" t="n"/>
      <c r="I106" s="23" t="n"/>
      <c r="J106" s="24" t="n"/>
      <c r="K106" s="23" t="n"/>
      <c r="L106" s="25">
        <f>IF(OR(E106="",N(U106)=0),"",U106-SUMIFS(Q$18:Q106,E$18:E106,E106))</f>
        <v/>
      </c>
      <c r="M106" s="26">
        <f>IF(OR(N(J106)=0,K106="Cancelled"),"",IF(AND(N(J106)&gt;5000,P106&lt;&gt;"G"),"Yes: ₹1","No"))</f>
        <v/>
      </c>
      <c r="N106" s="27">
        <f>IF(AND(B106="",D106="",N(J106)=0),"",IF(B106="","Enter the date",IF(AND(ROW()&gt;18,B105=""),"Use the next empty row: a skipped row leaves a gap in the receipt numbers",IF(D106="","Enter who paid",IF(N(J106)=0,"Enter the amount",IF(G106="","Pick what the money was for",IF(P106="?","Pick what it was for from the list",IF(H106="","Pick how it was paid",IF(K106="Cancelled","Cancelled: keep this number unused and give a fresh receipt",IF(AND(H106&lt;&gt;"Cash",I106=""),"Enter the cheque no., UTR or UPI reference",IF(AND(L106&lt;&gt;"",N(L106)&lt;0),"More than the balance due on this invoice",IF(S106&gt;=200000,"₹2,00,000 or more in cash from this person today: barred, s.186",IF(T106&gt;=200000,"₹2,00,000 or more in cash against this invoice: barred, s.186",IF(AND(P106="T",H106="Cash",N(J106)&gt;=20000),"Loan of ₹20,000 or more in cash: barred, s.185",IF(AND(P106="D",H106="Cash",N(J106)&gt;=20000),"Cash deposit of ₹20,000 or more: ask your accountant whether s.185 applies",IF(AND(OR(P106="AG",P106="AS"),$E$9&lt;&gt;""),"Advance: also give a GST receipt voucher, s.31(3)(d) and Rule 50","OK"))))))))))))))))</f>
        <v/>
      </c>
      <c r="P106">
        <f>IF(G106="","",IFERROR(VLOOKUP(G106,Lists!$A$2:$B$9,2,FALSE),"?"))</f>
        <v/>
      </c>
      <c r="Q106">
        <f>IF(K106="Cancelled",0,N(J106))</f>
        <v/>
      </c>
      <c r="R106">
        <f>IF(OR(H106&lt;&gt;"Cash",P106="T",P106="D"),0,Q106)</f>
        <v/>
      </c>
      <c r="S106">
        <f>IF(R106=0,0,SUMIFS($R$18:$R$317,$B$18:$B$317,B106,$D$18:$D$317,D106))</f>
        <v/>
      </c>
      <c r="T106">
        <f>IF(OR(R106=0,E106=""),0,SUMIFS($R$18:$R$317,$E$18:$E$317,E106))</f>
        <v/>
      </c>
      <c r="U106">
        <f>IF(E106="","",IF(N(F106)&gt;0,F106,IFERROR(INDEX($F$18:$F$317,MATCH(E106,$E$18:$E$317,0)),"")))</f>
        <v/>
      </c>
      <c r="V106">
        <f>IF(OR(N106="",N106="OK",K106="Cancelled"),0,1)</f>
        <v/>
      </c>
    </row>
    <row r="107">
      <c r="B107" s="21" t="n"/>
      <c r="C107" s="22">
        <f>IF(B107="","",$E$10&amp;TEXT(N($E$11)+89,"000"))</f>
        <v/>
      </c>
      <c r="D107" s="14" t="n"/>
      <c r="E107" s="23" t="n"/>
      <c r="F107" s="24" t="n"/>
      <c r="G107" s="14" t="n"/>
      <c r="H107" s="14" t="n"/>
      <c r="I107" s="23" t="n"/>
      <c r="J107" s="24" t="n"/>
      <c r="K107" s="23" t="n"/>
      <c r="L107" s="25">
        <f>IF(OR(E107="",N(U107)=0),"",U107-SUMIFS(Q$18:Q107,E$18:E107,E107))</f>
        <v/>
      </c>
      <c r="M107" s="26">
        <f>IF(OR(N(J107)=0,K107="Cancelled"),"",IF(AND(N(J107)&gt;5000,P107&lt;&gt;"G"),"Yes: ₹1","No"))</f>
        <v/>
      </c>
      <c r="N107" s="27">
        <f>IF(AND(B107="",D107="",N(J107)=0),"",IF(B107="","Enter the date",IF(AND(ROW()&gt;18,B106=""),"Use the next empty row: a skipped row leaves a gap in the receipt numbers",IF(D107="","Enter who paid",IF(N(J107)=0,"Enter the amount",IF(G107="","Pick what the money was for",IF(P107="?","Pick what it was for from the list",IF(H107="","Pick how it was paid",IF(K107="Cancelled","Cancelled: keep this number unused and give a fresh receipt",IF(AND(H107&lt;&gt;"Cash",I107=""),"Enter the cheque no., UTR or UPI reference",IF(AND(L107&lt;&gt;"",N(L107)&lt;0),"More than the balance due on this invoice",IF(S107&gt;=200000,"₹2,00,000 or more in cash from this person today: barred, s.186",IF(T107&gt;=200000,"₹2,00,000 or more in cash against this invoice: barred, s.186",IF(AND(P107="T",H107="Cash",N(J107)&gt;=20000),"Loan of ₹20,000 or more in cash: barred, s.185",IF(AND(P107="D",H107="Cash",N(J107)&gt;=20000),"Cash deposit of ₹20,000 or more: ask your accountant whether s.185 applies",IF(AND(OR(P107="AG",P107="AS"),$E$9&lt;&gt;""),"Advance: also give a GST receipt voucher, s.31(3)(d) and Rule 50","OK"))))))))))))))))</f>
        <v/>
      </c>
      <c r="P107">
        <f>IF(G107="","",IFERROR(VLOOKUP(G107,Lists!$A$2:$B$9,2,FALSE),"?"))</f>
        <v/>
      </c>
      <c r="Q107">
        <f>IF(K107="Cancelled",0,N(J107))</f>
        <v/>
      </c>
      <c r="R107">
        <f>IF(OR(H107&lt;&gt;"Cash",P107="T",P107="D"),0,Q107)</f>
        <v/>
      </c>
      <c r="S107">
        <f>IF(R107=0,0,SUMIFS($R$18:$R$317,$B$18:$B$317,B107,$D$18:$D$317,D107))</f>
        <v/>
      </c>
      <c r="T107">
        <f>IF(OR(R107=0,E107=""),0,SUMIFS($R$18:$R$317,$E$18:$E$317,E107))</f>
        <v/>
      </c>
      <c r="U107">
        <f>IF(E107="","",IF(N(F107)&gt;0,F107,IFERROR(INDEX($F$18:$F$317,MATCH(E107,$E$18:$E$317,0)),"")))</f>
        <v/>
      </c>
      <c r="V107">
        <f>IF(OR(N107="",N107="OK",K107="Cancelled"),0,1)</f>
        <v/>
      </c>
    </row>
    <row r="108">
      <c r="B108" s="21" t="n"/>
      <c r="C108" s="22">
        <f>IF(B108="","",$E$10&amp;TEXT(N($E$11)+90,"000"))</f>
        <v/>
      </c>
      <c r="D108" s="14" t="n"/>
      <c r="E108" s="23" t="n"/>
      <c r="F108" s="24" t="n"/>
      <c r="G108" s="14" t="n"/>
      <c r="H108" s="14" t="n"/>
      <c r="I108" s="23" t="n"/>
      <c r="J108" s="24" t="n"/>
      <c r="K108" s="23" t="n"/>
      <c r="L108" s="25">
        <f>IF(OR(E108="",N(U108)=0),"",U108-SUMIFS(Q$18:Q108,E$18:E108,E108))</f>
        <v/>
      </c>
      <c r="M108" s="26">
        <f>IF(OR(N(J108)=0,K108="Cancelled"),"",IF(AND(N(J108)&gt;5000,P108&lt;&gt;"G"),"Yes: ₹1","No"))</f>
        <v/>
      </c>
      <c r="N108" s="27">
        <f>IF(AND(B108="",D108="",N(J108)=0),"",IF(B108="","Enter the date",IF(AND(ROW()&gt;18,B107=""),"Use the next empty row: a skipped row leaves a gap in the receipt numbers",IF(D108="","Enter who paid",IF(N(J108)=0,"Enter the amount",IF(G108="","Pick what the money was for",IF(P108="?","Pick what it was for from the list",IF(H108="","Pick how it was paid",IF(K108="Cancelled","Cancelled: keep this number unused and give a fresh receipt",IF(AND(H108&lt;&gt;"Cash",I108=""),"Enter the cheque no., UTR or UPI reference",IF(AND(L108&lt;&gt;"",N(L108)&lt;0),"More than the balance due on this invoice",IF(S108&gt;=200000,"₹2,00,000 or more in cash from this person today: barred, s.186",IF(T108&gt;=200000,"₹2,00,000 or more in cash against this invoice: barred, s.186",IF(AND(P108="T",H108="Cash",N(J108)&gt;=20000),"Loan of ₹20,000 or more in cash: barred, s.185",IF(AND(P108="D",H108="Cash",N(J108)&gt;=20000),"Cash deposit of ₹20,000 or more: ask your accountant whether s.185 applies",IF(AND(OR(P108="AG",P108="AS"),$E$9&lt;&gt;""),"Advance: also give a GST receipt voucher, s.31(3)(d) and Rule 50","OK"))))))))))))))))</f>
        <v/>
      </c>
      <c r="P108">
        <f>IF(G108="","",IFERROR(VLOOKUP(G108,Lists!$A$2:$B$9,2,FALSE),"?"))</f>
        <v/>
      </c>
      <c r="Q108">
        <f>IF(K108="Cancelled",0,N(J108))</f>
        <v/>
      </c>
      <c r="R108">
        <f>IF(OR(H108&lt;&gt;"Cash",P108="T",P108="D"),0,Q108)</f>
        <v/>
      </c>
      <c r="S108">
        <f>IF(R108=0,0,SUMIFS($R$18:$R$317,$B$18:$B$317,B108,$D$18:$D$317,D108))</f>
        <v/>
      </c>
      <c r="T108">
        <f>IF(OR(R108=0,E108=""),0,SUMIFS($R$18:$R$317,$E$18:$E$317,E108))</f>
        <v/>
      </c>
      <c r="U108">
        <f>IF(E108="","",IF(N(F108)&gt;0,F108,IFERROR(INDEX($F$18:$F$317,MATCH(E108,$E$18:$E$317,0)),"")))</f>
        <v/>
      </c>
      <c r="V108">
        <f>IF(OR(N108="",N108="OK",K108="Cancelled"),0,1)</f>
        <v/>
      </c>
    </row>
    <row r="109">
      <c r="B109" s="21" t="n"/>
      <c r="C109" s="22">
        <f>IF(B109="","",$E$10&amp;TEXT(N($E$11)+91,"000"))</f>
        <v/>
      </c>
      <c r="D109" s="14" t="n"/>
      <c r="E109" s="23" t="n"/>
      <c r="F109" s="24" t="n"/>
      <c r="G109" s="14" t="n"/>
      <c r="H109" s="14" t="n"/>
      <c r="I109" s="23" t="n"/>
      <c r="J109" s="24" t="n"/>
      <c r="K109" s="23" t="n"/>
      <c r="L109" s="25">
        <f>IF(OR(E109="",N(U109)=0),"",U109-SUMIFS(Q$18:Q109,E$18:E109,E109))</f>
        <v/>
      </c>
      <c r="M109" s="26">
        <f>IF(OR(N(J109)=0,K109="Cancelled"),"",IF(AND(N(J109)&gt;5000,P109&lt;&gt;"G"),"Yes: ₹1","No"))</f>
        <v/>
      </c>
      <c r="N109" s="27">
        <f>IF(AND(B109="",D109="",N(J109)=0),"",IF(B109="","Enter the date",IF(AND(ROW()&gt;18,B108=""),"Use the next empty row: a skipped row leaves a gap in the receipt numbers",IF(D109="","Enter who paid",IF(N(J109)=0,"Enter the amount",IF(G109="","Pick what the money was for",IF(P109="?","Pick what it was for from the list",IF(H109="","Pick how it was paid",IF(K109="Cancelled","Cancelled: keep this number unused and give a fresh receipt",IF(AND(H109&lt;&gt;"Cash",I109=""),"Enter the cheque no., UTR or UPI reference",IF(AND(L109&lt;&gt;"",N(L109)&lt;0),"More than the balance due on this invoice",IF(S109&gt;=200000,"₹2,00,000 or more in cash from this person today: barred, s.186",IF(T109&gt;=200000,"₹2,00,000 or more in cash against this invoice: barred, s.186",IF(AND(P109="T",H109="Cash",N(J109)&gt;=20000),"Loan of ₹20,000 or more in cash: barred, s.185",IF(AND(P109="D",H109="Cash",N(J109)&gt;=20000),"Cash deposit of ₹20,000 or more: ask your accountant whether s.185 applies",IF(AND(OR(P109="AG",P109="AS"),$E$9&lt;&gt;""),"Advance: also give a GST receipt voucher, s.31(3)(d) and Rule 50","OK"))))))))))))))))</f>
        <v/>
      </c>
      <c r="P109">
        <f>IF(G109="","",IFERROR(VLOOKUP(G109,Lists!$A$2:$B$9,2,FALSE),"?"))</f>
        <v/>
      </c>
      <c r="Q109">
        <f>IF(K109="Cancelled",0,N(J109))</f>
        <v/>
      </c>
      <c r="R109">
        <f>IF(OR(H109&lt;&gt;"Cash",P109="T",P109="D"),0,Q109)</f>
        <v/>
      </c>
      <c r="S109">
        <f>IF(R109=0,0,SUMIFS($R$18:$R$317,$B$18:$B$317,B109,$D$18:$D$317,D109))</f>
        <v/>
      </c>
      <c r="T109">
        <f>IF(OR(R109=0,E109=""),0,SUMIFS($R$18:$R$317,$E$18:$E$317,E109))</f>
        <v/>
      </c>
      <c r="U109">
        <f>IF(E109="","",IF(N(F109)&gt;0,F109,IFERROR(INDEX($F$18:$F$317,MATCH(E109,$E$18:$E$317,0)),"")))</f>
        <v/>
      </c>
      <c r="V109">
        <f>IF(OR(N109="",N109="OK",K109="Cancelled"),0,1)</f>
        <v/>
      </c>
    </row>
    <row r="110">
      <c r="B110" s="21" t="n"/>
      <c r="C110" s="22">
        <f>IF(B110="","",$E$10&amp;TEXT(N($E$11)+92,"000"))</f>
        <v/>
      </c>
      <c r="D110" s="14" t="n"/>
      <c r="E110" s="23" t="n"/>
      <c r="F110" s="24" t="n"/>
      <c r="G110" s="14" t="n"/>
      <c r="H110" s="14" t="n"/>
      <c r="I110" s="23" t="n"/>
      <c r="J110" s="24" t="n"/>
      <c r="K110" s="23" t="n"/>
      <c r="L110" s="25">
        <f>IF(OR(E110="",N(U110)=0),"",U110-SUMIFS(Q$18:Q110,E$18:E110,E110))</f>
        <v/>
      </c>
      <c r="M110" s="26">
        <f>IF(OR(N(J110)=0,K110="Cancelled"),"",IF(AND(N(J110)&gt;5000,P110&lt;&gt;"G"),"Yes: ₹1","No"))</f>
        <v/>
      </c>
      <c r="N110" s="27">
        <f>IF(AND(B110="",D110="",N(J110)=0),"",IF(B110="","Enter the date",IF(AND(ROW()&gt;18,B109=""),"Use the next empty row: a skipped row leaves a gap in the receipt numbers",IF(D110="","Enter who paid",IF(N(J110)=0,"Enter the amount",IF(G110="","Pick what the money was for",IF(P110="?","Pick what it was for from the list",IF(H110="","Pick how it was paid",IF(K110="Cancelled","Cancelled: keep this number unused and give a fresh receipt",IF(AND(H110&lt;&gt;"Cash",I110=""),"Enter the cheque no., UTR or UPI reference",IF(AND(L110&lt;&gt;"",N(L110)&lt;0),"More than the balance due on this invoice",IF(S110&gt;=200000,"₹2,00,000 or more in cash from this person today: barred, s.186",IF(T110&gt;=200000,"₹2,00,000 or more in cash against this invoice: barred, s.186",IF(AND(P110="T",H110="Cash",N(J110)&gt;=20000),"Loan of ₹20,000 or more in cash: barred, s.185",IF(AND(P110="D",H110="Cash",N(J110)&gt;=20000),"Cash deposit of ₹20,000 or more: ask your accountant whether s.185 applies",IF(AND(OR(P110="AG",P110="AS"),$E$9&lt;&gt;""),"Advance: also give a GST receipt voucher, s.31(3)(d) and Rule 50","OK"))))))))))))))))</f>
        <v/>
      </c>
      <c r="P110">
        <f>IF(G110="","",IFERROR(VLOOKUP(G110,Lists!$A$2:$B$9,2,FALSE),"?"))</f>
        <v/>
      </c>
      <c r="Q110">
        <f>IF(K110="Cancelled",0,N(J110))</f>
        <v/>
      </c>
      <c r="R110">
        <f>IF(OR(H110&lt;&gt;"Cash",P110="T",P110="D"),0,Q110)</f>
        <v/>
      </c>
      <c r="S110">
        <f>IF(R110=0,0,SUMIFS($R$18:$R$317,$B$18:$B$317,B110,$D$18:$D$317,D110))</f>
        <v/>
      </c>
      <c r="T110">
        <f>IF(OR(R110=0,E110=""),0,SUMIFS($R$18:$R$317,$E$18:$E$317,E110))</f>
        <v/>
      </c>
      <c r="U110">
        <f>IF(E110="","",IF(N(F110)&gt;0,F110,IFERROR(INDEX($F$18:$F$317,MATCH(E110,$E$18:$E$317,0)),"")))</f>
        <v/>
      </c>
      <c r="V110">
        <f>IF(OR(N110="",N110="OK",K110="Cancelled"),0,1)</f>
        <v/>
      </c>
    </row>
    <row r="111">
      <c r="B111" s="21" t="n"/>
      <c r="C111" s="22">
        <f>IF(B111="","",$E$10&amp;TEXT(N($E$11)+93,"000"))</f>
        <v/>
      </c>
      <c r="D111" s="14" t="n"/>
      <c r="E111" s="23" t="n"/>
      <c r="F111" s="24" t="n"/>
      <c r="G111" s="14" t="n"/>
      <c r="H111" s="14" t="n"/>
      <c r="I111" s="23" t="n"/>
      <c r="J111" s="24" t="n"/>
      <c r="K111" s="23" t="n"/>
      <c r="L111" s="25">
        <f>IF(OR(E111="",N(U111)=0),"",U111-SUMIFS(Q$18:Q111,E$18:E111,E111))</f>
        <v/>
      </c>
      <c r="M111" s="26">
        <f>IF(OR(N(J111)=0,K111="Cancelled"),"",IF(AND(N(J111)&gt;5000,P111&lt;&gt;"G"),"Yes: ₹1","No"))</f>
        <v/>
      </c>
      <c r="N111" s="27">
        <f>IF(AND(B111="",D111="",N(J111)=0),"",IF(B111="","Enter the date",IF(AND(ROW()&gt;18,B110=""),"Use the next empty row: a skipped row leaves a gap in the receipt numbers",IF(D111="","Enter who paid",IF(N(J111)=0,"Enter the amount",IF(G111="","Pick what the money was for",IF(P111="?","Pick what it was for from the list",IF(H111="","Pick how it was paid",IF(K111="Cancelled","Cancelled: keep this number unused and give a fresh receipt",IF(AND(H111&lt;&gt;"Cash",I111=""),"Enter the cheque no., UTR or UPI reference",IF(AND(L111&lt;&gt;"",N(L111)&lt;0),"More than the balance due on this invoice",IF(S111&gt;=200000,"₹2,00,000 or more in cash from this person today: barred, s.186",IF(T111&gt;=200000,"₹2,00,000 or more in cash against this invoice: barred, s.186",IF(AND(P111="T",H111="Cash",N(J111)&gt;=20000),"Loan of ₹20,000 or more in cash: barred, s.185",IF(AND(P111="D",H111="Cash",N(J111)&gt;=20000),"Cash deposit of ₹20,000 or more: ask your accountant whether s.185 applies",IF(AND(OR(P111="AG",P111="AS"),$E$9&lt;&gt;""),"Advance: also give a GST receipt voucher, s.31(3)(d) and Rule 50","OK"))))))))))))))))</f>
        <v/>
      </c>
      <c r="P111">
        <f>IF(G111="","",IFERROR(VLOOKUP(G111,Lists!$A$2:$B$9,2,FALSE),"?"))</f>
        <v/>
      </c>
      <c r="Q111">
        <f>IF(K111="Cancelled",0,N(J111))</f>
        <v/>
      </c>
      <c r="R111">
        <f>IF(OR(H111&lt;&gt;"Cash",P111="T",P111="D"),0,Q111)</f>
        <v/>
      </c>
      <c r="S111">
        <f>IF(R111=0,0,SUMIFS($R$18:$R$317,$B$18:$B$317,B111,$D$18:$D$317,D111))</f>
        <v/>
      </c>
      <c r="T111">
        <f>IF(OR(R111=0,E111=""),0,SUMIFS($R$18:$R$317,$E$18:$E$317,E111))</f>
        <v/>
      </c>
      <c r="U111">
        <f>IF(E111="","",IF(N(F111)&gt;0,F111,IFERROR(INDEX($F$18:$F$317,MATCH(E111,$E$18:$E$317,0)),"")))</f>
        <v/>
      </c>
      <c r="V111">
        <f>IF(OR(N111="",N111="OK",K111="Cancelled"),0,1)</f>
        <v/>
      </c>
    </row>
    <row r="112">
      <c r="B112" s="21" t="n"/>
      <c r="C112" s="22">
        <f>IF(B112="","",$E$10&amp;TEXT(N($E$11)+94,"000"))</f>
        <v/>
      </c>
      <c r="D112" s="14" t="n"/>
      <c r="E112" s="23" t="n"/>
      <c r="F112" s="24" t="n"/>
      <c r="G112" s="14" t="n"/>
      <c r="H112" s="14" t="n"/>
      <c r="I112" s="23" t="n"/>
      <c r="J112" s="24" t="n"/>
      <c r="K112" s="23" t="n"/>
      <c r="L112" s="25">
        <f>IF(OR(E112="",N(U112)=0),"",U112-SUMIFS(Q$18:Q112,E$18:E112,E112))</f>
        <v/>
      </c>
      <c r="M112" s="26">
        <f>IF(OR(N(J112)=0,K112="Cancelled"),"",IF(AND(N(J112)&gt;5000,P112&lt;&gt;"G"),"Yes: ₹1","No"))</f>
        <v/>
      </c>
      <c r="N112" s="27">
        <f>IF(AND(B112="",D112="",N(J112)=0),"",IF(B112="","Enter the date",IF(AND(ROW()&gt;18,B111=""),"Use the next empty row: a skipped row leaves a gap in the receipt numbers",IF(D112="","Enter who paid",IF(N(J112)=0,"Enter the amount",IF(G112="","Pick what the money was for",IF(P112="?","Pick what it was for from the list",IF(H112="","Pick how it was paid",IF(K112="Cancelled","Cancelled: keep this number unused and give a fresh receipt",IF(AND(H112&lt;&gt;"Cash",I112=""),"Enter the cheque no., UTR or UPI reference",IF(AND(L112&lt;&gt;"",N(L112)&lt;0),"More than the balance due on this invoice",IF(S112&gt;=200000,"₹2,00,000 or more in cash from this person today: barred, s.186",IF(T112&gt;=200000,"₹2,00,000 or more in cash against this invoice: barred, s.186",IF(AND(P112="T",H112="Cash",N(J112)&gt;=20000),"Loan of ₹20,000 or more in cash: barred, s.185",IF(AND(P112="D",H112="Cash",N(J112)&gt;=20000),"Cash deposit of ₹20,000 or more: ask your accountant whether s.185 applies",IF(AND(OR(P112="AG",P112="AS"),$E$9&lt;&gt;""),"Advance: also give a GST receipt voucher, s.31(3)(d) and Rule 50","OK"))))))))))))))))</f>
        <v/>
      </c>
      <c r="P112">
        <f>IF(G112="","",IFERROR(VLOOKUP(G112,Lists!$A$2:$B$9,2,FALSE),"?"))</f>
        <v/>
      </c>
      <c r="Q112">
        <f>IF(K112="Cancelled",0,N(J112))</f>
        <v/>
      </c>
      <c r="R112">
        <f>IF(OR(H112&lt;&gt;"Cash",P112="T",P112="D"),0,Q112)</f>
        <v/>
      </c>
      <c r="S112">
        <f>IF(R112=0,0,SUMIFS($R$18:$R$317,$B$18:$B$317,B112,$D$18:$D$317,D112))</f>
        <v/>
      </c>
      <c r="T112">
        <f>IF(OR(R112=0,E112=""),0,SUMIFS($R$18:$R$317,$E$18:$E$317,E112))</f>
        <v/>
      </c>
      <c r="U112">
        <f>IF(E112="","",IF(N(F112)&gt;0,F112,IFERROR(INDEX($F$18:$F$317,MATCH(E112,$E$18:$E$317,0)),"")))</f>
        <v/>
      </c>
      <c r="V112">
        <f>IF(OR(N112="",N112="OK",K112="Cancelled"),0,1)</f>
        <v/>
      </c>
    </row>
    <row r="113">
      <c r="B113" s="21" t="n"/>
      <c r="C113" s="22">
        <f>IF(B113="","",$E$10&amp;TEXT(N($E$11)+95,"000"))</f>
        <v/>
      </c>
      <c r="D113" s="14" t="n"/>
      <c r="E113" s="23" t="n"/>
      <c r="F113" s="24" t="n"/>
      <c r="G113" s="14" t="n"/>
      <c r="H113" s="14" t="n"/>
      <c r="I113" s="23" t="n"/>
      <c r="J113" s="24" t="n"/>
      <c r="K113" s="23" t="n"/>
      <c r="L113" s="25">
        <f>IF(OR(E113="",N(U113)=0),"",U113-SUMIFS(Q$18:Q113,E$18:E113,E113))</f>
        <v/>
      </c>
      <c r="M113" s="26">
        <f>IF(OR(N(J113)=0,K113="Cancelled"),"",IF(AND(N(J113)&gt;5000,P113&lt;&gt;"G"),"Yes: ₹1","No"))</f>
        <v/>
      </c>
      <c r="N113" s="27">
        <f>IF(AND(B113="",D113="",N(J113)=0),"",IF(B113="","Enter the date",IF(AND(ROW()&gt;18,B112=""),"Use the next empty row: a skipped row leaves a gap in the receipt numbers",IF(D113="","Enter who paid",IF(N(J113)=0,"Enter the amount",IF(G113="","Pick what the money was for",IF(P113="?","Pick what it was for from the list",IF(H113="","Pick how it was paid",IF(K113="Cancelled","Cancelled: keep this number unused and give a fresh receipt",IF(AND(H113&lt;&gt;"Cash",I113=""),"Enter the cheque no., UTR or UPI reference",IF(AND(L113&lt;&gt;"",N(L113)&lt;0),"More than the balance due on this invoice",IF(S113&gt;=200000,"₹2,00,000 or more in cash from this person today: barred, s.186",IF(T113&gt;=200000,"₹2,00,000 or more in cash against this invoice: barred, s.186",IF(AND(P113="T",H113="Cash",N(J113)&gt;=20000),"Loan of ₹20,000 or more in cash: barred, s.185",IF(AND(P113="D",H113="Cash",N(J113)&gt;=20000),"Cash deposit of ₹20,000 or more: ask your accountant whether s.185 applies",IF(AND(OR(P113="AG",P113="AS"),$E$9&lt;&gt;""),"Advance: also give a GST receipt voucher, s.31(3)(d) and Rule 50","OK"))))))))))))))))</f>
        <v/>
      </c>
      <c r="P113">
        <f>IF(G113="","",IFERROR(VLOOKUP(G113,Lists!$A$2:$B$9,2,FALSE),"?"))</f>
        <v/>
      </c>
      <c r="Q113">
        <f>IF(K113="Cancelled",0,N(J113))</f>
        <v/>
      </c>
      <c r="R113">
        <f>IF(OR(H113&lt;&gt;"Cash",P113="T",P113="D"),0,Q113)</f>
        <v/>
      </c>
      <c r="S113">
        <f>IF(R113=0,0,SUMIFS($R$18:$R$317,$B$18:$B$317,B113,$D$18:$D$317,D113))</f>
        <v/>
      </c>
      <c r="T113">
        <f>IF(OR(R113=0,E113=""),0,SUMIFS($R$18:$R$317,$E$18:$E$317,E113))</f>
        <v/>
      </c>
      <c r="U113">
        <f>IF(E113="","",IF(N(F113)&gt;0,F113,IFERROR(INDEX($F$18:$F$317,MATCH(E113,$E$18:$E$317,0)),"")))</f>
        <v/>
      </c>
      <c r="V113">
        <f>IF(OR(N113="",N113="OK",K113="Cancelled"),0,1)</f>
        <v/>
      </c>
    </row>
    <row r="114">
      <c r="B114" s="21" t="n"/>
      <c r="C114" s="22">
        <f>IF(B114="","",$E$10&amp;TEXT(N($E$11)+96,"000"))</f>
        <v/>
      </c>
      <c r="D114" s="14" t="n"/>
      <c r="E114" s="23" t="n"/>
      <c r="F114" s="24" t="n"/>
      <c r="G114" s="14" t="n"/>
      <c r="H114" s="14" t="n"/>
      <c r="I114" s="23" t="n"/>
      <c r="J114" s="24" t="n"/>
      <c r="K114" s="23" t="n"/>
      <c r="L114" s="25">
        <f>IF(OR(E114="",N(U114)=0),"",U114-SUMIFS(Q$18:Q114,E$18:E114,E114))</f>
        <v/>
      </c>
      <c r="M114" s="26">
        <f>IF(OR(N(J114)=0,K114="Cancelled"),"",IF(AND(N(J114)&gt;5000,P114&lt;&gt;"G"),"Yes: ₹1","No"))</f>
        <v/>
      </c>
      <c r="N114" s="27">
        <f>IF(AND(B114="",D114="",N(J114)=0),"",IF(B114="","Enter the date",IF(AND(ROW()&gt;18,B113=""),"Use the next empty row: a skipped row leaves a gap in the receipt numbers",IF(D114="","Enter who paid",IF(N(J114)=0,"Enter the amount",IF(G114="","Pick what the money was for",IF(P114="?","Pick what it was for from the list",IF(H114="","Pick how it was paid",IF(K114="Cancelled","Cancelled: keep this number unused and give a fresh receipt",IF(AND(H114&lt;&gt;"Cash",I114=""),"Enter the cheque no., UTR or UPI reference",IF(AND(L114&lt;&gt;"",N(L114)&lt;0),"More than the balance due on this invoice",IF(S114&gt;=200000,"₹2,00,000 or more in cash from this person today: barred, s.186",IF(T114&gt;=200000,"₹2,00,000 or more in cash against this invoice: barred, s.186",IF(AND(P114="T",H114="Cash",N(J114)&gt;=20000),"Loan of ₹20,000 or more in cash: barred, s.185",IF(AND(P114="D",H114="Cash",N(J114)&gt;=20000),"Cash deposit of ₹20,000 or more: ask your accountant whether s.185 applies",IF(AND(OR(P114="AG",P114="AS"),$E$9&lt;&gt;""),"Advance: also give a GST receipt voucher, s.31(3)(d) and Rule 50","OK"))))))))))))))))</f>
        <v/>
      </c>
      <c r="P114">
        <f>IF(G114="","",IFERROR(VLOOKUP(G114,Lists!$A$2:$B$9,2,FALSE),"?"))</f>
        <v/>
      </c>
      <c r="Q114">
        <f>IF(K114="Cancelled",0,N(J114))</f>
        <v/>
      </c>
      <c r="R114">
        <f>IF(OR(H114&lt;&gt;"Cash",P114="T",P114="D"),0,Q114)</f>
        <v/>
      </c>
      <c r="S114">
        <f>IF(R114=0,0,SUMIFS($R$18:$R$317,$B$18:$B$317,B114,$D$18:$D$317,D114))</f>
        <v/>
      </c>
      <c r="T114">
        <f>IF(OR(R114=0,E114=""),0,SUMIFS($R$18:$R$317,$E$18:$E$317,E114))</f>
        <v/>
      </c>
      <c r="U114">
        <f>IF(E114="","",IF(N(F114)&gt;0,F114,IFERROR(INDEX($F$18:$F$317,MATCH(E114,$E$18:$E$317,0)),"")))</f>
        <v/>
      </c>
      <c r="V114">
        <f>IF(OR(N114="",N114="OK",K114="Cancelled"),0,1)</f>
        <v/>
      </c>
    </row>
    <row r="115">
      <c r="B115" s="21" t="n"/>
      <c r="C115" s="22">
        <f>IF(B115="","",$E$10&amp;TEXT(N($E$11)+97,"000"))</f>
        <v/>
      </c>
      <c r="D115" s="14" t="n"/>
      <c r="E115" s="23" t="n"/>
      <c r="F115" s="24" t="n"/>
      <c r="G115" s="14" t="n"/>
      <c r="H115" s="14" t="n"/>
      <c r="I115" s="23" t="n"/>
      <c r="J115" s="24" t="n"/>
      <c r="K115" s="23" t="n"/>
      <c r="L115" s="25">
        <f>IF(OR(E115="",N(U115)=0),"",U115-SUMIFS(Q$18:Q115,E$18:E115,E115))</f>
        <v/>
      </c>
      <c r="M115" s="26">
        <f>IF(OR(N(J115)=0,K115="Cancelled"),"",IF(AND(N(J115)&gt;5000,P115&lt;&gt;"G"),"Yes: ₹1","No"))</f>
        <v/>
      </c>
      <c r="N115" s="27">
        <f>IF(AND(B115="",D115="",N(J115)=0),"",IF(B115="","Enter the date",IF(AND(ROW()&gt;18,B114=""),"Use the next empty row: a skipped row leaves a gap in the receipt numbers",IF(D115="","Enter who paid",IF(N(J115)=0,"Enter the amount",IF(G115="","Pick what the money was for",IF(P115="?","Pick what it was for from the list",IF(H115="","Pick how it was paid",IF(K115="Cancelled","Cancelled: keep this number unused and give a fresh receipt",IF(AND(H115&lt;&gt;"Cash",I115=""),"Enter the cheque no., UTR or UPI reference",IF(AND(L115&lt;&gt;"",N(L115)&lt;0),"More than the balance due on this invoice",IF(S115&gt;=200000,"₹2,00,000 or more in cash from this person today: barred, s.186",IF(T115&gt;=200000,"₹2,00,000 or more in cash against this invoice: barred, s.186",IF(AND(P115="T",H115="Cash",N(J115)&gt;=20000),"Loan of ₹20,000 or more in cash: barred, s.185",IF(AND(P115="D",H115="Cash",N(J115)&gt;=20000),"Cash deposit of ₹20,000 or more: ask your accountant whether s.185 applies",IF(AND(OR(P115="AG",P115="AS"),$E$9&lt;&gt;""),"Advance: also give a GST receipt voucher, s.31(3)(d) and Rule 50","OK"))))))))))))))))</f>
        <v/>
      </c>
      <c r="P115">
        <f>IF(G115="","",IFERROR(VLOOKUP(G115,Lists!$A$2:$B$9,2,FALSE),"?"))</f>
        <v/>
      </c>
      <c r="Q115">
        <f>IF(K115="Cancelled",0,N(J115))</f>
        <v/>
      </c>
      <c r="R115">
        <f>IF(OR(H115&lt;&gt;"Cash",P115="T",P115="D"),0,Q115)</f>
        <v/>
      </c>
      <c r="S115">
        <f>IF(R115=0,0,SUMIFS($R$18:$R$317,$B$18:$B$317,B115,$D$18:$D$317,D115))</f>
        <v/>
      </c>
      <c r="T115">
        <f>IF(OR(R115=0,E115=""),0,SUMIFS($R$18:$R$317,$E$18:$E$317,E115))</f>
        <v/>
      </c>
      <c r="U115">
        <f>IF(E115="","",IF(N(F115)&gt;0,F115,IFERROR(INDEX($F$18:$F$317,MATCH(E115,$E$18:$E$317,0)),"")))</f>
        <v/>
      </c>
      <c r="V115">
        <f>IF(OR(N115="",N115="OK",K115="Cancelled"),0,1)</f>
        <v/>
      </c>
    </row>
    <row r="116">
      <c r="B116" s="21" t="n"/>
      <c r="C116" s="22">
        <f>IF(B116="","",$E$10&amp;TEXT(N($E$11)+98,"000"))</f>
        <v/>
      </c>
      <c r="D116" s="14" t="n"/>
      <c r="E116" s="23" t="n"/>
      <c r="F116" s="24" t="n"/>
      <c r="G116" s="14" t="n"/>
      <c r="H116" s="14" t="n"/>
      <c r="I116" s="23" t="n"/>
      <c r="J116" s="24" t="n"/>
      <c r="K116" s="23" t="n"/>
      <c r="L116" s="25">
        <f>IF(OR(E116="",N(U116)=0),"",U116-SUMIFS(Q$18:Q116,E$18:E116,E116))</f>
        <v/>
      </c>
      <c r="M116" s="26">
        <f>IF(OR(N(J116)=0,K116="Cancelled"),"",IF(AND(N(J116)&gt;5000,P116&lt;&gt;"G"),"Yes: ₹1","No"))</f>
        <v/>
      </c>
      <c r="N116" s="27">
        <f>IF(AND(B116="",D116="",N(J116)=0),"",IF(B116="","Enter the date",IF(AND(ROW()&gt;18,B115=""),"Use the next empty row: a skipped row leaves a gap in the receipt numbers",IF(D116="","Enter who paid",IF(N(J116)=0,"Enter the amount",IF(G116="","Pick what the money was for",IF(P116="?","Pick what it was for from the list",IF(H116="","Pick how it was paid",IF(K116="Cancelled","Cancelled: keep this number unused and give a fresh receipt",IF(AND(H116&lt;&gt;"Cash",I116=""),"Enter the cheque no., UTR or UPI reference",IF(AND(L116&lt;&gt;"",N(L116)&lt;0),"More than the balance due on this invoice",IF(S116&gt;=200000,"₹2,00,000 or more in cash from this person today: barred, s.186",IF(T116&gt;=200000,"₹2,00,000 or more in cash against this invoice: barred, s.186",IF(AND(P116="T",H116="Cash",N(J116)&gt;=20000),"Loan of ₹20,000 or more in cash: barred, s.185",IF(AND(P116="D",H116="Cash",N(J116)&gt;=20000),"Cash deposit of ₹20,000 or more: ask your accountant whether s.185 applies",IF(AND(OR(P116="AG",P116="AS"),$E$9&lt;&gt;""),"Advance: also give a GST receipt voucher, s.31(3)(d) and Rule 50","OK"))))))))))))))))</f>
        <v/>
      </c>
      <c r="P116">
        <f>IF(G116="","",IFERROR(VLOOKUP(G116,Lists!$A$2:$B$9,2,FALSE),"?"))</f>
        <v/>
      </c>
      <c r="Q116">
        <f>IF(K116="Cancelled",0,N(J116))</f>
        <v/>
      </c>
      <c r="R116">
        <f>IF(OR(H116&lt;&gt;"Cash",P116="T",P116="D"),0,Q116)</f>
        <v/>
      </c>
      <c r="S116">
        <f>IF(R116=0,0,SUMIFS($R$18:$R$317,$B$18:$B$317,B116,$D$18:$D$317,D116))</f>
        <v/>
      </c>
      <c r="T116">
        <f>IF(OR(R116=0,E116=""),0,SUMIFS($R$18:$R$317,$E$18:$E$317,E116))</f>
        <v/>
      </c>
      <c r="U116">
        <f>IF(E116="","",IF(N(F116)&gt;0,F116,IFERROR(INDEX($F$18:$F$317,MATCH(E116,$E$18:$E$317,0)),"")))</f>
        <v/>
      </c>
      <c r="V116">
        <f>IF(OR(N116="",N116="OK",K116="Cancelled"),0,1)</f>
        <v/>
      </c>
    </row>
    <row r="117">
      <c r="B117" s="21" t="n"/>
      <c r="C117" s="22">
        <f>IF(B117="","",$E$10&amp;TEXT(N($E$11)+99,"000"))</f>
        <v/>
      </c>
      <c r="D117" s="14" t="n"/>
      <c r="E117" s="23" t="n"/>
      <c r="F117" s="24" t="n"/>
      <c r="G117" s="14" t="n"/>
      <c r="H117" s="14" t="n"/>
      <c r="I117" s="23" t="n"/>
      <c r="J117" s="24" t="n"/>
      <c r="K117" s="23" t="n"/>
      <c r="L117" s="25">
        <f>IF(OR(E117="",N(U117)=0),"",U117-SUMIFS(Q$18:Q117,E$18:E117,E117))</f>
        <v/>
      </c>
      <c r="M117" s="26">
        <f>IF(OR(N(J117)=0,K117="Cancelled"),"",IF(AND(N(J117)&gt;5000,P117&lt;&gt;"G"),"Yes: ₹1","No"))</f>
        <v/>
      </c>
      <c r="N117" s="27">
        <f>IF(AND(B117="",D117="",N(J117)=0),"",IF(B117="","Enter the date",IF(AND(ROW()&gt;18,B116=""),"Use the next empty row: a skipped row leaves a gap in the receipt numbers",IF(D117="","Enter who paid",IF(N(J117)=0,"Enter the amount",IF(G117="","Pick what the money was for",IF(P117="?","Pick what it was for from the list",IF(H117="","Pick how it was paid",IF(K117="Cancelled","Cancelled: keep this number unused and give a fresh receipt",IF(AND(H117&lt;&gt;"Cash",I117=""),"Enter the cheque no., UTR or UPI reference",IF(AND(L117&lt;&gt;"",N(L117)&lt;0),"More than the balance due on this invoice",IF(S117&gt;=200000,"₹2,00,000 or more in cash from this person today: barred, s.186",IF(T117&gt;=200000,"₹2,00,000 or more in cash against this invoice: barred, s.186",IF(AND(P117="T",H117="Cash",N(J117)&gt;=20000),"Loan of ₹20,000 or more in cash: barred, s.185",IF(AND(P117="D",H117="Cash",N(J117)&gt;=20000),"Cash deposit of ₹20,000 or more: ask your accountant whether s.185 applies",IF(AND(OR(P117="AG",P117="AS"),$E$9&lt;&gt;""),"Advance: also give a GST receipt voucher, s.31(3)(d) and Rule 50","OK"))))))))))))))))</f>
        <v/>
      </c>
      <c r="P117">
        <f>IF(G117="","",IFERROR(VLOOKUP(G117,Lists!$A$2:$B$9,2,FALSE),"?"))</f>
        <v/>
      </c>
      <c r="Q117">
        <f>IF(K117="Cancelled",0,N(J117))</f>
        <v/>
      </c>
      <c r="R117">
        <f>IF(OR(H117&lt;&gt;"Cash",P117="T",P117="D"),0,Q117)</f>
        <v/>
      </c>
      <c r="S117">
        <f>IF(R117=0,0,SUMIFS($R$18:$R$317,$B$18:$B$317,B117,$D$18:$D$317,D117))</f>
        <v/>
      </c>
      <c r="T117">
        <f>IF(OR(R117=0,E117=""),0,SUMIFS($R$18:$R$317,$E$18:$E$317,E117))</f>
        <v/>
      </c>
      <c r="U117">
        <f>IF(E117="","",IF(N(F117)&gt;0,F117,IFERROR(INDEX($F$18:$F$317,MATCH(E117,$E$18:$E$317,0)),"")))</f>
        <v/>
      </c>
      <c r="V117">
        <f>IF(OR(N117="",N117="OK",K117="Cancelled"),0,1)</f>
        <v/>
      </c>
    </row>
    <row r="118">
      <c r="B118" s="21" t="n"/>
      <c r="C118" s="22">
        <f>IF(B118="","",$E$10&amp;TEXT(N($E$11)+100,"000"))</f>
        <v/>
      </c>
      <c r="D118" s="14" t="n"/>
      <c r="E118" s="23" t="n"/>
      <c r="F118" s="24" t="n"/>
      <c r="G118" s="14" t="n"/>
      <c r="H118" s="14" t="n"/>
      <c r="I118" s="23" t="n"/>
      <c r="J118" s="24" t="n"/>
      <c r="K118" s="23" t="n"/>
      <c r="L118" s="25">
        <f>IF(OR(E118="",N(U118)=0),"",U118-SUMIFS(Q$18:Q118,E$18:E118,E118))</f>
        <v/>
      </c>
      <c r="M118" s="26">
        <f>IF(OR(N(J118)=0,K118="Cancelled"),"",IF(AND(N(J118)&gt;5000,P118&lt;&gt;"G"),"Yes: ₹1","No"))</f>
        <v/>
      </c>
      <c r="N118" s="27">
        <f>IF(AND(B118="",D118="",N(J118)=0),"",IF(B118="","Enter the date",IF(AND(ROW()&gt;18,B117=""),"Use the next empty row: a skipped row leaves a gap in the receipt numbers",IF(D118="","Enter who paid",IF(N(J118)=0,"Enter the amount",IF(G118="","Pick what the money was for",IF(P118="?","Pick what it was for from the list",IF(H118="","Pick how it was paid",IF(K118="Cancelled","Cancelled: keep this number unused and give a fresh receipt",IF(AND(H118&lt;&gt;"Cash",I118=""),"Enter the cheque no., UTR or UPI reference",IF(AND(L118&lt;&gt;"",N(L118)&lt;0),"More than the balance due on this invoice",IF(S118&gt;=200000,"₹2,00,000 or more in cash from this person today: barred, s.186",IF(T118&gt;=200000,"₹2,00,000 or more in cash against this invoice: barred, s.186",IF(AND(P118="T",H118="Cash",N(J118)&gt;=20000),"Loan of ₹20,000 or more in cash: barred, s.185",IF(AND(P118="D",H118="Cash",N(J118)&gt;=20000),"Cash deposit of ₹20,000 or more: ask your accountant whether s.185 applies",IF(AND(OR(P118="AG",P118="AS"),$E$9&lt;&gt;""),"Advance: also give a GST receipt voucher, s.31(3)(d) and Rule 50","OK"))))))))))))))))</f>
        <v/>
      </c>
      <c r="P118">
        <f>IF(G118="","",IFERROR(VLOOKUP(G118,Lists!$A$2:$B$9,2,FALSE),"?"))</f>
        <v/>
      </c>
      <c r="Q118">
        <f>IF(K118="Cancelled",0,N(J118))</f>
        <v/>
      </c>
      <c r="R118">
        <f>IF(OR(H118&lt;&gt;"Cash",P118="T",P118="D"),0,Q118)</f>
        <v/>
      </c>
      <c r="S118">
        <f>IF(R118=0,0,SUMIFS($R$18:$R$317,$B$18:$B$317,B118,$D$18:$D$317,D118))</f>
        <v/>
      </c>
      <c r="T118">
        <f>IF(OR(R118=0,E118=""),0,SUMIFS($R$18:$R$317,$E$18:$E$317,E118))</f>
        <v/>
      </c>
      <c r="U118">
        <f>IF(E118="","",IF(N(F118)&gt;0,F118,IFERROR(INDEX($F$18:$F$317,MATCH(E118,$E$18:$E$317,0)),"")))</f>
        <v/>
      </c>
      <c r="V118">
        <f>IF(OR(N118="",N118="OK",K118="Cancelled"),0,1)</f>
        <v/>
      </c>
    </row>
    <row r="119">
      <c r="B119" s="21" t="n"/>
      <c r="C119" s="22">
        <f>IF(B119="","",$E$10&amp;TEXT(N($E$11)+101,"000"))</f>
        <v/>
      </c>
      <c r="D119" s="14" t="n"/>
      <c r="E119" s="23" t="n"/>
      <c r="F119" s="24" t="n"/>
      <c r="G119" s="14" t="n"/>
      <c r="H119" s="14" t="n"/>
      <c r="I119" s="23" t="n"/>
      <c r="J119" s="24" t="n"/>
      <c r="K119" s="23" t="n"/>
      <c r="L119" s="25">
        <f>IF(OR(E119="",N(U119)=0),"",U119-SUMIFS(Q$18:Q119,E$18:E119,E119))</f>
        <v/>
      </c>
      <c r="M119" s="26">
        <f>IF(OR(N(J119)=0,K119="Cancelled"),"",IF(AND(N(J119)&gt;5000,P119&lt;&gt;"G"),"Yes: ₹1","No"))</f>
        <v/>
      </c>
      <c r="N119" s="27">
        <f>IF(AND(B119="",D119="",N(J119)=0),"",IF(B119="","Enter the date",IF(AND(ROW()&gt;18,B118=""),"Use the next empty row: a skipped row leaves a gap in the receipt numbers",IF(D119="","Enter who paid",IF(N(J119)=0,"Enter the amount",IF(G119="","Pick what the money was for",IF(P119="?","Pick what it was for from the list",IF(H119="","Pick how it was paid",IF(K119="Cancelled","Cancelled: keep this number unused and give a fresh receipt",IF(AND(H119&lt;&gt;"Cash",I119=""),"Enter the cheque no., UTR or UPI reference",IF(AND(L119&lt;&gt;"",N(L119)&lt;0),"More than the balance due on this invoice",IF(S119&gt;=200000,"₹2,00,000 or more in cash from this person today: barred, s.186",IF(T119&gt;=200000,"₹2,00,000 or more in cash against this invoice: barred, s.186",IF(AND(P119="T",H119="Cash",N(J119)&gt;=20000),"Loan of ₹20,000 or more in cash: barred, s.185",IF(AND(P119="D",H119="Cash",N(J119)&gt;=20000),"Cash deposit of ₹20,000 or more: ask your accountant whether s.185 applies",IF(AND(OR(P119="AG",P119="AS"),$E$9&lt;&gt;""),"Advance: also give a GST receipt voucher, s.31(3)(d) and Rule 50","OK"))))))))))))))))</f>
        <v/>
      </c>
      <c r="P119">
        <f>IF(G119="","",IFERROR(VLOOKUP(G119,Lists!$A$2:$B$9,2,FALSE),"?"))</f>
        <v/>
      </c>
      <c r="Q119">
        <f>IF(K119="Cancelled",0,N(J119))</f>
        <v/>
      </c>
      <c r="R119">
        <f>IF(OR(H119&lt;&gt;"Cash",P119="T",P119="D"),0,Q119)</f>
        <v/>
      </c>
      <c r="S119">
        <f>IF(R119=0,0,SUMIFS($R$18:$R$317,$B$18:$B$317,B119,$D$18:$D$317,D119))</f>
        <v/>
      </c>
      <c r="T119">
        <f>IF(OR(R119=0,E119=""),0,SUMIFS($R$18:$R$317,$E$18:$E$317,E119))</f>
        <v/>
      </c>
      <c r="U119">
        <f>IF(E119="","",IF(N(F119)&gt;0,F119,IFERROR(INDEX($F$18:$F$317,MATCH(E119,$E$18:$E$317,0)),"")))</f>
        <v/>
      </c>
      <c r="V119">
        <f>IF(OR(N119="",N119="OK",K119="Cancelled"),0,1)</f>
        <v/>
      </c>
    </row>
    <row r="120">
      <c r="B120" s="21" t="n"/>
      <c r="C120" s="22">
        <f>IF(B120="","",$E$10&amp;TEXT(N($E$11)+102,"000"))</f>
        <v/>
      </c>
      <c r="D120" s="14" t="n"/>
      <c r="E120" s="23" t="n"/>
      <c r="F120" s="24" t="n"/>
      <c r="G120" s="14" t="n"/>
      <c r="H120" s="14" t="n"/>
      <c r="I120" s="23" t="n"/>
      <c r="J120" s="24" t="n"/>
      <c r="K120" s="23" t="n"/>
      <c r="L120" s="25">
        <f>IF(OR(E120="",N(U120)=0),"",U120-SUMIFS(Q$18:Q120,E$18:E120,E120))</f>
        <v/>
      </c>
      <c r="M120" s="26">
        <f>IF(OR(N(J120)=0,K120="Cancelled"),"",IF(AND(N(J120)&gt;5000,P120&lt;&gt;"G"),"Yes: ₹1","No"))</f>
        <v/>
      </c>
      <c r="N120" s="27">
        <f>IF(AND(B120="",D120="",N(J120)=0),"",IF(B120="","Enter the date",IF(AND(ROW()&gt;18,B119=""),"Use the next empty row: a skipped row leaves a gap in the receipt numbers",IF(D120="","Enter who paid",IF(N(J120)=0,"Enter the amount",IF(G120="","Pick what the money was for",IF(P120="?","Pick what it was for from the list",IF(H120="","Pick how it was paid",IF(K120="Cancelled","Cancelled: keep this number unused and give a fresh receipt",IF(AND(H120&lt;&gt;"Cash",I120=""),"Enter the cheque no., UTR or UPI reference",IF(AND(L120&lt;&gt;"",N(L120)&lt;0),"More than the balance due on this invoice",IF(S120&gt;=200000,"₹2,00,000 or more in cash from this person today: barred, s.186",IF(T120&gt;=200000,"₹2,00,000 or more in cash against this invoice: barred, s.186",IF(AND(P120="T",H120="Cash",N(J120)&gt;=20000),"Loan of ₹20,000 or more in cash: barred, s.185",IF(AND(P120="D",H120="Cash",N(J120)&gt;=20000),"Cash deposit of ₹20,000 or more: ask your accountant whether s.185 applies",IF(AND(OR(P120="AG",P120="AS"),$E$9&lt;&gt;""),"Advance: also give a GST receipt voucher, s.31(3)(d) and Rule 50","OK"))))))))))))))))</f>
        <v/>
      </c>
      <c r="P120">
        <f>IF(G120="","",IFERROR(VLOOKUP(G120,Lists!$A$2:$B$9,2,FALSE),"?"))</f>
        <v/>
      </c>
      <c r="Q120">
        <f>IF(K120="Cancelled",0,N(J120))</f>
        <v/>
      </c>
      <c r="R120">
        <f>IF(OR(H120&lt;&gt;"Cash",P120="T",P120="D"),0,Q120)</f>
        <v/>
      </c>
      <c r="S120">
        <f>IF(R120=0,0,SUMIFS($R$18:$R$317,$B$18:$B$317,B120,$D$18:$D$317,D120))</f>
        <v/>
      </c>
      <c r="T120">
        <f>IF(OR(R120=0,E120=""),0,SUMIFS($R$18:$R$317,$E$18:$E$317,E120))</f>
        <v/>
      </c>
      <c r="U120">
        <f>IF(E120="","",IF(N(F120)&gt;0,F120,IFERROR(INDEX($F$18:$F$317,MATCH(E120,$E$18:$E$317,0)),"")))</f>
        <v/>
      </c>
      <c r="V120">
        <f>IF(OR(N120="",N120="OK",K120="Cancelled"),0,1)</f>
        <v/>
      </c>
    </row>
    <row r="121">
      <c r="B121" s="21" t="n"/>
      <c r="C121" s="22">
        <f>IF(B121="","",$E$10&amp;TEXT(N($E$11)+103,"000"))</f>
        <v/>
      </c>
      <c r="D121" s="14" t="n"/>
      <c r="E121" s="23" t="n"/>
      <c r="F121" s="24" t="n"/>
      <c r="G121" s="14" t="n"/>
      <c r="H121" s="14" t="n"/>
      <c r="I121" s="23" t="n"/>
      <c r="J121" s="24" t="n"/>
      <c r="K121" s="23" t="n"/>
      <c r="L121" s="25">
        <f>IF(OR(E121="",N(U121)=0),"",U121-SUMIFS(Q$18:Q121,E$18:E121,E121))</f>
        <v/>
      </c>
      <c r="M121" s="26">
        <f>IF(OR(N(J121)=0,K121="Cancelled"),"",IF(AND(N(J121)&gt;5000,P121&lt;&gt;"G"),"Yes: ₹1","No"))</f>
        <v/>
      </c>
      <c r="N121" s="27">
        <f>IF(AND(B121="",D121="",N(J121)=0),"",IF(B121="","Enter the date",IF(AND(ROW()&gt;18,B120=""),"Use the next empty row: a skipped row leaves a gap in the receipt numbers",IF(D121="","Enter who paid",IF(N(J121)=0,"Enter the amount",IF(G121="","Pick what the money was for",IF(P121="?","Pick what it was for from the list",IF(H121="","Pick how it was paid",IF(K121="Cancelled","Cancelled: keep this number unused and give a fresh receipt",IF(AND(H121&lt;&gt;"Cash",I121=""),"Enter the cheque no., UTR or UPI reference",IF(AND(L121&lt;&gt;"",N(L121)&lt;0),"More than the balance due on this invoice",IF(S121&gt;=200000,"₹2,00,000 or more in cash from this person today: barred, s.186",IF(T121&gt;=200000,"₹2,00,000 or more in cash against this invoice: barred, s.186",IF(AND(P121="T",H121="Cash",N(J121)&gt;=20000),"Loan of ₹20,000 or more in cash: barred, s.185",IF(AND(P121="D",H121="Cash",N(J121)&gt;=20000),"Cash deposit of ₹20,000 or more: ask your accountant whether s.185 applies",IF(AND(OR(P121="AG",P121="AS"),$E$9&lt;&gt;""),"Advance: also give a GST receipt voucher, s.31(3)(d) and Rule 50","OK"))))))))))))))))</f>
        <v/>
      </c>
      <c r="P121">
        <f>IF(G121="","",IFERROR(VLOOKUP(G121,Lists!$A$2:$B$9,2,FALSE),"?"))</f>
        <v/>
      </c>
      <c r="Q121">
        <f>IF(K121="Cancelled",0,N(J121))</f>
        <v/>
      </c>
      <c r="R121">
        <f>IF(OR(H121&lt;&gt;"Cash",P121="T",P121="D"),0,Q121)</f>
        <v/>
      </c>
      <c r="S121">
        <f>IF(R121=0,0,SUMIFS($R$18:$R$317,$B$18:$B$317,B121,$D$18:$D$317,D121))</f>
        <v/>
      </c>
      <c r="T121">
        <f>IF(OR(R121=0,E121=""),0,SUMIFS($R$18:$R$317,$E$18:$E$317,E121))</f>
        <v/>
      </c>
      <c r="U121">
        <f>IF(E121="","",IF(N(F121)&gt;0,F121,IFERROR(INDEX($F$18:$F$317,MATCH(E121,$E$18:$E$317,0)),"")))</f>
        <v/>
      </c>
      <c r="V121">
        <f>IF(OR(N121="",N121="OK",K121="Cancelled"),0,1)</f>
        <v/>
      </c>
    </row>
    <row r="122">
      <c r="B122" s="21" t="n"/>
      <c r="C122" s="22">
        <f>IF(B122="","",$E$10&amp;TEXT(N($E$11)+104,"000"))</f>
        <v/>
      </c>
      <c r="D122" s="14" t="n"/>
      <c r="E122" s="23" t="n"/>
      <c r="F122" s="24" t="n"/>
      <c r="G122" s="14" t="n"/>
      <c r="H122" s="14" t="n"/>
      <c r="I122" s="23" t="n"/>
      <c r="J122" s="24" t="n"/>
      <c r="K122" s="23" t="n"/>
      <c r="L122" s="25">
        <f>IF(OR(E122="",N(U122)=0),"",U122-SUMIFS(Q$18:Q122,E$18:E122,E122))</f>
        <v/>
      </c>
      <c r="M122" s="26">
        <f>IF(OR(N(J122)=0,K122="Cancelled"),"",IF(AND(N(J122)&gt;5000,P122&lt;&gt;"G"),"Yes: ₹1","No"))</f>
        <v/>
      </c>
      <c r="N122" s="27">
        <f>IF(AND(B122="",D122="",N(J122)=0),"",IF(B122="","Enter the date",IF(AND(ROW()&gt;18,B121=""),"Use the next empty row: a skipped row leaves a gap in the receipt numbers",IF(D122="","Enter who paid",IF(N(J122)=0,"Enter the amount",IF(G122="","Pick what the money was for",IF(P122="?","Pick what it was for from the list",IF(H122="","Pick how it was paid",IF(K122="Cancelled","Cancelled: keep this number unused and give a fresh receipt",IF(AND(H122&lt;&gt;"Cash",I122=""),"Enter the cheque no., UTR or UPI reference",IF(AND(L122&lt;&gt;"",N(L122)&lt;0),"More than the balance due on this invoice",IF(S122&gt;=200000,"₹2,00,000 or more in cash from this person today: barred, s.186",IF(T122&gt;=200000,"₹2,00,000 or more in cash against this invoice: barred, s.186",IF(AND(P122="T",H122="Cash",N(J122)&gt;=20000),"Loan of ₹20,000 or more in cash: barred, s.185",IF(AND(P122="D",H122="Cash",N(J122)&gt;=20000),"Cash deposit of ₹20,000 or more: ask your accountant whether s.185 applies",IF(AND(OR(P122="AG",P122="AS"),$E$9&lt;&gt;""),"Advance: also give a GST receipt voucher, s.31(3)(d) and Rule 50","OK"))))))))))))))))</f>
        <v/>
      </c>
      <c r="P122">
        <f>IF(G122="","",IFERROR(VLOOKUP(G122,Lists!$A$2:$B$9,2,FALSE),"?"))</f>
        <v/>
      </c>
      <c r="Q122">
        <f>IF(K122="Cancelled",0,N(J122))</f>
        <v/>
      </c>
      <c r="R122">
        <f>IF(OR(H122&lt;&gt;"Cash",P122="T",P122="D"),0,Q122)</f>
        <v/>
      </c>
      <c r="S122">
        <f>IF(R122=0,0,SUMIFS($R$18:$R$317,$B$18:$B$317,B122,$D$18:$D$317,D122))</f>
        <v/>
      </c>
      <c r="T122">
        <f>IF(OR(R122=0,E122=""),0,SUMIFS($R$18:$R$317,$E$18:$E$317,E122))</f>
        <v/>
      </c>
      <c r="U122">
        <f>IF(E122="","",IF(N(F122)&gt;0,F122,IFERROR(INDEX($F$18:$F$317,MATCH(E122,$E$18:$E$317,0)),"")))</f>
        <v/>
      </c>
      <c r="V122">
        <f>IF(OR(N122="",N122="OK",K122="Cancelled"),0,1)</f>
        <v/>
      </c>
    </row>
    <row r="123">
      <c r="B123" s="21" t="n"/>
      <c r="C123" s="22">
        <f>IF(B123="","",$E$10&amp;TEXT(N($E$11)+105,"000"))</f>
        <v/>
      </c>
      <c r="D123" s="14" t="n"/>
      <c r="E123" s="23" t="n"/>
      <c r="F123" s="24" t="n"/>
      <c r="G123" s="14" t="n"/>
      <c r="H123" s="14" t="n"/>
      <c r="I123" s="23" t="n"/>
      <c r="J123" s="24" t="n"/>
      <c r="K123" s="23" t="n"/>
      <c r="L123" s="25">
        <f>IF(OR(E123="",N(U123)=0),"",U123-SUMIFS(Q$18:Q123,E$18:E123,E123))</f>
        <v/>
      </c>
      <c r="M123" s="26">
        <f>IF(OR(N(J123)=0,K123="Cancelled"),"",IF(AND(N(J123)&gt;5000,P123&lt;&gt;"G"),"Yes: ₹1","No"))</f>
        <v/>
      </c>
      <c r="N123" s="27">
        <f>IF(AND(B123="",D123="",N(J123)=0),"",IF(B123="","Enter the date",IF(AND(ROW()&gt;18,B122=""),"Use the next empty row: a skipped row leaves a gap in the receipt numbers",IF(D123="","Enter who paid",IF(N(J123)=0,"Enter the amount",IF(G123="","Pick what the money was for",IF(P123="?","Pick what it was for from the list",IF(H123="","Pick how it was paid",IF(K123="Cancelled","Cancelled: keep this number unused and give a fresh receipt",IF(AND(H123&lt;&gt;"Cash",I123=""),"Enter the cheque no., UTR or UPI reference",IF(AND(L123&lt;&gt;"",N(L123)&lt;0),"More than the balance due on this invoice",IF(S123&gt;=200000,"₹2,00,000 or more in cash from this person today: barred, s.186",IF(T123&gt;=200000,"₹2,00,000 or more in cash against this invoice: barred, s.186",IF(AND(P123="T",H123="Cash",N(J123)&gt;=20000),"Loan of ₹20,000 or more in cash: barred, s.185",IF(AND(P123="D",H123="Cash",N(J123)&gt;=20000),"Cash deposit of ₹20,000 or more: ask your accountant whether s.185 applies",IF(AND(OR(P123="AG",P123="AS"),$E$9&lt;&gt;""),"Advance: also give a GST receipt voucher, s.31(3)(d) and Rule 50","OK"))))))))))))))))</f>
        <v/>
      </c>
      <c r="P123">
        <f>IF(G123="","",IFERROR(VLOOKUP(G123,Lists!$A$2:$B$9,2,FALSE),"?"))</f>
        <v/>
      </c>
      <c r="Q123">
        <f>IF(K123="Cancelled",0,N(J123))</f>
        <v/>
      </c>
      <c r="R123">
        <f>IF(OR(H123&lt;&gt;"Cash",P123="T",P123="D"),0,Q123)</f>
        <v/>
      </c>
      <c r="S123">
        <f>IF(R123=0,0,SUMIFS($R$18:$R$317,$B$18:$B$317,B123,$D$18:$D$317,D123))</f>
        <v/>
      </c>
      <c r="T123">
        <f>IF(OR(R123=0,E123=""),0,SUMIFS($R$18:$R$317,$E$18:$E$317,E123))</f>
        <v/>
      </c>
      <c r="U123">
        <f>IF(E123="","",IF(N(F123)&gt;0,F123,IFERROR(INDEX($F$18:$F$317,MATCH(E123,$E$18:$E$317,0)),"")))</f>
        <v/>
      </c>
      <c r="V123">
        <f>IF(OR(N123="",N123="OK",K123="Cancelled"),0,1)</f>
        <v/>
      </c>
    </row>
    <row r="124">
      <c r="B124" s="21" t="n"/>
      <c r="C124" s="22">
        <f>IF(B124="","",$E$10&amp;TEXT(N($E$11)+106,"000"))</f>
        <v/>
      </c>
      <c r="D124" s="14" t="n"/>
      <c r="E124" s="23" t="n"/>
      <c r="F124" s="24" t="n"/>
      <c r="G124" s="14" t="n"/>
      <c r="H124" s="14" t="n"/>
      <c r="I124" s="23" t="n"/>
      <c r="J124" s="24" t="n"/>
      <c r="K124" s="23" t="n"/>
      <c r="L124" s="25">
        <f>IF(OR(E124="",N(U124)=0),"",U124-SUMIFS(Q$18:Q124,E$18:E124,E124))</f>
        <v/>
      </c>
      <c r="M124" s="26">
        <f>IF(OR(N(J124)=0,K124="Cancelled"),"",IF(AND(N(J124)&gt;5000,P124&lt;&gt;"G"),"Yes: ₹1","No"))</f>
        <v/>
      </c>
      <c r="N124" s="27">
        <f>IF(AND(B124="",D124="",N(J124)=0),"",IF(B124="","Enter the date",IF(AND(ROW()&gt;18,B123=""),"Use the next empty row: a skipped row leaves a gap in the receipt numbers",IF(D124="","Enter who paid",IF(N(J124)=0,"Enter the amount",IF(G124="","Pick what the money was for",IF(P124="?","Pick what it was for from the list",IF(H124="","Pick how it was paid",IF(K124="Cancelled","Cancelled: keep this number unused and give a fresh receipt",IF(AND(H124&lt;&gt;"Cash",I124=""),"Enter the cheque no., UTR or UPI reference",IF(AND(L124&lt;&gt;"",N(L124)&lt;0),"More than the balance due on this invoice",IF(S124&gt;=200000,"₹2,00,000 or more in cash from this person today: barred, s.186",IF(T124&gt;=200000,"₹2,00,000 or more in cash against this invoice: barred, s.186",IF(AND(P124="T",H124="Cash",N(J124)&gt;=20000),"Loan of ₹20,000 or more in cash: barred, s.185",IF(AND(P124="D",H124="Cash",N(J124)&gt;=20000),"Cash deposit of ₹20,000 or more: ask your accountant whether s.185 applies",IF(AND(OR(P124="AG",P124="AS"),$E$9&lt;&gt;""),"Advance: also give a GST receipt voucher, s.31(3)(d) and Rule 50","OK"))))))))))))))))</f>
        <v/>
      </c>
      <c r="P124">
        <f>IF(G124="","",IFERROR(VLOOKUP(G124,Lists!$A$2:$B$9,2,FALSE),"?"))</f>
        <v/>
      </c>
      <c r="Q124">
        <f>IF(K124="Cancelled",0,N(J124))</f>
        <v/>
      </c>
      <c r="R124">
        <f>IF(OR(H124&lt;&gt;"Cash",P124="T",P124="D"),0,Q124)</f>
        <v/>
      </c>
      <c r="S124">
        <f>IF(R124=0,0,SUMIFS($R$18:$R$317,$B$18:$B$317,B124,$D$18:$D$317,D124))</f>
        <v/>
      </c>
      <c r="T124">
        <f>IF(OR(R124=0,E124=""),0,SUMIFS($R$18:$R$317,$E$18:$E$317,E124))</f>
        <v/>
      </c>
      <c r="U124">
        <f>IF(E124="","",IF(N(F124)&gt;0,F124,IFERROR(INDEX($F$18:$F$317,MATCH(E124,$E$18:$E$317,0)),"")))</f>
        <v/>
      </c>
      <c r="V124">
        <f>IF(OR(N124="",N124="OK",K124="Cancelled"),0,1)</f>
        <v/>
      </c>
    </row>
    <row r="125">
      <c r="B125" s="21" t="n"/>
      <c r="C125" s="22">
        <f>IF(B125="","",$E$10&amp;TEXT(N($E$11)+107,"000"))</f>
        <v/>
      </c>
      <c r="D125" s="14" t="n"/>
      <c r="E125" s="23" t="n"/>
      <c r="F125" s="24" t="n"/>
      <c r="G125" s="14" t="n"/>
      <c r="H125" s="14" t="n"/>
      <c r="I125" s="23" t="n"/>
      <c r="J125" s="24" t="n"/>
      <c r="K125" s="23" t="n"/>
      <c r="L125" s="25">
        <f>IF(OR(E125="",N(U125)=0),"",U125-SUMIFS(Q$18:Q125,E$18:E125,E125))</f>
        <v/>
      </c>
      <c r="M125" s="26">
        <f>IF(OR(N(J125)=0,K125="Cancelled"),"",IF(AND(N(J125)&gt;5000,P125&lt;&gt;"G"),"Yes: ₹1","No"))</f>
        <v/>
      </c>
      <c r="N125" s="27">
        <f>IF(AND(B125="",D125="",N(J125)=0),"",IF(B125="","Enter the date",IF(AND(ROW()&gt;18,B124=""),"Use the next empty row: a skipped row leaves a gap in the receipt numbers",IF(D125="","Enter who paid",IF(N(J125)=0,"Enter the amount",IF(G125="","Pick what the money was for",IF(P125="?","Pick what it was for from the list",IF(H125="","Pick how it was paid",IF(K125="Cancelled","Cancelled: keep this number unused and give a fresh receipt",IF(AND(H125&lt;&gt;"Cash",I125=""),"Enter the cheque no., UTR or UPI reference",IF(AND(L125&lt;&gt;"",N(L125)&lt;0),"More than the balance due on this invoice",IF(S125&gt;=200000,"₹2,00,000 or more in cash from this person today: barred, s.186",IF(T125&gt;=200000,"₹2,00,000 or more in cash against this invoice: barred, s.186",IF(AND(P125="T",H125="Cash",N(J125)&gt;=20000),"Loan of ₹20,000 or more in cash: barred, s.185",IF(AND(P125="D",H125="Cash",N(J125)&gt;=20000),"Cash deposit of ₹20,000 or more: ask your accountant whether s.185 applies",IF(AND(OR(P125="AG",P125="AS"),$E$9&lt;&gt;""),"Advance: also give a GST receipt voucher, s.31(3)(d) and Rule 50","OK"))))))))))))))))</f>
        <v/>
      </c>
      <c r="P125">
        <f>IF(G125="","",IFERROR(VLOOKUP(G125,Lists!$A$2:$B$9,2,FALSE),"?"))</f>
        <v/>
      </c>
      <c r="Q125">
        <f>IF(K125="Cancelled",0,N(J125))</f>
        <v/>
      </c>
      <c r="R125">
        <f>IF(OR(H125&lt;&gt;"Cash",P125="T",P125="D"),0,Q125)</f>
        <v/>
      </c>
      <c r="S125">
        <f>IF(R125=0,0,SUMIFS($R$18:$R$317,$B$18:$B$317,B125,$D$18:$D$317,D125))</f>
        <v/>
      </c>
      <c r="T125">
        <f>IF(OR(R125=0,E125=""),0,SUMIFS($R$18:$R$317,$E$18:$E$317,E125))</f>
        <v/>
      </c>
      <c r="U125">
        <f>IF(E125="","",IF(N(F125)&gt;0,F125,IFERROR(INDEX($F$18:$F$317,MATCH(E125,$E$18:$E$317,0)),"")))</f>
        <v/>
      </c>
      <c r="V125">
        <f>IF(OR(N125="",N125="OK",K125="Cancelled"),0,1)</f>
        <v/>
      </c>
    </row>
    <row r="126">
      <c r="B126" s="21" t="n"/>
      <c r="C126" s="22">
        <f>IF(B126="","",$E$10&amp;TEXT(N($E$11)+108,"000"))</f>
        <v/>
      </c>
      <c r="D126" s="14" t="n"/>
      <c r="E126" s="23" t="n"/>
      <c r="F126" s="24" t="n"/>
      <c r="G126" s="14" t="n"/>
      <c r="H126" s="14" t="n"/>
      <c r="I126" s="23" t="n"/>
      <c r="J126" s="24" t="n"/>
      <c r="K126" s="23" t="n"/>
      <c r="L126" s="25">
        <f>IF(OR(E126="",N(U126)=0),"",U126-SUMIFS(Q$18:Q126,E$18:E126,E126))</f>
        <v/>
      </c>
      <c r="M126" s="26">
        <f>IF(OR(N(J126)=0,K126="Cancelled"),"",IF(AND(N(J126)&gt;5000,P126&lt;&gt;"G"),"Yes: ₹1","No"))</f>
        <v/>
      </c>
      <c r="N126" s="27">
        <f>IF(AND(B126="",D126="",N(J126)=0),"",IF(B126="","Enter the date",IF(AND(ROW()&gt;18,B125=""),"Use the next empty row: a skipped row leaves a gap in the receipt numbers",IF(D126="","Enter who paid",IF(N(J126)=0,"Enter the amount",IF(G126="","Pick what the money was for",IF(P126="?","Pick what it was for from the list",IF(H126="","Pick how it was paid",IF(K126="Cancelled","Cancelled: keep this number unused and give a fresh receipt",IF(AND(H126&lt;&gt;"Cash",I126=""),"Enter the cheque no., UTR or UPI reference",IF(AND(L126&lt;&gt;"",N(L126)&lt;0),"More than the balance due on this invoice",IF(S126&gt;=200000,"₹2,00,000 or more in cash from this person today: barred, s.186",IF(T126&gt;=200000,"₹2,00,000 or more in cash against this invoice: barred, s.186",IF(AND(P126="T",H126="Cash",N(J126)&gt;=20000),"Loan of ₹20,000 or more in cash: barred, s.185",IF(AND(P126="D",H126="Cash",N(J126)&gt;=20000),"Cash deposit of ₹20,000 or more: ask your accountant whether s.185 applies",IF(AND(OR(P126="AG",P126="AS"),$E$9&lt;&gt;""),"Advance: also give a GST receipt voucher, s.31(3)(d) and Rule 50","OK"))))))))))))))))</f>
        <v/>
      </c>
      <c r="P126">
        <f>IF(G126="","",IFERROR(VLOOKUP(G126,Lists!$A$2:$B$9,2,FALSE),"?"))</f>
        <v/>
      </c>
      <c r="Q126">
        <f>IF(K126="Cancelled",0,N(J126))</f>
        <v/>
      </c>
      <c r="R126">
        <f>IF(OR(H126&lt;&gt;"Cash",P126="T",P126="D"),0,Q126)</f>
        <v/>
      </c>
      <c r="S126">
        <f>IF(R126=0,0,SUMIFS($R$18:$R$317,$B$18:$B$317,B126,$D$18:$D$317,D126))</f>
        <v/>
      </c>
      <c r="T126">
        <f>IF(OR(R126=0,E126=""),0,SUMIFS($R$18:$R$317,$E$18:$E$317,E126))</f>
        <v/>
      </c>
      <c r="U126">
        <f>IF(E126="","",IF(N(F126)&gt;0,F126,IFERROR(INDEX($F$18:$F$317,MATCH(E126,$E$18:$E$317,0)),"")))</f>
        <v/>
      </c>
      <c r="V126">
        <f>IF(OR(N126="",N126="OK",K126="Cancelled"),0,1)</f>
        <v/>
      </c>
    </row>
    <row r="127">
      <c r="B127" s="21" t="n"/>
      <c r="C127" s="22">
        <f>IF(B127="","",$E$10&amp;TEXT(N($E$11)+109,"000"))</f>
        <v/>
      </c>
      <c r="D127" s="14" t="n"/>
      <c r="E127" s="23" t="n"/>
      <c r="F127" s="24" t="n"/>
      <c r="G127" s="14" t="n"/>
      <c r="H127" s="14" t="n"/>
      <c r="I127" s="23" t="n"/>
      <c r="J127" s="24" t="n"/>
      <c r="K127" s="23" t="n"/>
      <c r="L127" s="25">
        <f>IF(OR(E127="",N(U127)=0),"",U127-SUMIFS(Q$18:Q127,E$18:E127,E127))</f>
        <v/>
      </c>
      <c r="M127" s="26">
        <f>IF(OR(N(J127)=0,K127="Cancelled"),"",IF(AND(N(J127)&gt;5000,P127&lt;&gt;"G"),"Yes: ₹1","No"))</f>
        <v/>
      </c>
      <c r="N127" s="27">
        <f>IF(AND(B127="",D127="",N(J127)=0),"",IF(B127="","Enter the date",IF(AND(ROW()&gt;18,B126=""),"Use the next empty row: a skipped row leaves a gap in the receipt numbers",IF(D127="","Enter who paid",IF(N(J127)=0,"Enter the amount",IF(G127="","Pick what the money was for",IF(P127="?","Pick what it was for from the list",IF(H127="","Pick how it was paid",IF(K127="Cancelled","Cancelled: keep this number unused and give a fresh receipt",IF(AND(H127&lt;&gt;"Cash",I127=""),"Enter the cheque no., UTR or UPI reference",IF(AND(L127&lt;&gt;"",N(L127)&lt;0),"More than the balance due on this invoice",IF(S127&gt;=200000,"₹2,00,000 or more in cash from this person today: barred, s.186",IF(T127&gt;=200000,"₹2,00,000 or more in cash against this invoice: barred, s.186",IF(AND(P127="T",H127="Cash",N(J127)&gt;=20000),"Loan of ₹20,000 or more in cash: barred, s.185",IF(AND(P127="D",H127="Cash",N(J127)&gt;=20000),"Cash deposit of ₹20,000 or more: ask your accountant whether s.185 applies",IF(AND(OR(P127="AG",P127="AS"),$E$9&lt;&gt;""),"Advance: also give a GST receipt voucher, s.31(3)(d) and Rule 50","OK"))))))))))))))))</f>
        <v/>
      </c>
      <c r="P127">
        <f>IF(G127="","",IFERROR(VLOOKUP(G127,Lists!$A$2:$B$9,2,FALSE),"?"))</f>
        <v/>
      </c>
      <c r="Q127">
        <f>IF(K127="Cancelled",0,N(J127))</f>
        <v/>
      </c>
      <c r="R127">
        <f>IF(OR(H127&lt;&gt;"Cash",P127="T",P127="D"),0,Q127)</f>
        <v/>
      </c>
      <c r="S127">
        <f>IF(R127=0,0,SUMIFS($R$18:$R$317,$B$18:$B$317,B127,$D$18:$D$317,D127))</f>
        <v/>
      </c>
      <c r="T127">
        <f>IF(OR(R127=0,E127=""),0,SUMIFS($R$18:$R$317,$E$18:$E$317,E127))</f>
        <v/>
      </c>
      <c r="U127">
        <f>IF(E127="","",IF(N(F127)&gt;0,F127,IFERROR(INDEX($F$18:$F$317,MATCH(E127,$E$18:$E$317,0)),"")))</f>
        <v/>
      </c>
      <c r="V127">
        <f>IF(OR(N127="",N127="OK",K127="Cancelled"),0,1)</f>
        <v/>
      </c>
    </row>
    <row r="128">
      <c r="B128" s="21" t="n"/>
      <c r="C128" s="22">
        <f>IF(B128="","",$E$10&amp;TEXT(N($E$11)+110,"000"))</f>
        <v/>
      </c>
      <c r="D128" s="14" t="n"/>
      <c r="E128" s="23" t="n"/>
      <c r="F128" s="24" t="n"/>
      <c r="G128" s="14" t="n"/>
      <c r="H128" s="14" t="n"/>
      <c r="I128" s="23" t="n"/>
      <c r="J128" s="24" t="n"/>
      <c r="K128" s="23" t="n"/>
      <c r="L128" s="25">
        <f>IF(OR(E128="",N(U128)=0),"",U128-SUMIFS(Q$18:Q128,E$18:E128,E128))</f>
        <v/>
      </c>
      <c r="M128" s="26">
        <f>IF(OR(N(J128)=0,K128="Cancelled"),"",IF(AND(N(J128)&gt;5000,P128&lt;&gt;"G"),"Yes: ₹1","No"))</f>
        <v/>
      </c>
      <c r="N128" s="27">
        <f>IF(AND(B128="",D128="",N(J128)=0),"",IF(B128="","Enter the date",IF(AND(ROW()&gt;18,B127=""),"Use the next empty row: a skipped row leaves a gap in the receipt numbers",IF(D128="","Enter who paid",IF(N(J128)=0,"Enter the amount",IF(G128="","Pick what the money was for",IF(P128="?","Pick what it was for from the list",IF(H128="","Pick how it was paid",IF(K128="Cancelled","Cancelled: keep this number unused and give a fresh receipt",IF(AND(H128&lt;&gt;"Cash",I128=""),"Enter the cheque no., UTR or UPI reference",IF(AND(L128&lt;&gt;"",N(L128)&lt;0),"More than the balance due on this invoice",IF(S128&gt;=200000,"₹2,00,000 or more in cash from this person today: barred, s.186",IF(T128&gt;=200000,"₹2,00,000 or more in cash against this invoice: barred, s.186",IF(AND(P128="T",H128="Cash",N(J128)&gt;=20000),"Loan of ₹20,000 or more in cash: barred, s.185",IF(AND(P128="D",H128="Cash",N(J128)&gt;=20000),"Cash deposit of ₹20,000 or more: ask your accountant whether s.185 applies",IF(AND(OR(P128="AG",P128="AS"),$E$9&lt;&gt;""),"Advance: also give a GST receipt voucher, s.31(3)(d) and Rule 50","OK"))))))))))))))))</f>
        <v/>
      </c>
      <c r="P128">
        <f>IF(G128="","",IFERROR(VLOOKUP(G128,Lists!$A$2:$B$9,2,FALSE),"?"))</f>
        <v/>
      </c>
      <c r="Q128">
        <f>IF(K128="Cancelled",0,N(J128))</f>
        <v/>
      </c>
      <c r="R128">
        <f>IF(OR(H128&lt;&gt;"Cash",P128="T",P128="D"),0,Q128)</f>
        <v/>
      </c>
      <c r="S128">
        <f>IF(R128=0,0,SUMIFS($R$18:$R$317,$B$18:$B$317,B128,$D$18:$D$317,D128))</f>
        <v/>
      </c>
      <c r="T128">
        <f>IF(OR(R128=0,E128=""),0,SUMIFS($R$18:$R$317,$E$18:$E$317,E128))</f>
        <v/>
      </c>
      <c r="U128">
        <f>IF(E128="","",IF(N(F128)&gt;0,F128,IFERROR(INDEX($F$18:$F$317,MATCH(E128,$E$18:$E$317,0)),"")))</f>
        <v/>
      </c>
      <c r="V128">
        <f>IF(OR(N128="",N128="OK",K128="Cancelled"),0,1)</f>
        <v/>
      </c>
    </row>
    <row r="129">
      <c r="B129" s="21" t="n"/>
      <c r="C129" s="22">
        <f>IF(B129="","",$E$10&amp;TEXT(N($E$11)+111,"000"))</f>
        <v/>
      </c>
      <c r="D129" s="14" t="n"/>
      <c r="E129" s="23" t="n"/>
      <c r="F129" s="24" t="n"/>
      <c r="G129" s="14" t="n"/>
      <c r="H129" s="14" t="n"/>
      <c r="I129" s="23" t="n"/>
      <c r="J129" s="24" t="n"/>
      <c r="K129" s="23" t="n"/>
      <c r="L129" s="25">
        <f>IF(OR(E129="",N(U129)=0),"",U129-SUMIFS(Q$18:Q129,E$18:E129,E129))</f>
        <v/>
      </c>
      <c r="M129" s="26">
        <f>IF(OR(N(J129)=0,K129="Cancelled"),"",IF(AND(N(J129)&gt;5000,P129&lt;&gt;"G"),"Yes: ₹1","No"))</f>
        <v/>
      </c>
      <c r="N129" s="27">
        <f>IF(AND(B129="",D129="",N(J129)=0),"",IF(B129="","Enter the date",IF(AND(ROW()&gt;18,B128=""),"Use the next empty row: a skipped row leaves a gap in the receipt numbers",IF(D129="","Enter who paid",IF(N(J129)=0,"Enter the amount",IF(G129="","Pick what the money was for",IF(P129="?","Pick what it was for from the list",IF(H129="","Pick how it was paid",IF(K129="Cancelled","Cancelled: keep this number unused and give a fresh receipt",IF(AND(H129&lt;&gt;"Cash",I129=""),"Enter the cheque no., UTR or UPI reference",IF(AND(L129&lt;&gt;"",N(L129)&lt;0),"More than the balance due on this invoice",IF(S129&gt;=200000,"₹2,00,000 or more in cash from this person today: barred, s.186",IF(T129&gt;=200000,"₹2,00,000 or more in cash against this invoice: barred, s.186",IF(AND(P129="T",H129="Cash",N(J129)&gt;=20000),"Loan of ₹20,000 or more in cash: barred, s.185",IF(AND(P129="D",H129="Cash",N(J129)&gt;=20000),"Cash deposit of ₹20,000 or more: ask your accountant whether s.185 applies",IF(AND(OR(P129="AG",P129="AS"),$E$9&lt;&gt;""),"Advance: also give a GST receipt voucher, s.31(3)(d) and Rule 50","OK"))))))))))))))))</f>
        <v/>
      </c>
      <c r="P129">
        <f>IF(G129="","",IFERROR(VLOOKUP(G129,Lists!$A$2:$B$9,2,FALSE),"?"))</f>
        <v/>
      </c>
      <c r="Q129">
        <f>IF(K129="Cancelled",0,N(J129))</f>
        <v/>
      </c>
      <c r="R129">
        <f>IF(OR(H129&lt;&gt;"Cash",P129="T",P129="D"),0,Q129)</f>
        <v/>
      </c>
      <c r="S129">
        <f>IF(R129=0,0,SUMIFS($R$18:$R$317,$B$18:$B$317,B129,$D$18:$D$317,D129))</f>
        <v/>
      </c>
      <c r="T129">
        <f>IF(OR(R129=0,E129=""),0,SUMIFS($R$18:$R$317,$E$18:$E$317,E129))</f>
        <v/>
      </c>
      <c r="U129">
        <f>IF(E129="","",IF(N(F129)&gt;0,F129,IFERROR(INDEX($F$18:$F$317,MATCH(E129,$E$18:$E$317,0)),"")))</f>
        <v/>
      </c>
      <c r="V129">
        <f>IF(OR(N129="",N129="OK",K129="Cancelled"),0,1)</f>
        <v/>
      </c>
    </row>
    <row r="130">
      <c r="B130" s="21" t="n"/>
      <c r="C130" s="22">
        <f>IF(B130="","",$E$10&amp;TEXT(N($E$11)+112,"000"))</f>
        <v/>
      </c>
      <c r="D130" s="14" t="n"/>
      <c r="E130" s="23" t="n"/>
      <c r="F130" s="24" t="n"/>
      <c r="G130" s="14" t="n"/>
      <c r="H130" s="14" t="n"/>
      <c r="I130" s="23" t="n"/>
      <c r="J130" s="24" t="n"/>
      <c r="K130" s="23" t="n"/>
      <c r="L130" s="25">
        <f>IF(OR(E130="",N(U130)=0),"",U130-SUMIFS(Q$18:Q130,E$18:E130,E130))</f>
        <v/>
      </c>
      <c r="M130" s="26">
        <f>IF(OR(N(J130)=0,K130="Cancelled"),"",IF(AND(N(J130)&gt;5000,P130&lt;&gt;"G"),"Yes: ₹1","No"))</f>
        <v/>
      </c>
      <c r="N130" s="27">
        <f>IF(AND(B130="",D130="",N(J130)=0),"",IF(B130="","Enter the date",IF(AND(ROW()&gt;18,B129=""),"Use the next empty row: a skipped row leaves a gap in the receipt numbers",IF(D130="","Enter who paid",IF(N(J130)=0,"Enter the amount",IF(G130="","Pick what the money was for",IF(P130="?","Pick what it was for from the list",IF(H130="","Pick how it was paid",IF(K130="Cancelled","Cancelled: keep this number unused and give a fresh receipt",IF(AND(H130&lt;&gt;"Cash",I130=""),"Enter the cheque no., UTR or UPI reference",IF(AND(L130&lt;&gt;"",N(L130)&lt;0),"More than the balance due on this invoice",IF(S130&gt;=200000,"₹2,00,000 or more in cash from this person today: barred, s.186",IF(T130&gt;=200000,"₹2,00,000 or more in cash against this invoice: barred, s.186",IF(AND(P130="T",H130="Cash",N(J130)&gt;=20000),"Loan of ₹20,000 or more in cash: barred, s.185",IF(AND(P130="D",H130="Cash",N(J130)&gt;=20000),"Cash deposit of ₹20,000 or more: ask your accountant whether s.185 applies",IF(AND(OR(P130="AG",P130="AS"),$E$9&lt;&gt;""),"Advance: also give a GST receipt voucher, s.31(3)(d) and Rule 50","OK"))))))))))))))))</f>
        <v/>
      </c>
      <c r="P130">
        <f>IF(G130="","",IFERROR(VLOOKUP(G130,Lists!$A$2:$B$9,2,FALSE),"?"))</f>
        <v/>
      </c>
      <c r="Q130">
        <f>IF(K130="Cancelled",0,N(J130))</f>
        <v/>
      </c>
      <c r="R130">
        <f>IF(OR(H130&lt;&gt;"Cash",P130="T",P130="D"),0,Q130)</f>
        <v/>
      </c>
      <c r="S130">
        <f>IF(R130=0,0,SUMIFS($R$18:$R$317,$B$18:$B$317,B130,$D$18:$D$317,D130))</f>
        <v/>
      </c>
      <c r="T130">
        <f>IF(OR(R130=0,E130=""),0,SUMIFS($R$18:$R$317,$E$18:$E$317,E130))</f>
        <v/>
      </c>
      <c r="U130">
        <f>IF(E130="","",IF(N(F130)&gt;0,F130,IFERROR(INDEX($F$18:$F$317,MATCH(E130,$E$18:$E$317,0)),"")))</f>
        <v/>
      </c>
      <c r="V130">
        <f>IF(OR(N130="",N130="OK",K130="Cancelled"),0,1)</f>
        <v/>
      </c>
    </row>
    <row r="131">
      <c r="B131" s="21" t="n"/>
      <c r="C131" s="22">
        <f>IF(B131="","",$E$10&amp;TEXT(N($E$11)+113,"000"))</f>
        <v/>
      </c>
      <c r="D131" s="14" t="n"/>
      <c r="E131" s="23" t="n"/>
      <c r="F131" s="24" t="n"/>
      <c r="G131" s="14" t="n"/>
      <c r="H131" s="14" t="n"/>
      <c r="I131" s="23" t="n"/>
      <c r="J131" s="24" t="n"/>
      <c r="K131" s="23" t="n"/>
      <c r="L131" s="25">
        <f>IF(OR(E131="",N(U131)=0),"",U131-SUMIFS(Q$18:Q131,E$18:E131,E131))</f>
        <v/>
      </c>
      <c r="M131" s="26">
        <f>IF(OR(N(J131)=0,K131="Cancelled"),"",IF(AND(N(J131)&gt;5000,P131&lt;&gt;"G"),"Yes: ₹1","No"))</f>
        <v/>
      </c>
      <c r="N131" s="27">
        <f>IF(AND(B131="",D131="",N(J131)=0),"",IF(B131="","Enter the date",IF(AND(ROW()&gt;18,B130=""),"Use the next empty row: a skipped row leaves a gap in the receipt numbers",IF(D131="","Enter who paid",IF(N(J131)=0,"Enter the amount",IF(G131="","Pick what the money was for",IF(P131="?","Pick what it was for from the list",IF(H131="","Pick how it was paid",IF(K131="Cancelled","Cancelled: keep this number unused and give a fresh receipt",IF(AND(H131&lt;&gt;"Cash",I131=""),"Enter the cheque no., UTR or UPI reference",IF(AND(L131&lt;&gt;"",N(L131)&lt;0),"More than the balance due on this invoice",IF(S131&gt;=200000,"₹2,00,000 or more in cash from this person today: barred, s.186",IF(T131&gt;=200000,"₹2,00,000 or more in cash against this invoice: barred, s.186",IF(AND(P131="T",H131="Cash",N(J131)&gt;=20000),"Loan of ₹20,000 or more in cash: barred, s.185",IF(AND(P131="D",H131="Cash",N(J131)&gt;=20000),"Cash deposit of ₹20,000 or more: ask your accountant whether s.185 applies",IF(AND(OR(P131="AG",P131="AS"),$E$9&lt;&gt;""),"Advance: also give a GST receipt voucher, s.31(3)(d) and Rule 50","OK"))))))))))))))))</f>
        <v/>
      </c>
      <c r="P131">
        <f>IF(G131="","",IFERROR(VLOOKUP(G131,Lists!$A$2:$B$9,2,FALSE),"?"))</f>
        <v/>
      </c>
      <c r="Q131">
        <f>IF(K131="Cancelled",0,N(J131))</f>
        <v/>
      </c>
      <c r="R131">
        <f>IF(OR(H131&lt;&gt;"Cash",P131="T",P131="D"),0,Q131)</f>
        <v/>
      </c>
      <c r="S131">
        <f>IF(R131=0,0,SUMIFS($R$18:$R$317,$B$18:$B$317,B131,$D$18:$D$317,D131))</f>
        <v/>
      </c>
      <c r="T131">
        <f>IF(OR(R131=0,E131=""),0,SUMIFS($R$18:$R$317,$E$18:$E$317,E131))</f>
        <v/>
      </c>
      <c r="U131">
        <f>IF(E131="","",IF(N(F131)&gt;0,F131,IFERROR(INDEX($F$18:$F$317,MATCH(E131,$E$18:$E$317,0)),"")))</f>
        <v/>
      </c>
      <c r="V131">
        <f>IF(OR(N131="",N131="OK",K131="Cancelled"),0,1)</f>
        <v/>
      </c>
    </row>
    <row r="132">
      <c r="B132" s="21" t="n"/>
      <c r="C132" s="22">
        <f>IF(B132="","",$E$10&amp;TEXT(N($E$11)+114,"000"))</f>
        <v/>
      </c>
      <c r="D132" s="14" t="n"/>
      <c r="E132" s="23" t="n"/>
      <c r="F132" s="24" t="n"/>
      <c r="G132" s="14" t="n"/>
      <c r="H132" s="14" t="n"/>
      <c r="I132" s="23" t="n"/>
      <c r="J132" s="24" t="n"/>
      <c r="K132" s="23" t="n"/>
      <c r="L132" s="25">
        <f>IF(OR(E132="",N(U132)=0),"",U132-SUMIFS(Q$18:Q132,E$18:E132,E132))</f>
        <v/>
      </c>
      <c r="M132" s="26">
        <f>IF(OR(N(J132)=0,K132="Cancelled"),"",IF(AND(N(J132)&gt;5000,P132&lt;&gt;"G"),"Yes: ₹1","No"))</f>
        <v/>
      </c>
      <c r="N132" s="27">
        <f>IF(AND(B132="",D132="",N(J132)=0),"",IF(B132="","Enter the date",IF(AND(ROW()&gt;18,B131=""),"Use the next empty row: a skipped row leaves a gap in the receipt numbers",IF(D132="","Enter who paid",IF(N(J132)=0,"Enter the amount",IF(G132="","Pick what the money was for",IF(P132="?","Pick what it was for from the list",IF(H132="","Pick how it was paid",IF(K132="Cancelled","Cancelled: keep this number unused and give a fresh receipt",IF(AND(H132&lt;&gt;"Cash",I132=""),"Enter the cheque no., UTR or UPI reference",IF(AND(L132&lt;&gt;"",N(L132)&lt;0),"More than the balance due on this invoice",IF(S132&gt;=200000,"₹2,00,000 or more in cash from this person today: barred, s.186",IF(T132&gt;=200000,"₹2,00,000 or more in cash against this invoice: barred, s.186",IF(AND(P132="T",H132="Cash",N(J132)&gt;=20000),"Loan of ₹20,000 or more in cash: barred, s.185",IF(AND(P132="D",H132="Cash",N(J132)&gt;=20000),"Cash deposit of ₹20,000 or more: ask your accountant whether s.185 applies",IF(AND(OR(P132="AG",P132="AS"),$E$9&lt;&gt;""),"Advance: also give a GST receipt voucher, s.31(3)(d) and Rule 50","OK"))))))))))))))))</f>
        <v/>
      </c>
      <c r="P132">
        <f>IF(G132="","",IFERROR(VLOOKUP(G132,Lists!$A$2:$B$9,2,FALSE),"?"))</f>
        <v/>
      </c>
      <c r="Q132">
        <f>IF(K132="Cancelled",0,N(J132))</f>
        <v/>
      </c>
      <c r="R132">
        <f>IF(OR(H132&lt;&gt;"Cash",P132="T",P132="D"),0,Q132)</f>
        <v/>
      </c>
      <c r="S132">
        <f>IF(R132=0,0,SUMIFS($R$18:$R$317,$B$18:$B$317,B132,$D$18:$D$317,D132))</f>
        <v/>
      </c>
      <c r="T132">
        <f>IF(OR(R132=0,E132=""),0,SUMIFS($R$18:$R$317,$E$18:$E$317,E132))</f>
        <v/>
      </c>
      <c r="U132">
        <f>IF(E132="","",IF(N(F132)&gt;0,F132,IFERROR(INDEX($F$18:$F$317,MATCH(E132,$E$18:$E$317,0)),"")))</f>
        <v/>
      </c>
      <c r="V132">
        <f>IF(OR(N132="",N132="OK",K132="Cancelled"),0,1)</f>
        <v/>
      </c>
    </row>
    <row r="133">
      <c r="B133" s="21" t="n"/>
      <c r="C133" s="22">
        <f>IF(B133="","",$E$10&amp;TEXT(N($E$11)+115,"000"))</f>
        <v/>
      </c>
      <c r="D133" s="14" t="n"/>
      <c r="E133" s="23" t="n"/>
      <c r="F133" s="24" t="n"/>
      <c r="G133" s="14" t="n"/>
      <c r="H133" s="14" t="n"/>
      <c r="I133" s="23" t="n"/>
      <c r="J133" s="24" t="n"/>
      <c r="K133" s="23" t="n"/>
      <c r="L133" s="25">
        <f>IF(OR(E133="",N(U133)=0),"",U133-SUMIFS(Q$18:Q133,E$18:E133,E133))</f>
        <v/>
      </c>
      <c r="M133" s="26">
        <f>IF(OR(N(J133)=0,K133="Cancelled"),"",IF(AND(N(J133)&gt;5000,P133&lt;&gt;"G"),"Yes: ₹1","No"))</f>
        <v/>
      </c>
      <c r="N133" s="27">
        <f>IF(AND(B133="",D133="",N(J133)=0),"",IF(B133="","Enter the date",IF(AND(ROW()&gt;18,B132=""),"Use the next empty row: a skipped row leaves a gap in the receipt numbers",IF(D133="","Enter who paid",IF(N(J133)=0,"Enter the amount",IF(G133="","Pick what the money was for",IF(P133="?","Pick what it was for from the list",IF(H133="","Pick how it was paid",IF(K133="Cancelled","Cancelled: keep this number unused and give a fresh receipt",IF(AND(H133&lt;&gt;"Cash",I133=""),"Enter the cheque no., UTR or UPI reference",IF(AND(L133&lt;&gt;"",N(L133)&lt;0),"More than the balance due on this invoice",IF(S133&gt;=200000,"₹2,00,000 or more in cash from this person today: barred, s.186",IF(T133&gt;=200000,"₹2,00,000 or more in cash against this invoice: barred, s.186",IF(AND(P133="T",H133="Cash",N(J133)&gt;=20000),"Loan of ₹20,000 or more in cash: barred, s.185",IF(AND(P133="D",H133="Cash",N(J133)&gt;=20000),"Cash deposit of ₹20,000 or more: ask your accountant whether s.185 applies",IF(AND(OR(P133="AG",P133="AS"),$E$9&lt;&gt;""),"Advance: also give a GST receipt voucher, s.31(3)(d) and Rule 50","OK"))))))))))))))))</f>
        <v/>
      </c>
      <c r="P133">
        <f>IF(G133="","",IFERROR(VLOOKUP(G133,Lists!$A$2:$B$9,2,FALSE),"?"))</f>
        <v/>
      </c>
      <c r="Q133">
        <f>IF(K133="Cancelled",0,N(J133))</f>
        <v/>
      </c>
      <c r="R133">
        <f>IF(OR(H133&lt;&gt;"Cash",P133="T",P133="D"),0,Q133)</f>
        <v/>
      </c>
      <c r="S133">
        <f>IF(R133=0,0,SUMIFS($R$18:$R$317,$B$18:$B$317,B133,$D$18:$D$317,D133))</f>
        <v/>
      </c>
      <c r="T133">
        <f>IF(OR(R133=0,E133=""),0,SUMIFS($R$18:$R$317,$E$18:$E$317,E133))</f>
        <v/>
      </c>
      <c r="U133">
        <f>IF(E133="","",IF(N(F133)&gt;0,F133,IFERROR(INDEX($F$18:$F$317,MATCH(E133,$E$18:$E$317,0)),"")))</f>
        <v/>
      </c>
      <c r="V133">
        <f>IF(OR(N133="",N133="OK",K133="Cancelled"),0,1)</f>
        <v/>
      </c>
    </row>
    <row r="134">
      <c r="B134" s="21" t="n"/>
      <c r="C134" s="22">
        <f>IF(B134="","",$E$10&amp;TEXT(N($E$11)+116,"000"))</f>
        <v/>
      </c>
      <c r="D134" s="14" t="n"/>
      <c r="E134" s="23" t="n"/>
      <c r="F134" s="24" t="n"/>
      <c r="G134" s="14" t="n"/>
      <c r="H134" s="14" t="n"/>
      <c r="I134" s="23" t="n"/>
      <c r="J134" s="24" t="n"/>
      <c r="K134" s="23" t="n"/>
      <c r="L134" s="25">
        <f>IF(OR(E134="",N(U134)=0),"",U134-SUMIFS(Q$18:Q134,E$18:E134,E134))</f>
        <v/>
      </c>
      <c r="M134" s="26">
        <f>IF(OR(N(J134)=0,K134="Cancelled"),"",IF(AND(N(J134)&gt;5000,P134&lt;&gt;"G"),"Yes: ₹1","No"))</f>
        <v/>
      </c>
      <c r="N134" s="27">
        <f>IF(AND(B134="",D134="",N(J134)=0),"",IF(B134="","Enter the date",IF(AND(ROW()&gt;18,B133=""),"Use the next empty row: a skipped row leaves a gap in the receipt numbers",IF(D134="","Enter who paid",IF(N(J134)=0,"Enter the amount",IF(G134="","Pick what the money was for",IF(P134="?","Pick what it was for from the list",IF(H134="","Pick how it was paid",IF(K134="Cancelled","Cancelled: keep this number unused and give a fresh receipt",IF(AND(H134&lt;&gt;"Cash",I134=""),"Enter the cheque no., UTR or UPI reference",IF(AND(L134&lt;&gt;"",N(L134)&lt;0),"More than the balance due on this invoice",IF(S134&gt;=200000,"₹2,00,000 or more in cash from this person today: barred, s.186",IF(T134&gt;=200000,"₹2,00,000 or more in cash against this invoice: barred, s.186",IF(AND(P134="T",H134="Cash",N(J134)&gt;=20000),"Loan of ₹20,000 or more in cash: barred, s.185",IF(AND(P134="D",H134="Cash",N(J134)&gt;=20000),"Cash deposit of ₹20,000 or more: ask your accountant whether s.185 applies",IF(AND(OR(P134="AG",P134="AS"),$E$9&lt;&gt;""),"Advance: also give a GST receipt voucher, s.31(3)(d) and Rule 50","OK"))))))))))))))))</f>
        <v/>
      </c>
      <c r="P134">
        <f>IF(G134="","",IFERROR(VLOOKUP(G134,Lists!$A$2:$B$9,2,FALSE),"?"))</f>
        <v/>
      </c>
      <c r="Q134">
        <f>IF(K134="Cancelled",0,N(J134))</f>
        <v/>
      </c>
      <c r="R134">
        <f>IF(OR(H134&lt;&gt;"Cash",P134="T",P134="D"),0,Q134)</f>
        <v/>
      </c>
      <c r="S134">
        <f>IF(R134=0,0,SUMIFS($R$18:$R$317,$B$18:$B$317,B134,$D$18:$D$317,D134))</f>
        <v/>
      </c>
      <c r="T134">
        <f>IF(OR(R134=0,E134=""),0,SUMIFS($R$18:$R$317,$E$18:$E$317,E134))</f>
        <v/>
      </c>
      <c r="U134">
        <f>IF(E134="","",IF(N(F134)&gt;0,F134,IFERROR(INDEX($F$18:$F$317,MATCH(E134,$E$18:$E$317,0)),"")))</f>
        <v/>
      </c>
      <c r="V134">
        <f>IF(OR(N134="",N134="OK",K134="Cancelled"),0,1)</f>
        <v/>
      </c>
    </row>
    <row r="135">
      <c r="B135" s="21" t="n"/>
      <c r="C135" s="22">
        <f>IF(B135="","",$E$10&amp;TEXT(N($E$11)+117,"000"))</f>
        <v/>
      </c>
      <c r="D135" s="14" t="n"/>
      <c r="E135" s="23" t="n"/>
      <c r="F135" s="24" t="n"/>
      <c r="G135" s="14" t="n"/>
      <c r="H135" s="14" t="n"/>
      <c r="I135" s="23" t="n"/>
      <c r="J135" s="24" t="n"/>
      <c r="K135" s="23" t="n"/>
      <c r="L135" s="25">
        <f>IF(OR(E135="",N(U135)=0),"",U135-SUMIFS(Q$18:Q135,E$18:E135,E135))</f>
        <v/>
      </c>
      <c r="M135" s="26">
        <f>IF(OR(N(J135)=0,K135="Cancelled"),"",IF(AND(N(J135)&gt;5000,P135&lt;&gt;"G"),"Yes: ₹1","No"))</f>
        <v/>
      </c>
      <c r="N135" s="27">
        <f>IF(AND(B135="",D135="",N(J135)=0),"",IF(B135="","Enter the date",IF(AND(ROW()&gt;18,B134=""),"Use the next empty row: a skipped row leaves a gap in the receipt numbers",IF(D135="","Enter who paid",IF(N(J135)=0,"Enter the amount",IF(G135="","Pick what the money was for",IF(P135="?","Pick what it was for from the list",IF(H135="","Pick how it was paid",IF(K135="Cancelled","Cancelled: keep this number unused and give a fresh receipt",IF(AND(H135&lt;&gt;"Cash",I135=""),"Enter the cheque no., UTR or UPI reference",IF(AND(L135&lt;&gt;"",N(L135)&lt;0),"More than the balance due on this invoice",IF(S135&gt;=200000,"₹2,00,000 or more in cash from this person today: barred, s.186",IF(T135&gt;=200000,"₹2,00,000 or more in cash against this invoice: barred, s.186",IF(AND(P135="T",H135="Cash",N(J135)&gt;=20000),"Loan of ₹20,000 or more in cash: barred, s.185",IF(AND(P135="D",H135="Cash",N(J135)&gt;=20000),"Cash deposit of ₹20,000 or more: ask your accountant whether s.185 applies",IF(AND(OR(P135="AG",P135="AS"),$E$9&lt;&gt;""),"Advance: also give a GST receipt voucher, s.31(3)(d) and Rule 50","OK"))))))))))))))))</f>
        <v/>
      </c>
      <c r="P135">
        <f>IF(G135="","",IFERROR(VLOOKUP(G135,Lists!$A$2:$B$9,2,FALSE),"?"))</f>
        <v/>
      </c>
      <c r="Q135">
        <f>IF(K135="Cancelled",0,N(J135))</f>
        <v/>
      </c>
      <c r="R135">
        <f>IF(OR(H135&lt;&gt;"Cash",P135="T",P135="D"),0,Q135)</f>
        <v/>
      </c>
      <c r="S135">
        <f>IF(R135=0,0,SUMIFS($R$18:$R$317,$B$18:$B$317,B135,$D$18:$D$317,D135))</f>
        <v/>
      </c>
      <c r="T135">
        <f>IF(OR(R135=0,E135=""),0,SUMIFS($R$18:$R$317,$E$18:$E$317,E135))</f>
        <v/>
      </c>
      <c r="U135">
        <f>IF(E135="","",IF(N(F135)&gt;0,F135,IFERROR(INDEX($F$18:$F$317,MATCH(E135,$E$18:$E$317,0)),"")))</f>
        <v/>
      </c>
      <c r="V135">
        <f>IF(OR(N135="",N135="OK",K135="Cancelled"),0,1)</f>
        <v/>
      </c>
    </row>
    <row r="136">
      <c r="B136" s="21" t="n"/>
      <c r="C136" s="22">
        <f>IF(B136="","",$E$10&amp;TEXT(N($E$11)+118,"000"))</f>
        <v/>
      </c>
      <c r="D136" s="14" t="n"/>
      <c r="E136" s="23" t="n"/>
      <c r="F136" s="24" t="n"/>
      <c r="G136" s="14" t="n"/>
      <c r="H136" s="14" t="n"/>
      <c r="I136" s="23" t="n"/>
      <c r="J136" s="24" t="n"/>
      <c r="K136" s="23" t="n"/>
      <c r="L136" s="25">
        <f>IF(OR(E136="",N(U136)=0),"",U136-SUMIFS(Q$18:Q136,E$18:E136,E136))</f>
        <v/>
      </c>
      <c r="M136" s="26">
        <f>IF(OR(N(J136)=0,K136="Cancelled"),"",IF(AND(N(J136)&gt;5000,P136&lt;&gt;"G"),"Yes: ₹1","No"))</f>
        <v/>
      </c>
      <c r="N136" s="27">
        <f>IF(AND(B136="",D136="",N(J136)=0),"",IF(B136="","Enter the date",IF(AND(ROW()&gt;18,B135=""),"Use the next empty row: a skipped row leaves a gap in the receipt numbers",IF(D136="","Enter who paid",IF(N(J136)=0,"Enter the amount",IF(G136="","Pick what the money was for",IF(P136="?","Pick what it was for from the list",IF(H136="","Pick how it was paid",IF(K136="Cancelled","Cancelled: keep this number unused and give a fresh receipt",IF(AND(H136&lt;&gt;"Cash",I136=""),"Enter the cheque no., UTR or UPI reference",IF(AND(L136&lt;&gt;"",N(L136)&lt;0),"More than the balance due on this invoice",IF(S136&gt;=200000,"₹2,00,000 or more in cash from this person today: barred, s.186",IF(T136&gt;=200000,"₹2,00,000 or more in cash against this invoice: barred, s.186",IF(AND(P136="T",H136="Cash",N(J136)&gt;=20000),"Loan of ₹20,000 or more in cash: barred, s.185",IF(AND(P136="D",H136="Cash",N(J136)&gt;=20000),"Cash deposit of ₹20,000 or more: ask your accountant whether s.185 applies",IF(AND(OR(P136="AG",P136="AS"),$E$9&lt;&gt;""),"Advance: also give a GST receipt voucher, s.31(3)(d) and Rule 50","OK"))))))))))))))))</f>
        <v/>
      </c>
      <c r="P136">
        <f>IF(G136="","",IFERROR(VLOOKUP(G136,Lists!$A$2:$B$9,2,FALSE),"?"))</f>
        <v/>
      </c>
      <c r="Q136">
        <f>IF(K136="Cancelled",0,N(J136))</f>
        <v/>
      </c>
      <c r="R136">
        <f>IF(OR(H136&lt;&gt;"Cash",P136="T",P136="D"),0,Q136)</f>
        <v/>
      </c>
      <c r="S136">
        <f>IF(R136=0,0,SUMIFS($R$18:$R$317,$B$18:$B$317,B136,$D$18:$D$317,D136))</f>
        <v/>
      </c>
      <c r="T136">
        <f>IF(OR(R136=0,E136=""),0,SUMIFS($R$18:$R$317,$E$18:$E$317,E136))</f>
        <v/>
      </c>
      <c r="U136">
        <f>IF(E136="","",IF(N(F136)&gt;0,F136,IFERROR(INDEX($F$18:$F$317,MATCH(E136,$E$18:$E$317,0)),"")))</f>
        <v/>
      </c>
      <c r="V136">
        <f>IF(OR(N136="",N136="OK",K136="Cancelled"),0,1)</f>
        <v/>
      </c>
    </row>
    <row r="137">
      <c r="B137" s="21" t="n"/>
      <c r="C137" s="22">
        <f>IF(B137="","",$E$10&amp;TEXT(N($E$11)+119,"000"))</f>
        <v/>
      </c>
      <c r="D137" s="14" t="n"/>
      <c r="E137" s="23" t="n"/>
      <c r="F137" s="24" t="n"/>
      <c r="G137" s="14" t="n"/>
      <c r="H137" s="14" t="n"/>
      <c r="I137" s="23" t="n"/>
      <c r="J137" s="24" t="n"/>
      <c r="K137" s="23" t="n"/>
      <c r="L137" s="25">
        <f>IF(OR(E137="",N(U137)=0),"",U137-SUMIFS(Q$18:Q137,E$18:E137,E137))</f>
        <v/>
      </c>
      <c r="M137" s="26">
        <f>IF(OR(N(J137)=0,K137="Cancelled"),"",IF(AND(N(J137)&gt;5000,P137&lt;&gt;"G"),"Yes: ₹1","No"))</f>
        <v/>
      </c>
      <c r="N137" s="27">
        <f>IF(AND(B137="",D137="",N(J137)=0),"",IF(B137="","Enter the date",IF(AND(ROW()&gt;18,B136=""),"Use the next empty row: a skipped row leaves a gap in the receipt numbers",IF(D137="","Enter who paid",IF(N(J137)=0,"Enter the amount",IF(G137="","Pick what the money was for",IF(P137="?","Pick what it was for from the list",IF(H137="","Pick how it was paid",IF(K137="Cancelled","Cancelled: keep this number unused and give a fresh receipt",IF(AND(H137&lt;&gt;"Cash",I137=""),"Enter the cheque no., UTR or UPI reference",IF(AND(L137&lt;&gt;"",N(L137)&lt;0),"More than the balance due on this invoice",IF(S137&gt;=200000,"₹2,00,000 or more in cash from this person today: barred, s.186",IF(T137&gt;=200000,"₹2,00,000 or more in cash against this invoice: barred, s.186",IF(AND(P137="T",H137="Cash",N(J137)&gt;=20000),"Loan of ₹20,000 or more in cash: barred, s.185",IF(AND(P137="D",H137="Cash",N(J137)&gt;=20000),"Cash deposit of ₹20,000 or more: ask your accountant whether s.185 applies",IF(AND(OR(P137="AG",P137="AS"),$E$9&lt;&gt;""),"Advance: also give a GST receipt voucher, s.31(3)(d) and Rule 50","OK"))))))))))))))))</f>
        <v/>
      </c>
      <c r="P137">
        <f>IF(G137="","",IFERROR(VLOOKUP(G137,Lists!$A$2:$B$9,2,FALSE),"?"))</f>
        <v/>
      </c>
      <c r="Q137">
        <f>IF(K137="Cancelled",0,N(J137))</f>
        <v/>
      </c>
      <c r="R137">
        <f>IF(OR(H137&lt;&gt;"Cash",P137="T",P137="D"),0,Q137)</f>
        <v/>
      </c>
      <c r="S137">
        <f>IF(R137=0,0,SUMIFS($R$18:$R$317,$B$18:$B$317,B137,$D$18:$D$317,D137))</f>
        <v/>
      </c>
      <c r="T137">
        <f>IF(OR(R137=0,E137=""),0,SUMIFS($R$18:$R$317,$E$18:$E$317,E137))</f>
        <v/>
      </c>
      <c r="U137">
        <f>IF(E137="","",IF(N(F137)&gt;0,F137,IFERROR(INDEX($F$18:$F$317,MATCH(E137,$E$18:$E$317,0)),"")))</f>
        <v/>
      </c>
      <c r="V137">
        <f>IF(OR(N137="",N137="OK",K137="Cancelled"),0,1)</f>
        <v/>
      </c>
    </row>
    <row r="138">
      <c r="B138" s="21" t="n"/>
      <c r="C138" s="22">
        <f>IF(B138="","",$E$10&amp;TEXT(N($E$11)+120,"000"))</f>
        <v/>
      </c>
      <c r="D138" s="14" t="n"/>
      <c r="E138" s="23" t="n"/>
      <c r="F138" s="24" t="n"/>
      <c r="G138" s="14" t="n"/>
      <c r="H138" s="14" t="n"/>
      <c r="I138" s="23" t="n"/>
      <c r="J138" s="24" t="n"/>
      <c r="K138" s="23" t="n"/>
      <c r="L138" s="25">
        <f>IF(OR(E138="",N(U138)=0),"",U138-SUMIFS(Q$18:Q138,E$18:E138,E138))</f>
        <v/>
      </c>
      <c r="M138" s="26">
        <f>IF(OR(N(J138)=0,K138="Cancelled"),"",IF(AND(N(J138)&gt;5000,P138&lt;&gt;"G"),"Yes: ₹1","No"))</f>
        <v/>
      </c>
      <c r="N138" s="27">
        <f>IF(AND(B138="",D138="",N(J138)=0),"",IF(B138="","Enter the date",IF(AND(ROW()&gt;18,B137=""),"Use the next empty row: a skipped row leaves a gap in the receipt numbers",IF(D138="","Enter who paid",IF(N(J138)=0,"Enter the amount",IF(G138="","Pick what the money was for",IF(P138="?","Pick what it was for from the list",IF(H138="","Pick how it was paid",IF(K138="Cancelled","Cancelled: keep this number unused and give a fresh receipt",IF(AND(H138&lt;&gt;"Cash",I138=""),"Enter the cheque no., UTR or UPI reference",IF(AND(L138&lt;&gt;"",N(L138)&lt;0),"More than the balance due on this invoice",IF(S138&gt;=200000,"₹2,00,000 or more in cash from this person today: barred, s.186",IF(T138&gt;=200000,"₹2,00,000 or more in cash against this invoice: barred, s.186",IF(AND(P138="T",H138="Cash",N(J138)&gt;=20000),"Loan of ₹20,000 or more in cash: barred, s.185",IF(AND(P138="D",H138="Cash",N(J138)&gt;=20000),"Cash deposit of ₹20,000 or more: ask your accountant whether s.185 applies",IF(AND(OR(P138="AG",P138="AS"),$E$9&lt;&gt;""),"Advance: also give a GST receipt voucher, s.31(3)(d) and Rule 50","OK"))))))))))))))))</f>
        <v/>
      </c>
      <c r="P138">
        <f>IF(G138="","",IFERROR(VLOOKUP(G138,Lists!$A$2:$B$9,2,FALSE),"?"))</f>
        <v/>
      </c>
      <c r="Q138">
        <f>IF(K138="Cancelled",0,N(J138))</f>
        <v/>
      </c>
      <c r="R138">
        <f>IF(OR(H138&lt;&gt;"Cash",P138="T",P138="D"),0,Q138)</f>
        <v/>
      </c>
      <c r="S138">
        <f>IF(R138=0,0,SUMIFS($R$18:$R$317,$B$18:$B$317,B138,$D$18:$D$317,D138))</f>
        <v/>
      </c>
      <c r="T138">
        <f>IF(OR(R138=0,E138=""),0,SUMIFS($R$18:$R$317,$E$18:$E$317,E138))</f>
        <v/>
      </c>
      <c r="U138">
        <f>IF(E138="","",IF(N(F138)&gt;0,F138,IFERROR(INDEX($F$18:$F$317,MATCH(E138,$E$18:$E$317,0)),"")))</f>
        <v/>
      </c>
      <c r="V138">
        <f>IF(OR(N138="",N138="OK",K138="Cancelled"),0,1)</f>
        <v/>
      </c>
    </row>
    <row r="139">
      <c r="B139" s="21" t="n"/>
      <c r="C139" s="22">
        <f>IF(B139="","",$E$10&amp;TEXT(N($E$11)+121,"000"))</f>
        <v/>
      </c>
      <c r="D139" s="14" t="n"/>
      <c r="E139" s="23" t="n"/>
      <c r="F139" s="24" t="n"/>
      <c r="G139" s="14" t="n"/>
      <c r="H139" s="14" t="n"/>
      <c r="I139" s="23" t="n"/>
      <c r="J139" s="24" t="n"/>
      <c r="K139" s="23" t="n"/>
      <c r="L139" s="25">
        <f>IF(OR(E139="",N(U139)=0),"",U139-SUMIFS(Q$18:Q139,E$18:E139,E139))</f>
        <v/>
      </c>
      <c r="M139" s="26">
        <f>IF(OR(N(J139)=0,K139="Cancelled"),"",IF(AND(N(J139)&gt;5000,P139&lt;&gt;"G"),"Yes: ₹1","No"))</f>
        <v/>
      </c>
      <c r="N139" s="27">
        <f>IF(AND(B139="",D139="",N(J139)=0),"",IF(B139="","Enter the date",IF(AND(ROW()&gt;18,B138=""),"Use the next empty row: a skipped row leaves a gap in the receipt numbers",IF(D139="","Enter who paid",IF(N(J139)=0,"Enter the amount",IF(G139="","Pick what the money was for",IF(P139="?","Pick what it was for from the list",IF(H139="","Pick how it was paid",IF(K139="Cancelled","Cancelled: keep this number unused and give a fresh receipt",IF(AND(H139&lt;&gt;"Cash",I139=""),"Enter the cheque no., UTR or UPI reference",IF(AND(L139&lt;&gt;"",N(L139)&lt;0),"More than the balance due on this invoice",IF(S139&gt;=200000,"₹2,00,000 or more in cash from this person today: barred, s.186",IF(T139&gt;=200000,"₹2,00,000 or more in cash against this invoice: barred, s.186",IF(AND(P139="T",H139="Cash",N(J139)&gt;=20000),"Loan of ₹20,000 or more in cash: barred, s.185",IF(AND(P139="D",H139="Cash",N(J139)&gt;=20000),"Cash deposit of ₹20,000 or more: ask your accountant whether s.185 applies",IF(AND(OR(P139="AG",P139="AS"),$E$9&lt;&gt;""),"Advance: also give a GST receipt voucher, s.31(3)(d) and Rule 50","OK"))))))))))))))))</f>
        <v/>
      </c>
      <c r="P139">
        <f>IF(G139="","",IFERROR(VLOOKUP(G139,Lists!$A$2:$B$9,2,FALSE),"?"))</f>
        <v/>
      </c>
      <c r="Q139">
        <f>IF(K139="Cancelled",0,N(J139))</f>
        <v/>
      </c>
      <c r="R139">
        <f>IF(OR(H139&lt;&gt;"Cash",P139="T",P139="D"),0,Q139)</f>
        <v/>
      </c>
      <c r="S139">
        <f>IF(R139=0,0,SUMIFS($R$18:$R$317,$B$18:$B$317,B139,$D$18:$D$317,D139))</f>
        <v/>
      </c>
      <c r="T139">
        <f>IF(OR(R139=0,E139=""),0,SUMIFS($R$18:$R$317,$E$18:$E$317,E139))</f>
        <v/>
      </c>
      <c r="U139">
        <f>IF(E139="","",IF(N(F139)&gt;0,F139,IFERROR(INDEX($F$18:$F$317,MATCH(E139,$E$18:$E$317,0)),"")))</f>
        <v/>
      </c>
      <c r="V139">
        <f>IF(OR(N139="",N139="OK",K139="Cancelled"),0,1)</f>
        <v/>
      </c>
    </row>
    <row r="140">
      <c r="B140" s="21" t="n"/>
      <c r="C140" s="22">
        <f>IF(B140="","",$E$10&amp;TEXT(N($E$11)+122,"000"))</f>
        <v/>
      </c>
      <c r="D140" s="14" t="n"/>
      <c r="E140" s="23" t="n"/>
      <c r="F140" s="24" t="n"/>
      <c r="G140" s="14" t="n"/>
      <c r="H140" s="14" t="n"/>
      <c r="I140" s="23" t="n"/>
      <c r="J140" s="24" t="n"/>
      <c r="K140" s="23" t="n"/>
      <c r="L140" s="25">
        <f>IF(OR(E140="",N(U140)=0),"",U140-SUMIFS(Q$18:Q140,E$18:E140,E140))</f>
        <v/>
      </c>
      <c r="M140" s="26">
        <f>IF(OR(N(J140)=0,K140="Cancelled"),"",IF(AND(N(J140)&gt;5000,P140&lt;&gt;"G"),"Yes: ₹1","No"))</f>
        <v/>
      </c>
      <c r="N140" s="27">
        <f>IF(AND(B140="",D140="",N(J140)=0),"",IF(B140="","Enter the date",IF(AND(ROW()&gt;18,B139=""),"Use the next empty row: a skipped row leaves a gap in the receipt numbers",IF(D140="","Enter who paid",IF(N(J140)=0,"Enter the amount",IF(G140="","Pick what the money was for",IF(P140="?","Pick what it was for from the list",IF(H140="","Pick how it was paid",IF(K140="Cancelled","Cancelled: keep this number unused and give a fresh receipt",IF(AND(H140&lt;&gt;"Cash",I140=""),"Enter the cheque no., UTR or UPI reference",IF(AND(L140&lt;&gt;"",N(L140)&lt;0),"More than the balance due on this invoice",IF(S140&gt;=200000,"₹2,00,000 or more in cash from this person today: barred, s.186",IF(T140&gt;=200000,"₹2,00,000 or more in cash against this invoice: barred, s.186",IF(AND(P140="T",H140="Cash",N(J140)&gt;=20000),"Loan of ₹20,000 or more in cash: barred, s.185",IF(AND(P140="D",H140="Cash",N(J140)&gt;=20000),"Cash deposit of ₹20,000 or more: ask your accountant whether s.185 applies",IF(AND(OR(P140="AG",P140="AS"),$E$9&lt;&gt;""),"Advance: also give a GST receipt voucher, s.31(3)(d) and Rule 50","OK"))))))))))))))))</f>
        <v/>
      </c>
      <c r="P140">
        <f>IF(G140="","",IFERROR(VLOOKUP(G140,Lists!$A$2:$B$9,2,FALSE),"?"))</f>
        <v/>
      </c>
      <c r="Q140">
        <f>IF(K140="Cancelled",0,N(J140))</f>
        <v/>
      </c>
      <c r="R140">
        <f>IF(OR(H140&lt;&gt;"Cash",P140="T",P140="D"),0,Q140)</f>
        <v/>
      </c>
      <c r="S140">
        <f>IF(R140=0,0,SUMIFS($R$18:$R$317,$B$18:$B$317,B140,$D$18:$D$317,D140))</f>
        <v/>
      </c>
      <c r="T140">
        <f>IF(OR(R140=0,E140=""),0,SUMIFS($R$18:$R$317,$E$18:$E$317,E140))</f>
        <v/>
      </c>
      <c r="U140">
        <f>IF(E140="","",IF(N(F140)&gt;0,F140,IFERROR(INDEX($F$18:$F$317,MATCH(E140,$E$18:$E$317,0)),"")))</f>
        <v/>
      </c>
      <c r="V140">
        <f>IF(OR(N140="",N140="OK",K140="Cancelled"),0,1)</f>
        <v/>
      </c>
    </row>
    <row r="141">
      <c r="B141" s="21" t="n"/>
      <c r="C141" s="22">
        <f>IF(B141="","",$E$10&amp;TEXT(N($E$11)+123,"000"))</f>
        <v/>
      </c>
      <c r="D141" s="14" t="n"/>
      <c r="E141" s="23" t="n"/>
      <c r="F141" s="24" t="n"/>
      <c r="G141" s="14" t="n"/>
      <c r="H141" s="14" t="n"/>
      <c r="I141" s="23" t="n"/>
      <c r="J141" s="24" t="n"/>
      <c r="K141" s="23" t="n"/>
      <c r="L141" s="25">
        <f>IF(OR(E141="",N(U141)=0),"",U141-SUMIFS(Q$18:Q141,E$18:E141,E141))</f>
        <v/>
      </c>
      <c r="M141" s="26">
        <f>IF(OR(N(J141)=0,K141="Cancelled"),"",IF(AND(N(J141)&gt;5000,P141&lt;&gt;"G"),"Yes: ₹1","No"))</f>
        <v/>
      </c>
      <c r="N141" s="27">
        <f>IF(AND(B141="",D141="",N(J141)=0),"",IF(B141="","Enter the date",IF(AND(ROW()&gt;18,B140=""),"Use the next empty row: a skipped row leaves a gap in the receipt numbers",IF(D141="","Enter who paid",IF(N(J141)=0,"Enter the amount",IF(G141="","Pick what the money was for",IF(P141="?","Pick what it was for from the list",IF(H141="","Pick how it was paid",IF(K141="Cancelled","Cancelled: keep this number unused and give a fresh receipt",IF(AND(H141&lt;&gt;"Cash",I141=""),"Enter the cheque no., UTR or UPI reference",IF(AND(L141&lt;&gt;"",N(L141)&lt;0),"More than the balance due on this invoice",IF(S141&gt;=200000,"₹2,00,000 or more in cash from this person today: barred, s.186",IF(T141&gt;=200000,"₹2,00,000 or more in cash against this invoice: barred, s.186",IF(AND(P141="T",H141="Cash",N(J141)&gt;=20000),"Loan of ₹20,000 or more in cash: barred, s.185",IF(AND(P141="D",H141="Cash",N(J141)&gt;=20000),"Cash deposit of ₹20,000 or more: ask your accountant whether s.185 applies",IF(AND(OR(P141="AG",P141="AS"),$E$9&lt;&gt;""),"Advance: also give a GST receipt voucher, s.31(3)(d) and Rule 50","OK"))))))))))))))))</f>
        <v/>
      </c>
      <c r="P141">
        <f>IF(G141="","",IFERROR(VLOOKUP(G141,Lists!$A$2:$B$9,2,FALSE),"?"))</f>
        <v/>
      </c>
      <c r="Q141">
        <f>IF(K141="Cancelled",0,N(J141))</f>
        <v/>
      </c>
      <c r="R141">
        <f>IF(OR(H141&lt;&gt;"Cash",P141="T",P141="D"),0,Q141)</f>
        <v/>
      </c>
      <c r="S141">
        <f>IF(R141=0,0,SUMIFS($R$18:$R$317,$B$18:$B$317,B141,$D$18:$D$317,D141))</f>
        <v/>
      </c>
      <c r="T141">
        <f>IF(OR(R141=0,E141=""),0,SUMIFS($R$18:$R$317,$E$18:$E$317,E141))</f>
        <v/>
      </c>
      <c r="U141">
        <f>IF(E141="","",IF(N(F141)&gt;0,F141,IFERROR(INDEX($F$18:$F$317,MATCH(E141,$E$18:$E$317,0)),"")))</f>
        <v/>
      </c>
      <c r="V141">
        <f>IF(OR(N141="",N141="OK",K141="Cancelled"),0,1)</f>
        <v/>
      </c>
    </row>
    <row r="142">
      <c r="B142" s="21" t="n"/>
      <c r="C142" s="22">
        <f>IF(B142="","",$E$10&amp;TEXT(N($E$11)+124,"000"))</f>
        <v/>
      </c>
      <c r="D142" s="14" t="n"/>
      <c r="E142" s="23" t="n"/>
      <c r="F142" s="24" t="n"/>
      <c r="G142" s="14" t="n"/>
      <c r="H142" s="14" t="n"/>
      <c r="I142" s="23" t="n"/>
      <c r="J142" s="24" t="n"/>
      <c r="K142" s="23" t="n"/>
      <c r="L142" s="25">
        <f>IF(OR(E142="",N(U142)=0),"",U142-SUMIFS(Q$18:Q142,E$18:E142,E142))</f>
        <v/>
      </c>
      <c r="M142" s="26">
        <f>IF(OR(N(J142)=0,K142="Cancelled"),"",IF(AND(N(J142)&gt;5000,P142&lt;&gt;"G"),"Yes: ₹1","No"))</f>
        <v/>
      </c>
      <c r="N142" s="27">
        <f>IF(AND(B142="",D142="",N(J142)=0),"",IF(B142="","Enter the date",IF(AND(ROW()&gt;18,B141=""),"Use the next empty row: a skipped row leaves a gap in the receipt numbers",IF(D142="","Enter who paid",IF(N(J142)=0,"Enter the amount",IF(G142="","Pick what the money was for",IF(P142="?","Pick what it was for from the list",IF(H142="","Pick how it was paid",IF(K142="Cancelled","Cancelled: keep this number unused and give a fresh receipt",IF(AND(H142&lt;&gt;"Cash",I142=""),"Enter the cheque no., UTR or UPI reference",IF(AND(L142&lt;&gt;"",N(L142)&lt;0),"More than the balance due on this invoice",IF(S142&gt;=200000,"₹2,00,000 or more in cash from this person today: barred, s.186",IF(T142&gt;=200000,"₹2,00,000 or more in cash against this invoice: barred, s.186",IF(AND(P142="T",H142="Cash",N(J142)&gt;=20000),"Loan of ₹20,000 or more in cash: barred, s.185",IF(AND(P142="D",H142="Cash",N(J142)&gt;=20000),"Cash deposit of ₹20,000 or more: ask your accountant whether s.185 applies",IF(AND(OR(P142="AG",P142="AS"),$E$9&lt;&gt;""),"Advance: also give a GST receipt voucher, s.31(3)(d) and Rule 50","OK"))))))))))))))))</f>
        <v/>
      </c>
      <c r="P142">
        <f>IF(G142="","",IFERROR(VLOOKUP(G142,Lists!$A$2:$B$9,2,FALSE),"?"))</f>
        <v/>
      </c>
      <c r="Q142">
        <f>IF(K142="Cancelled",0,N(J142))</f>
        <v/>
      </c>
      <c r="R142">
        <f>IF(OR(H142&lt;&gt;"Cash",P142="T",P142="D"),0,Q142)</f>
        <v/>
      </c>
      <c r="S142">
        <f>IF(R142=0,0,SUMIFS($R$18:$R$317,$B$18:$B$317,B142,$D$18:$D$317,D142))</f>
        <v/>
      </c>
      <c r="T142">
        <f>IF(OR(R142=0,E142=""),0,SUMIFS($R$18:$R$317,$E$18:$E$317,E142))</f>
        <v/>
      </c>
      <c r="U142">
        <f>IF(E142="","",IF(N(F142)&gt;0,F142,IFERROR(INDEX($F$18:$F$317,MATCH(E142,$E$18:$E$317,0)),"")))</f>
        <v/>
      </c>
      <c r="V142">
        <f>IF(OR(N142="",N142="OK",K142="Cancelled"),0,1)</f>
        <v/>
      </c>
    </row>
    <row r="143">
      <c r="B143" s="21" t="n"/>
      <c r="C143" s="22">
        <f>IF(B143="","",$E$10&amp;TEXT(N($E$11)+125,"000"))</f>
        <v/>
      </c>
      <c r="D143" s="14" t="n"/>
      <c r="E143" s="23" t="n"/>
      <c r="F143" s="24" t="n"/>
      <c r="G143" s="14" t="n"/>
      <c r="H143" s="14" t="n"/>
      <c r="I143" s="23" t="n"/>
      <c r="J143" s="24" t="n"/>
      <c r="K143" s="23" t="n"/>
      <c r="L143" s="25">
        <f>IF(OR(E143="",N(U143)=0),"",U143-SUMIFS(Q$18:Q143,E$18:E143,E143))</f>
        <v/>
      </c>
      <c r="M143" s="26">
        <f>IF(OR(N(J143)=0,K143="Cancelled"),"",IF(AND(N(J143)&gt;5000,P143&lt;&gt;"G"),"Yes: ₹1","No"))</f>
        <v/>
      </c>
      <c r="N143" s="27">
        <f>IF(AND(B143="",D143="",N(J143)=0),"",IF(B143="","Enter the date",IF(AND(ROW()&gt;18,B142=""),"Use the next empty row: a skipped row leaves a gap in the receipt numbers",IF(D143="","Enter who paid",IF(N(J143)=0,"Enter the amount",IF(G143="","Pick what the money was for",IF(P143="?","Pick what it was for from the list",IF(H143="","Pick how it was paid",IF(K143="Cancelled","Cancelled: keep this number unused and give a fresh receipt",IF(AND(H143&lt;&gt;"Cash",I143=""),"Enter the cheque no., UTR or UPI reference",IF(AND(L143&lt;&gt;"",N(L143)&lt;0),"More than the balance due on this invoice",IF(S143&gt;=200000,"₹2,00,000 or more in cash from this person today: barred, s.186",IF(T143&gt;=200000,"₹2,00,000 or more in cash against this invoice: barred, s.186",IF(AND(P143="T",H143="Cash",N(J143)&gt;=20000),"Loan of ₹20,000 or more in cash: barred, s.185",IF(AND(P143="D",H143="Cash",N(J143)&gt;=20000),"Cash deposit of ₹20,000 or more: ask your accountant whether s.185 applies",IF(AND(OR(P143="AG",P143="AS"),$E$9&lt;&gt;""),"Advance: also give a GST receipt voucher, s.31(3)(d) and Rule 50","OK"))))))))))))))))</f>
        <v/>
      </c>
      <c r="P143">
        <f>IF(G143="","",IFERROR(VLOOKUP(G143,Lists!$A$2:$B$9,2,FALSE),"?"))</f>
        <v/>
      </c>
      <c r="Q143">
        <f>IF(K143="Cancelled",0,N(J143))</f>
        <v/>
      </c>
      <c r="R143">
        <f>IF(OR(H143&lt;&gt;"Cash",P143="T",P143="D"),0,Q143)</f>
        <v/>
      </c>
      <c r="S143">
        <f>IF(R143=0,0,SUMIFS($R$18:$R$317,$B$18:$B$317,B143,$D$18:$D$317,D143))</f>
        <v/>
      </c>
      <c r="T143">
        <f>IF(OR(R143=0,E143=""),0,SUMIFS($R$18:$R$317,$E$18:$E$317,E143))</f>
        <v/>
      </c>
      <c r="U143">
        <f>IF(E143="","",IF(N(F143)&gt;0,F143,IFERROR(INDEX($F$18:$F$317,MATCH(E143,$E$18:$E$317,0)),"")))</f>
        <v/>
      </c>
      <c r="V143">
        <f>IF(OR(N143="",N143="OK",K143="Cancelled"),0,1)</f>
        <v/>
      </c>
    </row>
    <row r="144">
      <c r="B144" s="21" t="n"/>
      <c r="C144" s="22">
        <f>IF(B144="","",$E$10&amp;TEXT(N($E$11)+126,"000"))</f>
        <v/>
      </c>
      <c r="D144" s="14" t="n"/>
      <c r="E144" s="23" t="n"/>
      <c r="F144" s="24" t="n"/>
      <c r="G144" s="14" t="n"/>
      <c r="H144" s="14" t="n"/>
      <c r="I144" s="23" t="n"/>
      <c r="J144" s="24" t="n"/>
      <c r="K144" s="23" t="n"/>
      <c r="L144" s="25">
        <f>IF(OR(E144="",N(U144)=0),"",U144-SUMIFS(Q$18:Q144,E$18:E144,E144))</f>
        <v/>
      </c>
      <c r="M144" s="26">
        <f>IF(OR(N(J144)=0,K144="Cancelled"),"",IF(AND(N(J144)&gt;5000,P144&lt;&gt;"G"),"Yes: ₹1","No"))</f>
        <v/>
      </c>
      <c r="N144" s="27">
        <f>IF(AND(B144="",D144="",N(J144)=0),"",IF(B144="","Enter the date",IF(AND(ROW()&gt;18,B143=""),"Use the next empty row: a skipped row leaves a gap in the receipt numbers",IF(D144="","Enter who paid",IF(N(J144)=0,"Enter the amount",IF(G144="","Pick what the money was for",IF(P144="?","Pick what it was for from the list",IF(H144="","Pick how it was paid",IF(K144="Cancelled","Cancelled: keep this number unused and give a fresh receipt",IF(AND(H144&lt;&gt;"Cash",I144=""),"Enter the cheque no., UTR or UPI reference",IF(AND(L144&lt;&gt;"",N(L144)&lt;0),"More than the balance due on this invoice",IF(S144&gt;=200000,"₹2,00,000 or more in cash from this person today: barred, s.186",IF(T144&gt;=200000,"₹2,00,000 or more in cash against this invoice: barred, s.186",IF(AND(P144="T",H144="Cash",N(J144)&gt;=20000),"Loan of ₹20,000 or more in cash: barred, s.185",IF(AND(P144="D",H144="Cash",N(J144)&gt;=20000),"Cash deposit of ₹20,000 or more: ask your accountant whether s.185 applies",IF(AND(OR(P144="AG",P144="AS"),$E$9&lt;&gt;""),"Advance: also give a GST receipt voucher, s.31(3)(d) and Rule 50","OK"))))))))))))))))</f>
        <v/>
      </c>
      <c r="P144">
        <f>IF(G144="","",IFERROR(VLOOKUP(G144,Lists!$A$2:$B$9,2,FALSE),"?"))</f>
        <v/>
      </c>
      <c r="Q144">
        <f>IF(K144="Cancelled",0,N(J144))</f>
        <v/>
      </c>
      <c r="R144">
        <f>IF(OR(H144&lt;&gt;"Cash",P144="T",P144="D"),0,Q144)</f>
        <v/>
      </c>
      <c r="S144">
        <f>IF(R144=0,0,SUMIFS($R$18:$R$317,$B$18:$B$317,B144,$D$18:$D$317,D144))</f>
        <v/>
      </c>
      <c r="T144">
        <f>IF(OR(R144=0,E144=""),0,SUMIFS($R$18:$R$317,$E$18:$E$317,E144))</f>
        <v/>
      </c>
      <c r="U144">
        <f>IF(E144="","",IF(N(F144)&gt;0,F144,IFERROR(INDEX($F$18:$F$317,MATCH(E144,$E$18:$E$317,0)),"")))</f>
        <v/>
      </c>
      <c r="V144">
        <f>IF(OR(N144="",N144="OK",K144="Cancelled"),0,1)</f>
        <v/>
      </c>
    </row>
    <row r="145">
      <c r="B145" s="21" t="n"/>
      <c r="C145" s="22">
        <f>IF(B145="","",$E$10&amp;TEXT(N($E$11)+127,"000"))</f>
        <v/>
      </c>
      <c r="D145" s="14" t="n"/>
      <c r="E145" s="23" t="n"/>
      <c r="F145" s="24" t="n"/>
      <c r="G145" s="14" t="n"/>
      <c r="H145" s="14" t="n"/>
      <c r="I145" s="23" t="n"/>
      <c r="J145" s="24" t="n"/>
      <c r="K145" s="23" t="n"/>
      <c r="L145" s="25">
        <f>IF(OR(E145="",N(U145)=0),"",U145-SUMIFS(Q$18:Q145,E$18:E145,E145))</f>
        <v/>
      </c>
      <c r="M145" s="26">
        <f>IF(OR(N(J145)=0,K145="Cancelled"),"",IF(AND(N(J145)&gt;5000,P145&lt;&gt;"G"),"Yes: ₹1","No"))</f>
        <v/>
      </c>
      <c r="N145" s="27">
        <f>IF(AND(B145="",D145="",N(J145)=0),"",IF(B145="","Enter the date",IF(AND(ROW()&gt;18,B144=""),"Use the next empty row: a skipped row leaves a gap in the receipt numbers",IF(D145="","Enter who paid",IF(N(J145)=0,"Enter the amount",IF(G145="","Pick what the money was for",IF(P145="?","Pick what it was for from the list",IF(H145="","Pick how it was paid",IF(K145="Cancelled","Cancelled: keep this number unused and give a fresh receipt",IF(AND(H145&lt;&gt;"Cash",I145=""),"Enter the cheque no., UTR or UPI reference",IF(AND(L145&lt;&gt;"",N(L145)&lt;0),"More than the balance due on this invoice",IF(S145&gt;=200000,"₹2,00,000 or more in cash from this person today: barred, s.186",IF(T145&gt;=200000,"₹2,00,000 or more in cash against this invoice: barred, s.186",IF(AND(P145="T",H145="Cash",N(J145)&gt;=20000),"Loan of ₹20,000 or more in cash: barred, s.185",IF(AND(P145="D",H145="Cash",N(J145)&gt;=20000),"Cash deposit of ₹20,000 or more: ask your accountant whether s.185 applies",IF(AND(OR(P145="AG",P145="AS"),$E$9&lt;&gt;""),"Advance: also give a GST receipt voucher, s.31(3)(d) and Rule 50","OK"))))))))))))))))</f>
        <v/>
      </c>
      <c r="P145">
        <f>IF(G145="","",IFERROR(VLOOKUP(G145,Lists!$A$2:$B$9,2,FALSE),"?"))</f>
        <v/>
      </c>
      <c r="Q145">
        <f>IF(K145="Cancelled",0,N(J145))</f>
        <v/>
      </c>
      <c r="R145">
        <f>IF(OR(H145&lt;&gt;"Cash",P145="T",P145="D"),0,Q145)</f>
        <v/>
      </c>
      <c r="S145">
        <f>IF(R145=0,0,SUMIFS($R$18:$R$317,$B$18:$B$317,B145,$D$18:$D$317,D145))</f>
        <v/>
      </c>
      <c r="T145">
        <f>IF(OR(R145=0,E145=""),0,SUMIFS($R$18:$R$317,$E$18:$E$317,E145))</f>
        <v/>
      </c>
      <c r="U145">
        <f>IF(E145="","",IF(N(F145)&gt;0,F145,IFERROR(INDEX($F$18:$F$317,MATCH(E145,$E$18:$E$317,0)),"")))</f>
        <v/>
      </c>
      <c r="V145">
        <f>IF(OR(N145="",N145="OK",K145="Cancelled"),0,1)</f>
        <v/>
      </c>
    </row>
    <row r="146">
      <c r="B146" s="21" t="n"/>
      <c r="C146" s="22">
        <f>IF(B146="","",$E$10&amp;TEXT(N($E$11)+128,"000"))</f>
        <v/>
      </c>
      <c r="D146" s="14" t="n"/>
      <c r="E146" s="23" t="n"/>
      <c r="F146" s="24" t="n"/>
      <c r="G146" s="14" t="n"/>
      <c r="H146" s="14" t="n"/>
      <c r="I146" s="23" t="n"/>
      <c r="J146" s="24" t="n"/>
      <c r="K146" s="23" t="n"/>
      <c r="L146" s="25">
        <f>IF(OR(E146="",N(U146)=0),"",U146-SUMIFS(Q$18:Q146,E$18:E146,E146))</f>
        <v/>
      </c>
      <c r="M146" s="26">
        <f>IF(OR(N(J146)=0,K146="Cancelled"),"",IF(AND(N(J146)&gt;5000,P146&lt;&gt;"G"),"Yes: ₹1","No"))</f>
        <v/>
      </c>
      <c r="N146" s="27">
        <f>IF(AND(B146="",D146="",N(J146)=0),"",IF(B146="","Enter the date",IF(AND(ROW()&gt;18,B145=""),"Use the next empty row: a skipped row leaves a gap in the receipt numbers",IF(D146="","Enter who paid",IF(N(J146)=0,"Enter the amount",IF(G146="","Pick what the money was for",IF(P146="?","Pick what it was for from the list",IF(H146="","Pick how it was paid",IF(K146="Cancelled","Cancelled: keep this number unused and give a fresh receipt",IF(AND(H146&lt;&gt;"Cash",I146=""),"Enter the cheque no., UTR or UPI reference",IF(AND(L146&lt;&gt;"",N(L146)&lt;0),"More than the balance due on this invoice",IF(S146&gt;=200000,"₹2,00,000 or more in cash from this person today: barred, s.186",IF(T146&gt;=200000,"₹2,00,000 or more in cash against this invoice: barred, s.186",IF(AND(P146="T",H146="Cash",N(J146)&gt;=20000),"Loan of ₹20,000 or more in cash: barred, s.185",IF(AND(P146="D",H146="Cash",N(J146)&gt;=20000),"Cash deposit of ₹20,000 or more: ask your accountant whether s.185 applies",IF(AND(OR(P146="AG",P146="AS"),$E$9&lt;&gt;""),"Advance: also give a GST receipt voucher, s.31(3)(d) and Rule 50","OK"))))))))))))))))</f>
        <v/>
      </c>
      <c r="P146">
        <f>IF(G146="","",IFERROR(VLOOKUP(G146,Lists!$A$2:$B$9,2,FALSE),"?"))</f>
        <v/>
      </c>
      <c r="Q146">
        <f>IF(K146="Cancelled",0,N(J146))</f>
        <v/>
      </c>
      <c r="R146">
        <f>IF(OR(H146&lt;&gt;"Cash",P146="T",P146="D"),0,Q146)</f>
        <v/>
      </c>
      <c r="S146">
        <f>IF(R146=0,0,SUMIFS($R$18:$R$317,$B$18:$B$317,B146,$D$18:$D$317,D146))</f>
        <v/>
      </c>
      <c r="T146">
        <f>IF(OR(R146=0,E146=""),0,SUMIFS($R$18:$R$317,$E$18:$E$317,E146))</f>
        <v/>
      </c>
      <c r="U146">
        <f>IF(E146="","",IF(N(F146)&gt;0,F146,IFERROR(INDEX($F$18:$F$317,MATCH(E146,$E$18:$E$317,0)),"")))</f>
        <v/>
      </c>
      <c r="V146">
        <f>IF(OR(N146="",N146="OK",K146="Cancelled"),0,1)</f>
        <v/>
      </c>
    </row>
    <row r="147">
      <c r="B147" s="21" t="n"/>
      <c r="C147" s="22">
        <f>IF(B147="","",$E$10&amp;TEXT(N($E$11)+129,"000"))</f>
        <v/>
      </c>
      <c r="D147" s="14" t="n"/>
      <c r="E147" s="23" t="n"/>
      <c r="F147" s="24" t="n"/>
      <c r="G147" s="14" t="n"/>
      <c r="H147" s="14" t="n"/>
      <c r="I147" s="23" t="n"/>
      <c r="J147" s="24" t="n"/>
      <c r="K147" s="23" t="n"/>
      <c r="L147" s="25">
        <f>IF(OR(E147="",N(U147)=0),"",U147-SUMIFS(Q$18:Q147,E$18:E147,E147))</f>
        <v/>
      </c>
      <c r="M147" s="26">
        <f>IF(OR(N(J147)=0,K147="Cancelled"),"",IF(AND(N(J147)&gt;5000,P147&lt;&gt;"G"),"Yes: ₹1","No"))</f>
        <v/>
      </c>
      <c r="N147" s="27">
        <f>IF(AND(B147="",D147="",N(J147)=0),"",IF(B147="","Enter the date",IF(AND(ROW()&gt;18,B146=""),"Use the next empty row: a skipped row leaves a gap in the receipt numbers",IF(D147="","Enter who paid",IF(N(J147)=0,"Enter the amount",IF(G147="","Pick what the money was for",IF(P147="?","Pick what it was for from the list",IF(H147="","Pick how it was paid",IF(K147="Cancelled","Cancelled: keep this number unused and give a fresh receipt",IF(AND(H147&lt;&gt;"Cash",I147=""),"Enter the cheque no., UTR or UPI reference",IF(AND(L147&lt;&gt;"",N(L147)&lt;0),"More than the balance due on this invoice",IF(S147&gt;=200000,"₹2,00,000 or more in cash from this person today: barred, s.186",IF(T147&gt;=200000,"₹2,00,000 or more in cash against this invoice: barred, s.186",IF(AND(P147="T",H147="Cash",N(J147)&gt;=20000),"Loan of ₹20,000 or more in cash: barred, s.185",IF(AND(P147="D",H147="Cash",N(J147)&gt;=20000),"Cash deposit of ₹20,000 or more: ask your accountant whether s.185 applies",IF(AND(OR(P147="AG",P147="AS"),$E$9&lt;&gt;""),"Advance: also give a GST receipt voucher, s.31(3)(d) and Rule 50","OK"))))))))))))))))</f>
        <v/>
      </c>
      <c r="P147">
        <f>IF(G147="","",IFERROR(VLOOKUP(G147,Lists!$A$2:$B$9,2,FALSE),"?"))</f>
        <v/>
      </c>
      <c r="Q147">
        <f>IF(K147="Cancelled",0,N(J147))</f>
        <v/>
      </c>
      <c r="R147">
        <f>IF(OR(H147&lt;&gt;"Cash",P147="T",P147="D"),0,Q147)</f>
        <v/>
      </c>
      <c r="S147">
        <f>IF(R147=0,0,SUMIFS($R$18:$R$317,$B$18:$B$317,B147,$D$18:$D$317,D147))</f>
        <v/>
      </c>
      <c r="T147">
        <f>IF(OR(R147=0,E147=""),0,SUMIFS($R$18:$R$317,$E$18:$E$317,E147))</f>
        <v/>
      </c>
      <c r="U147">
        <f>IF(E147="","",IF(N(F147)&gt;0,F147,IFERROR(INDEX($F$18:$F$317,MATCH(E147,$E$18:$E$317,0)),"")))</f>
        <v/>
      </c>
      <c r="V147">
        <f>IF(OR(N147="",N147="OK",K147="Cancelled"),0,1)</f>
        <v/>
      </c>
    </row>
    <row r="148">
      <c r="B148" s="21" t="n"/>
      <c r="C148" s="22">
        <f>IF(B148="","",$E$10&amp;TEXT(N($E$11)+130,"000"))</f>
        <v/>
      </c>
      <c r="D148" s="14" t="n"/>
      <c r="E148" s="23" t="n"/>
      <c r="F148" s="24" t="n"/>
      <c r="G148" s="14" t="n"/>
      <c r="H148" s="14" t="n"/>
      <c r="I148" s="23" t="n"/>
      <c r="J148" s="24" t="n"/>
      <c r="K148" s="23" t="n"/>
      <c r="L148" s="25">
        <f>IF(OR(E148="",N(U148)=0),"",U148-SUMIFS(Q$18:Q148,E$18:E148,E148))</f>
        <v/>
      </c>
      <c r="M148" s="26">
        <f>IF(OR(N(J148)=0,K148="Cancelled"),"",IF(AND(N(J148)&gt;5000,P148&lt;&gt;"G"),"Yes: ₹1","No"))</f>
        <v/>
      </c>
      <c r="N148" s="27">
        <f>IF(AND(B148="",D148="",N(J148)=0),"",IF(B148="","Enter the date",IF(AND(ROW()&gt;18,B147=""),"Use the next empty row: a skipped row leaves a gap in the receipt numbers",IF(D148="","Enter who paid",IF(N(J148)=0,"Enter the amount",IF(G148="","Pick what the money was for",IF(P148="?","Pick what it was for from the list",IF(H148="","Pick how it was paid",IF(K148="Cancelled","Cancelled: keep this number unused and give a fresh receipt",IF(AND(H148&lt;&gt;"Cash",I148=""),"Enter the cheque no., UTR or UPI reference",IF(AND(L148&lt;&gt;"",N(L148)&lt;0),"More than the balance due on this invoice",IF(S148&gt;=200000,"₹2,00,000 or more in cash from this person today: barred, s.186",IF(T148&gt;=200000,"₹2,00,000 or more in cash against this invoice: barred, s.186",IF(AND(P148="T",H148="Cash",N(J148)&gt;=20000),"Loan of ₹20,000 or more in cash: barred, s.185",IF(AND(P148="D",H148="Cash",N(J148)&gt;=20000),"Cash deposit of ₹20,000 or more: ask your accountant whether s.185 applies",IF(AND(OR(P148="AG",P148="AS"),$E$9&lt;&gt;""),"Advance: also give a GST receipt voucher, s.31(3)(d) and Rule 50","OK"))))))))))))))))</f>
        <v/>
      </c>
      <c r="P148">
        <f>IF(G148="","",IFERROR(VLOOKUP(G148,Lists!$A$2:$B$9,2,FALSE),"?"))</f>
        <v/>
      </c>
      <c r="Q148">
        <f>IF(K148="Cancelled",0,N(J148))</f>
        <v/>
      </c>
      <c r="R148">
        <f>IF(OR(H148&lt;&gt;"Cash",P148="T",P148="D"),0,Q148)</f>
        <v/>
      </c>
      <c r="S148">
        <f>IF(R148=0,0,SUMIFS($R$18:$R$317,$B$18:$B$317,B148,$D$18:$D$317,D148))</f>
        <v/>
      </c>
      <c r="T148">
        <f>IF(OR(R148=0,E148=""),0,SUMIFS($R$18:$R$317,$E$18:$E$317,E148))</f>
        <v/>
      </c>
      <c r="U148">
        <f>IF(E148="","",IF(N(F148)&gt;0,F148,IFERROR(INDEX($F$18:$F$317,MATCH(E148,$E$18:$E$317,0)),"")))</f>
        <v/>
      </c>
      <c r="V148">
        <f>IF(OR(N148="",N148="OK",K148="Cancelled"),0,1)</f>
        <v/>
      </c>
    </row>
    <row r="149">
      <c r="B149" s="21" t="n"/>
      <c r="C149" s="22">
        <f>IF(B149="","",$E$10&amp;TEXT(N($E$11)+131,"000"))</f>
        <v/>
      </c>
      <c r="D149" s="14" t="n"/>
      <c r="E149" s="23" t="n"/>
      <c r="F149" s="24" t="n"/>
      <c r="G149" s="14" t="n"/>
      <c r="H149" s="14" t="n"/>
      <c r="I149" s="23" t="n"/>
      <c r="J149" s="24" t="n"/>
      <c r="K149" s="23" t="n"/>
      <c r="L149" s="25">
        <f>IF(OR(E149="",N(U149)=0),"",U149-SUMIFS(Q$18:Q149,E$18:E149,E149))</f>
        <v/>
      </c>
      <c r="M149" s="26">
        <f>IF(OR(N(J149)=0,K149="Cancelled"),"",IF(AND(N(J149)&gt;5000,P149&lt;&gt;"G"),"Yes: ₹1","No"))</f>
        <v/>
      </c>
      <c r="N149" s="27">
        <f>IF(AND(B149="",D149="",N(J149)=0),"",IF(B149="","Enter the date",IF(AND(ROW()&gt;18,B148=""),"Use the next empty row: a skipped row leaves a gap in the receipt numbers",IF(D149="","Enter who paid",IF(N(J149)=0,"Enter the amount",IF(G149="","Pick what the money was for",IF(P149="?","Pick what it was for from the list",IF(H149="","Pick how it was paid",IF(K149="Cancelled","Cancelled: keep this number unused and give a fresh receipt",IF(AND(H149&lt;&gt;"Cash",I149=""),"Enter the cheque no., UTR or UPI reference",IF(AND(L149&lt;&gt;"",N(L149)&lt;0),"More than the balance due on this invoice",IF(S149&gt;=200000,"₹2,00,000 or more in cash from this person today: barred, s.186",IF(T149&gt;=200000,"₹2,00,000 or more in cash against this invoice: barred, s.186",IF(AND(P149="T",H149="Cash",N(J149)&gt;=20000),"Loan of ₹20,000 or more in cash: barred, s.185",IF(AND(P149="D",H149="Cash",N(J149)&gt;=20000),"Cash deposit of ₹20,000 or more: ask your accountant whether s.185 applies",IF(AND(OR(P149="AG",P149="AS"),$E$9&lt;&gt;""),"Advance: also give a GST receipt voucher, s.31(3)(d) and Rule 50","OK"))))))))))))))))</f>
        <v/>
      </c>
      <c r="P149">
        <f>IF(G149="","",IFERROR(VLOOKUP(G149,Lists!$A$2:$B$9,2,FALSE),"?"))</f>
        <v/>
      </c>
      <c r="Q149">
        <f>IF(K149="Cancelled",0,N(J149))</f>
        <v/>
      </c>
      <c r="R149">
        <f>IF(OR(H149&lt;&gt;"Cash",P149="T",P149="D"),0,Q149)</f>
        <v/>
      </c>
      <c r="S149">
        <f>IF(R149=0,0,SUMIFS($R$18:$R$317,$B$18:$B$317,B149,$D$18:$D$317,D149))</f>
        <v/>
      </c>
      <c r="T149">
        <f>IF(OR(R149=0,E149=""),0,SUMIFS($R$18:$R$317,$E$18:$E$317,E149))</f>
        <v/>
      </c>
      <c r="U149">
        <f>IF(E149="","",IF(N(F149)&gt;0,F149,IFERROR(INDEX($F$18:$F$317,MATCH(E149,$E$18:$E$317,0)),"")))</f>
        <v/>
      </c>
      <c r="V149">
        <f>IF(OR(N149="",N149="OK",K149="Cancelled"),0,1)</f>
        <v/>
      </c>
    </row>
    <row r="150">
      <c r="B150" s="21" t="n"/>
      <c r="C150" s="22">
        <f>IF(B150="","",$E$10&amp;TEXT(N($E$11)+132,"000"))</f>
        <v/>
      </c>
      <c r="D150" s="14" t="n"/>
      <c r="E150" s="23" t="n"/>
      <c r="F150" s="24" t="n"/>
      <c r="G150" s="14" t="n"/>
      <c r="H150" s="14" t="n"/>
      <c r="I150" s="23" t="n"/>
      <c r="J150" s="24" t="n"/>
      <c r="K150" s="23" t="n"/>
      <c r="L150" s="25">
        <f>IF(OR(E150="",N(U150)=0),"",U150-SUMIFS(Q$18:Q150,E$18:E150,E150))</f>
        <v/>
      </c>
      <c r="M150" s="26">
        <f>IF(OR(N(J150)=0,K150="Cancelled"),"",IF(AND(N(J150)&gt;5000,P150&lt;&gt;"G"),"Yes: ₹1","No"))</f>
        <v/>
      </c>
      <c r="N150" s="27">
        <f>IF(AND(B150="",D150="",N(J150)=0),"",IF(B150="","Enter the date",IF(AND(ROW()&gt;18,B149=""),"Use the next empty row: a skipped row leaves a gap in the receipt numbers",IF(D150="","Enter who paid",IF(N(J150)=0,"Enter the amount",IF(G150="","Pick what the money was for",IF(P150="?","Pick what it was for from the list",IF(H150="","Pick how it was paid",IF(K150="Cancelled","Cancelled: keep this number unused and give a fresh receipt",IF(AND(H150&lt;&gt;"Cash",I150=""),"Enter the cheque no., UTR or UPI reference",IF(AND(L150&lt;&gt;"",N(L150)&lt;0),"More than the balance due on this invoice",IF(S150&gt;=200000,"₹2,00,000 or more in cash from this person today: barred, s.186",IF(T150&gt;=200000,"₹2,00,000 or more in cash against this invoice: barred, s.186",IF(AND(P150="T",H150="Cash",N(J150)&gt;=20000),"Loan of ₹20,000 or more in cash: barred, s.185",IF(AND(P150="D",H150="Cash",N(J150)&gt;=20000),"Cash deposit of ₹20,000 or more: ask your accountant whether s.185 applies",IF(AND(OR(P150="AG",P150="AS"),$E$9&lt;&gt;""),"Advance: also give a GST receipt voucher, s.31(3)(d) and Rule 50","OK"))))))))))))))))</f>
        <v/>
      </c>
      <c r="P150">
        <f>IF(G150="","",IFERROR(VLOOKUP(G150,Lists!$A$2:$B$9,2,FALSE),"?"))</f>
        <v/>
      </c>
      <c r="Q150">
        <f>IF(K150="Cancelled",0,N(J150))</f>
        <v/>
      </c>
      <c r="R150">
        <f>IF(OR(H150&lt;&gt;"Cash",P150="T",P150="D"),0,Q150)</f>
        <v/>
      </c>
      <c r="S150">
        <f>IF(R150=0,0,SUMIFS($R$18:$R$317,$B$18:$B$317,B150,$D$18:$D$317,D150))</f>
        <v/>
      </c>
      <c r="T150">
        <f>IF(OR(R150=0,E150=""),0,SUMIFS($R$18:$R$317,$E$18:$E$317,E150))</f>
        <v/>
      </c>
      <c r="U150">
        <f>IF(E150="","",IF(N(F150)&gt;0,F150,IFERROR(INDEX($F$18:$F$317,MATCH(E150,$E$18:$E$317,0)),"")))</f>
        <v/>
      </c>
      <c r="V150">
        <f>IF(OR(N150="",N150="OK",K150="Cancelled"),0,1)</f>
        <v/>
      </c>
    </row>
    <row r="151">
      <c r="B151" s="21" t="n"/>
      <c r="C151" s="22">
        <f>IF(B151="","",$E$10&amp;TEXT(N($E$11)+133,"000"))</f>
        <v/>
      </c>
      <c r="D151" s="14" t="n"/>
      <c r="E151" s="23" t="n"/>
      <c r="F151" s="24" t="n"/>
      <c r="G151" s="14" t="n"/>
      <c r="H151" s="14" t="n"/>
      <c r="I151" s="23" t="n"/>
      <c r="J151" s="24" t="n"/>
      <c r="K151" s="23" t="n"/>
      <c r="L151" s="25">
        <f>IF(OR(E151="",N(U151)=0),"",U151-SUMIFS(Q$18:Q151,E$18:E151,E151))</f>
        <v/>
      </c>
      <c r="M151" s="26">
        <f>IF(OR(N(J151)=0,K151="Cancelled"),"",IF(AND(N(J151)&gt;5000,P151&lt;&gt;"G"),"Yes: ₹1","No"))</f>
        <v/>
      </c>
      <c r="N151" s="27">
        <f>IF(AND(B151="",D151="",N(J151)=0),"",IF(B151="","Enter the date",IF(AND(ROW()&gt;18,B150=""),"Use the next empty row: a skipped row leaves a gap in the receipt numbers",IF(D151="","Enter who paid",IF(N(J151)=0,"Enter the amount",IF(G151="","Pick what the money was for",IF(P151="?","Pick what it was for from the list",IF(H151="","Pick how it was paid",IF(K151="Cancelled","Cancelled: keep this number unused and give a fresh receipt",IF(AND(H151&lt;&gt;"Cash",I151=""),"Enter the cheque no., UTR or UPI reference",IF(AND(L151&lt;&gt;"",N(L151)&lt;0),"More than the balance due on this invoice",IF(S151&gt;=200000,"₹2,00,000 or more in cash from this person today: barred, s.186",IF(T151&gt;=200000,"₹2,00,000 or more in cash against this invoice: barred, s.186",IF(AND(P151="T",H151="Cash",N(J151)&gt;=20000),"Loan of ₹20,000 or more in cash: barred, s.185",IF(AND(P151="D",H151="Cash",N(J151)&gt;=20000),"Cash deposit of ₹20,000 or more: ask your accountant whether s.185 applies",IF(AND(OR(P151="AG",P151="AS"),$E$9&lt;&gt;""),"Advance: also give a GST receipt voucher, s.31(3)(d) and Rule 50","OK"))))))))))))))))</f>
        <v/>
      </c>
      <c r="P151">
        <f>IF(G151="","",IFERROR(VLOOKUP(G151,Lists!$A$2:$B$9,2,FALSE),"?"))</f>
        <v/>
      </c>
      <c r="Q151">
        <f>IF(K151="Cancelled",0,N(J151))</f>
        <v/>
      </c>
      <c r="R151">
        <f>IF(OR(H151&lt;&gt;"Cash",P151="T",P151="D"),0,Q151)</f>
        <v/>
      </c>
      <c r="S151">
        <f>IF(R151=0,0,SUMIFS($R$18:$R$317,$B$18:$B$317,B151,$D$18:$D$317,D151))</f>
        <v/>
      </c>
      <c r="T151">
        <f>IF(OR(R151=0,E151=""),0,SUMIFS($R$18:$R$317,$E$18:$E$317,E151))</f>
        <v/>
      </c>
      <c r="U151">
        <f>IF(E151="","",IF(N(F151)&gt;0,F151,IFERROR(INDEX($F$18:$F$317,MATCH(E151,$E$18:$E$317,0)),"")))</f>
        <v/>
      </c>
      <c r="V151">
        <f>IF(OR(N151="",N151="OK",K151="Cancelled"),0,1)</f>
        <v/>
      </c>
    </row>
    <row r="152">
      <c r="B152" s="21" t="n"/>
      <c r="C152" s="22">
        <f>IF(B152="","",$E$10&amp;TEXT(N($E$11)+134,"000"))</f>
        <v/>
      </c>
      <c r="D152" s="14" t="n"/>
      <c r="E152" s="23" t="n"/>
      <c r="F152" s="24" t="n"/>
      <c r="G152" s="14" t="n"/>
      <c r="H152" s="14" t="n"/>
      <c r="I152" s="23" t="n"/>
      <c r="J152" s="24" t="n"/>
      <c r="K152" s="23" t="n"/>
      <c r="L152" s="25">
        <f>IF(OR(E152="",N(U152)=0),"",U152-SUMIFS(Q$18:Q152,E$18:E152,E152))</f>
        <v/>
      </c>
      <c r="M152" s="26">
        <f>IF(OR(N(J152)=0,K152="Cancelled"),"",IF(AND(N(J152)&gt;5000,P152&lt;&gt;"G"),"Yes: ₹1","No"))</f>
        <v/>
      </c>
      <c r="N152" s="27">
        <f>IF(AND(B152="",D152="",N(J152)=0),"",IF(B152="","Enter the date",IF(AND(ROW()&gt;18,B151=""),"Use the next empty row: a skipped row leaves a gap in the receipt numbers",IF(D152="","Enter who paid",IF(N(J152)=0,"Enter the amount",IF(G152="","Pick what the money was for",IF(P152="?","Pick what it was for from the list",IF(H152="","Pick how it was paid",IF(K152="Cancelled","Cancelled: keep this number unused and give a fresh receipt",IF(AND(H152&lt;&gt;"Cash",I152=""),"Enter the cheque no., UTR or UPI reference",IF(AND(L152&lt;&gt;"",N(L152)&lt;0),"More than the balance due on this invoice",IF(S152&gt;=200000,"₹2,00,000 or more in cash from this person today: barred, s.186",IF(T152&gt;=200000,"₹2,00,000 or more in cash against this invoice: barred, s.186",IF(AND(P152="T",H152="Cash",N(J152)&gt;=20000),"Loan of ₹20,000 or more in cash: barred, s.185",IF(AND(P152="D",H152="Cash",N(J152)&gt;=20000),"Cash deposit of ₹20,000 or more: ask your accountant whether s.185 applies",IF(AND(OR(P152="AG",P152="AS"),$E$9&lt;&gt;""),"Advance: also give a GST receipt voucher, s.31(3)(d) and Rule 50","OK"))))))))))))))))</f>
        <v/>
      </c>
      <c r="P152">
        <f>IF(G152="","",IFERROR(VLOOKUP(G152,Lists!$A$2:$B$9,2,FALSE),"?"))</f>
        <v/>
      </c>
      <c r="Q152">
        <f>IF(K152="Cancelled",0,N(J152))</f>
        <v/>
      </c>
      <c r="R152">
        <f>IF(OR(H152&lt;&gt;"Cash",P152="T",P152="D"),0,Q152)</f>
        <v/>
      </c>
      <c r="S152">
        <f>IF(R152=0,0,SUMIFS($R$18:$R$317,$B$18:$B$317,B152,$D$18:$D$317,D152))</f>
        <v/>
      </c>
      <c r="T152">
        <f>IF(OR(R152=0,E152=""),0,SUMIFS($R$18:$R$317,$E$18:$E$317,E152))</f>
        <v/>
      </c>
      <c r="U152">
        <f>IF(E152="","",IF(N(F152)&gt;0,F152,IFERROR(INDEX($F$18:$F$317,MATCH(E152,$E$18:$E$317,0)),"")))</f>
        <v/>
      </c>
      <c r="V152">
        <f>IF(OR(N152="",N152="OK",K152="Cancelled"),0,1)</f>
        <v/>
      </c>
    </row>
    <row r="153">
      <c r="B153" s="21" t="n"/>
      <c r="C153" s="22">
        <f>IF(B153="","",$E$10&amp;TEXT(N($E$11)+135,"000"))</f>
        <v/>
      </c>
      <c r="D153" s="14" t="n"/>
      <c r="E153" s="23" t="n"/>
      <c r="F153" s="24" t="n"/>
      <c r="G153" s="14" t="n"/>
      <c r="H153" s="14" t="n"/>
      <c r="I153" s="23" t="n"/>
      <c r="J153" s="24" t="n"/>
      <c r="K153" s="23" t="n"/>
      <c r="L153" s="25">
        <f>IF(OR(E153="",N(U153)=0),"",U153-SUMIFS(Q$18:Q153,E$18:E153,E153))</f>
        <v/>
      </c>
      <c r="M153" s="26">
        <f>IF(OR(N(J153)=0,K153="Cancelled"),"",IF(AND(N(J153)&gt;5000,P153&lt;&gt;"G"),"Yes: ₹1","No"))</f>
        <v/>
      </c>
      <c r="N153" s="27">
        <f>IF(AND(B153="",D153="",N(J153)=0),"",IF(B153="","Enter the date",IF(AND(ROW()&gt;18,B152=""),"Use the next empty row: a skipped row leaves a gap in the receipt numbers",IF(D153="","Enter who paid",IF(N(J153)=0,"Enter the amount",IF(G153="","Pick what the money was for",IF(P153="?","Pick what it was for from the list",IF(H153="","Pick how it was paid",IF(K153="Cancelled","Cancelled: keep this number unused and give a fresh receipt",IF(AND(H153&lt;&gt;"Cash",I153=""),"Enter the cheque no., UTR or UPI reference",IF(AND(L153&lt;&gt;"",N(L153)&lt;0),"More than the balance due on this invoice",IF(S153&gt;=200000,"₹2,00,000 or more in cash from this person today: barred, s.186",IF(T153&gt;=200000,"₹2,00,000 or more in cash against this invoice: barred, s.186",IF(AND(P153="T",H153="Cash",N(J153)&gt;=20000),"Loan of ₹20,000 or more in cash: barred, s.185",IF(AND(P153="D",H153="Cash",N(J153)&gt;=20000),"Cash deposit of ₹20,000 or more: ask your accountant whether s.185 applies",IF(AND(OR(P153="AG",P153="AS"),$E$9&lt;&gt;""),"Advance: also give a GST receipt voucher, s.31(3)(d) and Rule 50","OK"))))))))))))))))</f>
        <v/>
      </c>
      <c r="P153">
        <f>IF(G153="","",IFERROR(VLOOKUP(G153,Lists!$A$2:$B$9,2,FALSE),"?"))</f>
        <v/>
      </c>
      <c r="Q153">
        <f>IF(K153="Cancelled",0,N(J153))</f>
        <v/>
      </c>
      <c r="R153">
        <f>IF(OR(H153&lt;&gt;"Cash",P153="T",P153="D"),0,Q153)</f>
        <v/>
      </c>
      <c r="S153">
        <f>IF(R153=0,0,SUMIFS($R$18:$R$317,$B$18:$B$317,B153,$D$18:$D$317,D153))</f>
        <v/>
      </c>
      <c r="T153">
        <f>IF(OR(R153=0,E153=""),0,SUMIFS($R$18:$R$317,$E$18:$E$317,E153))</f>
        <v/>
      </c>
      <c r="U153">
        <f>IF(E153="","",IF(N(F153)&gt;0,F153,IFERROR(INDEX($F$18:$F$317,MATCH(E153,$E$18:$E$317,0)),"")))</f>
        <v/>
      </c>
      <c r="V153">
        <f>IF(OR(N153="",N153="OK",K153="Cancelled"),0,1)</f>
        <v/>
      </c>
    </row>
    <row r="154">
      <c r="B154" s="21" t="n"/>
      <c r="C154" s="22">
        <f>IF(B154="","",$E$10&amp;TEXT(N($E$11)+136,"000"))</f>
        <v/>
      </c>
      <c r="D154" s="14" t="n"/>
      <c r="E154" s="23" t="n"/>
      <c r="F154" s="24" t="n"/>
      <c r="G154" s="14" t="n"/>
      <c r="H154" s="14" t="n"/>
      <c r="I154" s="23" t="n"/>
      <c r="J154" s="24" t="n"/>
      <c r="K154" s="23" t="n"/>
      <c r="L154" s="25">
        <f>IF(OR(E154="",N(U154)=0),"",U154-SUMIFS(Q$18:Q154,E$18:E154,E154))</f>
        <v/>
      </c>
      <c r="M154" s="26">
        <f>IF(OR(N(J154)=0,K154="Cancelled"),"",IF(AND(N(J154)&gt;5000,P154&lt;&gt;"G"),"Yes: ₹1","No"))</f>
        <v/>
      </c>
      <c r="N154" s="27">
        <f>IF(AND(B154="",D154="",N(J154)=0),"",IF(B154="","Enter the date",IF(AND(ROW()&gt;18,B153=""),"Use the next empty row: a skipped row leaves a gap in the receipt numbers",IF(D154="","Enter who paid",IF(N(J154)=0,"Enter the amount",IF(G154="","Pick what the money was for",IF(P154="?","Pick what it was for from the list",IF(H154="","Pick how it was paid",IF(K154="Cancelled","Cancelled: keep this number unused and give a fresh receipt",IF(AND(H154&lt;&gt;"Cash",I154=""),"Enter the cheque no., UTR or UPI reference",IF(AND(L154&lt;&gt;"",N(L154)&lt;0),"More than the balance due on this invoice",IF(S154&gt;=200000,"₹2,00,000 or more in cash from this person today: barred, s.186",IF(T154&gt;=200000,"₹2,00,000 or more in cash against this invoice: barred, s.186",IF(AND(P154="T",H154="Cash",N(J154)&gt;=20000),"Loan of ₹20,000 or more in cash: barred, s.185",IF(AND(P154="D",H154="Cash",N(J154)&gt;=20000),"Cash deposit of ₹20,000 or more: ask your accountant whether s.185 applies",IF(AND(OR(P154="AG",P154="AS"),$E$9&lt;&gt;""),"Advance: also give a GST receipt voucher, s.31(3)(d) and Rule 50","OK"))))))))))))))))</f>
        <v/>
      </c>
      <c r="P154">
        <f>IF(G154="","",IFERROR(VLOOKUP(G154,Lists!$A$2:$B$9,2,FALSE),"?"))</f>
        <v/>
      </c>
      <c r="Q154">
        <f>IF(K154="Cancelled",0,N(J154))</f>
        <v/>
      </c>
      <c r="R154">
        <f>IF(OR(H154&lt;&gt;"Cash",P154="T",P154="D"),0,Q154)</f>
        <v/>
      </c>
      <c r="S154">
        <f>IF(R154=0,0,SUMIFS($R$18:$R$317,$B$18:$B$317,B154,$D$18:$D$317,D154))</f>
        <v/>
      </c>
      <c r="T154">
        <f>IF(OR(R154=0,E154=""),0,SUMIFS($R$18:$R$317,$E$18:$E$317,E154))</f>
        <v/>
      </c>
      <c r="U154">
        <f>IF(E154="","",IF(N(F154)&gt;0,F154,IFERROR(INDEX($F$18:$F$317,MATCH(E154,$E$18:$E$317,0)),"")))</f>
        <v/>
      </c>
      <c r="V154">
        <f>IF(OR(N154="",N154="OK",K154="Cancelled"),0,1)</f>
        <v/>
      </c>
    </row>
    <row r="155">
      <c r="B155" s="21" t="n"/>
      <c r="C155" s="22">
        <f>IF(B155="","",$E$10&amp;TEXT(N($E$11)+137,"000"))</f>
        <v/>
      </c>
      <c r="D155" s="14" t="n"/>
      <c r="E155" s="23" t="n"/>
      <c r="F155" s="24" t="n"/>
      <c r="G155" s="14" t="n"/>
      <c r="H155" s="14" t="n"/>
      <c r="I155" s="23" t="n"/>
      <c r="J155" s="24" t="n"/>
      <c r="K155" s="23" t="n"/>
      <c r="L155" s="25">
        <f>IF(OR(E155="",N(U155)=0),"",U155-SUMIFS(Q$18:Q155,E$18:E155,E155))</f>
        <v/>
      </c>
      <c r="M155" s="26">
        <f>IF(OR(N(J155)=0,K155="Cancelled"),"",IF(AND(N(J155)&gt;5000,P155&lt;&gt;"G"),"Yes: ₹1","No"))</f>
        <v/>
      </c>
      <c r="N155" s="27">
        <f>IF(AND(B155="",D155="",N(J155)=0),"",IF(B155="","Enter the date",IF(AND(ROW()&gt;18,B154=""),"Use the next empty row: a skipped row leaves a gap in the receipt numbers",IF(D155="","Enter who paid",IF(N(J155)=0,"Enter the amount",IF(G155="","Pick what the money was for",IF(P155="?","Pick what it was for from the list",IF(H155="","Pick how it was paid",IF(K155="Cancelled","Cancelled: keep this number unused and give a fresh receipt",IF(AND(H155&lt;&gt;"Cash",I155=""),"Enter the cheque no., UTR or UPI reference",IF(AND(L155&lt;&gt;"",N(L155)&lt;0),"More than the balance due on this invoice",IF(S155&gt;=200000,"₹2,00,000 or more in cash from this person today: barred, s.186",IF(T155&gt;=200000,"₹2,00,000 or more in cash against this invoice: barred, s.186",IF(AND(P155="T",H155="Cash",N(J155)&gt;=20000),"Loan of ₹20,000 or more in cash: barred, s.185",IF(AND(P155="D",H155="Cash",N(J155)&gt;=20000),"Cash deposit of ₹20,000 or more: ask your accountant whether s.185 applies",IF(AND(OR(P155="AG",P155="AS"),$E$9&lt;&gt;""),"Advance: also give a GST receipt voucher, s.31(3)(d) and Rule 50","OK"))))))))))))))))</f>
        <v/>
      </c>
      <c r="P155">
        <f>IF(G155="","",IFERROR(VLOOKUP(G155,Lists!$A$2:$B$9,2,FALSE),"?"))</f>
        <v/>
      </c>
      <c r="Q155">
        <f>IF(K155="Cancelled",0,N(J155))</f>
        <v/>
      </c>
      <c r="R155">
        <f>IF(OR(H155&lt;&gt;"Cash",P155="T",P155="D"),0,Q155)</f>
        <v/>
      </c>
      <c r="S155">
        <f>IF(R155=0,0,SUMIFS($R$18:$R$317,$B$18:$B$317,B155,$D$18:$D$317,D155))</f>
        <v/>
      </c>
      <c r="T155">
        <f>IF(OR(R155=0,E155=""),0,SUMIFS($R$18:$R$317,$E$18:$E$317,E155))</f>
        <v/>
      </c>
      <c r="U155">
        <f>IF(E155="","",IF(N(F155)&gt;0,F155,IFERROR(INDEX($F$18:$F$317,MATCH(E155,$E$18:$E$317,0)),"")))</f>
        <v/>
      </c>
      <c r="V155">
        <f>IF(OR(N155="",N155="OK",K155="Cancelled"),0,1)</f>
        <v/>
      </c>
    </row>
    <row r="156">
      <c r="B156" s="21" t="n"/>
      <c r="C156" s="22">
        <f>IF(B156="","",$E$10&amp;TEXT(N($E$11)+138,"000"))</f>
        <v/>
      </c>
      <c r="D156" s="14" t="n"/>
      <c r="E156" s="23" t="n"/>
      <c r="F156" s="24" t="n"/>
      <c r="G156" s="14" t="n"/>
      <c r="H156" s="14" t="n"/>
      <c r="I156" s="23" t="n"/>
      <c r="J156" s="24" t="n"/>
      <c r="K156" s="23" t="n"/>
      <c r="L156" s="25">
        <f>IF(OR(E156="",N(U156)=0),"",U156-SUMIFS(Q$18:Q156,E$18:E156,E156))</f>
        <v/>
      </c>
      <c r="M156" s="26">
        <f>IF(OR(N(J156)=0,K156="Cancelled"),"",IF(AND(N(J156)&gt;5000,P156&lt;&gt;"G"),"Yes: ₹1","No"))</f>
        <v/>
      </c>
      <c r="N156" s="27">
        <f>IF(AND(B156="",D156="",N(J156)=0),"",IF(B156="","Enter the date",IF(AND(ROW()&gt;18,B155=""),"Use the next empty row: a skipped row leaves a gap in the receipt numbers",IF(D156="","Enter who paid",IF(N(J156)=0,"Enter the amount",IF(G156="","Pick what the money was for",IF(P156="?","Pick what it was for from the list",IF(H156="","Pick how it was paid",IF(K156="Cancelled","Cancelled: keep this number unused and give a fresh receipt",IF(AND(H156&lt;&gt;"Cash",I156=""),"Enter the cheque no., UTR or UPI reference",IF(AND(L156&lt;&gt;"",N(L156)&lt;0),"More than the balance due on this invoice",IF(S156&gt;=200000,"₹2,00,000 or more in cash from this person today: barred, s.186",IF(T156&gt;=200000,"₹2,00,000 or more in cash against this invoice: barred, s.186",IF(AND(P156="T",H156="Cash",N(J156)&gt;=20000),"Loan of ₹20,000 or more in cash: barred, s.185",IF(AND(P156="D",H156="Cash",N(J156)&gt;=20000),"Cash deposit of ₹20,000 or more: ask your accountant whether s.185 applies",IF(AND(OR(P156="AG",P156="AS"),$E$9&lt;&gt;""),"Advance: also give a GST receipt voucher, s.31(3)(d) and Rule 50","OK"))))))))))))))))</f>
        <v/>
      </c>
      <c r="P156">
        <f>IF(G156="","",IFERROR(VLOOKUP(G156,Lists!$A$2:$B$9,2,FALSE),"?"))</f>
        <v/>
      </c>
      <c r="Q156">
        <f>IF(K156="Cancelled",0,N(J156))</f>
        <v/>
      </c>
      <c r="R156">
        <f>IF(OR(H156&lt;&gt;"Cash",P156="T",P156="D"),0,Q156)</f>
        <v/>
      </c>
      <c r="S156">
        <f>IF(R156=0,0,SUMIFS($R$18:$R$317,$B$18:$B$317,B156,$D$18:$D$317,D156))</f>
        <v/>
      </c>
      <c r="T156">
        <f>IF(OR(R156=0,E156=""),0,SUMIFS($R$18:$R$317,$E$18:$E$317,E156))</f>
        <v/>
      </c>
      <c r="U156">
        <f>IF(E156="","",IF(N(F156)&gt;0,F156,IFERROR(INDEX($F$18:$F$317,MATCH(E156,$E$18:$E$317,0)),"")))</f>
        <v/>
      </c>
      <c r="V156">
        <f>IF(OR(N156="",N156="OK",K156="Cancelled"),0,1)</f>
        <v/>
      </c>
    </row>
    <row r="157">
      <c r="B157" s="21" t="n"/>
      <c r="C157" s="22">
        <f>IF(B157="","",$E$10&amp;TEXT(N($E$11)+139,"000"))</f>
        <v/>
      </c>
      <c r="D157" s="14" t="n"/>
      <c r="E157" s="23" t="n"/>
      <c r="F157" s="24" t="n"/>
      <c r="G157" s="14" t="n"/>
      <c r="H157" s="14" t="n"/>
      <c r="I157" s="23" t="n"/>
      <c r="J157" s="24" t="n"/>
      <c r="K157" s="23" t="n"/>
      <c r="L157" s="25">
        <f>IF(OR(E157="",N(U157)=0),"",U157-SUMIFS(Q$18:Q157,E$18:E157,E157))</f>
        <v/>
      </c>
      <c r="M157" s="26">
        <f>IF(OR(N(J157)=0,K157="Cancelled"),"",IF(AND(N(J157)&gt;5000,P157&lt;&gt;"G"),"Yes: ₹1","No"))</f>
        <v/>
      </c>
      <c r="N157" s="27">
        <f>IF(AND(B157="",D157="",N(J157)=0),"",IF(B157="","Enter the date",IF(AND(ROW()&gt;18,B156=""),"Use the next empty row: a skipped row leaves a gap in the receipt numbers",IF(D157="","Enter who paid",IF(N(J157)=0,"Enter the amount",IF(G157="","Pick what the money was for",IF(P157="?","Pick what it was for from the list",IF(H157="","Pick how it was paid",IF(K157="Cancelled","Cancelled: keep this number unused and give a fresh receipt",IF(AND(H157&lt;&gt;"Cash",I157=""),"Enter the cheque no., UTR or UPI reference",IF(AND(L157&lt;&gt;"",N(L157)&lt;0),"More than the balance due on this invoice",IF(S157&gt;=200000,"₹2,00,000 or more in cash from this person today: barred, s.186",IF(T157&gt;=200000,"₹2,00,000 or more in cash against this invoice: barred, s.186",IF(AND(P157="T",H157="Cash",N(J157)&gt;=20000),"Loan of ₹20,000 or more in cash: barred, s.185",IF(AND(P157="D",H157="Cash",N(J157)&gt;=20000),"Cash deposit of ₹20,000 or more: ask your accountant whether s.185 applies",IF(AND(OR(P157="AG",P157="AS"),$E$9&lt;&gt;""),"Advance: also give a GST receipt voucher, s.31(3)(d) and Rule 50","OK"))))))))))))))))</f>
        <v/>
      </c>
      <c r="P157">
        <f>IF(G157="","",IFERROR(VLOOKUP(G157,Lists!$A$2:$B$9,2,FALSE),"?"))</f>
        <v/>
      </c>
      <c r="Q157">
        <f>IF(K157="Cancelled",0,N(J157))</f>
        <v/>
      </c>
      <c r="R157">
        <f>IF(OR(H157&lt;&gt;"Cash",P157="T",P157="D"),0,Q157)</f>
        <v/>
      </c>
      <c r="S157">
        <f>IF(R157=0,0,SUMIFS($R$18:$R$317,$B$18:$B$317,B157,$D$18:$D$317,D157))</f>
        <v/>
      </c>
      <c r="T157">
        <f>IF(OR(R157=0,E157=""),0,SUMIFS($R$18:$R$317,$E$18:$E$317,E157))</f>
        <v/>
      </c>
      <c r="U157">
        <f>IF(E157="","",IF(N(F157)&gt;0,F157,IFERROR(INDEX($F$18:$F$317,MATCH(E157,$E$18:$E$317,0)),"")))</f>
        <v/>
      </c>
      <c r="V157">
        <f>IF(OR(N157="",N157="OK",K157="Cancelled"),0,1)</f>
        <v/>
      </c>
    </row>
    <row r="158">
      <c r="B158" s="21" t="n"/>
      <c r="C158" s="22">
        <f>IF(B158="","",$E$10&amp;TEXT(N($E$11)+140,"000"))</f>
        <v/>
      </c>
      <c r="D158" s="14" t="n"/>
      <c r="E158" s="23" t="n"/>
      <c r="F158" s="24" t="n"/>
      <c r="G158" s="14" t="n"/>
      <c r="H158" s="14" t="n"/>
      <c r="I158" s="23" t="n"/>
      <c r="J158" s="24" t="n"/>
      <c r="K158" s="23" t="n"/>
      <c r="L158" s="25">
        <f>IF(OR(E158="",N(U158)=0),"",U158-SUMIFS(Q$18:Q158,E$18:E158,E158))</f>
        <v/>
      </c>
      <c r="M158" s="26">
        <f>IF(OR(N(J158)=0,K158="Cancelled"),"",IF(AND(N(J158)&gt;5000,P158&lt;&gt;"G"),"Yes: ₹1","No"))</f>
        <v/>
      </c>
      <c r="N158" s="27">
        <f>IF(AND(B158="",D158="",N(J158)=0),"",IF(B158="","Enter the date",IF(AND(ROW()&gt;18,B157=""),"Use the next empty row: a skipped row leaves a gap in the receipt numbers",IF(D158="","Enter who paid",IF(N(J158)=0,"Enter the amount",IF(G158="","Pick what the money was for",IF(P158="?","Pick what it was for from the list",IF(H158="","Pick how it was paid",IF(K158="Cancelled","Cancelled: keep this number unused and give a fresh receipt",IF(AND(H158&lt;&gt;"Cash",I158=""),"Enter the cheque no., UTR or UPI reference",IF(AND(L158&lt;&gt;"",N(L158)&lt;0),"More than the balance due on this invoice",IF(S158&gt;=200000,"₹2,00,000 or more in cash from this person today: barred, s.186",IF(T158&gt;=200000,"₹2,00,000 or more in cash against this invoice: barred, s.186",IF(AND(P158="T",H158="Cash",N(J158)&gt;=20000),"Loan of ₹20,000 or more in cash: barred, s.185",IF(AND(P158="D",H158="Cash",N(J158)&gt;=20000),"Cash deposit of ₹20,000 or more: ask your accountant whether s.185 applies",IF(AND(OR(P158="AG",P158="AS"),$E$9&lt;&gt;""),"Advance: also give a GST receipt voucher, s.31(3)(d) and Rule 50","OK"))))))))))))))))</f>
        <v/>
      </c>
      <c r="P158">
        <f>IF(G158="","",IFERROR(VLOOKUP(G158,Lists!$A$2:$B$9,2,FALSE),"?"))</f>
        <v/>
      </c>
      <c r="Q158">
        <f>IF(K158="Cancelled",0,N(J158))</f>
        <v/>
      </c>
      <c r="R158">
        <f>IF(OR(H158&lt;&gt;"Cash",P158="T",P158="D"),0,Q158)</f>
        <v/>
      </c>
      <c r="S158">
        <f>IF(R158=0,0,SUMIFS($R$18:$R$317,$B$18:$B$317,B158,$D$18:$D$317,D158))</f>
        <v/>
      </c>
      <c r="T158">
        <f>IF(OR(R158=0,E158=""),0,SUMIFS($R$18:$R$317,$E$18:$E$317,E158))</f>
        <v/>
      </c>
      <c r="U158">
        <f>IF(E158="","",IF(N(F158)&gt;0,F158,IFERROR(INDEX($F$18:$F$317,MATCH(E158,$E$18:$E$317,0)),"")))</f>
        <v/>
      </c>
      <c r="V158">
        <f>IF(OR(N158="",N158="OK",K158="Cancelled"),0,1)</f>
        <v/>
      </c>
    </row>
    <row r="159">
      <c r="B159" s="21" t="n"/>
      <c r="C159" s="22">
        <f>IF(B159="","",$E$10&amp;TEXT(N($E$11)+141,"000"))</f>
        <v/>
      </c>
      <c r="D159" s="14" t="n"/>
      <c r="E159" s="23" t="n"/>
      <c r="F159" s="24" t="n"/>
      <c r="G159" s="14" t="n"/>
      <c r="H159" s="14" t="n"/>
      <c r="I159" s="23" t="n"/>
      <c r="J159" s="24" t="n"/>
      <c r="K159" s="23" t="n"/>
      <c r="L159" s="25">
        <f>IF(OR(E159="",N(U159)=0),"",U159-SUMIFS(Q$18:Q159,E$18:E159,E159))</f>
        <v/>
      </c>
      <c r="M159" s="26">
        <f>IF(OR(N(J159)=0,K159="Cancelled"),"",IF(AND(N(J159)&gt;5000,P159&lt;&gt;"G"),"Yes: ₹1","No"))</f>
        <v/>
      </c>
      <c r="N159" s="27">
        <f>IF(AND(B159="",D159="",N(J159)=0),"",IF(B159="","Enter the date",IF(AND(ROW()&gt;18,B158=""),"Use the next empty row: a skipped row leaves a gap in the receipt numbers",IF(D159="","Enter who paid",IF(N(J159)=0,"Enter the amount",IF(G159="","Pick what the money was for",IF(P159="?","Pick what it was for from the list",IF(H159="","Pick how it was paid",IF(K159="Cancelled","Cancelled: keep this number unused and give a fresh receipt",IF(AND(H159&lt;&gt;"Cash",I159=""),"Enter the cheque no., UTR or UPI reference",IF(AND(L159&lt;&gt;"",N(L159)&lt;0),"More than the balance due on this invoice",IF(S159&gt;=200000,"₹2,00,000 or more in cash from this person today: barred, s.186",IF(T159&gt;=200000,"₹2,00,000 or more in cash against this invoice: barred, s.186",IF(AND(P159="T",H159="Cash",N(J159)&gt;=20000),"Loan of ₹20,000 or more in cash: barred, s.185",IF(AND(P159="D",H159="Cash",N(J159)&gt;=20000),"Cash deposit of ₹20,000 or more: ask your accountant whether s.185 applies",IF(AND(OR(P159="AG",P159="AS"),$E$9&lt;&gt;""),"Advance: also give a GST receipt voucher, s.31(3)(d) and Rule 50","OK"))))))))))))))))</f>
        <v/>
      </c>
      <c r="P159">
        <f>IF(G159="","",IFERROR(VLOOKUP(G159,Lists!$A$2:$B$9,2,FALSE),"?"))</f>
        <v/>
      </c>
      <c r="Q159">
        <f>IF(K159="Cancelled",0,N(J159))</f>
        <v/>
      </c>
      <c r="R159">
        <f>IF(OR(H159&lt;&gt;"Cash",P159="T",P159="D"),0,Q159)</f>
        <v/>
      </c>
      <c r="S159">
        <f>IF(R159=0,0,SUMIFS($R$18:$R$317,$B$18:$B$317,B159,$D$18:$D$317,D159))</f>
        <v/>
      </c>
      <c r="T159">
        <f>IF(OR(R159=0,E159=""),0,SUMIFS($R$18:$R$317,$E$18:$E$317,E159))</f>
        <v/>
      </c>
      <c r="U159">
        <f>IF(E159="","",IF(N(F159)&gt;0,F159,IFERROR(INDEX($F$18:$F$317,MATCH(E159,$E$18:$E$317,0)),"")))</f>
        <v/>
      </c>
      <c r="V159">
        <f>IF(OR(N159="",N159="OK",K159="Cancelled"),0,1)</f>
        <v/>
      </c>
    </row>
    <row r="160">
      <c r="B160" s="21" t="n"/>
      <c r="C160" s="22">
        <f>IF(B160="","",$E$10&amp;TEXT(N($E$11)+142,"000"))</f>
        <v/>
      </c>
      <c r="D160" s="14" t="n"/>
      <c r="E160" s="23" t="n"/>
      <c r="F160" s="24" t="n"/>
      <c r="G160" s="14" t="n"/>
      <c r="H160" s="14" t="n"/>
      <c r="I160" s="23" t="n"/>
      <c r="J160" s="24" t="n"/>
      <c r="K160" s="23" t="n"/>
      <c r="L160" s="25">
        <f>IF(OR(E160="",N(U160)=0),"",U160-SUMIFS(Q$18:Q160,E$18:E160,E160))</f>
        <v/>
      </c>
      <c r="M160" s="26">
        <f>IF(OR(N(J160)=0,K160="Cancelled"),"",IF(AND(N(J160)&gt;5000,P160&lt;&gt;"G"),"Yes: ₹1","No"))</f>
        <v/>
      </c>
      <c r="N160" s="27">
        <f>IF(AND(B160="",D160="",N(J160)=0),"",IF(B160="","Enter the date",IF(AND(ROW()&gt;18,B159=""),"Use the next empty row: a skipped row leaves a gap in the receipt numbers",IF(D160="","Enter who paid",IF(N(J160)=0,"Enter the amount",IF(G160="","Pick what the money was for",IF(P160="?","Pick what it was for from the list",IF(H160="","Pick how it was paid",IF(K160="Cancelled","Cancelled: keep this number unused and give a fresh receipt",IF(AND(H160&lt;&gt;"Cash",I160=""),"Enter the cheque no., UTR or UPI reference",IF(AND(L160&lt;&gt;"",N(L160)&lt;0),"More than the balance due on this invoice",IF(S160&gt;=200000,"₹2,00,000 or more in cash from this person today: barred, s.186",IF(T160&gt;=200000,"₹2,00,000 or more in cash against this invoice: barred, s.186",IF(AND(P160="T",H160="Cash",N(J160)&gt;=20000),"Loan of ₹20,000 or more in cash: barred, s.185",IF(AND(P160="D",H160="Cash",N(J160)&gt;=20000),"Cash deposit of ₹20,000 or more: ask your accountant whether s.185 applies",IF(AND(OR(P160="AG",P160="AS"),$E$9&lt;&gt;""),"Advance: also give a GST receipt voucher, s.31(3)(d) and Rule 50","OK"))))))))))))))))</f>
        <v/>
      </c>
      <c r="P160">
        <f>IF(G160="","",IFERROR(VLOOKUP(G160,Lists!$A$2:$B$9,2,FALSE),"?"))</f>
        <v/>
      </c>
      <c r="Q160">
        <f>IF(K160="Cancelled",0,N(J160))</f>
        <v/>
      </c>
      <c r="R160">
        <f>IF(OR(H160&lt;&gt;"Cash",P160="T",P160="D"),0,Q160)</f>
        <v/>
      </c>
      <c r="S160">
        <f>IF(R160=0,0,SUMIFS($R$18:$R$317,$B$18:$B$317,B160,$D$18:$D$317,D160))</f>
        <v/>
      </c>
      <c r="T160">
        <f>IF(OR(R160=0,E160=""),0,SUMIFS($R$18:$R$317,$E$18:$E$317,E160))</f>
        <v/>
      </c>
      <c r="U160">
        <f>IF(E160="","",IF(N(F160)&gt;0,F160,IFERROR(INDEX($F$18:$F$317,MATCH(E160,$E$18:$E$317,0)),"")))</f>
        <v/>
      </c>
      <c r="V160">
        <f>IF(OR(N160="",N160="OK",K160="Cancelled"),0,1)</f>
        <v/>
      </c>
    </row>
    <row r="161">
      <c r="B161" s="21" t="n"/>
      <c r="C161" s="22">
        <f>IF(B161="","",$E$10&amp;TEXT(N($E$11)+143,"000"))</f>
        <v/>
      </c>
      <c r="D161" s="14" t="n"/>
      <c r="E161" s="23" t="n"/>
      <c r="F161" s="24" t="n"/>
      <c r="G161" s="14" t="n"/>
      <c r="H161" s="14" t="n"/>
      <c r="I161" s="23" t="n"/>
      <c r="J161" s="24" t="n"/>
      <c r="K161" s="23" t="n"/>
      <c r="L161" s="25">
        <f>IF(OR(E161="",N(U161)=0),"",U161-SUMIFS(Q$18:Q161,E$18:E161,E161))</f>
        <v/>
      </c>
      <c r="M161" s="26">
        <f>IF(OR(N(J161)=0,K161="Cancelled"),"",IF(AND(N(J161)&gt;5000,P161&lt;&gt;"G"),"Yes: ₹1","No"))</f>
        <v/>
      </c>
      <c r="N161" s="27">
        <f>IF(AND(B161="",D161="",N(J161)=0),"",IF(B161="","Enter the date",IF(AND(ROW()&gt;18,B160=""),"Use the next empty row: a skipped row leaves a gap in the receipt numbers",IF(D161="","Enter who paid",IF(N(J161)=0,"Enter the amount",IF(G161="","Pick what the money was for",IF(P161="?","Pick what it was for from the list",IF(H161="","Pick how it was paid",IF(K161="Cancelled","Cancelled: keep this number unused and give a fresh receipt",IF(AND(H161&lt;&gt;"Cash",I161=""),"Enter the cheque no., UTR or UPI reference",IF(AND(L161&lt;&gt;"",N(L161)&lt;0),"More than the balance due on this invoice",IF(S161&gt;=200000,"₹2,00,000 or more in cash from this person today: barred, s.186",IF(T161&gt;=200000,"₹2,00,000 or more in cash against this invoice: barred, s.186",IF(AND(P161="T",H161="Cash",N(J161)&gt;=20000),"Loan of ₹20,000 or more in cash: barred, s.185",IF(AND(P161="D",H161="Cash",N(J161)&gt;=20000),"Cash deposit of ₹20,000 or more: ask your accountant whether s.185 applies",IF(AND(OR(P161="AG",P161="AS"),$E$9&lt;&gt;""),"Advance: also give a GST receipt voucher, s.31(3)(d) and Rule 50","OK"))))))))))))))))</f>
        <v/>
      </c>
      <c r="P161">
        <f>IF(G161="","",IFERROR(VLOOKUP(G161,Lists!$A$2:$B$9,2,FALSE),"?"))</f>
        <v/>
      </c>
      <c r="Q161">
        <f>IF(K161="Cancelled",0,N(J161))</f>
        <v/>
      </c>
      <c r="R161">
        <f>IF(OR(H161&lt;&gt;"Cash",P161="T",P161="D"),0,Q161)</f>
        <v/>
      </c>
      <c r="S161">
        <f>IF(R161=0,0,SUMIFS($R$18:$R$317,$B$18:$B$317,B161,$D$18:$D$317,D161))</f>
        <v/>
      </c>
      <c r="T161">
        <f>IF(OR(R161=0,E161=""),0,SUMIFS($R$18:$R$317,$E$18:$E$317,E161))</f>
        <v/>
      </c>
      <c r="U161">
        <f>IF(E161="","",IF(N(F161)&gt;0,F161,IFERROR(INDEX($F$18:$F$317,MATCH(E161,$E$18:$E$317,0)),"")))</f>
        <v/>
      </c>
      <c r="V161">
        <f>IF(OR(N161="",N161="OK",K161="Cancelled"),0,1)</f>
        <v/>
      </c>
    </row>
    <row r="162">
      <c r="B162" s="21" t="n"/>
      <c r="C162" s="22">
        <f>IF(B162="","",$E$10&amp;TEXT(N($E$11)+144,"000"))</f>
        <v/>
      </c>
      <c r="D162" s="14" t="n"/>
      <c r="E162" s="23" t="n"/>
      <c r="F162" s="24" t="n"/>
      <c r="G162" s="14" t="n"/>
      <c r="H162" s="14" t="n"/>
      <c r="I162" s="23" t="n"/>
      <c r="J162" s="24" t="n"/>
      <c r="K162" s="23" t="n"/>
      <c r="L162" s="25">
        <f>IF(OR(E162="",N(U162)=0),"",U162-SUMIFS(Q$18:Q162,E$18:E162,E162))</f>
        <v/>
      </c>
      <c r="M162" s="26">
        <f>IF(OR(N(J162)=0,K162="Cancelled"),"",IF(AND(N(J162)&gt;5000,P162&lt;&gt;"G"),"Yes: ₹1","No"))</f>
        <v/>
      </c>
      <c r="N162" s="27">
        <f>IF(AND(B162="",D162="",N(J162)=0),"",IF(B162="","Enter the date",IF(AND(ROW()&gt;18,B161=""),"Use the next empty row: a skipped row leaves a gap in the receipt numbers",IF(D162="","Enter who paid",IF(N(J162)=0,"Enter the amount",IF(G162="","Pick what the money was for",IF(P162="?","Pick what it was for from the list",IF(H162="","Pick how it was paid",IF(K162="Cancelled","Cancelled: keep this number unused and give a fresh receipt",IF(AND(H162&lt;&gt;"Cash",I162=""),"Enter the cheque no., UTR or UPI reference",IF(AND(L162&lt;&gt;"",N(L162)&lt;0),"More than the balance due on this invoice",IF(S162&gt;=200000,"₹2,00,000 or more in cash from this person today: barred, s.186",IF(T162&gt;=200000,"₹2,00,000 or more in cash against this invoice: barred, s.186",IF(AND(P162="T",H162="Cash",N(J162)&gt;=20000),"Loan of ₹20,000 or more in cash: barred, s.185",IF(AND(P162="D",H162="Cash",N(J162)&gt;=20000),"Cash deposit of ₹20,000 or more: ask your accountant whether s.185 applies",IF(AND(OR(P162="AG",P162="AS"),$E$9&lt;&gt;""),"Advance: also give a GST receipt voucher, s.31(3)(d) and Rule 50","OK"))))))))))))))))</f>
        <v/>
      </c>
      <c r="P162">
        <f>IF(G162="","",IFERROR(VLOOKUP(G162,Lists!$A$2:$B$9,2,FALSE),"?"))</f>
        <v/>
      </c>
      <c r="Q162">
        <f>IF(K162="Cancelled",0,N(J162))</f>
        <v/>
      </c>
      <c r="R162">
        <f>IF(OR(H162&lt;&gt;"Cash",P162="T",P162="D"),0,Q162)</f>
        <v/>
      </c>
      <c r="S162">
        <f>IF(R162=0,0,SUMIFS($R$18:$R$317,$B$18:$B$317,B162,$D$18:$D$317,D162))</f>
        <v/>
      </c>
      <c r="T162">
        <f>IF(OR(R162=0,E162=""),0,SUMIFS($R$18:$R$317,$E$18:$E$317,E162))</f>
        <v/>
      </c>
      <c r="U162">
        <f>IF(E162="","",IF(N(F162)&gt;0,F162,IFERROR(INDEX($F$18:$F$317,MATCH(E162,$E$18:$E$317,0)),"")))</f>
        <v/>
      </c>
      <c r="V162">
        <f>IF(OR(N162="",N162="OK",K162="Cancelled"),0,1)</f>
        <v/>
      </c>
    </row>
    <row r="163">
      <c r="B163" s="21" t="n"/>
      <c r="C163" s="22">
        <f>IF(B163="","",$E$10&amp;TEXT(N($E$11)+145,"000"))</f>
        <v/>
      </c>
      <c r="D163" s="14" t="n"/>
      <c r="E163" s="23" t="n"/>
      <c r="F163" s="24" t="n"/>
      <c r="G163" s="14" t="n"/>
      <c r="H163" s="14" t="n"/>
      <c r="I163" s="23" t="n"/>
      <c r="J163" s="24" t="n"/>
      <c r="K163" s="23" t="n"/>
      <c r="L163" s="25">
        <f>IF(OR(E163="",N(U163)=0),"",U163-SUMIFS(Q$18:Q163,E$18:E163,E163))</f>
        <v/>
      </c>
      <c r="M163" s="26">
        <f>IF(OR(N(J163)=0,K163="Cancelled"),"",IF(AND(N(J163)&gt;5000,P163&lt;&gt;"G"),"Yes: ₹1","No"))</f>
        <v/>
      </c>
      <c r="N163" s="27">
        <f>IF(AND(B163="",D163="",N(J163)=0),"",IF(B163="","Enter the date",IF(AND(ROW()&gt;18,B162=""),"Use the next empty row: a skipped row leaves a gap in the receipt numbers",IF(D163="","Enter who paid",IF(N(J163)=0,"Enter the amount",IF(G163="","Pick what the money was for",IF(P163="?","Pick what it was for from the list",IF(H163="","Pick how it was paid",IF(K163="Cancelled","Cancelled: keep this number unused and give a fresh receipt",IF(AND(H163&lt;&gt;"Cash",I163=""),"Enter the cheque no., UTR or UPI reference",IF(AND(L163&lt;&gt;"",N(L163)&lt;0),"More than the balance due on this invoice",IF(S163&gt;=200000,"₹2,00,000 or more in cash from this person today: barred, s.186",IF(T163&gt;=200000,"₹2,00,000 or more in cash against this invoice: barred, s.186",IF(AND(P163="T",H163="Cash",N(J163)&gt;=20000),"Loan of ₹20,000 or more in cash: barred, s.185",IF(AND(P163="D",H163="Cash",N(J163)&gt;=20000),"Cash deposit of ₹20,000 or more: ask your accountant whether s.185 applies",IF(AND(OR(P163="AG",P163="AS"),$E$9&lt;&gt;""),"Advance: also give a GST receipt voucher, s.31(3)(d) and Rule 50","OK"))))))))))))))))</f>
        <v/>
      </c>
      <c r="P163">
        <f>IF(G163="","",IFERROR(VLOOKUP(G163,Lists!$A$2:$B$9,2,FALSE),"?"))</f>
        <v/>
      </c>
      <c r="Q163">
        <f>IF(K163="Cancelled",0,N(J163))</f>
        <v/>
      </c>
      <c r="R163">
        <f>IF(OR(H163&lt;&gt;"Cash",P163="T",P163="D"),0,Q163)</f>
        <v/>
      </c>
      <c r="S163">
        <f>IF(R163=0,0,SUMIFS($R$18:$R$317,$B$18:$B$317,B163,$D$18:$D$317,D163))</f>
        <v/>
      </c>
      <c r="T163">
        <f>IF(OR(R163=0,E163=""),0,SUMIFS($R$18:$R$317,$E$18:$E$317,E163))</f>
        <v/>
      </c>
      <c r="U163">
        <f>IF(E163="","",IF(N(F163)&gt;0,F163,IFERROR(INDEX($F$18:$F$317,MATCH(E163,$E$18:$E$317,0)),"")))</f>
        <v/>
      </c>
      <c r="V163">
        <f>IF(OR(N163="",N163="OK",K163="Cancelled"),0,1)</f>
        <v/>
      </c>
    </row>
    <row r="164">
      <c r="B164" s="21" t="n"/>
      <c r="C164" s="22">
        <f>IF(B164="","",$E$10&amp;TEXT(N($E$11)+146,"000"))</f>
        <v/>
      </c>
      <c r="D164" s="14" t="n"/>
      <c r="E164" s="23" t="n"/>
      <c r="F164" s="24" t="n"/>
      <c r="G164" s="14" t="n"/>
      <c r="H164" s="14" t="n"/>
      <c r="I164" s="23" t="n"/>
      <c r="J164" s="24" t="n"/>
      <c r="K164" s="23" t="n"/>
      <c r="L164" s="25">
        <f>IF(OR(E164="",N(U164)=0),"",U164-SUMIFS(Q$18:Q164,E$18:E164,E164))</f>
        <v/>
      </c>
      <c r="M164" s="26">
        <f>IF(OR(N(J164)=0,K164="Cancelled"),"",IF(AND(N(J164)&gt;5000,P164&lt;&gt;"G"),"Yes: ₹1","No"))</f>
        <v/>
      </c>
      <c r="N164" s="27">
        <f>IF(AND(B164="",D164="",N(J164)=0),"",IF(B164="","Enter the date",IF(AND(ROW()&gt;18,B163=""),"Use the next empty row: a skipped row leaves a gap in the receipt numbers",IF(D164="","Enter who paid",IF(N(J164)=0,"Enter the amount",IF(G164="","Pick what the money was for",IF(P164="?","Pick what it was for from the list",IF(H164="","Pick how it was paid",IF(K164="Cancelled","Cancelled: keep this number unused and give a fresh receipt",IF(AND(H164&lt;&gt;"Cash",I164=""),"Enter the cheque no., UTR or UPI reference",IF(AND(L164&lt;&gt;"",N(L164)&lt;0),"More than the balance due on this invoice",IF(S164&gt;=200000,"₹2,00,000 or more in cash from this person today: barred, s.186",IF(T164&gt;=200000,"₹2,00,000 or more in cash against this invoice: barred, s.186",IF(AND(P164="T",H164="Cash",N(J164)&gt;=20000),"Loan of ₹20,000 or more in cash: barred, s.185",IF(AND(P164="D",H164="Cash",N(J164)&gt;=20000),"Cash deposit of ₹20,000 or more: ask your accountant whether s.185 applies",IF(AND(OR(P164="AG",P164="AS"),$E$9&lt;&gt;""),"Advance: also give a GST receipt voucher, s.31(3)(d) and Rule 50","OK"))))))))))))))))</f>
        <v/>
      </c>
      <c r="P164">
        <f>IF(G164="","",IFERROR(VLOOKUP(G164,Lists!$A$2:$B$9,2,FALSE),"?"))</f>
        <v/>
      </c>
      <c r="Q164">
        <f>IF(K164="Cancelled",0,N(J164))</f>
        <v/>
      </c>
      <c r="R164">
        <f>IF(OR(H164&lt;&gt;"Cash",P164="T",P164="D"),0,Q164)</f>
        <v/>
      </c>
      <c r="S164">
        <f>IF(R164=0,0,SUMIFS($R$18:$R$317,$B$18:$B$317,B164,$D$18:$D$317,D164))</f>
        <v/>
      </c>
      <c r="T164">
        <f>IF(OR(R164=0,E164=""),0,SUMIFS($R$18:$R$317,$E$18:$E$317,E164))</f>
        <v/>
      </c>
      <c r="U164">
        <f>IF(E164="","",IF(N(F164)&gt;0,F164,IFERROR(INDEX($F$18:$F$317,MATCH(E164,$E$18:$E$317,0)),"")))</f>
        <v/>
      </c>
      <c r="V164">
        <f>IF(OR(N164="",N164="OK",K164="Cancelled"),0,1)</f>
        <v/>
      </c>
    </row>
    <row r="165">
      <c r="B165" s="21" t="n"/>
      <c r="C165" s="22">
        <f>IF(B165="","",$E$10&amp;TEXT(N($E$11)+147,"000"))</f>
        <v/>
      </c>
      <c r="D165" s="14" t="n"/>
      <c r="E165" s="23" t="n"/>
      <c r="F165" s="24" t="n"/>
      <c r="G165" s="14" t="n"/>
      <c r="H165" s="14" t="n"/>
      <c r="I165" s="23" t="n"/>
      <c r="J165" s="24" t="n"/>
      <c r="K165" s="23" t="n"/>
      <c r="L165" s="25">
        <f>IF(OR(E165="",N(U165)=0),"",U165-SUMIFS(Q$18:Q165,E$18:E165,E165))</f>
        <v/>
      </c>
      <c r="M165" s="26">
        <f>IF(OR(N(J165)=0,K165="Cancelled"),"",IF(AND(N(J165)&gt;5000,P165&lt;&gt;"G"),"Yes: ₹1","No"))</f>
        <v/>
      </c>
      <c r="N165" s="27">
        <f>IF(AND(B165="",D165="",N(J165)=0),"",IF(B165="","Enter the date",IF(AND(ROW()&gt;18,B164=""),"Use the next empty row: a skipped row leaves a gap in the receipt numbers",IF(D165="","Enter who paid",IF(N(J165)=0,"Enter the amount",IF(G165="","Pick what the money was for",IF(P165="?","Pick what it was for from the list",IF(H165="","Pick how it was paid",IF(K165="Cancelled","Cancelled: keep this number unused and give a fresh receipt",IF(AND(H165&lt;&gt;"Cash",I165=""),"Enter the cheque no., UTR or UPI reference",IF(AND(L165&lt;&gt;"",N(L165)&lt;0),"More than the balance due on this invoice",IF(S165&gt;=200000,"₹2,00,000 or more in cash from this person today: barred, s.186",IF(T165&gt;=200000,"₹2,00,000 or more in cash against this invoice: barred, s.186",IF(AND(P165="T",H165="Cash",N(J165)&gt;=20000),"Loan of ₹20,000 or more in cash: barred, s.185",IF(AND(P165="D",H165="Cash",N(J165)&gt;=20000),"Cash deposit of ₹20,000 or more: ask your accountant whether s.185 applies",IF(AND(OR(P165="AG",P165="AS"),$E$9&lt;&gt;""),"Advance: also give a GST receipt voucher, s.31(3)(d) and Rule 50","OK"))))))))))))))))</f>
        <v/>
      </c>
      <c r="P165">
        <f>IF(G165="","",IFERROR(VLOOKUP(G165,Lists!$A$2:$B$9,2,FALSE),"?"))</f>
        <v/>
      </c>
      <c r="Q165">
        <f>IF(K165="Cancelled",0,N(J165))</f>
        <v/>
      </c>
      <c r="R165">
        <f>IF(OR(H165&lt;&gt;"Cash",P165="T",P165="D"),0,Q165)</f>
        <v/>
      </c>
      <c r="S165">
        <f>IF(R165=0,0,SUMIFS($R$18:$R$317,$B$18:$B$317,B165,$D$18:$D$317,D165))</f>
        <v/>
      </c>
      <c r="T165">
        <f>IF(OR(R165=0,E165=""),0,SUMIFS($R$18:$R$317,$E$18:$E$317,E165))</f>
        <v/>
      </c>
      <c r="U165">
        <f>IF(E165="","",IF(N(F165)&gt;0,F165,IFERROR(INDEX($F$18:$F$317,MATCH(E165,$E$18:$E$317,0)),"")))</f>
        <v/>
      </c>
      <c r="V165">
        <f>IF(OR(N165="",N165="OK",K165="Cancelled"),0,1)</f>
        <v/>
      </c>
    </row>
    <row r="166">
      <c r="B166" s="21" t="n"/>
      <c r="C166" s="22">
        <f>IF(B166="","",$E$10&amp;TEXT(N($E$11)+148,"000"))</f>
        <v/>
      </c>
      <c r="D166" s="14" t="n"/>
      <c r="E166" s="23" t="n"/>
      <c r="F166" s="24" t="n"/>
      <c r="G166" s="14" t="n"/>
      <c r="H166" s="14" t="n"/>
      <c r="I166" s="23" t="n"/>
      <c r="J166" s="24" t="n"/>
      <c r="K166" s="23" t="n"/>
      <c r="L166" s="25">
        <f>IF(OR(E166="",N(U166)=0),"",U166-SUMIFS(Q$18:Q166,E$18:E166,E166))</f>
        <v/>
      </c>
      <c r="M166" s="26">
        <f>IF(OR(N(J166)=0,K166="Cancelled"),"",IF(AND(N(J166)&gt;5000,P166&lt;&gt;"G"),"Yes: ₹1","No"))</f>
        <v/>
      </c>
      <c r="N166" s="27">
        <f>IF(AND(B166="",D166="",N(J166)=0),"",IF(B166="","Enter the date",IF(AND(ROW()&gt;18,B165=""),"Use the next empty row: a skipped row leaves a gap in the receipt numbers",IF(D166="","Enter who paid",IF(N(J166)=0,"Enter the amount",IF(G166="","Pick what the money was for",IF(P166="?","Pick what it was for from the list",IF(H166="","Pick how it was paid",IF(K166="Cancelled","Cancelled: keep this number unused and give a fresh receipt",IF(AND(H166&lt;&gt;"Cash",I166=""),"Enter the cheque no., UTR or UPI reference",IF(AND(L166&lt;&gt;"",N(L166)&lt;0),"More than the balance due on this invoice",IF(S166&gt;=200000,"₹2,00,000 or more in cash from this person today: barred, s.186",IF(T166&gt;=200000,"₹2,00,000 or more in cash against this invoice: barred, s.186",IF(AND(P166="T",H166="Cash",N(J166)&gt;=20000),"Loan of ₹20,000 or more in cash: barred, s.185",IF(AND(P166="D",H166="Cash",N(J166)&gt;=20000),"Cash deposit of ₹20,000 or more: ask your accountant whether s.185 applies",IF(AND(OR(P166="AG",P166="AS"),$E$9&lt;&gt;""),"Advance: also give a GST receipt voucher, s.31(3)(d) and Rule 50","OK"))))))))))))))))</f>
        <v/>
      </c>
      <c r="P166">
        <f>IF(G166="","",IFERROR(VLOOKUP(G166,Lists!$A$2:$B$9,2,FALSE),"?"))</f>
        <v/>
      </c>
      <c r="Q166">
        <f>IF(K166="Cancelled",0,N(J166))</f>
        <v/>
      </c>
      <c r="R166">
        <f>IF(OR(H166&lt;&gt;"Cash",P166="T",P166="D"),0,Q166)</f>
        <v/>
      </c>
      <c r="S166">
        <f>IF(R166=0,0,SUMIFS($R$18:$R$317,$B$18:$B$317,B166,$D$18:$D$317,D166))</f>
        <v/>
      </c>
      <c r="T166">
        <f>IF(OR(R166=0,E166=""),0,SUMIFS($R$18:$R$317,$E$18:$E$317,E166))</f>
        <v/>
      </c>
      <c r="U166">
        <f>IF(E166="","",IF(N(F166)&gt;0,F166,IFERROR(INDEX($F$18:$F$317,MATCH(E166,$E$18:$E$317,0)),"")))</f>
        <v/>
      </c>
      <c r="V166">
        <f>IF(OR(N166="",N166="OK",K166="Cancelled"),0,1)</f>
        <v/>
      </c>
    </row>
    <row r="167">
      <c r="B167" s="21" t="n"/>
      <c r="C167" s="22">
        <f>IF(B167="","",$E$10&amp;TEXT(N($E$11)+149,"000"))</f>
        <v/>
      </c>
      <c r="D167" s="14" t="n"/>
      <c r="E167" s="23" t="n"/>
      <c r="F167" s="24" t="n"/>
      <c r="G167" s="14" t="n"/>
      <c r="H167" s="14" t="n"/>
      <c r="I167" s="23" t="n"/>
      <c r="J167" s="24" t="n"/>
      <c r="K167" s="23" t="n"/>
      <c r="L167" s="25">
        <f>IF(OR(E167="",N(U167)=0),"",U167-SUMIFS(Q$18:Q167,E$18:E167,E167))</f>
        <v/>
      </c>
      <c r="M167" s="26">
        <f>IF(OR(N(J167)=0,K167="Cancelled"),"",IF(AND(N(J167)&gt;5000,P167&lt;&gt;"G"),"Yes: ₹1","No"))</f>
        <v/>
      </c>
      <c r="N167" s="27">
        <f>IF(AND(B167="",D167="",N(J167)=0),"",IF(B167="","Enter the date",IF(AND(ROW()&gt;18,B166=""),"Use the next empty row: a skipped row leaves a gap in the receipt numbers",IF(D167="","Enter who paid",IF(N(J167)=0,"Enter the amount",IF(G167="","Pick what the money was for",IF(P167="?","Pick what it was for from the list",IF(H167="","Pick how it was paid",IF(K167="Cancelled","Cancelled: keep this number unused and give a fresh receipt",IF(AND(H167&lt;&gt;"Cash",I167=""),"Enter the cheque no., UTR or UPI reference",IF(AND(L167&lt;&gt;"",N(L167)&lt;0),"More than the balance due on this invoice",IF(S167&gt;=200000,"₹2,00,000 or more in cash from this person today: barred, s.186",IF(T167&gt;=200000,"₹2,00,000 or more in cash against this invoice: barred, s.186",IF(AND(P167="T",H167="Cash",N(J167)&gt;=20000),"Loan of ₹20,000 or more in cash: barred, s.185",IF(AND(P167="D",H167="Cash",N(J167)&gt;=20000),"Cash deposit of ₹20,000 or more: ask your accountant whether s.185 applies",IF(AND(OR(P167="AG",P167="AS"),$E$9&lt;&gt;""),"Advance: also give a GST receipt voucher, s.31(3)(d) and Rule 50","OK"))))))))))))))))</f>
        <v/>
      </c>
      <c r="P167">
        <f>IF(G167="","",IFERROR(VLOOKUP(G167,Lists!$A$2:$B$9,2,FALSE),"?"))</f>
        <v/>
      </c>
      <c r="Q167">
        <f>IF(K167="Cancelled",0,N(J167))</f>
        <v/>
      </c>
      <c r="R167">
        <f>IF(OR(H167&lt;&gt;"Cash",P167="T",P167="D"),0,Q167)</f>
        <v/>
      </c>
      <c r="S167">
        <f>IF(R167=0,0,SUMIFS($R$18:$R$317,$B$18:$B$317,B167,$D$18:$D$317,D167))</f>
        <v/>
      </c>
      <c r="T167">
        <f>IF(OR(R167=0,E167=""),0,SUMIFS($R$18:$R$317,$E$18:$E$317,E167))</f>
        <v/>
      </c>
      <c r="U167">
        <f>IF(E167="","",IF(N(F167)&gt;0,F167,IFERROR(INDEX($F$18:$F$317,MATCH(E167,$E$18:$E$317,0)),"")))</f>
        <v/>
      </c>
      <c r="V167">
        <f>IF(OR(N167="",N167="OK",K167="Cancelled"),0,1)</f>
        <v/>
      </c>
    </row>
    <row r="168">
      <c r="B168" s="21" t="n"/>
      <c r="C168" s="22">
        <f>IF(B168="","",$E$10&amp;TEXT(N($E$11)+150,"000"))</f>
        <v/>
      </c>
      <c r="D168" s="14" t="n"/>
      <c r="E168" s="23" t="n"/>
      <c r="F168" s="24" t="n"/>
      <c r="G168" s="14" t="n"/>
      <c r="H168" s="14" t="n"/>
      <c r="I168" s="23" t="n"/>
      <c r="J168" s="24" t="n"/>
      <c r="K168" s="23" t="n"/>
      <c r="L168" s="25">
        <f>IF(OR(E168="",N(U168)=0),"",U168-SUMIFS(Q$18:Q168,E$18:E168,E168))</f>
        <v/>
      </c>
      <c r="M168" s="26">
        <f>IF(OR(N(J168)=0,K168="Cancelled"),"",IF(AND(N(J168)&gt;5000,P168&lt;&gt;"G"),"Yes: ₹1","No"))</f>
        <v/>
      </c>
      <c r="N168" s="27">
        <f>IF(AND(B168="",D168="",N(J168)=0),"",IF(B168="","Enter the date",IF(AND(ROW()&gt;18,B167=""),"Use the next empty row: a skipped row leaves a gap in the receipt numbers",IF(D168="","Enter who paid",IF(N(J168)=0,"Enter the amount",IF(G168="","Pick what the money was for",IF(P168="?","Pick what it was for from the list",IF(H168="","Pick how it was paid",IF(K168="Cancelled","Cancelled: keep this number unused and give a fresh receipt",IF(AND(H168&lt;&gt;"Cash",I168=""),"Enter the cheque no., UTR or UPI reference",IF(AND(L168&lt;&gt;"",N(L168)&lt;0),"More than the balance due on this invoice",IF(S168&gt;=200000,"₹2,00,000 or more in cash from this person today: barred, s.186",IF(T168&gt;=200000,"₹2,00,000 or more in cash against this invoice: barred, s.186",IF(AND(P168="T",H168="Cash",N(J168)&gt;=20000),"Loan of ₹20,000 or more in cash: barred, s.185",IF(AND(P168="D",H168="Cash",N(J168)&gt;=20000),"Cash deposit of ₹20,000 or more: ask your accountant whether s.185 applies",IF(AND(OR(P168="AG",P168="AS"),$E$9&lt;&gt;""),"Advance: also give a GST receipt voucher, s.31(3)(d) and Rule 50","OK"))))))))))))))))</f>
        <v/>
      </c>
      <c r="P168">
        <f>IF(G168="","",IFERROR(VLOOKUP(G168,Lists!$A$2:$B$9,2,FALSE),"?"))</f>
        <v/>
      </c>
      <c r="Q168">
        <f>IF(K168="Cancelled",0,N(J168))</f>
        <v/>
      </c>
      <c r="R168">
        <f>IF(OR(H168&lt;&gt;"Cash",P168="T",P168="D"),0,Q168)</f>
        <v/>
      </c>
      <c r="S168">
        <f>IF(R168=0,0,SUMIFS($R$18:$R$317,$B$18:$B$317,B168,$D$18:$D$317,D168))</f>
        <v/>
      </c>
      <c r="T168">
        <f>IF(OR(R168=0,E168=""),0,SUMIFS($R$18:$R$317,$E$18:$E$317,E168))</f>
        <v/>
      </c>
      <c r="U168">
        <f>IF(E168="","",IF(N(F168)&gt;0,F168,IFERROR(INDEX($F$18:$F$317,MATCH(E168,$E$18:$E$317,0)),"")))</f>
        <v/>
      </c>
      <c r="V168">
        <f>IF(OR(N168="",N168="OK",K168="Cancelled"),0,1)</f>
        <v/>
      </c>
    </row>
    <row r="169">
      <c r="B169" s="21" t="n"/>
      <c r="C169" s="22">
        <f>IF(B169="","",$E$10&amp;TEXT(N($E$11)+151,"000"))</f>
        <v/>
      </c>
      <c r="D169" s="14" t="n"/>
      <c r="E169" s="23" t="n"/>
      <c r="F169" s="24" t="n"/>
      <c r="G169" s="14" t="n"/>
      <c r="H169" s="14" t="n"/>
      <c r="I169" s="23" t="n"/>
      <c r="J169" s="24" t="n"/>
      <c r="K169" s="23" t="n"/>
      <c r="L169" s="25">
        <f>IF(OR(E169="",N(U169)=0),"",U169-SUMIFS(Q$18:Q169,E$18:E169,E169))</f>
        <v/>
      </c>
      <c r="M169" s="26">
        <f>IF(OR(N(J169)=0,K169="Cancelled"),"",IF(AND(N(J169)&gt;5000,P169&lt;&gt;"G"),"Yes: ₹1","No"))</f>
        <v/>
      </c>
      <c r="N169" s="27">
        <f>IF(AND(B169="",D169="",N(J169)=0),"",IF(B169="","Enter the date",IF(AND(ROW()&gt;18,B168=""),"Use the next empty row: a skipped row leaves a gap in the receipt numbers",IF(D169="","Enter who paid",IF(N(J169)=0,"Enter the amount",IF(G169="","Pick what the money was for",IF(P169="?","Pick what it was for from the list",IF(H169="","Pick how it was paid",IF(K169="Cancelled","Cancelled: keep this number unused and give a fresh receipt",IF(AND(H169&lt;&gt;"Cash",I169=""),"Enter the cheque no., UTR or UPI reference",IF(AND(L169&lt;&gt;"",N(L169)&lt;0),"More than the balance due on this invoice",IF(S169&gt;=200000,"₹2,00,000 or more in cash from this person today: barred, s.186",IF(T169&gt;=200000,"₹2,00,000 or more in cash against this invoice: barred, s.186",IF(AND(P169="T",H169="Cash",N(J169)&gt;=20000),"Loan of ₹20,000 or more in cash: barred, s.185",IF(AND(P169="D",H169="Cash",N(J169)&gt;=20000),"Cash deposit of ₹20,000 or more: ask your accountant whether s.185 applies",IF(AND(OR(P169="AG",P169="AS"),$E$9&lt;&gt;""),"Advance: also give a GST receipt voucher, s.31(3)(d) and Rule 50","OK"))))))))))))))))</f>
        <v/>
      </c>
      <c r="P169">
        <f>IF(G169="","",IFERROR(VLOOKUP(G169,Lists!$A$2:$B$9,2,FALSE),"?"))</f>
        <v/>
      </c>
      <c r="Q169">
        <f>IF(K169="Cancelled",0,N(J169))</f>
        <v/>
      </c>
      <c r="R169">
        <f>IF(OR(H169&lt;&gt;"Cash",P169="T",P169="D"),0,Q169)</f>
        <v/>
      </c>
      <c r="S169">
        <f>IF(R169=0,0,SUMIFS($R$18:$R$317,$B$18:$B$317,B169,$D$18:$D$317,D169))</f>
        <v/>
      </c>
      <c r="T169">
        <f>IF(OR(R169=0,E169=""),0,SUMIFS($R$18:$R$317,$E$18:$E$317,E169))</f>
        <v/>
      </c>
      <c r="U169">
        <f>IF(E169="","",IF(N(F169)&gt;0,F169,IFERROR(INDEX($F$18:$F$317,MATCH(E169,$E$18:$E$317,0)),"")))</f>
        <v/>
      </c>
      <c r="V169">
        <f>IF(OR(N169="",N169="OK",K169="Cancelled"),0,1)</f>
        <v/>
      </c>
    </row>
    <row r="170">
      <c r="B170" s="21" t="n"/>
      <c r="C170" s="22">
        <f>IF(B170="","",$E$10&amp;TEXT(N($E$11)+152,"000"))</f>
        <v/>
      </c>
      <c r="D170" s="14" t="n"/>
      <c r="E170" s="23" t="n"/>
      <c r="F170" s="24" t="n"/>
      <c r="G170" s="14" t="n"/>
      <c r="H170" s="14" t="n"/>
      <c r="I170" s="23" t="n"/>
      <c r="J170" s="24" t="n"/>
      <c r="K170" s="23" t="n"/>
      <c r="L170" s="25">
        <f>IF(OR(E170="",N(U170)=0),"",U170-SUMIFS(Q$18:Q170,E$18:E170,E170))</f>
        <v/>
      </c>
      <c r="M170" s="26">
        <f>IF(OR(N(J170)=0,K170="Cancelled"),"",IF(AND(N(J170)&gt;5000,P170&lt;&gt;"G"),"Yes: ₹1","No"))</f>
        <v/>
      </c>
      <c r="N170" s="27">
        <f>IF(AND(B170="",D170="",N(J170)=0),"",IF(B170="","Enter the date",IF(AND(ROW()&gt;18,B169=""),"Use the next empty row: a skipped row leaves a gap in the receipt numbers",IF(D170="","Enter who paid",IF(N(J170)=0,"Enter the amount",IF(G170="","Pick what the money was for",IF(P170="?","Pick what it was for from the list",IF(H170="","Pick how it was paid",IF(K170="Cancelled","Cancelled: keep this number unused and give a fresh receipt",IF(AND(H170&lt;&gt;"Cash",I170=""),"Enter the cheque no., UTR or UPI reference",IF(AND(L170&lt;&gt;"",N(L170)&lt;0),"More than the balance due on this invoice",IF(S170&gt;=200000,"₹2,00,000 or more in cash from this person today: barred, s.186",IF(T170&gt;=200000,"₹2,00,000 or more in cash against this invoice: barred, s.186",IF(AND(P170="T",H170="Cash",N(J170)&gt;=20000),"Loan of ₹20,000 or more in cash: barred, s.185",IF(AND(P170="D",H170="Cash",N(J170)&gt;=20000),"Cash deposit of ₹20,000 or more: ask your accountant whether s.185 applies",IF(AND(OR(P170="AG",P170="AS"),$E$9&lt;&gt;""),"Advance: also give a GST receipt voucher, s.31(3)(d) and Rule 50","OK"))))))))))))))))</f>
        <v/>
      </c>
      <c r="P170">
        <f>IF(G170="","",IFERROR(VLOOKUP(G170,Lists!$A$2:$B$9,2,FALSE),"?"))</f>
        <v/>
      </c>
      <c r="Q170">
        <f>IF(K170="Cancelled",0,N(J170))</f>
        <v/>
      </c>
      <c r="R170">
        <f>IF(OR(H170&lt;&gt;"Cash",P170="T",P170="D"),0,Q170)</f>
        <v/>
      </c>
      <c r="S170">
        <f>IF(R170=0,0,SUMIFS($R$18:$R$317,$B$18:$B$317,B170,$D$18:$D$317,D170))</f>
        <v/>
      </c>
      <c r="T170">
        <f>IF(OR(R170=0,E170=""),0,SUMIFS($R$18:$R$317,$E$18:$E$317,E170))</f>
        <v/>
      </c>
      <c r="U170">
        <f>IF(E170="","",IF(N(F170)&gt;0,F170,IFERROR(INDEX($F$18:$F$317,MATCH(E170,$E$18:$E$317,0)),"")))</f>
        <v/>
      </c>
      <c r="V170">
        <f>IF(OR(N170="",N170="OK",K170="Cancelled"),0,1)</f>
        <v/>
      </c>
    </row>
    <row r="171">
      <c r="B171" s="21" t="n"/>
      <c r="C171" s="22">
        <f>IF(B171="","",$E$10&amp;TEXT(N($E$11)+153,"000"))</f>
        <v/>
      </c>
      <c r="D171" s="14" t="n"/>
      <c r="E171" s="23" t="n"/>
      <c r="F171" s="24" t="n"/>
      <c r="G171" s="14" t="n"/>
      <c r="H171" s="14" t="n"/>
      <c r="I171" s="23" t="n"/>
      <c r="J171" s="24" t="n"/>
      <c r="K171" s="23" t="n"/>
      <c r="L171" s="25">
        <f>IF(OR(E171="",N(U171)=0),"",U171-SUMIFS(Q$18:Q171,E$18:E171,E171))</f>
        <v/>
      </c>
      <c r="M171" s="26">
        <f>IF(OR(N(J171)=0,K171="Cancelled"),"",IF(AND(N(J171)&gt;5000,P171&lt;&gt;"G"),"Yes: ₹1","No"))</f>
        <v/>
      </c>
      <c r="N171" s="27">
        <f>IF(AND(B171="",D171="",N(J171)=0),"",IF(B171="","Enter the date",IF(AND(ROW()&gt;18,B170=""),"Use the next empty row: a skipped row leaves a gap in the receipt numbers",IF(D171="","Enter who paid",IF(N(J171)=0,"Enter the amount",IF(G171="","Pick what the money was for",IF(P171="?","Pick what it was for from the list",IF(H171="","Pick how it was paid",IF(K171="Cancelled","Cancelled: keep this number unused and give a fresh receipt",IF(AND(H171&lt;&gt;"Cash",I171=""),"Enter the cheque no., UTR or UPI reference",IF(AND(L171&lt;&gt;"",N(L171)&lt;0),"More than the balance due on this invoice",IF(S171&gt;=200000,"₹2,00,000 or more in cash from this person today: barred, s.186",IF(T171&gt;=200000,"₹2,00,000 or more in cash against this invoice: barred, s.186",IF(AND(P171="T",H171="Cash",N(J171)&gt;=20000),"Loan of ₹20,000 or more in cash: barred, s.185",IF(AND(P171="D",H171="Cash",N(J171)&gt;=20000),"Cash deposit of ₹20,000 or more: ask your accountant whether s.185 applies",IF(AND(OR(P171="AG",P171="AS"),$E$9&lt;&gt;""),"Advance: also give a GST receipt voucher, s.31(3)(d) and Rule 50","OK"))))))))))))))))</f>
        <v/>
      </c>
      <c r="P171">
        <f>IF(G171="","",IFERROR(VLOOKUP(G171,Lists!$A$2:$B$9,2,FALSE),"?"))</f>
        <v/>
      </c>
      <c r="Q171">
        <f>IF(K171="Cancelled",0,N(J171))</f>
        <v/>
      </c>
      <c r="R171">
        <f>IF(OR(H171&lt;&gt;"Cash",P171="T",P171="D"),0,Q171)</f>
        <v/>
      </c>
      <c r="S171">
        <f>IF(R171=0,0,SUMIFS($R$18:$R$317,$B$18:$B$317,B171,$D$18:$D$317,D171))</f>
        <v/>
      </c>
      <c r="T171">
        <f>IF(OR(R171=0,E171=""),0,SUMIFS($R$18:$R$317,$E$18:$E$317,E171))</f>
        <v/>
      </c>
      <c r="U171">
        <f>IF(E171="","",IF(N(F171)&gt;0,F171,IFERROR(INDEX($F$18:$F$317,MATCH(E171,$E$18:$E$317,0)),"")))</f>
        <v/>
      </c>
      <c r="V171">
        <f>IF(OR(N171="",N171="OK",K171="Cancelled"),0,1)</f>
        <v/>
      </c>
    </row>
    <row r="172">
      <c r="B172" s="21" t="n"/>
      <c r="C172" s="22">
        <f>IF(B172="","",$E$10&amp;TEXT(N($E$11)+154,"000"))</f>
        <v/>
      </c>
      <c r="D172" s="14" t="n"/>
      <c r="E172" s="23" t="n"/>
      <c r="F172" s="24" t="n"/>
      <c r="G172" s="14" t="n"/>
      <c r="H172" s="14" t="n"/>
      <c r="I172" s="23" t="n"/>
      <c r="J172" s="24" t="n"/>
      <c r="K172" s="23" t="n"/>
      <c r="L172" s="25">
        <f>IF(OR(E172="",N(U172)=0),"",U172-SUMIFS(Q$18:Q172,E$18:E172,E172))</f>
        <v/>
      </c>
      <c r="M172" s="26">
        <f>IF(OR(N(J172)=0,K172="Cancelled"),"",IF(AND(N(J172)&gt;5000,P172&lt;&gt;"G"),"Yes: ₹1","No"))</f>
        <v/>
      </c>
      <c r="N172" s="27">
        <f>IF(AND(B172="",D172="",N(J172)=0),"",IF(B172="","Enter the date",IF(AND(ROW()&gt;18,B171=""),"Use the next empty row: a skipped row leaves a gap in the receipt numbers",IF(D172="","Enter who paid",IF(N(J172)=0,"Enter the amount",IF(G172="","Pick what the money was for",IF(P172="?","Pick what it was for from the list",IF(H172="","Pick how it was paid",IF(K172="Cancelled","Cancelled: keep this number unused and give a fresh receipt",IF(AND(H172&lt;&gt;"Cash",I172=""),"Enter the cheque no., UTR or UPI reference",IF(AND(L172&lt;&gt;"",N(L172)&lt;0),"More than the balance due on this invoice",IF(S172&gt;=200000,"₹2,00,000 or more in cash from this person today: barred, s.186",IF(T172&gt;=200000,"₹2,00,000 or more in cash against this invoice: barred, s.186",IF(AND(P172="T",H172="Cash",N(J172)&gt;=20000),"Loan of ₹20,000 or more in cash: barred, s.185",IF(AND(P172="D",H172="Cash",N(J172)&gt;=20000),"Cash deposit of ₹20,000 or more: ask your accountant whether s.185 applies",IF(AND(OR(P172="AG",P172="AS"),$E$9&lt;&gt;""),"Advance: also give a GST receipt voucher, s.31(3)(d) and Rule 50","OK"))))))))))))))))</f>
        <v/>
      </c>
      <c r="P172">
        <f>IF(G172="","",IFERROR(VLOOKUP(G172,Lists!$A$2:$B$9,2,FALSE),"?"))</f>
        <v/>
      </c>
      <c r="Q172">
        <f>IF(K172="Cancelled",0,N(J172))</f>
        <v/>
      </c>
      <c r="R172">
        <f>IF(OR(H172&lt;&gt;"Cash",P172="T",P172="D"),0,Q172)</f>
        <v/>
      </c>
      <c r="S172">
        <f>IF(R172=0,0,SUMIFS($R$18:$R$317,$B$18:$B$317,B172,$D$18:$D$317,D172))</f>
        <v/>
      </c>
      <c r="T172">
        <f>IF(OR(R172=0,E172=""),0,SUMIFS($R$18:$R$317,$E$18:$E$317,E172))</f>
        <v/>
      </c>
      <c r="U172">
        <f>IF(E172="","",IF(N(F172)&gt;0,F172,IFERROR(INDEX($F$18:$F$317,MATCH(E172,$E$18:$E$317,0)),"")))</f>
        <v/>
      </c>
      <c r="V172">
        <f>IF(OR(N172="",N172="OK",K172="Cancelled"),0,1)</f>
        <v/>
      </c>
    </row>
    <row r="173">
      <c r="B173" s="21" t="n"/>
      <c r="C173" s="22">
        <f>IF(B173="","",$E$10&amp;TEXT(N($E$11)+155,"000"))</f>
        <v/>
      </c>
      <c r="D173" s="14" t="n"/>
      <c r="E173" s="23" t="n"/>
      <c r="F173" s="24" t="n"/>
      <c r="G173" s="14" t="n"/>
      <c r="H173" s="14" t="n"/>
      <c r="I173" s="23" t="n"/>
      <c r="J173" s="24" t="n"/>
      <c r="K173" s="23" t="n"/>
      <c r="L173" s="25">
        <f>IF(OR(E173="",N(U173)=0),"",U173-SUMIFS(Q$18:Q173,E$18:E173,E173))</f>
        <v/>
      </c>
      <c r="M173" s="26">
        <f>IF(OR(N(J173)=0,K173="Cancelled"),"",IF(AND(N(J173)&gt;5000,P173&lt;&gt;"G"),"Yes: ₹1","No"))</f>
        <v/>
      </c>
      <c r="N173" s="27">
        <f>IF(AND(B173="",D173="",N(J173)=0),"",IF(B173="","Enter the date",IF(AND(ROW()&gt;18,B172=""),"Use the next empty row: a skipped row leaves a gap in the receipt numbers",IF(D173="","Enter who paid",IF(N(J173)=0,"Enter the amount",IF(G173="","Pick what the money was for",IF(P173="?","Pick what it was for from the list",IF(H173="","Pick how it was paid",IF(K173="Cancelled","Cancelled: keep this number unused and give a fresh receipt",IF(AND(H173&lt;&gt;"Cash",I173=""),"Enter the cheque no., UTR or UPI reference",IF(AND(L173&lt;&gt;"",N(L173)&lt;0),"More than the balance due on this invoice",IF(S173&gt;=200000,"₹2,00,000 or more in cash from this person today: barred, s.186",IF(T173&gt;=200000,"₹2,00,000 or more in cash against this invoice: barred, s.186",IF(AND(P173="T",H173="Cash",N(J173)&gt;=20000),"Loan of ₹20,000 or more in cash: barred, s.185",IF(AND(P173="D",H173="Cash",N(J173)&gt;=20000),"Cash deposit of ₹20,000 or more: ask your accountant whether s.185 applies",IF(AND(OR(P173="AG",P173="AS"),$E$9&lt;&gt;""),"Advance: also give a GST receipt voucher, s.31(3)(d) and Rule 50","OK"))))))))))))))))</f>
        <v/>
      </c>
      <c r="P173">
        <f>IF(G173="","",IFERROR(VLOOKUP(G173,Lists!$A$2:$B$9,2,FALSE),"?"))</f>
        <v/>
      </c>
      <c r="Q173">
        <f>IF(K173="Cancelled",0,N(J173))</f>
        <v/>
      </c>
      <c r="R173">
        <f>IF(OR(H173&lt;&gt;"Cash",P173="T",P173="D"),0,Q173)</f>
        <v/>
      </c>
      <c r="S173">
        <f>IF(R173=0,0,SUMIFS($R$18:$R$317,$B$18:$B$317,B173,$D$18:$D$317,D173))</f>
        <v/>
      </c>
      <c r="T173">
        <f>IF(OR(R173=0,E173=""),0,SUMIFS($R$18:$R$317,$E$18:$E$317,E173))</f>
        <v/>
      </c>
      <c r="U173">
        <f>IF(E173="","",IF(N(F173)&gt;0,F173,IFERROR(INDEX($F$18:$F$317,MATCH(E173,$E$18:$E$317,0)),"")))</f>
        <v/>
      </c>
      <c r="V173">
        <f>IF(OR(N173="",N173="OK",K173="Cancelled"),0,1)</f>
        <v/>
      </c>
    </row>
    <row r="174">
      <c r="B174" s="21" t="n"/>
      <c r="C174" s="22">
        <f>IF(B174="","",$E$10&amp;TEXT(N($E$11)+156,"000"))</f>
        <v/>
      </c>
      <c r="D174" s="14" t="n"/>
      <c r="E174" s="23" t="n"/>
      <c r="F174" s="24" t="n"/>
      <c r="G174" s="14" t="n"/>
      <c r="H174" s="14" t="n"/>
      <c r="I174" s="23" t="n"/>
      <c r="J174" s="24" t="n"/>
      <c r="K174" s="23" t="n"/>
      <c r="L174" s="25">
        <f>IF(OR(E174="",N(U174)=0),"",U174-SUMIFS(Q$18:Q174,E$18:E174,E174))</f>
        <v/>
      </c>
      <c r="M174" s="26">
        <f>IF(OR(N(J174)=0,K174="Cancelled"),"",IF(AND(N(J174)&gt;5000,P174&lt;&gt;"G"),"Yes: ₹1","No"))</f>
        <v/>
      </c>
      <c r="N174" s="27">
        <f>IF(AND(B174="",D174="",N(J174)=0),"",IF(B174="","Enter the date",IF(AND(ROW()&gt;18,B173=""),"Use the next empty row: a skipped row leaves a gap in the receipt numbers",IF(D174="","Enter who paid",IF(N(J174)=0,"Enter the amount",IF(G174="","Pick what the money was for",IF(P174="?","Pick what it was for from the list",IF(H174="","Pick how it was paid",IF(K174="Cancelled","Cancelled: keep this number unused and give a fresh receipt",IF(AND(H174&lt;&gt;"Cash",I174=""),"Enter the cheque no., UTR or UPI reference",IF(AND(L174&lt;&gt;"",N(L174)&lt;0),"More than the balance due on this invoice",IF(S174&gt;=200000,"₹2,00,000 or more in cash from this person today: barred, s.186",IF(T174&gt;=200000,"₹2,00,000 or more in cash against this invoice: barred, s.186",IF(AND(P174="T",H174="Cash",N(J174)&gt;=20000),"Loan of ₹20,000 or more in cash: barred, s.185",IF(AND(P174="D",H174="Cash",N(J174)&gt;=20000),"Cash deposit of ₹20,000 or more: ask your accountant whether s.185 applies",IF(AND(OR(P174="AG",P174="AS"),$E$9&lt;&gt;""),"Advance: also give a GST receipt voucher, s.31(3)(d) and Rule 50","OK"))))))))))))))))</f>
        <v/>
      </c>
      <c r="P174">
        <f>IF(G174="","",IFERROR(VLOOKUP(G174,Lists!$A$2:$B$9,2,FALSE),"?"))</f>
        <v/>
      </c>
      <c r="Q174">
        <f>IF(K174="Cancelled",0,N(J174))</f>
        <v/>
      </c>
      <c r="R174">
        <f>IF(OR(H174&lt;&gt;"Cash",P174="T",P174="D"),0,Q174)</f>
        <v/>
      </c>
      <c r="S174">
        <f>IF(R174=0,0,SUMIFS($R$18:$R$317,$B$18:$B$317,B174,$D$18:$D$317,D174))</f>
        <v/>
      </c>
      <c r="T174">
        <f>IF(OR(R174=0,E174=""),0,SUMIFS($R$18:$R$317,$E$18:$E$317,E174))</f>
        <v/>
      </c>
      <c r="U174">
        <f>IF(E174="","",IF(N(F174)&gt;0,F174,IFERROR(INDEX($F$18:$F$317,MATCH(E174,$E$18:$E$317,0)),"")))</f>
        <v/>
      </c>
      <c r="V174">
        <f>IF(OR(N174="",N174="OK",K174="Cancelled"),0,1)</f>
        <v/>
      </c>
    </row>
    <row r="175">
      <c r="B175" s="21" t="n"/>
      <c r="C175" s="22">
        <f>IF(B175="","",$E$10&amp;TEXT(N($E$11)+157,"000"))</f>
        <v/>
      </c>
      <c r="D175" s="14" t="n"/>
      <c r="E175" s="23" t="n"/>
      <c r="F175" s="24" t="n"/>
      <c r="G175" s="14" t="n"/>
      <c r="H175" s="14" t="n"/>
      <c r="I175" s="23" t="n"/>
      <c r="J175" s="24" t="n"/>
      <c r="K175" s="23" t="n"/>
      <c r="L175" s="25">
        <f>IF(OR(E175="",N(U175)=0),"",U175-SUMIFS(Q$18:Q175,E$18:E175,E175))</f>
        <v/>
      </c>
      <c r="M175" s="26">
        <f>IF(OR(N(J175)=0,K175="Cancelled"),"",IF(AND(N(J175)&gt;5000,P175&lt;&gt;"G"),"Yes: ₹1","No"))</f>
        <v/>
      </c>
      <c r="N175" s="27">
        <f>IF(AND(B175="",D175="",N(J175)=0),"",IF(B175="","Enter the date",IF(AND(ROW()&gt;18,B174=""),"Use the next empty row: a skipped row leaves a gap in the receipt numbers",IF(D175="","Enter who paid",IF(N(J175)=0,"Enter the amount",IF(G175="","Pick what the money was for",IF(P175="?","Pick what it was for from the list",IF(H175="","Pick how it was paid",IF(K175="Cancelled","Cancelled: keep this number unused and give a fresh receipt",IF(AND(H175&lt;&gt;"Cash",I175=""),"Enter the cheque no., UTR or UPI reference",IF(AND(L175&lt;&gt;"",N(L175)&lt;0),"More than the balance due on this invoice",IF(S175&gt;=200000,"₹2,00,000 or more in cash from this person today: barred, s.186",IF(T175&gt;=200000,"₹2,00,000 or more in cash against this invoice: barred, s.186",IF(AND(P175="T",H175="Cash",N(J175)&gt;=20000),"Loan of ₹20,000 or more in cash: barred, s.185",IF(AND(P175="D",H175="Cash",N(J175)&gt;=20000),"Cash deposit of ₹20,000 or more: ask your accountant whether s.185 applies",IF(AND(OR(P175="AG",P175="AS"),$E$9&lt;&gt;""),"Advance: also give a GST receipt voucher, s.31(3)(d) and Rule 50","OK"))))))))))))))))</f>
        <v/>
      </c>
      <c r="P175">
        <f>IF(G175="","",IFERROR(VLOOKUP(G175,Lists!$A$2:$B$9,2,FALSE),"?"))</f>
        <v/>
      </c>
      <c r="Q175">
        <f>IF(K175="Cancelled",0,N(J175))</f>
        <v/>
      </c>
      <c r="R175">
        <f>IF(OR(H175&lt;&gt;"Cash",P175="T",P175="D"),0,Q175)</f>
        <v/>
      </c>
      <c r="S175">
        <f>IF(R175=0,0,SUMIFS($R$18:$R$317,$B$18:$B$317,B175,$D$18:$D$317,D175))</f>
        <v/>
      </c>
      <c r="T175">
        <f>IF(OR(R175=0,E175=""),0,SUMIFS($R$18:$R$317,$E$18:$E$317,E175))</f>
        <v/>
      </c>
      <c r="U175">
        <f>IF(E175="","",IF(N(F175)&gt;0,F175,IFERROR(INDEX($F$18:$F$317,MATCH(E175,$E$18:$E$317,0)),"")))</f>
        <v/>
      </c>
      <c r="V175">
        <f>IF(OR(N175="",N175="OK",K175="Cancelled"),0,1)</f>
        <v/>
      </c>
    </row>
    <row r="176">
      <c r="B176" s="21" t="n"/>
      <c r="C176" s="22">
        <f>IF(B176="","",$E$10&amp;TEXT(N($E$11)+158,"000"))</f>
        <v/>
      </c>
      <c r="D176" s="14" t="n"/>
      <c r="E176" s="23" t="n"/>
      <c r="F176" s="24" t="n"/>
      <c r="G176" s="14" t="n"/>
      <c r="H176" s="14" t="n"/>
      <c r="I176" s="23" t="n"/>
      <c r="J176" s="24" t="n"/>
      <c r="K176" s="23" t="n"/>
      <c r="L176" s="25">
        <f>IF(OR(E176="",N(U176)=0),"",U176-SUMIFS(Q$18:Q176,E$18:E176,E176))</f>
        <v/>
      </c>
      <c r="M176" s="26">
        <f>IF(OR(N(J176)=0,K176="Cancelled"),"",IF(AND(N(J176)&gt;5000,P176&lt;&gt;"G"),"Yes: ₹1","No"))</f>
        <v/>
      </c>
      <c r="N176" s="27">
        <f>IF(AND(B176="",D176="",N(J176)=0),"",IF(B176="","Enter the date",IF(AND(ROW()&gt;18,B175=""),"Use the next empty row: a skipped row leaves a gap in the receipt numbers",IF(D176="","Enter who paid",IF(N(J176)=0,"Enter the amount",IF(G176="","Pick what the money was for",IF(P176="?","Pick what it was for from the list",IF(H176="","Pick how it was paid",IF(K176="Cancelled","Cancelled: keep this number unused and give a fresh receipt",IF(AND(H176&lt;&gt;"Cash",I176=""),"Enter the cheque no., UTR or UPI reference",IF(AND(L176&lt;&gt;"",N(L176)&lt;0),"More than the balance due on this invoice",IF(S176&gt;=200000,"₹2,00,000 or more in cash from this person today: barred, s.186",IF(T176&gt;=200000,"₹2,00,000 or more in cash against this invoice: barred, s.186",IF(AND(P176="T",H176="Cash",N(J176)&gt;=20000),"Loan of ₹20,000 or more in cash: barred, s.185",IF(AND(P176="D",H176="Cash",N(J176)&gt;=20000),"Cash deposit of ₹20,000 or more: ask your accountant whether s.185 applies",IF(AND(OR(P176="AG",P176="AS"),$E$9&lt;&gt;""),"Advance: also give a GST receipt voucher, s.31(3)(d) and Rule 50","OK"))))))))))))))))</f>
        <v/>
      </c>
      <c r="P176">
        <f>IF(G176="","",IFERROR(VLOOKUP(G176,Lists!$A$2:$B$9,2,FALSE),"?"))</f>
        <v/>
      </c>
      <c r="Q176">
        <f>IF(K176="Cancelled",0,N(J176))</f>
        <v/>
      </c>
      <c r="R176">
        <f>IF(OR(H176&lt;&gt;"Cash",P176="T",P176="D"),0,Q176)</f>
        <v/>
      </c>
      <c r="S176">
        <f>IF(R176=0,0,SUMIFS($R$18:$R$317,$B$18:$B$317,B176,$D$18:$D$317,D176))</f>
        <v/>
      </c>
      <c r="T176">
        <f>IF(OR(R176=0,E176=""),0,SUMIFS($R$18:$R$317,$E$18:$E$317,E176))</f>
        <v/>
      </c>
      <c r="U176">
        <f>IF(E176="","",IF(N(F176)&gt;0,F176,IFERROR(INDEX($F$18:$F$317,MATCH(E176,$E$18:$E$317,0)),"")))</f>
        <v/>
      </c>
      <c r="V176">
        <f>IF(OR(N176="",N176="OK",K176="Cancelled"),0,1)</f>
        <v/>
      </c>
    </row>
    <row r="177">
      <c r="B177" s="21" t="n"/>
      <c r="C177" s="22">
        <f>IF(B177="","",$E$10&amp;TEXT(N($E$11)+159,"000"))</f>
        <v/>
      </c>
      <c r="D177" s="14" t="n"/>
      <c r="E177" s="23" t="n"/>
      <c r="F177" s="24" t="n"/>
      <c r="G177" s="14" t="n"/>
      <c r="H177" s="14" t="n"/>
      <c r="I177" s="23" t="n"/>
      <c r="J177" s="24" t="n"/>
      <c r="K177" s="23" t="n"/>
      <c r="L177" s="25">
        <f>IF(OR(E177="",N(U177)=0),"",U177-SUMIFS(Q$18:Q177,E$18:E177,E177))</f>
        <v/>
      </c>
      <c r="M177" s="26">
        <f>IF(OR(N(J177)=0,K177="Cancelled"),"",IF(AND(N(J177)&gt;5000,P177&lt;&gt;"G"),"Yes: ₹1","No"))</f>
        <v/>
      </c>
      <c r="N177" s="27">
        <f>IF(AND(B177="",D177="",N(J177)=0),"",IF(B177="","Enter the date",IF(AND(ROW()&gt;18,B176=""),"Use the next empty row: a skipped row leaves a gap in the receipt numbers",IF(D177="","Enter who paid",IF(N(J177)=0,"Enter the amount",IF(G177="","Pick what the money was for",IF(P177="?","Pick what it was for from the list",IF(H177="","Pick how it was paid",IF(K177="Cancelled","Cancelled: keep this number unused and give a fresh receipt",IF(AND(H177&lt;&gt;"Cash",I177=""),"Enter the cheque no., UTR or UPI reference",IF(AND(L177&lt;&gt;"",N(L177)&lt;0),"More than the balance due on this invoice",IF(S177&gt;=200000,"₹2,00,000 or more in cash from this person today: barred, s.186",IF(T177&gt;=200000,"₹2,00,000 or more in cash against this invoice: barred, s.186",IF(AND(P177="T",H177="Cash",N(J177)&gt;=20000),"Loan of ₹20,000 or more in cash: barred, s.185",IF(AND(P177="D",H177="Cash",N(J177)&gt;=20000),"Cash deposit of ₹20,000 or more: ask your accountant whether s.185 applies",IF(AND(OR(P177="AG",P177="AS"),$E$9&lt;&gt;""),"Advance: also give a GST receipt voucher, s.31(3)(d) and Rule 50","OK"))))))))))))))))</f>
        <v/>
      </c>
      <c r="P177">
        <f>IF(G177="","",IFERROR(VLOOKUP(G177,Lists!$A$2:$B$9,2,FALSE),"?"))</f>
        <v/>
      </c>
      <c r="Q177">
        <f>IF(K177="Cancelled",0,N(J177))</f>
        <v/>
      </c>
      <c r="R177">
        <f>IF(OR(H177&lt;&gt;"Cash",P177="T",P177="D"),0,Q177)</f>
        <v/>
      </c>
      <c r="S177">
        <f>IF(R177=0,0,SUMIFS($R$18:$R$317,$B$18:$B$317,B177,$D$18:$D$317,D177))</f>
        <v/>
      </c>
      <c r="T177">
        <f>IF(OR(R177=0,E177=""),0,SUMIFS($R$18:$R$317,$E$18:$E$317,E177))</f>
        <v/>
      </c>
      <c r="U177">
        <f>IF(E177="","",IF(N(F177)&gt;0,F177,IFERROR(INDEX($F$18:$F$317,MATCH(E177,$E$18:$E$317,0)),"")))</f>
        <v/>
      </c>
      <c r="V177">
        <f>IF(OR(N177="",N177="OK",K177="Cancelled"),0,1)</f>
        <v/>
      </c>
    </row>
    <row r="178">
      <c r="B178" s="21" t="n"/>
      <c r="C178" s="22">
        <f>IF(B178="","",$E$10&amp;TEXT(N($E$11)+160,"000"))</f>
        <v/>
      </c>
      <c r="D178" s="14" t="n"/>
      <c r="E178" s="23" t="n"/>
      <c r="F178" s="24" t="n"/>
      <c r="G178" s="14" t="n"/>
      <c r="H178" s="14" t="n"/>
      <c r="I178" s="23" t="n"/>
      <c r="J178" s="24" t="n"/>
      <c r="K178" s="23" t="n"/>
      <c r="L178" s="25">
        <f>IF(OR(E178="",N(U178)=0),"",U178-SUMIFS(Q$18:Q178,E$18:E178,E178))</f>
        <v/>
      </c>
      <c r="M178" s="26">
        <f>IF(OR(N(J178)=0,K178="Cancelled"),"",IF(AND(N(J178)&gt;5000,P178&lt;&gt;"G"),"Yes: ₹1","No"))</f>
        <v/>
      </c>
      <c r="N178" s="27">
        <f>IF(AND(B178="",D178="",N(J178)=0),"",IF(B178="","Enter the date",IF(AND(ROW()&gt;18,B177=""),"Use the next empty row: a skipped row leaves a gap in the receipt numbers",IF(D178="","Enter who paid",IF(N(J178)=0,"Enter the amount",IF(G178="","Pick what the money was for",IF(P178="?","Pick what it was for from the list",IF(H178="","Pick how it was paid",IF(K178="Cancelled","Cancelled: keep this number unused and give a fresh receipt",IF(AND(H178&lt;&gt;"Cash",I178=""),"Enter the cheque no., UTR or UPI reference",IF(AND(L178&lt;&gt;"",N(L178)&lt;0),"More than the balance due on this invoice",IF(S178&gt;=200000,"₹2,00,000 or more in cash from this person today: barred, s.186",IF(T178&gt;=200000,"₹2,00,000 or more in cash against this invoice: barred, s.186",IF(AND(P178="T",H178="Cash",N(J178)&gt;=20000),"Loan of ₹20,000 or more in cash: barred, s.185",IF(AND(P178="D",H178="Cash",N(J178)&gt;=20000),"Cash deposit of ₹20,000 or more: ask your accountant whether s.185 applies",IF(AND(OR(P178="AG",P178="AS"),$E$9&lt;&gt;""),"Advance: also give a GST receipt voucher, s.31(3)(d) and Rule 50","OK"))))))))))))))))</f>
        <v/>
      </c>
      <c r="P178">
        <f>IF(G178="","",IFERROR(VLOOKUP(G178,Lists!$A$2:$B$9,2,FALSE),"?"))</f>
        <v/>
      </c>
      <c r="Q178">
        <f>IF(K178="Cancelled",0,N(J178))</f>
        <v/>
      </c>
      <c r="R178">
        <f>IF(OR(H178&lt;&gt;"Cash",P178="T",P178="D"),0,Q178)</f>
        <v/>
      </c>
      <c r="S178">
        <f>IF(R178=0,0,SUMIFS($R$18:$R$317,$B$18:$B$317,B178,$D$18:$D$317,D178))</f>
        <v/>
      </c>
      <c r="T178">
        <f>IF(OR(R178=0,E178=""),0,SUMIFS($R$18:$R$317,$E$18:$E$317,E178))</f>
        <v/>
      </c>
      <c r="U178">
        <f>IF(E178="","",IF(N(F178)&gt;0,F178,IFERROR(INDEX($F$18:$F$317,MATCH(E178,$E$18:$E$317,0)),"")))</f>
        <v/>
      </c>
      <c r="V178">
        <f>IF(OR(N178="",N178="OK",K178="Cancelled"),0,1)</f>
        <v/>
      </c>
    </row>
    <row r="179">
      <c r="B179" s="21" t="n"/>
      <c r="C179" s="22">
        <f>IF(B179="","",$E$10&amp;TEXT(N($E$11)+161,"000"))</f>
        <v/>
      </c>
      <c r="D179" s="14" t="n"/>
      <c r="E179" s="23" t="n"/>
      <c r="F179" s="24" t="n"/>
      <c r="G179" s="14" t="n"/>
      <c r="H179" s="14" t="n"/>
      <c r="I179" s="23" t="n"/>
      <c r="J179" s="24" t="n"/>
      <c r="K179" s="23" t="n"/>
      <c r="L179" s="25">
        <f>IF(OR(E179="",N(U179)=0),"",U179-SUMIFS(Q$18:Q179,E$18:E179,E179))</f>
        <v/>
      </c>
      <c r="M179" s="26">
        <f>IF(OR(N(J179)=0,K179="Cancelled"),"",IF(AND(N(J179)&gt;5000,P179&lt;&gt;"G"),"Yes: ₹1","No"))</f>
        <v/>
      </c>
      <c r="N179" s="27">
        <f>IF(AND(B179="",D179="",N(J179)=0),"",IF(B179="","Enter the date",IF(AND(ROW()&gt;18,B178=""),"Use the next empty row: a skipped row leaves a gap in the receipt numbers",IF(D179="","Enter who paid",IF(N(J179)=0,"Enter the amount",IF(G179="","Pick what the money was for",IF(P179="?","Pick what it was for from the list",IF(H179="","Pick how it was paid",IF(K179="Cancelled","Cancelled: keep this number unused and give a fresh receipt",IF(AND(H179&lt;&gt;"Cash",I179=""),"Enter the cheque no., UTR or UPI reference",IF(AND(L179&lt;&gt;"",N(L179)&lt;0),"More than the balance due on this invoice",IF(S179&gt;=200000,"₹2,00,000 or more in cash from this person today: barred, s.186",IF(T179&gt;=200000,"₹2,00,000 or more in cash against this invoice: barred, s.186",IF(AND(P179="T",H179="Cash",N(J179)&gt;=20000),"Loan of ₹20,000 or more in cash: barred, s.185",IF(AND(P179="D",H179="Cash",N(J179)&gt;=20000),"Cash deposit of ₹20,000 or more: ask your accountant whether s.185 applies",IF(AND(OR(P179="AG",P179="AS"),$E$9&lt;&gt;""),"Advance: also give a GST receipt voucher, s.31(3)(d) and Rule 50","OK"))))))))))))))))</f>
        <v/>
      </c>
      <c r="P179">
        <f>IF(G179="","",IFERROR(VLOOKUP(G179,Lists!$A$2:$B$9,2,FALSE),"?"))</f>
        <v/>
      </c>
      <c r="Q179">
        <f>IF(K179="Cancelled",0,N(J179))</f>
        <v/>
      </c>
      <c r="R179">
        <f>IF(OR(H179&lt;&gt;"Cash",P179="T",P179="D"),0,Q179)</f>
        <v/>
      </c>
      <c r="S179">
        <f>IF(R179=0,0,SUMIFS($R$18:$R$317,$B$18:$B$317,B179,$D$18:$D$317,D179))</f>
        <v/>
      </c>
      <c r="T179">
        <f>IF(OR(R179=0,E179=""),0,SUMIFS($R$18:$R$317,$E$18:$E$317,E179))</f>
        <v/>
      </c>
      <c r="U179">
        <f>IF(E179="","",IF(N(F179)&gt;0,F179,IFERROR(INDEX($F$18:$F$317,MATCH(E179,$E$18:$E$317,0)),"")))</f>
        <v/>
      </c>
      <c r="V179">
        <f>IF(OR(N179="",N179="OK",K179="Cancelled"),0,1)</f>
        <v/>
      </c>
    </row>
    <row r="180">
      <c r="B180" s="21" t="n"/>
      <c r="C180" s="22">
        <f>IF(B180="","",$E$10&amp;TEXT(N($E$11)+162,"000"))</f>
        <v/>
      </c>
      <c r="D180" s="14" t="n"/>
      <c r="E180" s="23" t="n"/>
      <c r="F180" s="24" t="n"/>
      <c r="G180" s="14" t="n"/>
      <c r="H180" s="14" t="n"/>
      <c r="I180" s="23" t="n"/>
      <c r="J180" s="24" t="n"/>
      <c r="K180" s="23" t="n"/>
      <c r="L180" s="25">
        <f>IF(OR(E180="",N(U180)=0),"",U180-SUMIFS(Q$18:Q180,E$18:E180,E180))</f>
        <v/>
      </c>
      <c r="M180" s="26">
        <f>IF(OR(N(J180)=0,K180="Cancelled"),"",IF(AND(N(J180)&gt;5000,P180&lt;&gt;"G"),"Yes: ₹1","No"))</f>
        <v/>
      </c>
      <c r="N180" s="27">
        <f>IF(AND(B180="",D180="",N(J180)=0),"",IF(B180="","Enter the date",IF(AND(ROW()&gt;18,B179=""),"Use the next empty row: a skipped row leaves a gap in the receipt numbers",IF(D180="","Enter who paid",IF(N(J180)=0,"Enter the amount",IF(G180="","Pick what the money was for",IF(P180="?","Pick what it was for from the list",IF(H180="","Pick how it was paid",IF(K180="Cancelled","Cancelled: keep this number unused and give a fresh receipt",IF(AND(H180&lt;&gt;"Cash",I180=""),"Enter the cheque no., UTR or UPI reference",IF(AND(L180&lt;&gt;"",N(L180)&lt;0),"More than the balance due on this invoice",IF(S180&gt;=200000,"₹2,00,000 or more in cash from this person today: barred, s.186",IF(T180&gt;=200000,"₹2,00,000 or more in cash against this invoice: barred, s.186",IF(AND(P180="T",H180="Cash",N(J180)&gt;=20000),"Loan of ₹20,000 or more in cash: barred, s.185",IF(AND(P180="D",H180="Cash",N(J180)&gt;=20000),"Cash deposit of ₹20,000 or more: ask your accountant whether s.185 applies",IF(AND(OR(P180="AG",P180="AS"),$E$9&lt;&gt;""),"Advance: also give a GST receipt voucher, s.31(3)(d) and Rule 50","OK"))))))))))))))))</f>
        <v/>
      </c>
      <c r="P180">
        <f>IF(G180="","",IFERROR(VLOOKUP(G180,Lists!$A$2:$B$9,2,FALSE),"?"))</f>
        <v/>
      </c>
      <c r="Q180">
        <f>IF(K180="Cancelled",0,N(J180))</f>
        <v/>
      </c>
      <c r="R180">
        <f>IF(OR(H180&lt;&gt;"Cash",P180="T",P180="D"),0,Q180)</f>
        <v/>
      </c>
      <c r="S180">
        <f>IF(R180=0,0,SUMIFS($R$18:$R$317,$B$18:$B$317,B180,$D$18:$D$317,D180))</f>
        <v/>
      </c>
      <c r="T180">
        <f>IF(OR(R180=0,E180=""),0,SUMIFS($R$18:$R$317,$E$18:$E$317,E180))</f>
        <v/>
      </c>
      <c r="U180">
        <f>IF(E180="","",IF(N(F180)&gt;0,F180,IFERROR(INDEX($F$18:$F$317,MATCH(E180,$E$18:$E$317,0)),"")))</f>
        <v/>
      </c>
      <c r="V180">
        <f>IF(OR(N180="",N180="OK",K180="Cancelled"),0,1)</f>
        <v/>
      </c>
    </row>
    <row r="181">
      <c r="B181" s="21" t="n"/>
      <c r="C181" s="22">
        <f>IF(B181="","",$E$10&amp;TEXT(N($E$11)+163,"000"))</f>
        <v/>
      </c>
      <c r="D181" s="14" t="n"/>
      <c r="E181" s="23" t="n"/>
      <c r="F181" s="24" t="n"/>
      <c r="G181" s="14" t="n"/>
      <c r="H181" s="14" t="n"/>
      <c r="I181" s="23" t="n"/>
      <c r="J181" s="24" t="n"/>
      <c r="K181" s="23" t="n"/>
      <c r="L181" s="25">
        <f>IF(OR(E181="",N(U181)=0),"",U181-SUMIFS(Q$18:Q181,E$18:E181,E181))</f>
        <v/>
      </c>
      <c r="M181" s="26">
        <f>IF(OR(N(J181)=0,K181="Cancelled"),"",IF(AND(N(J181)&gt;5000,P181&lt;&gt;"G"),"Yes: ₹1","No"))</f>
        <v/>
      </c>
      <c r="N181" s="27">
        <f>IF(AND(B181="",D181="",N(J181)=0),"",IF(B181="","Enter the date",IF(AND(ROW()&gt;18,B180=""),"Use the next empty row: a skipped row leaves a gap in the receipt numbers",IF(D181="","Enter who paid",IF(N(J181)=0,"Enter the amount",IF(G181="","Pick what the money was for",IF(P181="?","Pick what it was for from the list",IF(H181="","Pick how it was paid",IF(K181="Cancelled","Cancelled: keep this number unused and give a fresh receipt",IF(AND(H181&lt;&gt;"Cash",I181=""),"Enter the cheque no., UTR or UPI reference",IF(AND(L181&lt;&gt;"",N(L181)&lt;0),"More than the balance due on this invoice",IF(S181&gt;=200000,"₹2,00,000 or more in cash from this person today: barred, s.186",IF(T181&gt;=200000,"₹2,00,000 or more in cash against this invoice: barred, s.186",IF(AND(P181="T",H181="Cash",N(J181)&gt;=20000),"Loan of ₹20,000 or more in cash: barred, s.185",IF(AND(P181="D",H181="Cash",N(J181)&gt;=20000),"Cash deposit of ₹20,000 or more: ask your accountant whether s.185 applies",IF(AND(OR(P181="AG",P181="AS"),$E$9&lt;&gt;""),"Advance: also give a GST receipt voucher, s.31(3)(d) and Rule 50","OK"))))))))))))))))</f>
        <v/>
      </c>
      <c r="P181">
        <f>IF(G181="","",IFERROR(VLOOKUP(G181,Lists!$A$2:$B$9,2,FALSE),"?"))</f>
        <v/>
      </c>
      <c r="Q181">
        <f>IF(K181="Cancelled",0,N(J181))</f>
        <v/>
      </c>
      <c r="R181">
        <f>IF(OR(H181&lt;&gt;"Cash",P181="T",P181="D"),0,Q181)</f>
        <v/>
      </c>
      <c r="S181">
        <f>IF(R181=0,0,SUMIFS($R$18:$R$317,$B$18:$B$317,B181,$D$18:$D$317,D181))</f>
        <v/>
      </c>
      <c r="T181">
        <f>IF(OR(R181=0,E181=""),0,SUMIFS($R$18:$R$317,$E$18:$E$317,E181))</f>
        <v/>
      </c>
      <c r="U181">
        <f>IF(E181="","",IF(N(F181)&gt;0,F181,IFERROR(INDEX($F$18:$F$317,MATCH(E181,$E$18:$E$317,0)),"")))</f>
        <v/>
      </c>
      <c r="V181">
        <f>IF(OR(N181="",N181="OK",K181="Cancelled"),0,1)</f>
        <v/>
      </c>
    </row>
    <row r="182">
      <c r="B182" s="21" t="n"/>
      <c r="C182" s="22">
        <f>IF(B182="","",$E$10&amp;TEXT(N($E$11)+164,"000"))</f>
        <v/>
      </c>
      <c r="D182" s="14" t="n"/>
      <c r="E182" s="23" t="n"/>
      <c r="F182" s="24" t="n"/>
      <c r="G182" s="14" t="n"/>
      <c r="H182" s="14" t="n"/>
      <c r="I182" s="23" t="n"/>
      <c r="J182" s="24" t="n"/>
      <c r="K182" s="23" t="n"/>
      <c r="L182" s="25">
        <f>IF(OR(E182="",N(U182)=0),"",U182-SUMIFS(Q$18:Q182,E$18:E182,E182))</f>
        <v/>
      </c>
      <c r="M182" s="26">
        <f>IF(OR(N(J182)=0,K182="Cancelled"),"",IF(AND(N(J182)&gt;5000,P182&lt;&gt;"G"),"Yes: ₹1","No"))</f>
        <v/>
      </c>
      <c r="N182" s="27">
        <f>IF(AND(B182="",D182="",N(J182)=0),"",IF(B182="","Enter the date",IF(AND(ROW()&gt;18,B181=""),"Use the next empty row: a skipped row leaves a gap in the receipt numbers",IF(D182="","Enter who paid",IF(N(J182)=0,"Enter the amount",IF(G182="","Pick what the money was for",IF(P182="?","Pick what it was for from the list",IF(H182="","Pick how it was paid",IF(K182="Cancelled","Cancelled: keep this number unused and give a fresh receipt",IF(AND(H182&lt;&gt;"Cash",I182=""),"Enter the cheque no., UTR or UPI reference",IF(AND(L182&lt;&gt;"",N(L182)&lt;0),"More than the balance due on this invoice",IF(S182&gt;=200000,"₹2,00,000 or more in cash from this person today: barred, s.186",IF(T182&gt;=200000,"₹2,00,000 or more in cash against this invoice: barred, s.186",IF(AND(P182="T",H182="Cash",N(J182)&gt;=20000),"Loan of ₹20,000 or more in cash: barred, s.185",IF(AND(P182="D",H182="Cash",N(J182)&gt;=20000),"Cash deposit of ₹20,000 or more: ask your accountant whether s.185 applies",IF(AND(OR(P182="AG",P182="AS"),$E$9&lt;&gt;""),"Advance: also give a GST receipt voucher, s.31(3)(d) and Rule 50","OK"))))))))))))))))</f>
        <v/>
      </c>
      <c r="P182">
        <f>IF(G182="","",IFERROR(VLOOKUP(G182,Lists!$A$2:$B$9,2,FALSE),"?"))</f>
        <v/>
      </c>
      <c r="Q182">
        <f>IF(K182="Cancelled",0,N(J182))</f>
        <v/>
      </c>
      <c r="R182">
        <f>IF(OR(H182&lt;&gt;"Cash",P182="T",P182="D"),0,Q182)</f>
        <v/>
      </c>
      <c r="S182">
        <f>IF(R182=0,0,SUMIFS($R$18:$R$317,$B$18:$B$317,B182,$D$18:$D$317,D182))</f>
        <v/>
      </c>
      <c r="T182">
        <f>IF(OR(R182=0,E182=""),0,SUMIFS($R$18:$R$317,$E$18:$E$317,E182))</f>
        <v/>
      </c>
      <c r="U182">
        <f>IF(E182="","",IF(N(F182)&gt;0,F182,IFERROR(INDEX($F$18:$F$317,MATCH(E182,$E$18:$E$317,0)),"")))</f>
        <v/>
      </c>
      <c r="V182">
        <f>IF(OR(N182="",N182="OK",K182="Cancelled"),0,1)</f>
        <v/>
      </c>
    </row>
    <row r="183">
      <c r="B183" s="21" t="n"/>
      <c r="C183" s="22">
        <f>IF(B183="","",$E$10&amp;TEXT(N($E$11)+165,"000"))</f>
        <v/>
      </c>
      <c r="D183" s="14" t="n"/>
      <c r="E183" s="23" t="n"/>
      <c r="F183" s="24" t="n"/>
      <c r="G183" s="14" t="n"/>
      <c r="H183" s="14" t="n"/>
      <c r="I183" s="23" t="n"/>
      <c r="J183" s="24" t="n"/>
      <c r="K183" s="23" t="n"/>
      <c r="L183" s="25">
        <f>IF(OR(E183="",N(U183)=0),"",U183-SUMIFS(Q$18:Q183,E$18:E183,E183))</f>
        <v/>
      </c>
      <c r="M183" s="26">
        <f>IF(OR(N(J183)=0,K183="Cancelled"),"",IF(AND(N(J183)&gt;5000,P183&lt;&gt;"G"),"Yes: ₹1","No"))</f>
        <v/>
      </c>
      <c r="N183" s="27">
        <f>IF(AND(B183="",D183="",N(J183)=0),"",IF(B183="","Enter the date",IF(AND(ROW()&gt;18,B182=""),"Use the next empty row: a skipped row leaves a gap in the receipt numbers",IF(D183="","Enter who paid",IF(N(J183)=0,"Enter the amount",IF(G183="","Pick what the money was for",IF(P183="?","Pick what it was for from the list",IF(H183="","Pick how it was paid",IF(K183="Cancelled","Cancelled: keep this number unused and give a fresh receipt",IF(AND(H183&lt;&gt;"Cash",I183=""),"Enter the cheque no., UTR or UPI reference",IF(AND(L183&lt;&gt;"",N(L183)&lt;0),"More than the balance due on this invoice",IF(S183&gt;=200000,"₹2,00,000 or more in cash from this person today: barred, s.186",IF(T183&gt;=200000,"₹2,00,000 or more in cash against this invoice: barred, s.186",IF(AND(P183="T",H183="Cash",N(J183)&gt;=20000),"Loan of ₹20,000 or more in cash: barred, s.185",IF(AND(P183="D",H183="Cash",N(J183)&gt;=20000),"Cash deposit of ₹20,000 or more: ask your accountant whether s.185 applies",IF(AND(OR(P183="AG",P183="AS"),$E$9&lt;&gt;""),"Advance: also give a GST receipt voucher, s.31(3)(d) and Rule 50","OK"))))))))))))))))</f>
        <v/>
      </c>
      <c r="P183">
        <f>IF(G183="","",IFERROR(VLOOKUP(G183,Lists!$A$2:$B$9,2,FALSE),"?"))</f>
        <v/>
      </c>
      <c r="Q183">
        <f>IF(K183="Cancelled",0,N(J183))</f>
        <v/>
      </c>
      <c r="R183">
        <f>IF(OR(H183&lt;&gt;"Cash",P183="T",P183="D"),0,Q183)</f>
        <v/>
      </c>
      <c r="S183">
        <f>IF(R183=0,0,SUMIFS($R$18:$R$317,$B$18:$B$317,B183,$D$18:$D$317,D183))</f>
        <v/>
      </c>
      <c r="T183">
        <f>IF(OR(R183=0,E183=""),0,SUMIFS($R$18:$R$317,$E$18:$E$317,E183))</f>
        <v/>
      </c>
      <c r="U183">
        <f>IF(E183="","",IF(N(F183)&gt;0,F183,IFERROR(INDEX($F$18:$F$317,MATCH(E183,$E$18:$E$317,0)),"")))</f>
        <v/>
      </c>
      <c r="V183">
        <f>IF(OR(N183="",N183="OK",K183="Cancelled"),0,1)</f>
        <v/>
      </c>
    </row>
    <row r="184">
      <c r="B184" s="21" t="n"/>
      <c r="C184" s="22">
        <f>IF(B184="","",$E$10&amp;TEXT(N($E$11)+166,"000"))</f>
        <v/>
      </c>
      <c r="D184" s="14" t="n"/>
      <c r="E184" s="23" t="n"/>
      <c r="F184" s="24" t="n"/>
      <c r="G184" s="14" t="n"/>
      <c r="H184" s="14" t="n"/>
      <c r="I184" s="23" t="n"/>
      <c r="J184" s="24" t="n"/>
      <c r="K184" s="23" t="n"/>
      <c r="L184" s="25">
        <f>IF(OR(E184="",N(U184)=0),"",U184-SUMIFS(Q$18:Q184,E$18:E184,E184))</f>
        <v/>
      </c>
      <c r="M184" s="26">
        <f>IF(OR(N(J184)=0,K184="Cancelled"),"",IF(AND(N(J184)&gt;5000,P184&lt;&gt;"G"),"Yes: ₹1","No"))</f>
        <v/>
      </c>
      <c r="N184" s="27">
        <f>IF(AND(B184="",D184="",N(J184)=0),"",IF(B184="","Enter the date",IF(AND(ROW()&gt;18,B183=""),"Use the next empty row: a skipped row leaves a gap in the receipt numbers",IF(D184="","Enter who paid",IF(N(J184)=0,"Enter the amount",IF(G184="","Pick what the money was for",IF(P184="?","Pick what it was for from the list",IF(H184="","Pick how it was paid",IF(K184="Cancelled","Cancelled: keep this number unused and give a fresh receipt",IF(AND(H184&lt;&gt;"Cash",I184=""),"Enter the cheque no., UTR or UPI reference",IF(AND(L184&lt;&gt;"",N(L184)&lt;0),"More than the balance due on this invoice",IF(S184&gt;=200000,"₹2,00,000 or more in cash from this person today: barred, s.186",IF(T184&gt;=200000,"₹2,00,000 or more in cash against this invoice: barred, s.186",IF(AND(P184="T",H184="Cash",N(J184)&gt;=20000),"Loan of ₹20,000 or more in cash: barred, s.185",IF(AND(P184="D",H184="Cash",N(J184)&gt;=20000),"Cash deposit of ₹20,000 or more: ask your accountant whether s.185 applies",IF(AND(OR(P184="AG",P184="AS"),$E$9&lt;&gt;""),"Advance: also give a GST receipt voucher, s.31(3)(d) and Rule 50","OK"))))))))))))))))</f>
        <v/>
      </c>
      <c r="P184">
        <f>IF(G184="","",IFERROR(VLOOKUP(G184,Lists!$A$2:$B$9,2,FALSE),"?"))</f>
        <v/>
      </c>
      <c r="Q184">
        <f>IF(K184="Cancelled",0,N(J184))</f>
        <v/>
      </c>
      <c r="R184">
        <f>IF(OR(H184&lt;&gt;"Cash",P184="T",P184="D"),0,Q184)</f>
        <v/>
      </c>
      <c r="S184">
        <f>IF(R184=0,0,SUMIFS($R$18:$R$317,$B$18:$B$317,B184,$D$18:$D$317,D184))</f>
        <v/>
      </c>
      <c r="T184">
        <f>IF(OR(R184=0,E184=""),0,SUMIFS($R$18:$R$317,$E$18:$E$317,E184))</f>
        <v/>
      </c>
      <c r="U184">
        <f>IF(E184="","",IF(N(F184)&gt;0,F184,IFERROR(INDEX($F$18:$F$317,MATCH(E184,$E$18:$E$317,0)),"")))</f>
        <v/>
      </c>
      <c r="V184">
        <f>IF(OR(N184="",N184="OK",K184="Cancelled"),0,1)</f>
        <v/>
      </c>
    </row>
    <row r="185">
      <c r="B185" s="21" t="n"/>
      <c r="C185" s="22">
        <f>IF(B185="","",$E$10&amp;TEXT(N($E$11)+167,"000"))</f>
        <v/>
      </c>
      <c r="D185" s="14" t="n"/>
      <c r="E185" s="23" t="n"/>
      <c r="F185" s="24" t="n"/>
      <c r="G185" s="14" t="n"/>
      <c r="H185" s="14" t="n"/>
      <c r="I185" s="23" t="n"/>
      <c r="J185" s="24" t="n"/>
      <c r="K185" s="23" t="n"/>
      <c r="L185" s="25">
        <f>IF(OR(E185="",N(U185)=0),"",U185-SUMIFS(Q$18:Q185,E$18:E185,E185))</f>
        <v/>
      </c>
      <c r="M185" s="26">
        <f>IF(OR(N(J185)=0,K185="Cancelled"),"",IF(AND(N(J185)&gt;5000,P185&lt;&gt;"G"),"Yes: ₹1","No"))</f>
        <v/>
      </c>
      <c r="N185" s="27">
        <f>IF(AND(B185="",D185="",N(J185)=0),"",IF(B185="","Enter the date",IF(AND(ROW()&gt;18,B184=""),"Use the next empty row: a skipped row leaves a gap in the receipt numbers",IF(D185="","Enter who paid",IF(N(J185)=0,"Enter the amount",IF(G185="","Pick what the money was for",IF(P185="?","Pick what it was for from the list",IF(H185="","Pick how it was paid",IF(K185="Cancelled","Cancelled: keep this number unused and give a fresh receipt",IF(AND(H185&lt;&gt;"Cash",I185=""),"Enter the cheque no., UTR or UPI reference",IF(AND(L185&lt;&gt;"",N(L185)&lt;0),"More than the balance due on this invoice",IF(S185&gt;=200000,"₹2,00,000 or more in cash from this person today: barred, s.186",IF(T185&gt;=200000,"₹2,00,000 or more in cash against this invoice: barred, s.186",IF(AND(P185="T",H185="Cash",N(J185)&gt;=20000),"Loan of ₹20,000 or more in cash: barred, s.185",IF(AND(P185="D",H185="Cash",N(J185)&gt;=20000),"Cash deposit of ₹20,000 or more: ask your accountant whether s.185 applies",IF(AND(OR(P185="AG",P185="AS"),$E$9&lt;&gt;""),"Advance: also give a GST receipt voucher, s.31(3)(d) and Rule 50","OK"))))))))))))))))</f>
        <v/>
      </c>
      <c r="P185">
        <f>IF(G185="","",IFERROR(VLOOKUP(G185,Lists!$A$2:$B$9,2,FALSE),"?"))</f>
        <v/>
      </c>
      <c r="Q185">
        <f>IF(K185="Cancelled",0,N(J185))</f>
        <v/>
      </c>
      <c r="R185">
        <f>IF(OR(H185&lt;&gt;"Cash",P185="T",P185="D"),0,Q185)</f>
        <v/>
      </c>
      <c r="S185">
        <f>IF(R185=0,0,SUMIFS($R$18:$R$317,$B$18:$B$317,B185,$D$18:$D$317,D185))</f>
        <v/>
      </c>
      <c r="T185">
        <f>IF(OR(R185=0,E185=""),0,SUMIFS($R$18:$R$317,$E$18:$E$317,E185))</f>
        <v/>
      </c>
      <c r="U185">
        <f>IF(E185="","",IF(N(F185)&gt;0,F185,IFERROR(INDEX($F$18:$F$317,MATCH(E185,$E$18:$E$317,0)),"")))</f>
        <v/>
      </c>
      <c r="V185">
        <f>IF(OR(N185="",N185="OK",K185="Cancelled"),0,1)</f>
        <v/>
      </c>
    </row>
    <row r="186">
      <c r="B186" s="21" t="n"/>
      <c r="C186" s="22">
        <f>IF(B186="","",$E$10&amp;TEXT(N($E$11)+168,"000"))</f>
        <v/>
      </c>
      <c r="D186" s="14" t="n"/>
      <c r="E186" s="23" t="n"/>
      <c r="F186" s="24" t="n"/>
      <c r="G186" s="14" t="n"/>
      <c r="H186" s="14" t="n"/>
      <c r="I186" s="23" t="n"/>
      <c r="J186" s="24" t="n"/>
      <c r="K186" s="23" t="n"/>
      <c r="L186" s="25">
        <f>IF(OR(E186="",N(U186)=0),"",U186-SUMIFS(Q$18:Q186,E$18:E186,E186))</f>
        <v/>
      </c>
      <c r="M186" s="26">
        <f>IF(OR(N(J186)=0,K186="Cancelled"),"",IF(AND(N(J186)&gt;5000,P186&lt;&gt;"G"),"Yes: ₹1","No"))</f>
        <v/>
      </c>
      <c r="N186" s="27">
        <f>IF(AND(B186="",D186="",N(J186)=0),"",IF(B186="","Enter the date",IF(AND(ROW()&gt;18,B185=""),"Use the next empty row: a skipped row leaves a gap in the receipt numbers",IF(D186="","Enter who paid",IF(N(J186)=0,"Enter the amount",IF(G186="","Pick what the money was for",IF(P186="?","Pick what it was for from the list",IF(H186="","Pick how it was paid",IF(K186="Cancelled","Cancelled: keep this number unused and give a fresh receipt",IF(AND(H186&lt;&gt;"Cash",I186=""),"Enter the cheque no., UTR or UPI reference",IF(AND(L186&lt;&gt;"",N(L186)&lt;0),"More than the balance due on this invoice",IF(S186&gt;=200000,"₹2,00,000 or more in cash from this person today: barred, s.186",IF(T186&gt;=200000,"₹2,00,000 or more in cash against this invoice: barred, s.186",IF(AND(P186="T",H186="Cash",N(J186)&gt;=20000),"Loan of ₹20,000 or more in cash: barred, s.185",IF(AND(P186="D",H186="Cash",N(J186)&gt;=20000),"Cash deposit of ₹20,000 or more: ask your accountant whether s.185 applies",IF(AND(OR(P186="AG",P186="AS"),$E$9&lt;&gt;""),"Advance: also give a GST receipt voucher, s.31(3)(d) and Rule 50","OK"))))))))))))))))</f>
        <v/>
      </c>
      <c r="P186">
        <f>IF(G186="","",IFERROR(VLOOKUP(G186,Lists!$A$2:$B$9,2,FALSE),"?"))</f>
        <v/>
      </c>
      <c r="Q186">
        <f>IF(K186="Cancelled",0,N(J186))</f>
        <v/>
      </c>
      <c r="R186">
        <f>IF(OR(H186&lt;&gt;"Cash",P186="T",P186="D"),0,Q186)</f>
        <v/>
      </c>
      <c r="S186">
        <f>IF(R186=0,0,SUMIFS($R$18:$R$317,$B$18:$B$317,B186,$D$18:$D$317,D186))</f>
        <v/>
      </c>
      <c r="T186">
        <f>IF(OR(R186=0,E186=""),0,SUMIFS($R$18:$R$317,$E$18:$E$317,E186))</f>
        <v/>
      </c>
      <c r="U186">
        <f>IF(E186="","",IF(N(F186)&gt;0,F186,IFERROR(INDEX($F$18:$F$317,MATCH(E186,$E$18:$E$317,0)),"")))</f>
        <v/>
      </c>
      <c r="V186">
        <f>IF(OR(N186="",N186="OK",K186="Cancelled"),0,1)</f>
        <v/>
      </c>
    </row>
    <row r="187">
      <c r="B187" s="21" t="n"/>
      <c r="C187" s="22">
        <f>IF(B187="","",$E$10&amp;TEXT(N($E$11)+169,"000"))</f>
        <v/>
      </c>
      <c r="D187" s="14" t="n"/>
      <c r="E187" s="23" t="n"/>
      <c r="F187" s="24" t="n"/>
      <c r="G187" s="14" t="n"/>
      <c r="H187" s="14" t="n"/>
      <c r="I187" s="23" t="n"/>
      <c r="J187" s="24" t="n"/>
      <c r="K187" s="23" t="n"/>
      <c r="L187" s="25">
        <f>IF(OR(E187="",N(U187)=0),"",U187-SUMIFS(Q$18:Q187,E$18:E187,E187))</f>
        <v/>
      </c>
      <c r="M187" s="26">
        <f>IF(OR(N(J187)=0,K187="Cancelled"),"",IF(AND(N(J187)&gt;5000,P187&lt;&gt;"G"),"Yes: ₹1","No"))</f>
        <v/>
      </c>
      <c r="N187" s="27">
        <f>IF(AND(B187="",D187="",N(J187)=0),"",IF(B187="","Enter the date",IF(AND(ROW()&gt;18,B186=""),"Use the next empty row: a skipped row leaves a gap in the receipt numbers",IF(D187="","Enter who paid",IF(N(J187)=0,"Enter the amount",IF(G187="","Pick what the money was for",IF(P187="?","Pick what it was for from the list",IF(H187="","Pick how it was paid",IF(K187="Cancelled","Cancelled: keep this number unused and give a fresh receipt",IF(AND(H187&lt;&gt;"Cash",I187=""),"Enter the cheque no., UTR or UPI reference",IF(AND(L187&lt;&gt;"",N(L187)&lt;0),"More than the balance due on this invoice",IF(S187&gt;=200000,"₹2,00,000 or more in cash from this person today: barred, s.186",IF(T187&gt;=200000,"₹2,00,000 or more in cash against this invoice: barred, s.186",IF(AND(P187="T",H187="Cash",N(J187)&gt;=20000),"Loan of ₹20,000 or more in cash: barred, s.185",IF(AND(P187="D",H187="Cash",N(J187)&gt;=20000),"Cash deposit of ₹20,000 or more: ask your accountant whether s.185 applies",IF(AND(OR(P187="AG",P187="AS"),$E$9&lt;&gt;""),"Advance: also give a GST receipt voucher, s.31(3)(d) and Rule 50","OK"))))))))))))))))</f>
        <v/>
      </c>
      <c r="P187">
        <f>IF(G187="","",IFERROR(VLOOKUP(G187,Lists!$A$2:$B$9,2,FALSE),"?"))</f>
        <v/>
      </c>
      <c r="Q187">
        <f>IF(K187="Cancelled",0,N(J187))</f>
        <v/>
      </c>
      <c r="R187">
        <f>IF(OR(H187&lt;&gt;"Cash",P187="T",P187="D"),0,Q187)</f>
        <v/>
      </c>
      <c r="S187">
        <f>IF(R187=0,0,SUMIFS($R$18:$R$317,$B$18:$B$317,B187,$D$18:$D$317,D187))</f>
        <v/>
      </c>
      <c r="T187">
        <f>IF(OR(R187=0,E187=""),0,SUMIFS($R$18:$R$317,$E$18:$E$317,E187))</f>
        <v/>
      </c>
      <c r="U187">
        <f>IF(E187="","",IF(N(F187)&gt;0,F187,IFERROR(INDEX($F$18:$F$317,MATCH(E187,$E$18:$E$317,0)),"")))</f>
        <v/>
      </c>
      <c r="V187">
        <f>IF(OR(N187="",N187="OK",K187="Cancelled"),0,1)</f>
        <v/>
      </c>
    </row>
    <row r="188">
      <c r="B188" s="21" t="n"/>
      <c r="C188" s="22">
        <f>IF(B188="","",$E$10&amp;TEXT(N($E$11)+170,"000"))</f>
        <v/>
      </c>
      <c r="D188" s="14" t="n"/>
      <c r="E188" s="23" t="n"/>
      <c r="F188" s="24" t="n"/>
      <c r="G188" s="14" t="n"/>
      <c r="H188" s="14" t="n"/>
      <c r="I188" s="23" t="n"/>
      <c r="J188" s="24" t="n"/>
      <c r="K188" s="23" t="n"/>
      <c r="L188" s="25">
        <f>IF(OR(E188="",N(U188)=0),"",U188-SUMIFS(Q$18:Q188,E$18:E188,E188))</f>
        <v/>
      </c>
      <c r="M188" s="26">
        <f>IF(OR(N(J188)=0,K188="Cancelled"),"",IF(AND(N(J188)&gt;5000,P188&lt;&gt;"G"),"Yes: ₹1","No"))</f>
        <v/>
      </c>
      <c r="N188" s="27">
        <f>IF(AND(B188="",D188="",N(J188)=0),"",IF(B188="","Enter the date",IF(AND(ROW()&gt;18,B187=""),"Use the next empty row: a skipped row leaves a gap in the receipt numbers",IF(D188="","Enter who paid",IF(N(J188)=0,"Enter the amount",IF(G188="","Pick what the money was for",IF(P188="?","Pick what it was for from the list",IF(H188="","Pick how it was paid",IF(K188="Cancelled","Cancelled: keep this number unused and give a fresh receipt",IF(AND(H188&lt;&gt;"Cash",I188=""),"Enter the cheque no., UTR or UPI reference",IF(AND(L188&lt;&gt;"",N(L188)&lt;0),"More than the balance due on this invoice",IF(S188&gt;=200000,"₹2,00,000 or more in cash from this person today: barred, s.186",IF(T188&gt;=200000,"₹2,00,000 or more in cash against this invoice: barred, s.186",IF(AND(P188="T",H188="Cash",N(J188)&gt;=20000),"Loan of ₹20,000 or more in cash: barred, s.185",IF(AND(P188="D",H188="Cash",N(J188)&gt;=20000),"Cash deposit of ₹20,000 or more: ask your accountant whether s.185 applies",IF(AND(OR(P188="AG",P188="AS"),$E$9&lt;&gt;""),"Advance: also give a GST receipt voucher, s.31(3)(d) and Rule 50","OK"))))))))))))))))</f>
        <v/>
      </c>
      <c r="P188">
        <f>IF(G188="","",IFERROR(VLOOKUP(G188,Lists!$A$2:$B$9,2,FALSE),"?"))</f>
        <v/>
      </c>
      <c r="Q188">
        <f>IF(K188="Cancelled",0,N(J188))</f>
        <v/>
      </c>
      <c r="R188">
        <f>IF(OR(H188&lt;&gt;"Cash",P188="T",P188="D"),0,Q188)</f>
        <v/>
      </c>
      <c r="S188">
        <f>IF(R188=0,0,SUMIFS($R$18:$R$317,$B$18:$B$317,B188,$D$18:$D$317,D188))</f>
        <v/>
      </c>
      <c r="T188">
        <f>IF(OR(R188=0,E188=""),0,SUMIFS($R$18:$R$317,$E$18:$E$317,E188))</f>
        <v/>
      </c>
      <c r="U188">
        <f>IF(E188="","",IF(N(F188)&gt;0,F188,IFERROR(INDEX($F$18:$F$317,MATCH(E188,$E$18:$E$317,0)),"")))</f>
        <v/>
      </c>
      <c r="V188">
        <f>IF(OR(N188="",N188="OK",K188="Cancelled"),0,1)</f>
        <v/>
      </c>
    </row>
    <row r="189">
      <c r="B189" s="21" t="n"/>
      <c r="C189" s="22">
        <f>IF(B189="","",$E$10&amp;TEXT(N($E$11)+171,"000"))</f>
        <v/>
      </c>
      <c r="D189" s="14" t="n"/>
      <c r="E189" s="23" t="n"/>
      <c r="F189" s="24" t="n"/>
      <c r="G189" s="14" t="n"/>
      <c r="H189" s="14" t="n"/>
      <c r="I189" s="23" t="n"/>
      <c r="J189" s="24" t="n"/>
      <c r="K189" s="23" t="n"/>
      <c r="L189" s="25">
        <f>IF(OR(E189="",N(U189)=0),"",U189-SUMIFS(Q$18:Q189,E$18:E189,E189))</f>
        <v/>
      </c>
      <c r="M189" s="26">
        <f>IF(OR(N(J189)=0,K189="Cancelled"),"",IF(AND(N(J189)&gt;5000,P189&lt;&gt;"G"),"Yes: ₹1","No"))</f>
        <v/>
      </c>
      <c r="N189" s="27">
        <f>IF(AND(B189="",D189="",N(J189)=0),"",IF(B189="","Enter the date",IF(AND(ROW()&gt;18,B188=""),"Use the next empty row: a skipped row leaves a gap in the receipt numbers",IF(D189="","Enter who paid",IF(N(J189)=0,"Enter the amount",IF(G189="","Pick what the money was for",IF(P189="?","Pick what it was for from the list",IF(H189="","Pick how it was paid",IF(K189="Cancelled","Cancelled: keep this number unused and give a fresh receipt",IF(AND(H189&lt;&gt;"Cash",I189=""),"Enter the cheque no., UTR or UPI reference",IF(AND(L189&lt;&gt;"",N(L189)&lt;0),"More than the balance due on this invoice",IF(S189&gt;=200000,"₹2,00,000 or more in cash from this person today: barred, s.186",IF(T189&gt;=200000,"₹2,00,000 or more in cash against this invoice: barred, s.186",IF(AND(P189="T",H189="Cash",N(J189)&gt;=20000),"Loan of ₹20,000 or more in cash: barred, s.185",IF(AND(P189="D",H189="Cash",N(J189)&gt;=20000),"Cash deposit of ₹20,000 or more: ask your accountant whether s.185 applies",IF(AND(OR(P189="AG",P189="AS"),$E$9&lt;&gt;""),"Advance: also give a GST receipt voucher, s.31(3)(d) and Rule 50","OK"))))))))))))))))</f>
        <v/>
      </c>
      <c r="P189">
        <f>IF(G189="","",IFERROR(VLOOKUP(G189,Lists!$A$2:$B$9,2,FALSE),"?"))</f>
        <v/>
      </c>
      <c r="Q189">
        <f>IF(K189="Cancelled",0,N(J189))</f>
        <v/>
      </c>
      <c r="R189">
        <f>IF(OR(H189&lt;&gt;"Cash",P189="T",P189="D"),0,Q189)</f>
        <v/>
      </c>
      <c r="S189">
        <f>IF(R189=0,0,SUMIFS($R$18:$R$317,$B$18:$B$317,B189,$D$18:$D$317,D189))</f>
        <v/>
      </c>
      <c r="T189">
        <f>IF(OR(R189=0,E189=""),0,SUMIFS($R$18:$R$317,$E$18:$E$317,E189))</f>
        <v/>
      </c>
      <c r="U189">
        <f>IF(E189="","",IF(N(F189)&gt;0,F189,IFERROR(INDEX($F$18:$F$317,MATCH(E189,$E$18:$E$317,0)),"")))</f>
        <v/>
      </c>
      <c r="V189">
        <f>IF(OR(N189="",N189="OK",K189="Cancelled"),0,1)</f>
        <v/>
      </c>
    </row>
    <row r="190">
      <c r="B190" s="21" t="n"/>
      <c r="C190" s="22">
        <f>IF(B190="","",$E$10&amp;TEXT(N($E$11)+172,"000"))</f>
        <v/>
      </c>
      <c r="D190" s="14" t="n"/>
      <c r="E190" s="23" t="n"/>
      <c r="F190" s="24" t="n"/>
      <c r="G190" s="14" t="n"/>
      <c r="H190" s="14" t="n"/>
      <c r="I190" s="23" t="n"/>
      <c r="J190" s="24" t="n"/>
      <c r="K190" s="23" t="n"/>
      <c r="L190" s="25">
        <f>IF(OR(E190="",N(U190)=0),"",U190-SUMIFS(Q$18:Q190,E$18:E190,E190))</f>
        <v/>
      </c>
      <c r="M190" s="26">
        <f>IF(OR(N(J190)=0,K190="Cancelled"),"",IF(AND(N(J190)&gt;5000,P190&lt;&gt;"G"),"Yes: ₹1","No"))</f>
        <v/>
      </c>
      <c r="N190" s="27">
        <f>IF(AND(B190="",D190="",N(J190)=0),"",IF(B190="","Enter the date",IF(AND(ROW()&gt;18,B189=""),"Use the next empty row: a skipped row leaves a gap in the receipt numbers",IF(D190="","Enter who paid",IF(N(J190)=0,"Enter the amount",IF(G190="","Pick what the money was for",IF(P190="?","Pick what it was for from the list",IF(H190="","Pick how it was paid",IF(K190="Cancelled","Cancelled: keep this number unused and give a fresh receipt",IF(AND(H190&lt;&gt;"Cash",I190=""),"Enter the cheque no., UTR or UPI reference",IF(AND(L190&lt;&gt;"",N(L190)&lt;0),"More than the balance due on this invoice",IF(S190&gt;=200000,"₹2,00,000 or more in cash from this person today: barred, s.186",IF(T190&gt;=200000,"₹2,00,000 or more in cash against this invoice: barred, s.186",IF(AND(P190="T",H190="Cash",N(J190)&gt;=20000),"Loan of ₹20,000 or more in cash: barred, s.185",IF(AND(P190="D",H190="Cash",N(J190)&gt;=20000),"Cash deposit of ₹20,000 or more: ask your accountant whether s.185 applies",IF(AND(OR(P190="AG",P190="AS"),$E$9&lt;&gt;""),"Advance: also give a GST receipt voucher, s.31(3)(d) and Rule 50","OK"))))))))))))))))</f>
        <v/>
      </c>
      <c r="P190">
        <f>IF(G190="","",IFERROR(VLOOKUP(G190,Lists!$A$2:$B$9,2,FALSE),"?"))</f>
        <v/>
      </c>
      <c r="Q190">
        <f>IF(K190="Cancelled",0,N(J190))</f>
        <v/>
      </c>
      <c r="R190">
        <f>IF(OR(H190&lt;&gt;"Cash",P190="T",P190="D"),0,Q190)</f>
        <v/>
      </c>
      <c r="S190">
        <f>IF(R190=0,0,SUMIFS($R$18:$R$317,$B$18:$B$317,B190,$D$18:$D$317,D190))</f>
        <v/>
      </c>
      <c r="T190">
        <f>IF(OR(R190=0,E190=""),0,SUMIFS($R$18:$R$317,$E$18:$E$317,E190))</f>
        <v/>
      </c>
      <c r="U190">
        <f>IF(E190="","",IF(N(F190)&gt;0,F190,IFERROR(INDEX($F$18:$F$317,MATCH(E190,$E$18:$E$317,0)),"")))</f>
        <v/>
      </c>
      <c r="V190">
        <f>IF(OR(N190="",N190="OK",K190="Cancelled"),0,1)</f>
        <v/>
      </c>
    </row>
    <row r="191">
      <c r="B191" s="21" t="n"/>
      <c r="C191" s="22">
        <f>IF(B191="","",$E$10&amp;TEXT(N($E$11)+173,"000"))</f>
        <v/>
      </c>
      <c r="D191" s="14" t="n"/>
      <c r="E191" s="23" t="n"/>
      <c r="F191" s="24" t="n"/>
      <c r="G191" s="14" t="n"/>
      <c r="H191" s="14" t="n"/>
      <c r="I191" s="23" t="n"/>
      <c r="J191" s="24" t="n"/>
      <c r="K191" s="23" t="n"/>
      <c r="L191" s="25">
        <f>IF(OR(E191="",N(U191)=0),"",U191-SUMIFS(Q$18:Q191,E$18:E191,E191))</f>
        <v/>
      </c>
      <c r="M191" s="26">
        <f>IF(OR(N(J191)=0,K191="Cancelled"),"",IF(AND(N(J191)&gt;5000,P191&lt;&gt;"G"),"Yes: ₹1","No"))</f>
        <v/>
      </c>
      <c r="N191" s="27">
        <f>IF(AND(B191="",D191="",N(J191)=0),"",IF(B191="","Enter the date",IF(AND(ROW()&gt;18,B190=""),"Use the next empty row: a skipped row leaves a gap in the receipt numbers",IF(D191="","Enter who paid",IF(N(J191)=0,"Enter the amount",IF(G191="","Pick what the money was for",IF(P191="?","Pick what it was for from the list",IF(H191="","Pick how it was paid",IF(K191="Cancelled","Cancelled: keep this number unused and give a fresh receipt",IF(AND(H191&lt;&gt;"Cash",I191=""),"Enter the cheque no., UTR or UPI reference",IF(AND(L191&lt;&gt;"",N(L191)&lt;0),"More than the balance due on this invoice",IF(S191&gt;=200000,"₹2,00,000 or more in cash from this person today: barred, s.186",IF(T191&gt;=200000,"₹2,00,000 or more in cash against this invoice: barred, s.186",IF(AND(P191="T",H191="Cash",N(J191)&gt;=20000),"Loan of ₹20,000 or more in cash: barred, s.185",IF(AND(P191="D",H191="Cash",N(J191)&gt;=20000),"Cash deposit of ₹20,000 or more: ask your accountant whether s.185 applies",IF(AND(OR(P191="AG",P191="AS"),$E$9&lt;&gt;""),"Advance: also give a GST receipt voucher, s.31(3)(d) and Rule 50","OK"))))))))))))))))</f>
        <v/>
      </c>
      <c r="P191">
        <f>IF(G191="","",IFERROR(VLOOKUP(G191,Lists!$A$2:$B$9,2,FALSE),"?"))</f>
        <v/>
      </c>
      <c r="Q191">
        <f>IF(K191="Cancelled",0,N(J191))</f>
        <v/>
      </c>
      <c r="R191">
        <f>IF(OR(H191&lt;&gt;"Cash",P191="T",P191="D"),0,Q191)</f>
        <v/>
      </c>
      <c r="S191">
        <f>IF(R191=0,0,SUMIFS($R$18:$R$317,$B$18:$B$317,B191,$D$18:$D$317,D191))</f>
        <v/>
      </c>
      <c r="T191">
        <f>IF(OR(R191=0,E191=""),0,SUMIFS($R$18:$R$317,$E$18:$E$317,E191))</f>
        <v/>
      </c>
      <c r="U191">
        <f>IF(E191="","",IF(N(F191)&gt;0,F191,IFERROR(INDEX($F$18:$F$317,MATCH(E191,$E$18:$E$317,0)),"")))</f>
        <v/>
      </c>
      <c r="V191">
        <f>IF(OR(N191="",N191="OK",K191="Cancelled"),0,1)</f>
        <v/>
      </c>
    </row>
    <row r="192">
      <c r="B192" s="21" t="n"/>
      <c r="C192" s="22">
        <f>IF(B192="","",$E$10&amp;TEXT(N($E$11)+174,"000"))</f>
        <v/>
      </c>
      <c r="D192" s="14" t="n"/>
      <c r="E192" s="23" t="n"/>
      <c r="F192" s="24" t="n"/>
      <c r="G192" s="14" t="n"/>
      <c r="H192" s="14" t="n"/>
      <c r="I192" s="23" t="n"/>
      <c r="J192" s="24" t="n"/>
      <c r="K192" s="23" t="n"/>
      <c r="L192" s="25">
        <f>IF(OR(E192="",N(U192)=0),"",U192-SUMIFS(Q$18:Q192,E$18:E192,E192))</f>
        <v/>
      </c>
      <c r="M192" s="26">
        <f>IF(OR(N(J192)=0,K192="Cancelled"),"",IF(AND(N(J192)&gt;5000,P192&lt;&gt;"G"),"Yes: ₹1","No"))</f>
        <v/>
      </c>
      <c r="N192" s="27">
        <f>IF(AND(B192="",D192="",N(J192)=0),"",IF(B192="","Enter the date",IF(AND(ROW()&gt;18,B191=""),"Use the next empty row: a skipped row leaves a gap in the receipt numbers",IF(D192="","Enter who paid",IF(N(J192)=0,"Enter the amount",IF(G192="","Pick what the money was for",IF(P192="?","Pick what it was for from the list",IF(H192="","Pick how it was paid",IF(K192="Cancelled","Cancelled: keep this number unused and give a fresh receipt",IF(AND(H192&lt;&gt;"Cash",I192=""),"Enter the cheque no., UTR or UPI reference",IF(AND(L192&lt;&gt;"",N(L192)&lt;0),"More than the balance due on this invoice",IF(S192&gt;=200000,"₹2,00,000 or more in cash from this person today: barred, s.186",IF(T192&gt;=200000,"₹2,00,000 or more in cash against this invoice: barred, s.186",IF(AND(P192="T",H192="Cash",N(J192)&gt;=20000),"Loan of ₹20,000 or more in cash: barred, s.185",IF(AND(P192="D",H192="Cash",N(J192)&gt;=20000),"Cash deposit of ₹20,000 or more: ask your accountant whether s.185 applies",IF(AND(OR(P192="AG",P192="AS"),$E$9&lt;&gt;""),"Advance: also give a GST receipt voucher, s.31(3)(d) and Rule 50","OK"))))))))))))))))</f>
        <v/>
      </c>
      <c r="P192">
        <f>IF(G192="","",IFERROR(VLOOKUP(G192,Lists!$A$2:$B$9,2,FALSE),"?"))</f>
        <v/>
      </c>
      <c r="Q192">
        <f>IF(K192="Cancelled",0,N(J192))</f>
        <v/>
      </c>
      <c r="R192">
        <f>IF(OR(H192&lt;&gt;"Cash",P192="T",P192="D"),0,Q192)</f>
        <v/>
      </c>
      <c r="S192">
        <f>IF(R192=0,0,SUMIFS($R$18:$R$317,$B$18:$B$317,B192,$D$18:$D$317,D192))</f>
        <v/>
      </c>
      <c r="T192">
        <f>IF(OR(R192=0,E192=""),0,SUMIFS($R$18:$R$317,$E$18:$E$317,E192))</f>
        <v/>
      </c>
      <c r="U192">
        <f>IF(E192="","",IF(N(F192)&gt;0,F192,IFERROR(INDEX($F$18:$F$317,MATCH(E192,$E$18:$E$317,0)),"")))</f>
        <v/>
      </c>
      <c r="V192">
        <f>IF(OR(N192="",N192="OK",K192="Cancelled"),0,1)</f>
        <v/>
      </c>
    </row>
    <row r="193">
      <c r="B193" s="21" t="n"/>
      <c r="C193" s="22">
        <f>IF(B193="","",$E$10&amp;TEXT(N($E$11)+175,"000"))</f>
        <v/>
      </c>
      <c r="D193" s="14" t="n"/>
      <c r="E193" s="23" t="n"/>
      <c r="F193" s="24" t="n"/>
      <c r="G193" s="14" t="n"/>
      <c r="H193" s="14" t="n"/>
      <c r="I193" s="23" t="n"/>
      <c r="J193" s="24" t="n"/>
      <c r="K193" s="23" t="n"/>
      <c r="L193" s="25">
        <f>IF(OR(E193="",N(U193)=0),"",U193-SUMIFS(Q$18:Q193,E$18:E193,E193))</f>
        <v/>
      </c>
      <c r="M193" s="26">
        <f>IF(OR(N(J193)=0,K193="Cancelled"),"",IF(AND(N(J193)&gt;5000,P193&lt;&gt;"G"),"Yes: ₹1","No"))</f>
        <v/>
      </c>
      <c r="N193" s="27">
        <f>IF(AND(B193="",D193="",N(J193)=0),"",IF(B193="","Enter the date",IF(AND(ROW()&gt;18,B192=""),"Use the next empty row: a skipped row leaves a gap in the receipt numbers",IF(D193="","Enter who paid",IF(N(J193)=0,"Enter the amount",IF(G193="","Pick what the money was for",IF(P193="?","Pick what it was for from the list",IF(H193="","Pick how it was paid",IF(K193="Cancelled","Cancelled: keep this number unused and give a fresh receipt",IF(AND(H193&lt;&gt;"Cash",I193=""),"Enter the cheque no., UTR or UPI reference",IF(AND(L193&lt;&gt;"",N(L193)&lt;0),"More than the balance due on this invoice",IF(S193&gt;=200000,"₹2,00,000 or more in cash from this person today: barred, s.186",IF(T193&gt;=200000,"₹2,00,000 or more in cash against this invoice: barred, s.186",IF(AND(P193="T",H193="Cash",N(J193)&gt;=20000),"Loan of ₹20,000 or more in cash: barred, s.185",IF(AND(P193="D",H193="Cash",N(J193)&gt;=20000),"Cash deposit of ₹20,000 or more: ask your accountant whether s.185 applies",IF(AND(OR(P193="AG",P193="AS"),$E$9&lt;&gt;""),"Advance: also give a GST receipt voucher, s.31(3)(d) and Rule 50","OK"))))))))))))))))</f>
        <v/>
      </c>
      <c r="P193">
        <f>IF(G193="","",IFERROR(VLOOKUP(G193,Lists!$A$2:$B$9,2,FALSE),"?"))</f>
        <v/>
      </c>
      <c r="Q193">
        <f>IF(K193="Cancelled",0,N(J193))</f>
        <v/>
      </c>
      <c r="R193">
        <f>IF(OR(H193&lt;&gt;"Cash",P193="T",P193="D"),0,Q193)</f>
        <v/>
      </c>
      <c r="S193">
        <f>IF(R193=0,0,SUMIFS($R$18:$R$317,$B$18:$B$317,B193,$D$18:$D$317,D193))</f>
        <v/>
      </c>
      <c r="T193">
        <f>IF(OR(R193=0,E193=""),0,SUMIFS($R$18:$R$317,$E$18:$E$317,E193))</f>
        <v/>
      </c>
      <c r="U193">
        <f>IF(E193="","",IF(N(F193)&gt;0,F193,IFERROR(INDEX($F$18:$F$317,MATCH(E193,$E$18:$E$317,0)),"")))</f>
        <v/>
      </c>
      <c r="V193">
        <f>IF(OR(N193="",N193="OK",K193="Cancelled"),0,1)</f>
        <v/>
      </c>
    </row>
    <row r="194">
      <c r="B194" s="21" t="n"/>
      <c r="C194" s="22">
        <f>IF(B194="","",$E$10&amp;TEXT(N($E$11)+176,"000"))</f>
        <v/>
      </c>
      <c r="D194" s="14" t="n"/>
      <c r="E194" s="23" t="n"/>
      <c r="F194" s="24" t="n"/>
      <c r="G194" s="14" t="n"/>
      <c r="H194" s="14" t="n"/>
      <c r="I194" s="23" t="n"/>
      <c r="J194" s="24" t="n"/>
      <c r="K194" s="23" t="n"/>
      <c r="L194" s="25">
        <f>IF(OR(E194="",N(U194)=0),"",U194-SUMIFS(Q$18:Q194,E$18:E194,E194))</f>
        <v/>
      </c>
      <c r="M194" s="26">
        <f>IF(OR(N(J194)=0,K194="Cancelled"),"",IF(AND(N(J194)&gt;5000,P194&lt;&gt;"G"),"Yes: ₹1","No"))</f>
        <v/>
      </c>
      <c r="N194" s="27">
        <f>IF(AND(B194="",D194="",N(J194)=0),"",IF(B194="","Enter the date",IF(AND(ROW()&gt;18,B193=""),"Use the next empty row: a skipped row leaves a gap in the receipt numbers",IF(D194="","Enter who paid",IF(N(J194)=0,"Enter the amount",IF(G194="","Pick what the money was for",IF(P194="?","Pick what it was for from the list",IF(H194="","Pick how it was paid",IF(K194="Cancelled","Cancelled: keep this number unused and give a fresh receipt",IF(AND(H194&lt;&gt;"Cash",I194=""),"Enter the cheque no., UTR or UPI reference",IF(AND(L194&lt;&gt;"",N(L194)&lt;0),"More than the balance due on this invoice",IF(S194&gt;=200000,"₹2,00,000 or more in cash from this person today: barred, s.186",IF(T194&gt;=200000,"₹2,00,000 or more in cash against this invoice: barred, s.186",IF(AND(P194="T",H194="Cash",N(J194)&gt;=20000),"Loan of ₹20,000 or more in cash: barred, s.185",IF(AND(P194="D",H194="Cash",N(J194)&gt;=20000),"Cash deposit of ₹20,000 or more: ask your accountant whether s.185 applies",IF(AND(OR(P194="AG",P194="AS"),$E$9&lt;&gt;""),"Advance: also give a GST receipt voucher, s.31(3)(d) and Rule 50","OK"))))))))))))))))</f>
        <v/>
      </c>
      <c r="P194">
        <f>IF(G194="","",IFERROR(VLOOKUP(G194,Lists!$A$2:$B$9,2,FALSE),"?"))</f>
        <v/>
      </c>
      <c r="Q194">
        <f>IF(K194="Cancelled",0,N(J194))</f>
        <v/>
      </c>
      <c r="R194">
        <f>IF(OR(H194&lt;&gt;"Cash",P194="T",P194="D"),0,Q194)</f>
        <v/>
      </c>
      <c r="S194">
        <f>IF(R194=0,0,SUMIFS($R$18:$R$317,$B$18:$B$317,B194,$D$18:$D$317,D194))</f>
        <v/>
      </c>
      <c r="T194">
        <f>IF(OR(R194=0,E194=""),0,SUMIFS($R$18:$R$317,$E$18:$E$317,E194))</f>
        <v/>
      </c>
      <c r="U194">
        <f>IF(E194="","",IF(N(F194)&gt;0,F194,IFERROR(INDEX($F$18:$F$317,MATCH(E194,$E$18:$E$317,0)),"")))</f>
        <v/>
      </c>
      <c r="V194">
        <f>IF(OR(N194="",N194="OK",K194="Cancelled"),0,1)</f>
        <v/>
      </c>
    </row>
    <row r="195">
      <c r="B195" s="21" t="n"/>
      <c r="C195" s="22">
        <f>IF(B195="","",$E$10&amp;TEXT(N($E$11)+177,"000"))</f>
        <v/>
      </c>
      <c r="D195" s="14" t="n"/>
      <c r="E195" s="23" t="n"/>
      <c r="F195" s="24" t="n"/>
      <c r="G195" s="14" t="n"/>
      <c r="H195" s="14" t="n"/>
      <c r="I195" s="23" t="n"/>
      <c r="J195" s="24" t="n"/>
      <c r="K195" s="23" t="n"/>
      <c r="L195" s="25">
        <f>IF(OR(E195="",N(U195)=0),"",U195-SUMIFS(Q$18:Q195,E$18:E195,E195))</f>
        <v/>
      </c>
      <c r="M195" s="26">
        <f>IF(OR(N(J195)=0,K195="Cancelled"),"",IF(AND(N(J195)&gt;5000,P195&lt;&gt;"G"),"Yes: ₹1","No"))</f>
        <v/>
      </c>
      <c r="N195" s="27">
        <f>IF(AND(B195="",D195="",N(J195)=0),"",IF(B195="","Enter the date",IF(AND(ROW()&gt;18,B194=""),"Use the next empty row: a skipped row leaves a gap in the receipt numbers",IF(D195="","Enter who paid",IF(N(J195)=0,"Enter the amount",IF(G195="","Pick what the money was for",IF(P195="?","Pick what it was for from the list",IF(H195="","Pick how it was paid",IF(K195="Cancelled","Cancelled: keep this number unused and give a fresh receipt",IF(AND(H195&lt;&gt;"Cash",I195=""),"Enter the cheque no., UTR or UPI reference",IF(AND(L195&lt;&gt;"",N(L195)&lt;0),"More than the balance due on this invoice",IF(S195&gt;=200000,"₹2,00,000 or more in cash from this person today: barred, s.186",IF(T195&gt;=200000,"₹2,00,000 or more in cash against this invoice: barred, s.186",IF(AND(P195="T",H195="Cash",N(J195)&gt;=20000),"Loan of ₹20,000 or more in cash: barred, s.185",IF(AND(P195="D",H195="Cash",N(J195)&gt;=20000),"Cash deposit of ₹20,000 or more: ask your accountant whether s.185 applies",IF(AND(OR(P195="AG",P195="AS"),$E$9&lt;&gt;""),"Advance: also give a GST receipt voucher, s.31(3)(d) and Rule 50","OK"))))))))))))))))</f>
        <v/>
      </c>
      <c r="P195">
        <f>IF(G195="","",IFERROR(VLOOKUP(G195,Lists!$A$2:$B$9,2,FALSE),"?"))</f>
        <v/>
      </c>
      <c r="Q195">
        <f>IF(K195="Cancelled",0,N(J195))</f>
        <v/>
      </c>
      <c r="R195">
        <f>IF(OR(H195&lt;&gt;"Cash",P195="T",P195="D"),0,Q195)</f>
        <v/>
      </c>
      <c r="S195">
        <f>IF(R195=0,0,SUMIFS($R$18:$R$317,$B$18:$B$317,B195,$D$18:$D$317,D195))</f>
        <v/>
      </c>
      <c r="T195">
        <f>IF(OR(R195=0,E195=""),0,SUMIFS($R$18:$R$317,$E$18:$E$317,E195))</f>
        <v/>
      </c>
      <c r="U195">
        <f>IF(E195="","",IF(N(F195)&gt;0,F195,IFERROR(INDEX($F$18:$F$317,MATCH(E195,$E$18:$E$317,0)),"")))</f>
        <v/>
      </c>
      <c r="V195">
        <f>IF(OR(N195="",N195="OK",K195="Cancelled"),0,1)</f>
        <v/>
      </c>
    </row>
    <row r="196">
      <c r="B196" s="21" t="n"/>
      <c r="C196" s="22">
        <f>IF(B196="","",$E$10&amp;TEXT(N($E$11)+178,"000"))</f>
        <v/>
      </c>
      <c r="D196" s="14" t="n"/>
      <c r="E196" s="23" t="n"/>
      <c r="F196" s="24" t="n"/>
      <c r="G196" s="14" t="n"/>
      <c r="H196" s="14" t="n"/>
      <c r="I196" s="23" t="n"/>
      <c r="J196" s="24" t="n"/>
      <c r="K196" s="23" t="n"/>
      <c r="L196" s="25">
        <f>IF(OR(E196="",N(U196)=0),"",U196-SUMIFS(Q$18:Q196,E$18:E196,E196))</f>
        <v/>
      </c>
      <c r="M196" s="26">
        <f>IF(OR(N(J196)=0,K196="Cancelled"),"",IF(AND(N(J196)&gt;5000,P196&lt;&gt;"G"),"Yes: ₹1","No"))</f>
        <v/>
      </c>
      <c r="N196" s="27">
        <f>IF(AND(B196="",D196="",N(J196)=0),"",IF(B196="","Enter the date",IF(AND(ROW()&gt;18,B195=""),"Use the next empty row: a skipped row leaves a gap in the receipt numbers",IF(D196="","Enter who paid",IF(N(J196)=0,"Enter the amount",IF(G196="","Pick what the money was for",IF(P196="?","Pick what it was for from the list",IF(H196="","Pick how it was paid",IF(K196="Cancelled","Cancelled: keep this number unused and give a fresh receipt",IF(AND(H196&lt;&gt;"Cash",I196=""),"Enter the cheque no., UTR or UPI reference",IF(AND(L196&lt;&gt;"",N(L196)&lt;0),"More than the balance due on this invoice",IF(S196&gt;=200000,"₹2,00,000 or more in cash from this person today: barred, s.186",IF(T196&gt;=200000,"₹2,00,000 or more in cash against this invoice: barred, s.186",IF(AND(P196="T",H196="Cash",N(J196)&gt;=20000),"Loan of ₹20,000 or more in cash: barred, s.185",IF(AND(P196="D",H196="Cash",N(J196)&gt;=20000),"Cash deposit of ₹20,000 or more: ask your accountant whether s.185 applies",IF(AND(OR(P196="AG",P196="AS"),$E$9&lt;&gt;""),"Advance: also give a GST receipt voucher, s.31(3)(d) and Rule 50","OK"))))))))))))))))</f>
        <v/>
      </c>
      <c r="P196">
        <f>IF(G196="","",IFERROR(VLOOKUP(G196,Lists!$A$2:$B$9,2,FALSE),"?"))</f>
        <v/>
      </c>
      <c r="Q196">
        <f>IF(K196="Cancelled",0,N(J196))</f>
        <v/>
      </c>
      <c r="R196">
        <f>IF(OR(H196&lt;&gt;"Cash",P196="T",P196="D"),0,Q196)</f>
        <v/>
      </c>
      <c r="S196">
        <f>IF(R196=0,0,SUMIFS($R$18:$R$317,$B$18:$B$317,B196,$D$18:$D$317,D196))</f>
        <v/>
      </c>
      <c r="T196">
        <f>IF(OR(R196=0,E196=""),0,SUMIFS($R$18:$R$317,$E$18:$E$317,E196))</f>
        <v/>
      </c>
      <c r="U196">
        <f>IF(E196="","",IF(N(F196)&gt;0,F196,IFERROR(INDEX($F$18:$F$317,MATCH(E196,$E$18:$E$317,0)),"")))</f>
        <v/>
      </c>
      <c r="V196">
        <f>IF(OR(N196="",N196="OK",K196="Cancelled"),0,1)</f>
        <v/>
      </c>
    </row>
    <row r="197">
      <c r="B197" s="21" t="n"/>
      <c r="C197" s="22">
        <f>IF(B197="","",$E$10&amp;TEXT(N($E$11)+179,"000"))</f>
        <v/>
      </c>
      <c r="D197" s="14" t="n"/>
      <c r="E197" s="23" t="n"/>
      <c r="F197" s="24" t="n"/>
      <c r="G197" s="14" t="n"/>
      <c r="H197" s="14" t="n"/>
      <c r="I197" s="23" t="n"/>
      <c r="J197" s="24" t="n"/>
      <c r="K197" s="23" t="n"/>
      <c r="L197" s="25">
        <f>IF(OR(E197="",N(U197)=0),"",U197-SUMIFS(Q$18:Q197,E$18:E197,E197))</f>
        <v/>
      </c>
      <c r="M197" s="26">
        <f>IF(OR(N(J197)=0,K197="Cancelled"),"",IF(AND(N(J197)&gt;5000,P197&lt;&gt;"G"),"Yes: ₹1","No"))</f>
        <v/>
      </c>
      <c r="N197" s="27">
        <f>IF(AND(B197="",D197="",N(J197)=0),"",IF(B197="","Enter the date",IF(AND(ROW()&gt;18,B196=""),"Use the next empty row: a skipped row leaves a gap in the receipt numbers",IF(D197="","Enter who paid",IF(N(J197)=0,"Enter the amount",IF(G197="","Pick what the money was for",IF(P197="?","Pick what it was for from the list",IF(H197="","Pick how it was paid",IF(K197="Cancelled","Cancelled: keep this number unused and give a fresh receipt",IF(AND(H197&lt;&gt;"Cash",I197=""),"Enter the cheque no., UTR or UPI reference",IF(AND(L197&lt;&gt;"",N(L197)&lt;0),"More than the balance due on this invoice",IF(S197&gt;=200000,"₹2,00,000 or more in cash from this person today: barred, s.186",IF(T197&gt;=200000,"₹2,00,000 or more in cash against this invoice: barred, s.186",IF(AND(P197="T",H197="Cash",N(J197)&gt;=20000),"Loan of ₹20,000 or more in cash: barred, s.185",IF(AND(P197="D",H197="Cash",N(J197)&gt;=20000),"Cash deposit of ₹20,000 or more: ask your accountant whether s.185 applies",IF(AND(OR(P197="AG",P197="AS"),$E$9&lt;&gt;""),"Advance: also give a GST receipt voucher, s.31(3)(d) and Rule 50","OK"))))))))))))))))</f>
        <v/>
      </c>
      <c r="P197">
        <f>IF(G197="","",IFERROR(VLOOKUP(G197,Lists!$A$2:$B$9,2,FALSE),"?"))</f>
        <v/>
      </c>
      <c r="Q197">
        <f>IF(K197="Cancelled",0,N(J197))</f>
        <v/>
      </c>
      <c r="R197">
        <f>IF(OR(H197&lt;&gt;"Cash",P197="T",P197="D"),0,Q197)</f>
        <v/>
      </c>
      <c r="S197">
        <f>IF(R197=0,0,SUMIFS($R$18:$R$317,$B$18:$B$317,B197,$D$18:$D$317,D197))</f>
        <v/>
      </c>
      <c r="T197">
        <f>IF(OR(R197=0,E197=""),0,SUMIFS($R$18:$R$317,$E$18:$E$317,E197))</f>
        <v/>
      </c>
      <c r="U197">
        <f>IF(E197="","",IF(N(F197)&gt;0,F197,IFERROR(INDEX($F$18:$F$317,MATCH(E197,$E$18:$E$317,0)),"")))</f>
        <v/>
      </c>
      <c r="V197">
        <f>IF(OR(N197="",N197="OK",K197="Cancelled"),0,1)</f>
        <v/>
      </c>
    </row>
    <row r="198">
      <c r="B198" s="21" t="n"/>
      <c r="C198" s="22">
        <f>IF(B198="","",$E$10&amp;TEXT(N($E$11)+180,"000"))</f>
        <v/>
      </c>
      <c r="D198" s="14" t="n"/>
      <c r="E198" s="23" t="n"/>
      <c r="F198" s="24" t="n"/>
      <c r="G198" s="14" t="n"/>
      <c r="H198" s="14" t="n"/>
      <c r="I198" s="23" t="n"/>
      <c r="J198" s="24" t="n"/>
      <c r="K198" s="23" t="n"/>
      <c r="L198" s="25">
        <f>IF(OR(E198="",N(U198)=0),"",U198-SUMIFS(Q$18:Q198,E$18:E198,E198))</f>
        <v/>
      </c>
      <c r="M198" s="26">
        <f>IF(OR(N(J198)=0,K198="Cancelled"),"",IF(AND(N(J198)&gt;5000,P198&lt;&gt;"G"),"Yes: ₹1","No"))</f>
        <v/>
      </c>
      <c r="N198" s="27">
        <f>IF(AND(B198="",D198="",N(J198)=0),"",IF(B198="","Enter the date",IF(AND(ROW()&gt;18,B197=""),"Use the next empty row: a skipped row leaves a gap in the receipt numbers",IF(D198="","Enter who paid",IF(N(J198)=0,"Enter the amount",IF(G198="","Pick what the money was for",IF(P198="?","Pick what it was for from the list",IF(H198="","Pick how it was paid",IF(K198="Cancelled","Cancelled: keep this number unused and give a fresh receipt",IF(AND(H198&lt;&gt;"Cash",I198=""),"Enter the cheque no., UTR or UPI reference",IF(AND(L198&lt;&gt;"",N(L198)&lt;0),"More than the balance due on this invoice",IF(S198&gt;=200000,"₹2,00,000 or more in cash from this person today: barred, s.186",IF(T198&gt;=200000,"₹2,00,000 or more in cash against this invoice: barred, s.186",IF(AND(P198="T",H198="Cash",N(J198)&gt;=20000),"Loan of ₹20,000 or more in cash: barred, s.185",IF(AND(P198="D",H198="Cash",N(J198)&gt;=20000),"Cash deposit of ₹20,000 or more: ask your accountant whether s.185 applies",IF(AND(OR(P198="AG",P198="AS"),$E$9&lt;&gt;""),"Advance: also give a GST receipt voucher, s.31(3)(d) and Rule 50","OK"))))))))))))))))</f>
        <v/>
      </c>
      <c r="P198">
        <f>IF(G198="","",IFERROR(VLOOKUP(G198,Lists!$A$2:$B$9,2,FALSE),"?"))</f>
        <v/>
      </c>
      <c r="Q198">
        <f>IF(K198="Cancelled",0,N(J198))</f>
        <v/>
      </c>
      <c r="R198">
        <f>IF(OR(H198&lt;&gt;"Cash",P198="T",P198="D"),0,Q198)</f>
        <v/>
      </c>
      <c r="S198">
        <f>IF(R198=0,0,SUMIFS($R$18:$R$317,$B$18:$B$317,B198,$D$18:$D$317,D198))</f>
        <v/>
      </c>
      <c r="T198">
        <f>IF(OR(R198=0,E198=""),0,SUMIFS($R$18:$R$317,$E$18:$E$317,E198))</f>
        <v/>
      </c>
      <c r="U198">
        <f>IF(E198="","",IF(N(F198)&gt;0,F198,IFERROR(INDEX($F$18:$F$317,MATCH(E198,$E$18:$E$317,0)),"")))</f>
        <v/>
      </c>
      <c r="V198">
        <f>IF(OR(N198="",N198="OK",K198="Cancelled"),0,1)</f>
        <v/>
      </c>
    </row>
    <row r="199">
      <c r="B199" s="21" t="n"/>
      <c r="C199" s="22">
        <f>IF(B199="","",$E$10&amp;TEXT(N($E$11)+181,"000"))</f>
        <v/>
      </c>
      <c r="D199" s="14" t="n"/>
      <c r="E199" s="23" t="n"/>
      <c r="F199" s="24" t="n"/>
      <c r="G199" s="14" t="n"/>
      <c r="H199" s="14" t="n"/>
      <c r="I199" s="23" t="n"/>
      <c r="J199" s="24" t="n"/>
      <c r="K199" s="23" t="n"/>
      <c r="L199" s="25">
        <f>IF(OR(E199="",N(U199)=0),"",U199-SUMIFS(Q$18:Q199,E$18:E199,E199))</f>
        <v/>
      </c>
      <c r="M199" s="26">
        <f>IF(OR(N(J199)=0,K199="Cancelled"),"",IF(AND(N(J199)&gt;5000,P199&lt;&gt;"G"),"Yes: ₹1","No"))</f>
        <v/>
      </c>
      <c r="N199" s="27">
        <f>IF(AND(B199="",D199="",N(J199)=0),"",IF(B199="","Enter the date",IF(AND(ROW()&gt;18,B198=""),"Use the next empty row: a skipped row leaves a gap in the receipt numbers",IF(D199="","Enter who paid",IF(N(J199)=0,"Enter the amount",IF(G199="","Pick what the money was for",IF(P199="?","Pick what it was for from the list",IF(H199="","Pick how it was paid",IF(K199="Cancelled","Cancelled: keep this number unused and give a fresh receipt",IF(AND(H199&lt;&gt;"Cash",I199=""),"Enter the cheque no., UTR or UPI reference",IF(AND(L199&lt;&gt;"",N(L199)&lt;0),"More than the balance due on this invoice",IF(S199&gt;=200000,"₹2,00,000 or more in cash from this person today: barred, s.186",IF(T199&gt;=200000,"₹2,00,000 or more in cash against this invoice: barred, s.186",IF(AND(P199="T",H199="Cash",N(J199)&gt;=20000),"Loan of ₹20,000 or more in cash: barred, s.185",IF(AND(P199="D",H199="Cash",N(J199)&gt;=20000),"Cash deposit of ₹20,000 or more: ask your accountant whether s.185 applies",IF(AND(OR(P199="AG",P199="AS"),$E$9&lt;&gt;""),"Advance: also give a GST receipt voucher, s.31(3)(d) and Rule 50","OK"))))))))))))))))</f>
        <v/>
      </c>
      <c r="P199">
        <f>IF(G199="","",IFERROR(VLOOKUP(G199,Lists!$A$2:$B$9,2,FALSE),"?"))</f>
        <v/>
      </c>
      <c r="Q199">
        <f>IF(K199="Cancelled",0,N(J199))</f>
        <v/>
      </c>
      <c r="R199">
        <f>IF(OR(H199&lt;&gt;"Cash",P199="T",P199="D"),0,Q199)</f>
        <v/>
      </c>
      <c r="S199">
        <f>IF(R199=0,0,SUMIFS($R$18:$R$317,$B$18:$B$317,B199,$D$18:$D$317,D199))</f>
        <v/>
      </c>
      <c r="T199">
        <f>IF(OR(R199=0,E199=""),0,SUMIFS($R$18:$R$317,$E$18:$E$317,E199))</f>
        <v/>
      </c>
      <c r="U199">
        <f>IF(E199="","",IF(N(F199)&gt;0,F199,IFERROR(INDEX($F$18:$F$317,MATCH(E199,$E$18:$E$317,0)),"")))</f>
        <v/>
      </c>
      <c r="V199">
        <f>IF(OR(N199="",N199="OK",K199="Cancelled"),0,1)</f>
        <v/>
      </c>
    </row>
    <row r="200">
      <c r="B200" s="21" t="n"/>
      <c r="C200" s="22">
        <f>IF(B200="","",$E$10&amp;TEXT(N($E$11)+182,"000"))</f>
        <v/>
      </c>
      <c r="D200" s="14" t="n"/>
      <c r="E200" s="23" t="n"/>
      <c r="F200" s="24" t="n"/>
      <c r="G200" s="14" t="n"/>
      <c r="H200" s="14" t="n"/>
      <c r="I200" s="23" t="n"/>
      <c r="J200" s="24" t="n"/>
      <c r="K200" s="23" t="n"/>
      <c r="L200" s="25">
        <f>IF(OR(E200="",N(U200)=0),"",U200-SUMIFS(Q$18:Q200,E$18:E200,E200))</f>
        <v/>
      </c>
      <c r="M200" s="26">
        <f>IF(OR(N(J200)=0,K200="Cancelled"),"",IF(AND(N(J200)&gt;5000,P200&lt;&gt;"G"),"Yes: ₹1","No"))</f>
        <v/>
      </c>
      <c r="N200" s="27">
        <f>IF(AND(B200="",D200="",N(J200)=0),"",IF(B200="","Enter the date",IF(AND(ROW()&gt;18,B199=""),"Use the next empty row: a skipped row leaves a gap in the receipt numbers",IF(D200="","Enter who paid",IF(N(J200)=0,"Enter the amount",IF(G200="","Pick what the money was for",IF(P200="?","Pick what it was for from the list",IF(H200="","Pick how it was paid",IF(K200="Cancelled","Cancelled: keep this number unused and give a fresh receipt",IF(AND(H200&lt;&gt;"Cash",I200=""),"Enter the cheque no., UTR or UPI reference",IF(AND(L200&lt;&gt;"",N(L200)&lt;0),"More than the balance due on this invoice",IF(S200&gt;=200000,"₹2,00,000 or more in cash from this person today: barred, s.186",IF(T200&gt;=200000,"₹2,00,000 or more in cash against this invoice: barred, s.186",IF(AND(P200="T",H200="Cash",N(J200)&gt;=20000),"Loan of ₹20,000 or more in cash: barred, s.185",IF(AND(P200="D",H200="Cash",N(J200)&gt;=20000),"Cash deposit of ₹20,000 or more: ask your accountant whether s.185 applies",IF(AND(OR(P200="AG",P200="AS"),$E$9&lt;&gt;""),"Advance: also give a GST receipt voucher, s.31(3)(d) and Rule 50","OK"))))))))))))))))</f>
        <v/>
      </c>
      <c r="P200">
        <f>IF(G200="","",IFERROR(VLOOKUP(G200,Lists!$A$2:$B$9,2,FALSE),"?"))</f>
        <v/>
      </c>
      <c r="Q200">
        <f>IF(K200="Cancelled",0,N(J200))</f>
        <v/>
      </c>
      <c r="R200">
        <f>IF(OR(H200&lt;&gt;"Cash",P200="T",P200="D"),0,Q200)</f>
        <v/>
      </c>
      <c r="S200">
        <f>IF(R200=0,0,SUMIFS($R$18:$R$317,$B$18:$B$317,B200,$D$18:$D$317,D200))</f>
        <v/>
      </c>
      <c r="T200">
        <f>IF(OR(R200=0,E200=""),0,SUMIFS($R$18:$R$317,$E$18:$E$317,E200))</f>
        <v/>
      </c>
      <c r="U200">
        <f>IF(E200="","",IF(N(F200)&gt;0,F200,IFERROR(INDEX($F$18:$F$317,MATCH(E200,$E$18:$E$317,0)),"")))</f>
        <v/>
      </c>
      <c r="V200">
        <f>IF(OR(N200="",N200="OK",K200="Cancelled"),0,1)</f>
        <v/>
      </c>
    </row>
    <row r="201">
      <c r="B201" s="21" t="n"/>
      <c r="C201" s="22">
        <f>IF(B201="","",$E$10&amp;TEXT(N($E$11)+183,"000"))</f>
        <v/>
      </c>
      <c r="D201" s="14" t="n"/>
      <c r="E201" s="23" t="n"/>
      <c r="F201" s="24" t="n"/>
      <c r="G201" s="14" t="n"/>
      <c r="H201" s="14" t="n"/>
      <c r="I201" s="23" t="n"/>
      <c r="J201" s="24" t="n"/>
      <c r="K201" s="23" t="n"/>
      <c r="L201" s="25">
        <f>IF(OR(E201="",N(U201)=0),"",U201-SUMIFS(Q$18:Q201,E$18:E201,E201))</f>
        <v/>
      </c>
      <c r="M201" s="26">
        <f>IF(OR(N(J201)=0,K201="Cancelled"),"",IF(AND(N(J201)&gt;5000,P201&lt;&gt;"G"),"Yes: ₹1","No"))</f>
        <v/>
      </c>
      <c r="N201" s="27">
        <f>IF(AND(B201="",D201="",N(J201)=0),"",IF(B201="","Enter the date",IF(AND(ROW()&gt;18,B200=""),"Use the next empty row: a skipped row leaves a gap in the receipt numbers",IF(D201="","Enter who paid",IF(N(J201)=0,"Enter the amount",IF(G201="","Pick what the money was for",IF(P201="?","Pick what it was for from the list",IF(H201="","Pick how it was paid",IF(K201="Cancelled","Cancelled: keep this number unused and give a fresh receipt",IF(AND(H201&lt;&gt;"Cash",I201=""),"Enter the cheque no., UTR or UPI reference",IF(AND(L201&lt;&gt;"",N(L201)&lt;0),"More than the balance due on this invoice",IF(S201&gt;=200000,"₹2,00,000 or more in cash from this person today: barred, s.186",IF(T201&gt;=200000,"₹2,00,000 or more in cash against this invoice: barred, s.186",IF(AND(P201="T",H201="Cash",N(J201)&gt;=20000),"Loan of ₹20,000 or more in cash: barred, s.185",IF(AND(P201="D",H201="Cash",N(J201)&gt;=20000),"Cash deposit of ₹20,000 or more: ask your accountant whether s.185 applies",IF(AND(OR(P201="AG",P201="AS"),$E$9&lt;&gt;""),"Advance: also give a GST receipt voucher, s.31(3)(d) and Rule 50","OK"))))))))))))))))</f>
        <v/>
      </c>
      <c r="P201">
        <f>IF(G201="","",IFERROR(VLOOKUP(G201,Lists!$A$2:$B$9,2,FALSE),"?"))</f>
        <v/>
      </c>
      <c r="Q201">
        <f>IF(K201="Cancelled",0,N(J201))</f>
        <v/>
      </c>
      <c r="R201">
        <f>IF(OR(H201&lt;&gt;"Cash",P201="T",P201="D"),0,Q201)</f>
        <v/>
      </c>
      <c r="S201">
        <f>IF(R201=0,0,SUMIFS($R$18:$R$317,$B$18:$B$317,B201,$D$18:$D$317,D201))</f>
        <v/>
      </c>
      <c r="T201">
        <f>IF(OR(R201=0,E201=""),0,SUMIFS($R$18:$R$317,$E$18:$E$317,E201))</f>
        <v/>
      </c>
      <c r="U201">
        <f>IF(E201="","",IF(N(F201)&gt;0,F201,IFERROR(INDEX($F$18:$F$317,MATCH(E201,$E$18:$E$317,0)),"")))</f>
        <v/>
      </c>
      <c r="V201">
        <f>IF(OR(N201="",N201="OK",K201="Cancelled"),0,1)</f>
        <v/>
      </c>
    </row>
    <row r="202">
      <c r="B202" s="21" t="n"/>
      <c r="C202" s="22">
        <f>IF(B202="","",$E$10&amp;TEXT(N($E$11)+184,"000"))</f>
        <v/>
      </c>
      <c r="D202" s="14" t="n"/>
      <c r="E202" s="23" t="n"/>
      <c r="F202" s="24" t="n"/>
      <c r="G202" s="14" t="n"/>
      <c r="H202" s="14" t="n"/>
      <c r="I202" s="23" t="n"/>
      <c r="J202" s="24" t="n"/>
      <c r="K202" s="23" t="n"/>
      <c r="L202" s="25">
        <f>IF(OR(E202="",N(U202)=0),"",U202-SUMIFS(Q$18:Q202,E$18:E202,E202))</f>
        <v/>
      </c>
      <c r="M202" s="26">
        <f>IF(OR(N(J202)=0,K202="Cancelled"),"",IF(AND(N(J202)&gt;5000,P202&lt;&gt;"G"),"Yes: ₹1","No"))</f>
        <v/>
      </c>
      <c r="N202" s="27">
        <f>IF(AND(B202="",D202="",N(J202)=0),"",IF(B202="","Enter the date",IF(AND(ROW()&gt;18,B201=""),"Use the next empty row: a skipped row leaves a gap in the receipt numbers",IF(D202="","Enter who paid",IF(N(J202)=0,"Enter the amount",IF(G202="","Pick what the money was for",IF(P202="?","Pick what it was for from the list",IF(H202="","Pick how it was paid",IF(K202="Cancelled","Cancelled: keep this number unused and give a fresh receipt",IF(AND(H202&lt;&gt;"Cash",I202=""),"Enter the cheque no., UTR or UPI reference",IF(AND(L202&lt;&gt;"",N(L202)&lt;0),"More than the balance due on this invoice",IF(S202&gt;=200000,"₹2,00,000 or more in cash from this person today: barred, s.186",IF(T202&gt;=200000,"₹2,00,000 or more in cash against this invoice: barred, s.186",IF(AND(P202="T",H202="Cash",N(J202)&gt;=20000),"Loan of ₹20,000 or more in cash: barred, s.185",IF(AND(P202="D",H202="Cash",N(J202)&gt;=20000),"Cash deposit of ₹20,000 or more: ask your accountant whether s.185 applies",IF(AND(OR(P202="AG",P202="AS"),$E$9&lt;&gt;""),"Advance: also give a GST receipt voucher, s.31(3)(d) and Rule 50","OK"))))))))))))))))</f>
        <v/>
      </c>
      <c r="P202">
        <f>IF(G202="","",IFERROR(VLOOKUP(G202,Lists!$A$2:$B$9,2,FALSE),"?"))</f>
        <v/>
      </c>
      <c r="Q202">
        <f>IF(K202="Cancelled",0,N(J202))</f>
        <v/>
      </c>
      <c r="R202">
        <f>IF(OR(H202&lt;&gt;"Cash",P202="T",P202="D"),0,Q202)</f>
        <v/>
      </c>
      <c r="S202">
        <f>IF(R202=0,0,SUMIFS($R$18:$R$317,$B$18:$B$317,B202,$D$18:$D$317,D202))</f>
        <v/>
      </c>
      <c r="T202">
        <f>IF(OR(R202=0,E202=""),0,SUMIFS($R$18:$R$317,$E$18:$E$317,E202))</f>
        <v/>
      </c>
      <c r="U202">
        <f>IF(E202="","",IF(N(F202)&gt;0,F202,IFERROR(INDEX($F$18:$F$317,MATCH(E202,$E$18:$E$317,0)),"")))</f>
        <v/>
      </c>
      <c r="V202">
        <f>IF(OR(N202="",N202="OK",K202="Cancelled"),0,1)</f>
        <v/>
      </c>
    </row>
    <row r="203">
      <c r="B203" s="21" t="n"/>
      <c r="C203" s="22">
        <f>IF(B203="","",$E$10&amp;TEXT(N($E$11)+185,"000"))</f>
        <v/>
      </c>
      <c r="D203" s="14" t="n"/>
      <c r="E203" s="23" t="n"/>
      <c r="F203" s="24" t="n"/>
      <c r="G203" s="14" t="n"/>
      <c r="H203" s="14" t="n"/>
      <c r="I203" s="23" t="n"/>
      <c r="J203" s="24" t="n"/>
      <c r="K203" s="23" t="n"/>
      <c r="L203" s="25">
        <f>IF(OR(E203="",N(U203)=0),"",U203-SUMIFS(Q$18:Q203,E$18:E203,E203))</f>
        <v/>
      </c>
      <c r="M203" s="26">
        <f>IF(OR(N(J203)=0,K203="Cancelled"),"",IF(AND(N(J203)&gt;5000,P203&lt;&gt;"G"),"Yes: ₹1","No"))</f>
        <v/>
      </c>
      <c r="N203" s="27">
        <f>IF(AND(B203="",D203="",N(J203)=0),"",IF(B203="","Enter the date",IF(AND(ROW()&gt;18,B202=""),"Use the next empty row: a skipped row leaves a gap in the receipt numbers",IF(D203="","Enter who paid",IF(N(J203)=0,"Enter the amount",IF(G203="","Pick what the money was for",IF(P203="?","Pick what it was for from the list",IF(H203="","Pick how it was paid",IF(K203="Cancelled","Cancelled: keep this number unused and give a fresh receipt",IF(AND(H203&lt;&gt;"Cash",I203=""),"Enter the cheque no., UTR or UPI reference",IF(AND(L203&lt;&gt;"",N(L203)&lt;0),"More than the balance due on this invoice",IF(S203&gt;=200000,"₹2,00,000 or more in cash from this person today: barred, s.186",IF(T203&gt;=200000,"₹2,00,000 or more in cash against this invoice: barred, s.186",IF(AND(P203="T",H203="Cash",N(J203)&gt;=20000),"Loan of ₹20,000 or more in cash: barred, s.185",IF(AND(P203="D",H203="Cash",N(J203)&gt;=20000),"Cash deposit of ₹20,000 or more: ask your accountant whether s.185 applies",IF(AND(OR(P203="AG",P203="AS"),$E$9&lt;&gt;""),"Advance: also give a GST receipt voucher, s.31(3)(d) and Rule 50","OK"))))))))))))))))</f>
        <v/>
      </c>
      <c r="P203">
        <f>IF(G203="","",IFERROR(VLOOKUP(G203,Lists!$A$2:$B$9,2,FALSE),"?"))</f>
        <v/>
      </c>
      <c r="Q203">
        <f>IF(K203="Cancelled",0,N(J203))</f>
        <v/>
      </c>
      <c r="R203">
        <f>IF(OR(H203&lt;&gt;"Cash",P203="T",P203="D"),0,Q203)</f>
        <v/>
      </c>
      <c r="S203">
        <f>IF(R203=0,0,SUMIFS($R$18:$R$317,$B$18:$B$317,B203,$D$18:$D$317,D203))</f>
        <v/>
      </c>
      <c r="T203">
        <f>IF(OR(R203=0,E203=""),0,SUMIFS($R$18:$R$317,$E$18:$E$317,E203))</f>
        <v/>
      </c>
      <c r="U203">
        <f>IF(E203="","",IF(N(F203)&gt;0,F203,IFERROR(INDEX($F$18:$F$317,MATCH(E203,$E$18:$E$317,0)),"")))</f>
        <v/>
      </c>
      <c r="V203">
        <f>IF(OR(N203="",N203="OK",K203="Cancelled"),0,1)</f>
        <v/>
      </c>
    </row>
    <row r="204">
      <c r="B204" s="21" t="n"/>
      <c r="C204" s="22">
        <f>IF(B204="","",$E$10&amp;TEXT(N($E$11)+186,"000"))</f>
        <v/>
      </c>
      <c r="D204" s="14" t="n"/>
      <c r="E204" s="23" t="n"/>
      <c r="F204" s="24" t="n"/>
      <c r="G204" s="14" t="n"/>
      <c r="H204" s="14" t="n"/>
      <c r="I204" s="23" t="n"/>
      <c r="J204" s="24" t="n"/>
      <c r="K204" s="23" t="n"/>
      <c r="L204" s="25">
        <f>IF(OR(E204="",N(U204)=0),"",U204-SUMIFS(Q$18:Q204,E$18:E204,E204))</f>
        <v/>
      </c>
      <c r="M204" s="26">
        <f>IF(OR(N(J204)=0,K204="Cancelled"),"",IF(AND(N(J204)&gt;5000,P204&lt;&gt;"G"),"Yes: ₹1","No"))</f>
        <v/>
      </c>
      <c r="N204" s="27">
        <f>IF(AND(B204="",D204="",N(J204)=0),"",IF(B204="","Enter the date",IF(AND(ROW()&gt;18,B203=""),"Use the next empty row: a skipped row leaves a gap in the receipt numbers",IF(D204="","Enter who paid",IF(N(J204)=0,"Enter the amount",IF(G204="","Pick what the money was for",IF(P204="?","Pick what it was for from the list",IF(H204="","Pick how it was paid",IF(K204="Cancelled","Cancelled: keep this number unused and give a fresh receipt",IF(AND(H204&lt;&gt;"Cash",I204=""),"Enter the cheque no., UTR or UPI reference",IF(AND(L204&lt;&gt;"",N(L204)&lt;0),"More than the balance due on this invoice",IF(S204&gt;=200000,"₹2,00,000 or more in cash from this person today: barred, s.186",IF(T204&gt;=200000,"₹2,00,000 or more in cash against this invoice: barred, s.186",IF(AND(P204="T",H204="Cash",N(J204)&gt;=20000),"Loan of ₹20,000 or more in cash: barred, s.185",IF(AND(P204="D",H204="Cash",N(J204)&gt;=20000),"Cash deposit of ₹20,000 or more: ask your accountant whether s.185 applies",IF(AND(OR(P204="AG",P204="AS"),$E$9&lt;&gt;""),"Advance: also give a GST receipt voucher, s.31(3)(d) and Rule 50","OK"))))))))))))))))</f>
        <v/>
      </c>
      <c r="P204">
        <f>IF(G204="","",IFERROR(VLOOKUP(G204,Lists!$A$2:$B$9,2,FALSE),"?"))</f>
        <v/>
      </c>
      <c r="Q204">
        <f>IF(K204="Cancelled",0,N(J204))</f>
        <v/>
      </c>
      <c r="R204">
        <f>IF(OR(H204&lt;&gt;"Cash",P204="T",P204="D"),0,Q204)</f>
        <v/>
      </c>
      <c r="S204">
        <f>IF(R204=0,0,SUMIFS($R$18:$R$317,$B$18:$B$317,B204,$D$18:$D$317,D204))</f>
        <v/>
      </c>
      <c r="T204">
        <f>IF(OR(R204=0,E204=""),0,SUMIFS($R$18:$R$317,$E$18:$E$317,E204))</f>
        <v/>
      </c>
      <c r="U204">
        <f>IF(E204="","",IF(N(F204)&gt;0,F204,IFERROR(INDEX($F$18:$F$317,MATCH(E204,$E$18:$E$317,0)),"")))</f>
        <v/>
      </c>
      <c r="V204">
        <f>IF(OR(N204="",N204="OK",K204="Cancelled"),0,1)</f>
        <v/>
      </c>
    </row>
    <row r="205">
      <c r="B205" s="21" t="n"/>
      <c r="C205" s="22">
        <f>IF(B205="","",$E$10&amp;TEXT(N($E$11)+187,"000"))</f>
        <v/>
      </c>
      <c r="D205" s="14" t="n"/>
      <c r="E205" s="23" t="n"/>
      <c r="F205" s="24" t="n"/>
      <c r="G205" s="14" t="n"/>
      <c r="H205" s="14" t="n"/>
      <c r="I205" s="23" t="n"/>
      <c r="J205" s="24" t="n"/>
      <c r="K205" s="23" t="n"/>
      <c r="L205" s="25">
        <f>IF(OR(E205="",N(U205)=0),"",U205-SUMIFS(Q$18:Q205,E$18:E205,E205))</f>
        <v/>
      </c>
      <c r="M205" s="26">
        <f>IF(OR(N(J205)=0,K205="Cancelled"),"",IF(AND(N(J205)&gt;5000,P205&lt;&gt;"G"),"Yes: ₹1","No"))</f>
        <v/>
      </c>
      <c r="N205" s="27">
        <f>IF(AND(B205="",D205="",N(J205)=0),"",IF(B205="","Enter the date",IF(AND(ROW()&gt;18,B204=""),"Use the next empty row: a skipped row leaves a gap in the receipt numbers",IF(D205="","Enter who paid",IF(N(J205)=0,"Enter the amount",IF(G205="","Pick what the money was for",IF(P205="?","Pick what it was for from the list",IF(H205="","Pick how it was paid",IF(K205="Cancelled","Cancelled: keep this number unused and give a fresh receipt",IF(AND(H205&lt;&gt;"Cash",I205=""),"Enter the cheque no., UTR or UPI reference",IF(AND(L205&lt;&gt;"",N(L205)&lt;0),"More than the balance due on this invoice",IF(S205&gt;=200000,"₹2,00,000 or more in cash from this person today: barred, s.186",IF(T205&gt;=200000,"₹2,00,000 or more in cash against this invoice: barred, s.186",IF(AND(P205="T",H205="Cash",N(J205)&gt;=20000),"Loan of ₹20,000 or more in cash: barred, s.185",IF(AND(P205="D",H205="Cash",N(J205)&gt;=20000),"Cash deposit of ₹20,000 or more: ask your accountant whether s.185 applies",IF(AND(OR(P205="AG",P205="AS"),$E$9&lt;&gt;""),"Advance: also give a GST receipt voucher, s.31(3)(d) and Rule 50","OK"))))))))))))))))</f>
        <v/>
      </c>
      <c r="P205">
        <f>IF(G205="","",IFERROR(VLOOKUP(G205,Lists!$A$2:$B$9,2,FALSE),"?"))</f>
        <v/>
      </c>
      <c r="Q205">
        <f>IF(K205="Cancelled",0,N(J205))</f>
        <v/>
      </c>
      <c r="R205">
        <f>IF(OR(H205&lt;&gt;"Cash",P205="T",P205="D"),0,Q205)</f>
        <v/>
      </c>
      <c r="S205">
        <f>IF(R205=0,0,SUMIFS($R$18:$R$317,$B$18:$B$317,B205,$D$18:$D$317,D205))</f>
        <v/>
      </c>
      <c r="T205">
        <f>IF(OR(R205=0,E205=""),0,SUMIFS($R$18:$R$317,$E$18:$E$317,E205))</f>
        <v/>
      </c>
      <c r="U205">
        <f>IF(E205="","",IF(N(F205)&gt;0,F205,IFERROR(INDEX($F$18:$F$317,MATCH(E205,$E$18:$E$317,0)),"")))</f>
        <v/>
      </c>
      <c r="V205">
        <f>IF(OR(N205="",N205="OK",K205="Cancelled"),0,1)</f>
        <v/>
      </c>
    </row>
    <row r="206">
      <c r="B206" s="21" t="n"/>
      <c r="C206" s="22">
        <f>IF(B206="","",$E$10&amp;TEXT(N($E$11)+188,"000"))</f>
        <v/>
      </c>
      <c r="D206" s="14" t="n"/>
      <c r="E206" s="23" t="n"/>
      <c r="F206" s="24" t="n"/>
      <c r="G206" s="14" t="n"/>
      <c r="H206" s="14" t="n"/>
      <c r="I206" s="23" t="n"/>
      <c r="J206" s="24" t="n"/>
      <c r="K206" s="23" t="n"/>
      <c r="L206" s="25">
        <f>IF(OR(E206="",N(U206)=0),"",U206-SUMIFS(Q$18:Q206,E$18:E206,E206))</f>
        <v/>
      </c>
      <c r="M206" s="26">
        <f>IF(OR(N(J206)=0,K206="Cancelled"),"",IF(AND(N(J206)&gt;5000,P206&lt;&gt;"G"),"Yes: ₹1","No"))</f>
        <v/>
      </c>
      <c r="N206" s="27">
        <f>IF(AND(B206="",D206="",N(J206)=0),"",IF(B206="","Enter the date",IF(AND(ROW()&gt;18,B205=""),"Use the next empty row: a skipped row leaves a gap in the receipt numbers",IF(D206="","Enter who paid",IF(N(J206)=0,"Enter the amount",IF(G206="","Pick what the money was for",IF(P206="?","Pick what it was for from the list",IF(H206="","Pick how it was paid",IF(K206="Cancelled","Cancelled: keep this number unused and give a fresh receipt",IF(AND(H206&lt;&gt;"Cash",I206=""),"Enter the cheque no., UTR or UPI reference",IF(AND(L206&lt;&gt;"",N(L206)&lt;0),"More than the balance due on this invoice",IF(S206&gt;=200000,"₹2,00,000 or more in cash from this person today: barred, s.186",IF(T206&gt;=200000,"₹2,00,000 or more in cash against this invoice: barred, s.186",IF(AND(P206="T",H206="Cash",N(J206)&gt;=20000),"Loan of ₹20,000 or more in cash: barred, s.185",IF(AND(P206="D",H206="Cash",N(J206)&gt;=20000),"Cash deposit of ₹20,000 or more: ask your accountant whether s.185 applies",IF(AND(OR(P206="AG",P206="AS"),$E$9&lt;&gt;""),"Advance: also give a GST receipt voucher, s.31(3)(d) and Rule 50","OK"))))))))))))))))</f>
        <v/>
      </c>
      <c r="P206">
        <f>IF(G206="","",IFERROR(VLOOKUP(G206,Lists!$A$2:$B$9,2,FALSE),"?"))</f>
        <v/>
      </c>
      <c r="Q206">
        <f>IF(K206="Cancelled",0,N(J206))</f>
        <v/>
      </c>
      <c r="R206">
        <f>IF(OR(H206&lt;&gt;"Cash",P206="T",P206="D"),0,Q206)</f>
        <v/>
      </c>
      <c r="S206">
        <f>IF(R206=0,0,SUMIFS($R$18:$R$317,$B$18:$B$317,B206,$D$18:$D$317,D206))</f>
        <v/>
      </c>
      <c r="T206">
        <f>IF(OR(R206=0,E206=""),0,SUMIFS($R$18:$R$317,$E$18:$E$317,E206))</f>
        <v/>
      </c>
      <c r="U206">
        <f>IF(E206="","",IF(N(F206)&gt;0,F206,IFERROR(INDEX($F$18:$F$317,MATCH(E206,$E$18:$E$317,0)),"")))</f>
        <v/>
      </c>
      <c r="V206">
        <f>IF(OR(N206="",N206="OK",K206="Cancelled"),0,1)</f>
        <v/>
      </c>
    </row>
    <row r="207">
      <c r="B207" s="21" t="n"/>
      <c r="C207" s="22">
        <f>IF(B207="","",$E$10&amp;TEXT(N($E$11)+189,"000"))</f>
        <v/>
      </c>
      <c r="D207" s="14" t="n"/>
      <c r="E207" s="23" t="n"/>
      <c r="F207" s="24" t="n"/>
      <c r="G207" s="14" t="n"/>
      <c r="H207" s="14" t="n"/>
      <c r="I207" s="23" t="n"/>
      <c r="J207" s="24" t="n"/>
      <c r="K207" s="23" t="n"/>
      <c r="L207" s="25">
        <f>IF(OR(E207="",N(U207)=0),"",U207-SUMIFS(Q$18:Q207,E$18:E207,E207))</f>
        <v/>
      </c>
      <c r="M207" s="26">
        <f>IF(OR(N(J207)=0,K207="Cancelled"),"",IF(AND(N(J207)&gt;5000,P207&lt;&gt;"G"),"Yes: ₹1","No"))</f>
        <v/>
      </c>
      <c r="N207" s="27">
        <f>IF(AND(B207="",D207="",N(J207)=0),"",IF(B207="","Enter the date",IF(AND(ROW()&gt;18,B206=""),"Use the next empty row: a skipped row leaves a gap in the receipt numbers",IF(D207="","Enter who paid",IF(N(J207)=0,"Enter the amount",IF(G207="","Pick what the money was for",IF(P207="?","Pick what it was for from the list",IF(H207="","Pick how it was paid",IF(K207="Cancelled","Cancelled: keep this number unused and give a fresh receipt",IF(AND(H207&lt;&gt;"Cash",I207=""),"Enter the cheque no., UTR or UPI reference",IF(AND(L207&lt;&gt;"",N(L207)&lt;0),"More than the balance due on this invoice",IF(S207&gt;=200000,"₹2,00,000 or more in cash from this person today: barred, s.186",IF(T207&gt;=200000,"₹2,00,000 or more in cash against this invoice: barred, s.186",IF(AND(P207="T",H207="Cash",N(J207)&gt;=20000),"Loan of ₹20,000 or more in cash: barred, s.185",IF(AND(P207="D",H207="Cash",N(J207)&gt;=20000),"Cash deposit of ₹20,000 or more: ask your accountant whether s.185 applies",IF(AND(OR(P207="AG",P207="AS"),$E$9&lt;&gt;""),"Advance: also give a GST receipt voucher, s.31(3)(d) and Rule 50","OK"))))))))))))))))</f>
        <v/>
      </c>
      <c r="P207">
        <f>IF(G207="","",IFERROR(VLOOKUP(G207,Lists!$A$2:$B$9,2,FALSE),"?"))</f>
        <v/>
      </c>
      <c r="Q207">
        <f>IF(K207="Cancelled",0,N(J207))</f>
        <v/>
      </c>
      <c r="R207">
        <f>IF(OR(H207&lt;&gt;"Cash",P207="T",P207="D"),0,Q207)</f>
        <v/>
      </c>
      <c r="S207">
        <f>IF(R207=0,0,SUMIFS($R$18:$R$317,$B$18:$B$317,B207,$D$18:$D$317,D207))</f>
        <v/>
      </c>
      <c r="T207">
        <f>IF(OR(R207=0,E207=""),0,SUMIFS($R$18:$R$317,$E$18:$E$317,E207))</f>
        <v/>
      </c>
      <c r="U207">
        <f>IF(E207="","",IF(N(F207)&gt;0,F207,IFERROR(INDEX($F$18:$F$317,MATCH(E207,$E$18:$E$317,0)),"")))</f>
        <v/>
      </c>
      <c r="V207">
        <f>IF(OR(N207="",N207="OK",K207="Cancelled"),0,1)</f>
        <v/>
      </c>
    </row>
    <row r="208">
      <c r="B208" s="21" t="n"/>
      <c r="C208" s="22">
        <f>IF(B208="","",$E$10&amp;TEXT(N($E$11)+190,"000"))</f>
        <v/>
      </c>
      <c r="D208" s="14" t="n"/>
      <c r="E208" s="23" t="n"/>
      <c r="F208" s="24" t="n"/>
      <c r="G208" s="14" t="n"/>
      <c r="H208" s="14" t="n"/>
      <c r="I208" s="23" t="n"/>
      <c r="J208" s="24" t="n"/>
      <c r="K208" s="23" t="n"/>
      <c r="L208" s="25">
        <f>IF(OR(E208="",N(U208)=0),"",U208-SUMIFS(Q$18:Q208,E$18:E208,E208))</f>
        <v/>
      </c>
      <c r="M208" s="26">
        <f>IF(OR(N(J208)=0,K208="Cancelled"),"",IF(AND(N(J208)&gt;5000,P208&lt;&gt;"G"),"Yes: ₹1","No"))</f>
        <v/>
      </c>
      <c r="N208" s="27">
        <f>IF(AND(B208="",D208="",N(J208)=0),"",IF(B208="","Enter the date",IF(AND(ROW()&gt;18,B207=""),"Use the next empty row: a skipped row leaves a gap in the receipt numbers",IF(D208="","Enter who paid",IF(N(J208)=0,"Enter the amount",IF(G208="","Pick what the money was for",IF(P208="?","Pick what it was for from the list",IF(H208="","Pick how it was paid",IF(K208="Cancelled","Cancelled: keep this number unused and give a fresh receipt",IF(AND(H208&lt;&gt;"Cash",I208=""),"Enter the cheque no., UTR or UPI reference",IF(AND(L208&lt;&gt;"",N(L208)&lt;0),"More than the balance due on this invoice",IF(S208&gt;=200000,"₹2,00,000 or more in cash from this person today: barred, s.186",IF(T208&gt;=200000,"₹2,00,000 or more in cash against this invoice: barred, s.186",IF(AND(P208="T",H208="Cash",N(J208)&gt;=20000),"Loan of ₹20,000 or more in cash: barred, s.185",IF(AND(P208="D",H208="Cash",N(J208)&gt;=20000),"Cash deposit of ₹20,000 or more: ask your accountant whether s.185 applies",IF(AND(OR(P208="AG",P208="AS"),$E$9&lt;&gt;""),"Advance: also give a GST receipt voucher, s.31(3)(d) and Rule 50","OK"))))))))))))))))</f>
        <v/>
      </c>
      <c r="P208">
        <f>IF(G208="","",IFERROR(VLOOKUP(G208,Lists!$A$2:$B$9,2,FALSE),"?"))</f>
        <v/>
      </c>
      <c r="Q208">
        <f>IF(K208="Cancelled",0,N(J208))</f>
        <v/>
      </c>
      <c r="R208">
        <f>IF(OR(H208&lt;&gt;"Cash",P208="T",P208="D"),0,Q208)</f>
        <v/>
      </c>
      <c r="S208">
        <f>IF(R208=0,0,SUMIFS($R$18:$R$317,$B$18:$B$317,B208,$D$18:$D$317,D208))</f>
        <v/>
      </c>
      <c r="T208">
        <f>IF(OR(R208=0,E208=""),0,SUMIFS($R$18:$R$317,$E$18:$E$317,E208))</f>
        <v/>
      </c>
      <c r="U208">
        <f>IF(E208="","",IF(N(F208)&gt;0,F208,IFERROR(INDEX($F$18:$F$317,MATCH(E208,$E$18:$E$317,0)),"")))</f>
        <v/>
      </c>
      <c r="V208">
        <f>IF(OR(N208="",N208="OK",K208="Cancelled"),0,1)</f>
        <v/>
      </c>
    </row>
    <row r="209">
      <c r="B209" s="21" t="n"/>
      <c r="C209" s="22">
        <f>IF(B209="","",$E$10&amp;TEXT(N($E$11)+191,"000"))</f>
        <v/>
      </c>
      <c r="D209" s="14" t="n"/>
      <c r="E209" s="23" t="n"/>
      <c r="F209" s="24" t="n"/>
      <c r="G209" s="14" t="n"/>
      <c r="H209" s="14" t="n"/>
      <c r="I209" s="23" t="n"/>
      <c r="J209" s="24" t="n"/>
      <c r="K209" s="23" t="n"/>
      <c r="L209" s="25">
        <f>IF(OR(E209="",N(U209)=0),"",U209-SUMIFS(Q$18:Q209,E$18:E209,E209))</f>
        <v/>
      </c>
      <c r="M209" s="26">
        <f>IF(OR(N(J209)=0,K209="Cancelled"),"",IF(AND(N(J209)&gt;5000,P209&lt;&gt;"G"),"Yes: ₹1","No"))</f>
        <v/>
      </c>
      <c r="N209" s="27">
        <f>IF(AND(B209="",D209="",N(J209)=0),"",IF(B209="","Enter the date",IF(AND(ROW()&gt;18,B208=""),"Use the next empty row: a skipped row leaves a gap in the receipt numbers",IF(D209="","Enter who paid",IF(N(J209)=0,"Enter the amount",IF(G209="","Pick what the money was for",IF(P209="?","Pick what it was for from the list",IF(H209="","Pick how it was paid",IF(K209="Cancelled","Cancelled: keep this number unused and give a fresh receipt",IF(AND(H209&lt;&gt;"Cash",I209=""),"Enter the cheque no., UTR or UPI reference",IF(AND(L209&lt;&gt;"",N(L209)&lt;0),"More than the balance due on this invoice",IF(S209&gt;=200000,"₹2,00,000 or more in cash from this person today: barred, s.186",IF(T209&gt;=200000,"₹2,00,000 or more in cash against this invoice: barred, s.186",IF(AND(P209="T",H209="Cash",N(J209)&gt;=20000),"Loan of ₹20,000 or more in cash: barred, s.185",IF(AND(P209="D",H209="Cash",N(J209)&gt;=20000),"Cash deposit of ₹20,000 or more: ask your accountant whether s.185 applies",IF(AND(OR(P209="AG",P209="AS"),$E$9&lt;&gt;""),"Advance: also give a GST receipt voucher, s.31(3)(d) and Rule 50","OK"))))))))))))))))</f>
        <v/>
      </c>
      <c r="P209">
        <f>IF(G209="","",IFERROR(VLOOKUP(G209,Lists!$A$2:$B$9,2,FALSE),"?"))</f>
        <v/>
      </c>
      <c r="Q209">
        <f>IF(K209="Cancelled",0,N(J209))</f>
        <v/>
      </c>
      <c r="R209">
        <f>IF(OR(H209&lt;&gt;"Cash",P209="T",P209="D"),0,Q209)</f>
        <v/>
      </c>
      <c r="S209">
        <f>IF(R209=0,0,SUMIFS($R$18:$R$317,$B$18:$B$317,B209,$D$18:$D$317,D209))</f>
        <v/>
      </c>
      <c r="T209">
        <f>IF(OR(R209=0,E209=""),0,SUMIFS($R$18:$R$317,$E$18:$E$317,E209))</f>
        <v/>
      </c>
      <c r="U209">
        <f>IF(E209="","",IF(N(F209)&gt;0,F209,IFERROR(INDEX($F$18:$F$317,MATCH(E209,$E$18:$E$317,0)),"")))</f>
        <v/>
      </c>
      <c r="V209">
        <f>IF(OR(N209="",N209="OK",K209="Cancelled"),0,1)</f>
        <v/>
      </c>
    </row>
    <row r="210">
      <c r="B210" s="21" t="n"/>
      <c r="C210" s="22">
        <f>IF(B210="","",$E$10&amp;TEXT(N($E$11)+192,"000"))</f>
        <v/>
      </c>
      <c r="D210" s="14" t="n"/>
      <c r="E210" s="23" t="n"/>
      <c r="F210" s="24" t="n"/>
      <c r="G210" s="14" t="n"/>
      <c r="H210" s="14" t="n"/>
      <c r="I210" s="23" t="n"/>
      <c r="J210" s="24" t="n"/>
      <c r="K210" s="23" t="n"/>
      <c r="L210" s="25">
        <f>IF(OR(E210="",N(U210)=0),"",U210-SUMIFS(Q$18:Q210,E$18:E210,E210))</f>
        <v/>
      </c>
      <c r="M210" s="26">
        <f>IF(OR(N(J210)=0,K210="Cancelled"),"",IF(AND(N(J210)&gt;5000,P210&lt;&gt;"G"),"Yes: ₹1","No"))</f>
        <v/>
      </c>
      <c r="N210" s="27">
        <f>IF(AND(B210="",D210="",N(J210)=0),"",IF(B210="","Enter the date",IF(AND(ROW()&gt;18,B209=""),"Use the next empty row: a skipped row leaves a gap in the receipt numbers",IF(D210="","Enter who paid",IF(N(J210)=0,"Enter the amount",IF(G210="","Pick what the money was for",IF(P210="?","Pick what it was for from the list",IF(H210="","Pick how it was paid",IF(K210="Cancelled","Cancelled: keep this number unused and give a fresh receipt",IF(AND(H210&lt;&gt;"Cash",I210=""),"Enter the cheque no., UTR or UPI reference",IF(AND(L210&lt;&gt;"",N(L210)&lt;0),"More than the balance due on this invoice",IF(S210&gt;=200000,"₹2,00,000 or more in cash from this person today: barred, s.186",IF(T210&gt;=200000,"₹2,00,000 or more in cash against this invoice: barred, s.186",IF(AND(P210="T",H210="Cash",N(J210)&gt;=20000),"Loan of ₹20,000 or more in cash: barred, s.185",IF(AND(P210="D",H210="Cash",N(J210)&gt;=20000),"Cash deposit of ₹20,000 or more: ask your accountant whether s.185 applies",IF(AND(OR(P210="AG",P210="AS"),$E$9&lt;&gt;""),"Advance: also give a GST receipt voucher, s.31(3)(d) and Rule 50","OK"))))))))))))))))</f>
        <v/>
      </c>
      <c r="P210">
        <f>IF(G210="","",IFERROR(VLOOKUP(G210,Lists!$A$2:$B$9,2,FALSE),"?"))</f>
        <v/>
      </c>
      <c r="Q210">
        <f>IF(K210="Cancelled",0,N(J210))</f>
        <v/>
      </c>
      <c r="R210">
        <f>IF(OR(H210&lt;&gt;"Cash",P210="T",P210="D"),0,Q210)</f>
        <v/>
      </c>
      <c r="S210">
        <f>IF(R210=0,0,SUMIFS($R$18:$R$317,$B$18:$B$317,B210,$D$18:$D$317,D210))</f>
        <v/>
      </c>
      <c r="T210">
        <f>IF(OR(R210=0,E210=""),0,SUMIFS($R$18:$R$317,$E$18:$E$317,E210))</f>
        <v/>
      </c>
      <c r="U210">
        <f>IF(E210="","",IF(N(F210)&gt;0,F210,IFERROR(INDEX($F$18:$F$317,MATCH(E210,$E$18:$E$317,0)),"")))</f>
        <v/>
      </c>
      <c r="V210">
        <f>IF(OR(N210="",N210="OK",K210="Cancelled"),0,1)</f>
        <v/>
      </c>
    </row>
    <row r="211">
      <c r="B211" s="21" t="n"/>
      <c r="C211" s="22">
        <f>IF(B211="","",$E$10&amp;TEXT(N($E$11)+193,"000"))</f>
        <v/>
      </c>
      <c r="D211" s="14" t="n"/>
      <c r="E211" s="23" t="n"/>
      <c r="F211" s="24" t="n"/>
      <c r="G211" s="14" t="n"/>
      <c r="H211" s="14" t="n"/>
      <c r="I211" s="23" t="n"/>
      <c r="J211" s="24" t="n"/>
      <c r="K211" s="23" t="n"/>
      <c r="L211" s="25">
        <f>IF(OR(E211="",N(U211)=0),"",U211-SUMIFS(Q$18:Q211,E$18:E211,E211))</f>
        <v/>
      </c>
      <c r="M211" s="26">
        <f>IF(OR(N(J211)=0,K211="Cancelled"),"",IF(AND(N(J211)&gt;5000,P211&lt;&gt;"G"),"Yes: ₹1","No"))</f>
        <v/>
      </c>
      <c r="N211" s="27">
        <f>IF(AND(B211="",D211="",N(J211)=0),"",IF(B211="","Enter the date",IF(AND(ROW()&gt;18,B210=""),"Use the next empty row: a skipped row leaves a gap in the receipt numbers",IF(D211="","Enter who paid",IF(N(J211)=0,"Enter the amount",IF(G211="","Pick what the money was for",IF(P211="?","Pick what it was for from the list",IF(H211="","Pick how it was paid",IF(K211="Cancelled","Cancelled: keep this number unused and give a fresh receipt",IF(AND(H211&lt;&gt;"Cash",I211=""),"Enter the cheque no., UTR or UPI reference",IF(AND(L211&lt;&gt;"",N(L211)&lt;0),"More than the balance due on this invoice",IF(S211&gt;=200000,"₹2,00,000 or more in cash from this person today: barred, s.186",IF(T211&gt;=200000,"₹2,00,000 or more in cash against this invoice: barred, s.186",IF(AND(P211="T",H211="Cash",N(J211)&gt;=20000),"Loan of ₹20,000 or more in cash: barred, s.185",IF(AND(P211="D",H211="Cash",N(J211)&gt;=20000),"Cash deposit of ₹20,000 or more: ask your accountant whether s.185 applies",IF(AND(OR(P211="AG",P211="AS"),$E$9&lt;&gt;""),"Advance: also give a GST receipt voucher, s.31(3)(d) and Rule 50","OK"))))))))))))))))</f>
        <v/>
      </c>
      <c r="P211">
        <f>IF(G211="","",IFERROR(VLOOKUP(G211,Lists!$A$2:$B$9,2,FALSE),"?"))</f>
        <v/>
      </c>
      <c r="Q211">
        <f>IF(K211="Cancelled",0,N(J211))</f>
        <v/>
      </c>
      <c r="R211">
        <f>IF(OR(H211&lt;&gt;"Cash",P211="T",P211="D"),0,Q211)</f>
        <v/>
      </c>
      <c r="S211">
        <f>IF(R211=0,0,SUMIFS($R$18:$R$317,$B$18:$B$317,B211,$D$18:$D$317,D211))</f>
        <v/>
      </c>
      <c r="T211">
        <f>IF(OR(R211=0,E211=""),0,SUMIFS($R$18:$R$317,$E$18:$E$317,E211))</f>
        <v/>
      </c>
      <c r="U211">
        <f>IF(E211="","",IF(N(F211)&gt;0,F211,IFERROR(INDEX($F$18:$F$317,MATCH(E211,$E$18:$E$317,0)),"")))</f>
        <v/>
      </c>
      <c r="V211">
        <f>IF(OR(N211="",N211="OK",K211="Cancelled"),0,1)</f>
        <v/>
      </c>
    </row>
    <row r="212">
      <c r="B212" s="21" t="n"/>
      <c r="C212" s="22">
        <f>IF(B212="","",$E$10&amp;TEXT(N($E$11)+194,"000"))</f>
        <v/>
      </c>
      <c r="D212" s="14" t="n"/>
      <c r="E212" s="23" t="n"/>
      <c r="F212" s="24" t="n"/>
      <c r="G212" s="14" t="n"/>
      <c r="H212" s="14" t="n"/>
      <c r="I212" s="23" t="n"/>
      <c r="J212" s="24" t="n"/>
      <c r="K212" s="23" t="n"/>
      <c r="L212" s="25">
        <f>IF(OR(E212="",N(U212)=0),"",U212-SUMIFS(Q$18:Q212,E$18:E212,E212))</f>
        <v/>
      </c>
      <c r="M212" s="26">
        <f>IF(OR(N(J212)=0,K212="Cancelled"),"",IF(AND(N(J212)&gt;5000,P212&lt;&gt;"G"),"Yes: ₹1","No"))</f>
        <v/>
      </c>
      <c r="N212" s="27">
        <f>IF(AND(B212="",D212="",N(J212)=0),"",IF(B212="","Enter the date",IF(AND(ROW()&gt;18,B211=""),"Use the next empty row: a skipped row leaves a gap in the receipt numbers",IF(D212="","Enter who paid",IF(N(J212)=0,"Enter the amount",IF(G212="","Pick what the money was for",IF(P212="?","Pick what it was for from the list",IF(H212="","Pick how it was paid",IF(K212="Cancelled","Cancelled: keep this number unused and give a fresh receipt",IF(AND(H212&lt;&gt;"Cash",I212=""),"Enter the cheque no., UTR or UPI reference",IF(AND(L212&lt;&gt;"",N(L212)&lt;0),"More than the balance due on this invoice",IF(S212&gt;=200000,"₹2,00,000 or more in cash from this person today: barred, s.186",IF(T212&gt;=200000,"₹2,00,000 or more in cash against this invoice: barred, s.186",IF(AND(P212="T",H212="Cash",N(J212)&gt;=20000),"Loan of ₹20,000 or more in cash: barred, s.185",IF(AND(P212="D",H212="Cash",N(J212)&gt;=20000),"Cash deposit of ₹20,000 or more: ask your accountant whether s.185 applies",IF(AND(OR(P212="AG",P212="AS"),$E$9&lt;&gt;""),"Advance: also give a GST receipt voucher, s.31(3)(d) and Rule 50","OK"))))))))))))))))</f>
        <v/>
      </c>
      <c r="P212">
        <f>IF(G212="","",IFERROR(VLOOKUP(G212,Lists!$A$2:$B$9,2,FALSE),"?"))</f>
        <v/>
      </c>
      <c r="Q212">
        <f>IF(K212="Cancelled",0,N(J212))</f>
        <v/>
      </c>
      <c r="R212">
        <f>IF(OR(H212&lt;&gt;"Cash",P212="T",P212="D"),0,Q212)</f>
        <v/>
      </c>
      <c r="S212">
        <f>IF(R212=0,0,SUMIFS($R$18:$R$317,$B$18:$B$317,B212,$D$18:$D$317,D212))</f>
        <v/>
      </c>
      <c r="T212">
        <f>IF(OR(R212=0,E212=""),0,SUMIFS($R$18:$R$317,$E$18:$E$317,E212))</f>
        <v/>
      </c>
      <c r="U212">
        <f>IF(E212="","",IF(N(F212)&gt;0,F212,IFERROR(INDEX($F$18:$F$317,MATCH(E212,$E$18:$E$317,0)),"")))</f>
        <v/>
      </c>
      <c r="V212">
        <f>IF(OR(N212="",N212="OK",K212="Cancelled"),0,1)</f>
        <v/>
      </c>
    </row>
    <row r="213">
      <c r="B213" s="21" t="n"/>
      <c r="C213" s="22">
        <f>IF(B213="","",$E$10&amp;TEXT(N($E$11)+195,"000"))</f>
        <v/>
      </c>
      <c r="D213" s="14" t="n"/>
      <c r="E213" s="23" t="n"/>
      <c r="F213" s="24" t="n"/>
      <c r="G213" s="14" t="n"/>
      <c r="H213" s="14" t="n"/>
      <c r="I213" s="23" t="n"/>
      <c r="J213" s="24" t="n"/>
      <c r="K213" s="23" t="n"/>
      <c r="L213" s="25">
        <f>IF(OR(E213="",N(U213)=0),"",U213-SUMIFS(Q$18:Q213,E$18:E213,E213))</f>
        <v/>
      </c>
      <c r="M213" s="26">
        <f>IF(OR(N(J213)=0,K213="Cancelled"),"",IF(AND(N(J213)&gt;5000,P213&lt;&gt;"G"),"Yes: ₹1","No"))</f>
        <v/>
      </c>
      <c r="N213" s="27">
        <f>IF(AND(B213="",D213="",N(J213)=0),"",IF(B213="","Enter the date",IF(AND(ROW()&gt;18,B212=""),"Use the next empty row: a skipped row leaves a gap in the receipt numbers",IF(D213="","Enter who paid",IF(N(J213)=0,"Enter the amount",IF(G213="","Pick what the money was for",IF(P213="?","Pick what it was for from the list",IF(H213="","Pick how it was paid",IF(K213="Cancelled","Cancelled: keep this number unused and give a fresh receipt",IF(AND(H213&lt;&gt;"Cash",I213=""),"Enter the cheque no., UTR or UPI reference",IF(AND(L213&lt;&gt;"",N(L213)&lt;0),"More than the balance due on this invoice",IF(S213&gt;=200000,"₹2,00,000 or more in cash from this person today: barred, s.186",IF(T213&gt;=200000,"₹2,00,000 or more in cash against this invoice: barred, s.186",IF(AND(P213="T",H213="Cash",N(J213)&gt;=20000),"Loan of ₹20,000 or more in cash: barred, s.185",IF(AND(P213="D",H213="Cash",N(J213)&gt;=20000),"Cash deposit of ₹20,000 or more: ask your accountant whether s.185 applies",IF(AND(OR(P213="AG",P213="AS"),$E$9&lt;&gt;""),"Advance: also give a GST receipt voucher, s.31(3)(d) and Rule 50","OK"))))))))))))))))</f>
        <v/>
      </c>
      <c r="P213">
        <f>IF(G213="","",IFERROR(VLOOKUP(G213,Lists!$A$2:$B$9,2,FALSE),"?"))</f>
        <v/>
      </c>
      <c r="Q213">
        <f>IF(K213="Cancelled",0,N(J213))</f>
        <v/>
      </c>
      <c r="R213">
        <f>IF(OR(H213&lt;&gt;"Cash",P213="T",P213="D"),0,Q213)</f>
        <v/>
      </c>
      <c r="S213">
        <f>IF(R213=0,0,SUMIFS($R$18:$R$317,$B$18:$B$317,B213,$D$18:$D$317,D213))</f>
        <v/>
      </c>
      <c r="T213">
        <f>IF(OR(R213=0,E213=""),0,SUMIFS($R$18:$R$317,$E$18:$E$317,E213))</f>
        <v/>
      </c>
      <c r="U213">
        <f>IF(E213="","",IF(N(F213)&gt;0,F213,IFERROR(INDEX($F$18:$F$317,MATCH(E213,$E$18:$E$317,0)),"")))</f>
        <v/>
      </c>
      <c r="V213">
        <f>IF(OR(N213="",N213="OK",K213="Cancelled"),0,1)</f>
        <v/>
      </c>
    </row>
    <row r="214">
      <c r="B214" s="21" t="n"/>
      <c r="C214" s="22">
        <f>IF(B214="","",$E$10&amp;TEXT(N($E$11)+196,"000"))</f>
        <v/>
      </c>
      <c r="D214" s="14" t="n"/>
      <c r="E214" s="23" t="n"/>
      <c r="F214" s="24" t="n"/>
      <c r="G214" s="14" t="n"/>
      <c r="H214" s="14" t="n"/>
      <c r="I214" s="23" t="n"/>
      <c r="J214" s="24" t="n"/>
      <c r="K214" s="23" t="n"/>
      <c r="L214" s="25">
        <f>IF(OR(E214="",N(U214)=0),"",U214-SUMIFS(Q$18:Q214,E$18:E214,E214))</f>
        <v/>
      </c>
      <c r="M214" s="26">
        <f>IF(OR(N(J214)=0,K214="Cancelled"),"",IF(AND(N(J214)&gt;5000,P214&lt;&gt;"G"),"Yes: ₹1","No"))</f>
        <v/>
      </c>
      <c r="N214" s="27">
        <f>IF(AND(B214="",D214="",N(J214)=0),"",IF(B214="","Enter the date",IF(AND(ROW()&gt;18,B213=""),"Use the next empty row: a skipped row leaves a gap in the receipt numbers",IF(D214="","Enter who paid",IF(N(J214)=0,"Enter the amount",IF(G214="","Pick what the money was for",IF(P214="?","Pick what it was for from the list",IF(H214="","Pick how it was paid",IF(K214="Cancelled","Cancelled: keep this number unused and give a fresh receipt",IF(AND(H214&lt;&gt;"Cash",I214=""),"Enter the cheque no., UTR or UPI reference",IF(AND(L214&lt;&gt;"",N(L214)&lt;0),"More than the balance due on this invoice",IF(S214&gt;=200000,"₹2,00,000 or more in cash from this person today: barred, s.186",IF(T214&gt;=200000,"₹2,00,000 or more in cash against this invoice: barred, s.186",IF(AND(P214="T",H214="Cash",N(J214)&gt;=20000),"Loan of ₹20,000 or more in cash: barred, s.185",IF(AND(P214="D",H214="Cash",N(J214)&gt;=20000),"Cash deposit of ₹20,000 or more: ask your accountant whether s.185 applies",IF(AND(OR(P214="AG",P214="AS"),$E$9&lt;&gt;""),"Advance: also give a GST receipt voucher, s.31(3)(d) and Rule 50","OK"))))))))))))))))</f>
        <v/>
      </c>
      <c r="P214">
        <f>IF(G214="","",IFERROR(VLOOKUP(G214,Lists!$A$2:$B$9,2,FALSE),"?"))</f>
        <v/>
      </c>
      <c r="Q214">
        <f>IF(K214="Cancelled",0,N(J214))</f>
        <v/>
      </c>
      <c r="R214">
        <f>IF(OR(H214&lt;&gt;"Cash",P214="T",P214="D"),0,Q214)</f>
        <v/>
      </c>
      <c r="S214">
        <f>IF(R214=0,0,SUMIFS($R$18:$R$317,$B$18:$B$317,B214,$D$18:$D$317,D214))</f>
        <v/>
      </c>
      <c r="T214">
        <f>IF(OR(R214=0,E214=""),0,SUMIFS($R$18:$R$317,$E$18:$E$317,E214))</f>
        <v/>
      </c>
      <c r="U214">
        <f>IF(E214="","",IF(N(F214)&gt;0,F214,IFERROR(INDEX($F$18:$F$317,MATCH(E214,$E$18:$E$317,0)),"")))</f>
        <v/>
      </c>
      <c r="V214">
        <f>IF(OR(N214="",N214="OK",K214="Cancelled"),0,1)</f>
        <v/>
      </c>
    </row>
    <row r="215">
      <c r="B215" s="21" t="n"/>
      <c r="C215" s="22">
        <f>IF(B215="","",$E$10&amp;TEXT(N($E$11)+197,"000"))</f>
        <v/>
      </c>
      <c r="D215" s="14" t="n"/>
      <c r="E215" s="23" t="n"/>
      <c r="F215" s="24" t="n"/>
      <c r="G215" s="14" t="n"/>
      <c r="H215" s="14" t="n"/>
      <c r="I215" s="23" t="n"/>
      <c r="J215" s="24" t="n"/>
      <c r="K215" s="23" t="n"/>
      <c r="L215" s="25">
        <f>IF(OR(E215="",N(U215)=0),"",U215-SUMIFS(Q$18:Q215,E$18:E215,E215))</f>
        <v/>
      </c>
      <c r="M215" s="26">
        <f>IF(OR(N(J215)=0,K215="Cancelled"),"",IF(AND(N(J215)&gt;5000,P215&lt;&gt;"G"),"Yes: ₹1","No"))</f>
        <v/>
      </c>
      <c r="N215" s="27">
        <f>IF(AND(B215="",D215="",N(J215)=0),"",IF(B215="","Enter the date",IF(AND(ROW()&gt;18,B214=""),"Use the next empty row: a skipped row leaves a gap in the receipt numbers",IF(D215="","Enter who paid",IF(N(J215)=0,"Enter the amount",IF(G215="","Pick what the money was for",IF(P215="?","Pick what it was for from the list",IF(H215="","Pick how it was paid",IF(K215="Cancelled","Cancelled: keep this number unused and give a fresh receipt",IF(AND(H215&lt;&gt;"Cash",I215=""),"Enter the cheque no., UTR or UPI reference",IF(AND(L215&lt;&gt;"",N(L215)&lt;0),"More than the balance due on this invoice",IF(S215&gt;=200000,"₹2,00,000 or more in cash from this person today: barred, s.186",IF(T215&gt;=200000,"₹2,00,000 or more in cash against this invoice: barred, s.186",IF(AND(P215="T",H215="Cash",N(J215)&gt;=20000),"Loan of ₹20,000 or more in cash: barred, s.185",IF(AND(P215="D",H215="Cash",N(J215)&gt;=20000),"Cash deposit of ₹20,000 or more: ask your accountant whether s.185 applies",IF(AND(OR(P215="AG",P215="AS"),$E$9&lt;&gt;""),"Advance: also give a GST receipt voucher, s.31(3)(d) and Rule 50","OK"))))))))))))))))</f>
        <v/>
      </c>
      <c r="P215">
        <f>IF(G215="","",IFERROR(VLOOKUP(G215,Lists!$A$2:$B$9,2,FALSE),"?"))</f>
        <v/>
      </c>
      <c r="Q215">
        <f>IF(K215="Cancelled",0,N(J215))</f>
        <v/>
      </c>
      <c r="R215">
        <f>IF(OR(H215&lt;&gt;"Cash",P215="T",P215="D"),0,Q215)</f>
        <v/>
      </c>
      <c r="S215">
        <f>IF(R215=0,0,SUMIFS($R$18:$R$317,$B$18:$B$317,B215,$D$18:$D$317,D215))</f>
        <v/>
      </c>
      <c r="T215">
        <f>IF(OR(R215=0,E215=""),0,SUMIFS($R$18:$R$317,$E$18:$E$317,E215))</f>
        <v/>
      </c>
      <c r="U215">
        <f>IF(E215="","",IF(N(F215)&gt;0,F215,IFERROR(INDEX($F$18:$F$317,MATCH(E215,$E$18:$E$317,0)),"")))</f>
        <v/>
      </c>
      <c r="V215">
        <f>IF(OR(N215="",N215="OK",K215="Cancelled"),0,1)</f>
        <v/>
      </c>
    </row>
    <row r="216">
      <c r="B216" s="21" t="n"/>
      <c r="C216" s="22">
        <f>IF(B216="","",$E$10&amp;TEXT(N($E$11)+198,"000"))</f>
        <v/>
      </c>
      <c r="D216" s="14" t="n"/>
      <c r="E216" s="23" t="n"/>
      <c r="F216" s="24" t="n"/>
      <c r="G216" s="14" t="n"/>
      <c r="H216" s="14" t="n"/>
      <c r="I216" s="23" t="n"/>
      <c r="J216" s="24" t="n"/>
      <c r="K216" s="23" t="n"/>
      <c r="L216" s="25">
        <f>IF(OR(E216="",N(U216)=0),"",U216-SUMIFS(Q$18:Q216,E$18:E216,E216))</f>
        <v/>
      </c>
      <c r="M216" s="26">
        <f>IF(OR(N(J216)=0,K216="Cancelled"),"",IF(AND(N(J216)&gt;5000,P216&lt;&gt;"G"),"Yes: ₹1","No"))</f>
        <v/>
      </c>
      <c r="N216" s="27">
        <f>IF(AND(B216="",D216="",N(J216)=0),"",IF(B216="","Enter the date",IF(AND(ROW()&gt;18,B215=""),"Use the next empty row: a skipped row leaves a gap in the receipt numbers",IF(D216="","Enter who paid",IF(N(J216)=0,"Enter the amount",IF(G216="","Pick what the money was for",IF(P216="?","Pick what it was for from the list",IF(H216="","Pick how it was paid",IF(K216="Cancelled","Cancelled: keep this number unused and give a fresh receipt",IF(AND(H216&lt;&gt;"Cash",I216=""),"Enter the cheque no., UTR or UPI reference",IF(AND(L216&lt;&gt;"",N(L216)&lt;0),"More than the balance due on this invoice",IF(S216&gt;=200000,"₹2,00,000 or more in cash from this person today: barred, s.186",IF(T216&gt;=200000,"₹2,00,000 or more in cash against this invoice: barred, s.186",IF(AND(P216="T",H216="Cash",N(J216)&gt;=20000),"Loan of ₹20,000 or more in cash: barred, s.185",IF(AND(P216="D",H216="Cash",N(J216)&gt;=20000),"Cash deposit of ₹20,000 or more: ask your accountant whether s.185 applies",IF(AND(OR(P216="AG",P216="AS"),$E$9&lt;&gt;""),"Advance: also give a GST receipt voucher, s.31(3)(d) and Rule 50","OK"))))))))))))))))</f>
        <v/>
      </c>
      <c r="P216">
        <f>IF(G216="","",IFERROR(VLOOKUP(G216,Lists!$A$2:$B$9,2,FALSE),"?"))</f>
        <v/>
      </c>
      <c r="Q216">
        <f>IF(K216="Cancelled",0,N(J216))</f>
        <v/>
      </c>
      <c r="R216">
        <f>IF(OR(H216&lt;&gt;"Cash",P216="T",P216="D"),0,Q216)</f>
        <v/>
      </c>
      <c r="S216">
        <f>IF(R216=0,0,SUMIFS($R$18:$R$317,$B$18:$B$317,B216,$D$18:$D$317,D216))</f>
        <v/>
      </c>
      <c r="T216">
        <f>IF(OR(R216=0,E216=""),0,SUMIFS($R$18:$R$317,$E$18:$E$317,E216))</f>
        <v/>
      </c>
      <c r="U216">
        <f>IF(E216="","",IF(N(F216)&gt;0,F216,IFERROR(INDEX($F$18:$F$317,MATCH(E216,$E$18:$E$317,0)),"")))</f>
        <v/>
      </c>
      <c r="V216">
        <f>IF(OR(N216="",N216="OK",K216="Cancelled"),0,1)</f>
        <v/>
      </c>
    </row>
    <row r="217">
      <c r="B217" s="21" t="n"/>
      <c r="C217" s="22">
        <f>IF(B217="","",$E$10&amp;TEXT(N($E$11)+199,"000"))</f>
        <v/>
      </c>
      <c r="D217" s="14" t="n"/>
      <c r="E217" s="23" t="n"/>
      <c r="F217" s="24" t="n"/>
      <c r="G217" s="14" t="n"/>
      <c r="H217" s="14" t="n"/>
      <c r="I217" s="23" t="n"/>
      <c r="J217" s="24" t="n"/>
      <c r="K217" s="23" t="n"/>
      <c r="L217" s="25">
        <f>IF(OR(E217="",N(U217)=0),"",U217-SUMIFS(Q$18:Q217,E$18:E217,E217))</f>
        <v/>
      </c>
      <c r="M217" s="26">
        <f>IF(OR(N(J217)=0,K217="Cancelled"),"",IF(AND(N(J217)&gt;5000,P217&lt;&gt;"G"),"Yes: ₹1","No"))</f>
        <v/>
      </c>
      <c r="N217" s="27">
        <f>IF(AND(B217="",D217="",N(J217)=0),"",IF(B217="","Enter the date",IF(AND(ROW()&gt;18,B216=""),"Use the next empty row: a skipped row leaves a gap in the receipt numbers",IF(D217="","Enter who paid",IF(N(J217)=0,"Enter the amount",IF(G217="","Pick what the money was for",IF(P217="?","Pick what it was for from the list",IF(H217="","Pick how it was paid",IF(K217="Cancelled","Cancelled: keep this number unused and give a fresh receipt",IF(AND(H217&lt;&gt;"Cash",I217=""),"Enter the cheque no., UTR or UPI reference",IF(AND(L217&lt;&gt;"",N(L217)&lt;0),"More than the balance due on this invoice",IF(S217&gt;=200000,"₹2,00,000 or more in cash from this person today: barred, s.186",IF(T217&gt;=200000,"₹2,00,000 or more in cash against this invoice: barred, s.186",IF(AND(P217="T",H217="Cash",N(J217)&gt;=20000),"Loan of ₹20,000 or more in cash: barred, s.185",IF(AND(P217="D",H217="Cash",N(J217)&gt;=20000),"Cash deposit of ₹20,000 or more: ask your accountant whether s.185 applies",IF(AND(OR(P217="AG",P217="AS"),$E$9&lt;&gt;""),"Advance: also give a GST receipt voucher, s.31(3)(d) and Rule 50","OK"))))))))))))))))</f>
        <v/>
      </c>
      <c r="P217">
        <f>IF(G217="","",IFERROR(VLOOKUP(G217,Lists!$A$2:$B$9,2,FALSE),"?"))</f>
        <v/>
      </c>
      <c r="Q217">
        <f>IF(K217="Cancelled",0,N(J217))</f>
        <v/>
      </c>
      <c r="R217">
        <f>IF(OR(H217&lt;&gt;"Cash",P217="T",P217="D"),0,Q217)</f>
        <v/>
      </c>
      <c r="S217">
        <f>IF(R217=0,0,SUMIFS($R$18:$R$317,$B$18:$B$317,B217,$D$18:$D$317,D217))</f>
        <v/>
      </c>
      <c r="T217">
        <f>IF(OR(R217=0,E217=""),0,SUMIFS($R$18:$R$317,$E$18:$E$317,E217))</f>
        <v/>
      </c>
      <c r="U217">
        <f>IF(E217="","",IF(N(F217)&gt;0,F217,IFERROR(INDEX($F$18:$F$317,MATCH(E217,$E$18:$E$317,0)),"")))</f>
        <v/>
      </c>
      <c r="V217">
        <f>IF(OR(N217="",N217="OK",K217="Cancelled"),0,1)</f>
        <v/>
      </c>
    </row>
    <row r="218">
      <c r="B218" s="21" t="n"/>
      <c r="C218" s="22">
        <f>IF(B218="","",$E$10&amp;TEXT(N($E$11)+200,"000"))</f>
        <v/>
      </c>
      <c r="D218" s="14" t="n"/>
      <c r="E218" s="23" t="n"/>
      <c r="F218" s="24" t="n"/>
      <c r="G218" s="14" t="n"/>
      <c r="H218" s="14" t="n"/>
      <c r="I218" s="23" t="n"/>
      <c r="J218" s="24" t="n"/>
      <c r="K218" s="23" t="n"/>
      <c r="L218" s="25">
        <f>IF(OR(E218="",N(U218)=0),"",U218-SUMIFS(Q$18:Q218,E$18:E218,E218))</f>
        <v/>
      </c>
      <c r="M218" s="26">
        <f>IF(OR(N(J218)=0,K218="Cancelled"),"",IF(AND(N(J218)&gt;5000,P218&lt;&gt;"G"),"Yes: ₹1","No"))</f>
        <v/>
      </c>
      <c r="N218" s="27">
        <f>IF(AND(B218="",D218="",N(J218)=0),"",IF(B218="","Enter the date",IF(AND(ROW()&gt;18,B217=""),"Use the next empty row: a skipped row leaves a gap in the receipt numbers",IF(D218="","Enter who paid",IF(N(J218)=0,"Enter the amount",IF(G218="","Pick what the money was for",IF(P218="?","Pick what it was for from the list",IF(H218="","Pick how it was paid",IF(K218="Cancelled","Cancelled: keep this number unused and give a fresh receipt",IF(AND(H218&lt;&gt;"Cash",I218=""),"Enter the cheque no., UTR or UPI reference",IF(AND(L218&lt;&gt;"",N(L218)&lt;0),"More than the balance due on this invoice",IF(S218&gt;=200000,"₹2,00,000 or more in cash from this person today: barred, s.186",IF(T218&gt;=200000,"₹2,00,000 or more in cash against this invoice: barred, s.186",IF(AND(P218="T",H218="Cash",N(J218)&gt;=20000),"Loan of ₹20,000 or more in cash: barred, s.185",IF(AND(P218="D",H218="Cash",N(J218)&gt;=20000),"Cash deposit of ₹20,000 or more: ask your accountant whether s.185 applies",IF(AND(OR(P218="AG",P218="AS"),$E$9&lt;&gt;""),"Advance: also give a GST receipt voucher, s.31(3)(d) and Rule 50","OK"))))))))))))))))</f>
        <v/>
      </c>
      <c r="P218">
        <f>IF(G218="","",IFERROR(VLOOKUP(G218,Lists!$A$2:$B$9,2,FALSE),"?"))</f>
        <v/>
      </c>
      <c r="Q218">
        <f>IF(K218="Cancelled",0,N(J218))</f>
        <v/>
      </c>
      <c r="R218">
        <f>IF(OR(H218&lt;&gt;"Cash",P218="T",P218="D"),0,Q218)</f>
        <v/>
      </c>
      <c r="S218">
        <f>IF(R218=0,0,SUMIFS($R$18:$R$317,$B$18:$B$317,B218,$D$18:$D$317,D218))</f>
        <v/>
      </c>
      <c r="T218">
        <f>IF(OR(R218=0,E218=""),0,SUMIFS($R$18:$R$317,$E$18:$E$317,E218))</f>
        <v/>
      </c>
      <c r="U218">
        <f>IF(E218="","",IF(N(F218)&gt;0,F218,IFERROR(INDEX($F$18:$F$317,MATCH(E218,$E$18:$E$317,0)),"")))</f>
        <v/>
      </c>
      <c r="V218">
        <f>IF(OR(N218="",N218="OK",K218="Cancelled"),0,1)</f>
        <v/>
      </c>
    </row>
    <row r="219">
      <c r="B219" s="21" t="n"/>
      <c r="C219" s="22">
        <f>IF(B219="","",$E$10&amp;TEXT(N($E$11)+201,"000"))</f>
        <v/>
      </c>
      <c r="D219" s="14" t="n"/>
      <c r="E219" s="23" t="n"/>
      <c r="F219" s="24" t="n"/>
      <c r="G219" s="14" t="n"/>
      <c r="H219" s="14" t="n"/>
      <c r="I219" s="23" t="n"/>
      <c r="J219" s="24" t="n"/>
      <c r="K219" s="23" t="n"/>
      <c r="L219" s="25">
        <f>IF(OR(E219="",N(U219)=0),"",U219-SUMIFS(Q$18:Q219,E$18:E219,E219))</f>
        <v/>
      </c>
      <c r="M219" s="26">
        <f>IF(OR(N(J219)=0,K219="Cancelled"),"",IF(AND(N(J219)&gt;5000,P219&lt;&gt;"G"),"Yes: ₹1","No"))</f>
        <v/>
      </c>
      <c r="N219" s="27">
        <f>IF(AND(B219="",D219="",N(J219)=0),"",IF(B219="","Enter the date",IF(AND(ROW()&gt;18,B218=""),"Use the next empty row: a skipped row leaves a gap in the receipt numbers",IF(D219="","Enter who paid",IF(N(J219)=0,"Enter the amount",IF(G219="","Pick what the money was for",IF(P219="?","Pick what it was for from the list",IF(H219="","Pick how it was paid",IF(K219="Cancelled","Cancelled: keep this number unused and give a fresh receipt",IF(AND(H219&lt;&gt;"Cash",I219=""),"Enter the cheque no., UTR or UPI reference",IF(AND(L219&lt;&gt;"",N(L219)&lt;0),"More than the balance due on this invoice",IF(S219&gt;=200000,"₹2,00,000 or more in cash from this person today: barred, s.186",IF(T219&gt;=200000,"₹2,00,000 or more in cash against this invoice: barred, s.186",IF(AND(P219="T",H219="Cash",N(J219)&gt;=20000),"Loan of ₹20,000 or more in cash: barred, s.185",IF(AND(P219="D",H219="Cash",N(J219)&gt;=20000),"Cash deposit of ₹20,000 or more: ask your accountant whether s.185 applies",IF(AND(OR(P219="AG",P219="AS"),$E$9&lt;&gt;""),"Advance: also give a GST receipt voucher, s.31(3)(d) and Rule 50","OK"))))))))))))))))</f>
        <v/>
      </c>
      <c r="P219">
        <f>IF(G219="","",IFERROR(VLOOKUP(G219,Lists!$A$2:$B$9,2,FALSE),"?"))</f>
        <v/>
      </c>
      <c r="Q219">
        <f>IF(K219="Cancelled",0,N(J219))</f>
        <v/>
      </c>
      <c r="R219">
        <f>IF(OR(H219&lt;&gt;"Cash",P219="T",P219="D"),0,Q219)</f>
        <v/>
      </c>
      <c r="S219">
        <f>IF(R219=0,0,SUMIFS($R$18:$R$317,$B$18:$B$317,B219,$D$18:$D$317,D219))</f>
        <v/>
      </c>
      <c r="T219">
        <f>IF(OR(R219=0,E219=""),0,SUMIFS($R$18:$R$317,$E$18:$E$317,E219))</f>
        <v/>
      </c>
      <c r="U219">
        <f>IF(E219="","",IF(N(F219)&gt;0,F219,IFERROR(INDEX($F$18:$F$317,MATCH(E219,$E$18:$E$317,0)),"")))</f>
        <v/>
      </c>
      <c r="V219">
        <f>IF(OR(N219="",N219="OK",K219="Cancelled"),0,1)</f>
        <v/>
      </c>
    </row>
    <row r="220">
      <c r="B220" s="21" t="n"/>
      <c r="C220" s="22">
        <f>IF(B220="","",$E$10&amp;TEXT(N($E$11)+202,"000"))</f>
        <v/>
      </c>
      <c r="D220" s="14" t="n"/>
      <c r="E220" s="23" t="n"/>
      <c r="F220" s="24" t="n"/>
      <c r="G220" s="14" t="n"/>
      <c r="H220" s="14" t="n"/>
      <c r="I220" s="23" t="n"/>
      <c r="J220" s="24" t="n"/>
      <c r="K220" s="23" t="n"/>
      <c r="L220" s="25">
        <f>IF(OR(E220="",N(U220)=0),"",U220-SUMIFS(Q$18:Q220,E$18:E220,E220))</f>
        <v/>
      </c>
      <c r="M220" s="26">
        <f>IF(OR(N(J220)=0,K220="Cancelled"),"",IF(AND(N(J220)&gt;5000,P220&lt;&gt;"G"),"Yes: ₹1","No"))</f>
        <v/>
      </c>
      <c r="N220" s="27">
        <f>IF(AND(B220="",D220="",N(J220)=0),"",IF(B220="","Enter the date",IF(AND(ROW()&gt;18,B219=""),"Use the next empty row: a skipped row leaves a gap in the receipt numbers",IF(D220="","Enter who paid",IF(N(J220)=0,"Enter the amount",IF(G220="","Pick what the money was for",IF(P220="?","Pick what it was for from the list",IF(H220="","Pick how it was paid",IF(K220="Cancelled","Cancelled: keep this number unused and give a fresh receipt",IF(AND(H220&lt;&gt;"Cash",I220=""),"Enter the cheque no., UTR or UPI reference",IF(AND(L220&lt;&gt;"",N(L220)&lt;0),"More than the balance due on this invoice",IF(S220&gt;=200000,"₹2,00,000 or more in cash from this person today: barred, s.186",IF(T220&gt;=200000,"₹2,00,000 or more in cash against this invoice: barred, s.186",IF(AND(P220="T",H220="Cash",N(J220)&gt;=20000),"Loan of ₹20,000 or more in cash: barred, s.185",IF(AND(P220="D",H220="Cash",N(J220)&gt;=20000),"Cash deposit of ₹20,000 or more: ask your accountant whether s.185 applies",IF(AND(OR(P220="AG",P220="AS"),$E$9&lt;&gt;""),"Advance: also give a GST receipt voucher, s.31(3)(d) and Rule 50","OK"))))))))))))))))</f>
        <v/>
      </c>
      <c r="P220">
        <f>IF(G220="","",IFERROR(VLOOKUP(G220,Lists!$A$2:$B$9,2,FALSE),"?"))</f>
        <v/>
      </c>
      <c r="Q220">
        <f>IF(K220="Cancelled",0,N(J220))</f>
        <v/>
      </c>
      <c r="R220">
        <f>IF(OR(H220&lt;&gt;"Cash",P220="T",P220="D"),0,Q220)</f>
        <v/>
      </c>
      <c r="S220">
        <f>IF(R220=0,0,SUMIFS($R$18:$R$317,$B$18:$B$317,B220,$D$18:$D$317,D220))</f>
        <v/>
      </c>
      <c r="T220">
        <f>IF(OR(R220=0,E220=""),0,SUMIFS($R$18:$R$317,$E$18:$E$317,E220))</f>
        <v/>
      </c>
      <c r="U220">
        <f>IF(E220="","",IF(N(F220)&gt;0,F220,IFERROR(INDEX($F$18:$F$317,MATCH(E220,$E$18:$E$317,0)),"")))</f>
        <v/>
      </c>
      <c r="V220">
        <f>IF(OR(N220="",N220="OK",K220="Cancelled"),0,1)</f>
        <v/>
      </c>
    </row>
    <row r="221">
      <c r="B221" s="21" t="n"/>
      <c r="C221" s="22">
        <f>IF(B221="","",$E$10&amp;TEXT(N($E$11)+203,"000"))</f>
        <v/>
      </c>
      <c r="D221" s="14" t="n"/>
      <c r="E221" s="23" t="n"/>
      <c r="F221" s="24" t="n"/>
      <c r="G221" s="14" t="n"/>
      <c r="H221" s="14" t="n"/>
      <c r="I221" s="23" t="n"/>
      <c r="J221" s="24" t="n"/>
      <c r="K221" s="23" t="n"/>
      <c r="L221" s="25">
        <f>IF(OR(E221="",N(U221)=0),"",U221-SUMIFS(Q$18:Q221,E$18:E221,E221))</f>
        <v/>
      </c>
      <c r="M221" s="26">
        <f>IF(OR(N(J221)=0,K221="Cancelled"),"",IF(AND(N(J221)&gt;5000,P221&lt;&gt;"G"),"Yes: ₹1","No"))</f>
        <v/>
      </c>
      <c r="N221" s="27">
        <f>IF(AND(B221="",D221="",N(J221)=0),"",IF(B221="","Enter the date",IF(AND(ROW()&gt;18,B220=""),"Use the next empty row: a skipped row leaves a gap in the receipt numbers",IF(D221="","Enter who paid",IF(N(J221)=0,"Enter the amount",IF(G221="","Pick what the money was for",IF(P221="?","Pick what it was for from the list",IF(H221="","Pick how it was paid",IF(K221="Cancelled","Cancelled: keep this number unused and give a fresh receipt",IF(AND(H221&lt;&gt;"Cash",I221=""),"Enter the cheque no., UTR or UPI reference",IF(AND(L221&lt;&gt;"",N(L221)&lt;0),"More than the balance due on this invoice",IF(S221&gt;=200000,"₹2,00,000 or more in cash from this person today: barred, s.186",IF(T221&gt;=200000,"₹2,00,000 or more in cash against this invoice: barred, s.186",IF(AND(P221="T",H221="Cash",N(J221)&gt;=20000),"Loan of ₹20,000 or more in cash: barred, s.185",IF(AND(P221="D",H221="Cash",N(J221)&gt;=20000),"Cash deposit of ₹20,000 or more: ask your accountant whether s.185 applies",IF(AND(OR(P221="AG",P221="AS"),$E$9&lt;&gt;""),"Advance: also give a GST receipt voucher, s.31(3)(d) and Rule 50","OK"))))))))))))))))</f>
        <v/>
      </c>
      <c r="P221">
        <f>IF(G221="","",IFERROR(VLOOKUP(G221,Lists!$A$2:$B$9,2,FALSE),"?"))</f>
        <v/>
      </c>
      <c r="Q221">
        <f>IF(K221="Cancelled",0,N(J221))</f>
        <v/>
      </c>
      <c r="R221">
        <f>IF(OR(H221&lt;&gt;"Cash",P221="T",P221="D"),0,Q221)</f>
        <v/>
      </c>
      <c r="S221">
        <f>IF(R221=0,0,SUMIFS($R$18:$R$317,$B$18:$B$317,B221,$D$18:$D$317,D221))</f>
        <v/>
      </c>
      <c r="T221">
        <f>IF(OR(R221=0,E221=""),0,SUMIFS($R$18:$R$317,$E$18:$E$317,E221))</f>
        <v/>
      </c>
      <c r="U221">
        <f>IF(E221="","",IF(N(F221)&gt;0,F221,IFERROR(INDEX($F$18:$F$317,MATCH(E221,$E$18:$E$317,0)),"")))</f>
        <v/>
      </c>
      <c r="V221">
        <f>IF(OR(N221="",N221="OK",K221="Cancelled"),0,1)</f>
        <v/>
      </c>
    </row>
    <row r="222">
      <c r="B222" s="21" t="n"/>
      <c r="C222" s="22">
        <f>IF(B222="","",$E$10&amp;TEXT(N($E$11)+204,"000"))</f>
        <v/>
      </c>
      <c r="D222" s="14" t="n"/>
      <c r="E222" s="23" t="n"/>
      <c r="F222" s="24" t="n"/>
      <c r="G222" s="14" t="n"/>
      <c r="H222" s="14" t="n"/>
      <c r="I222" s="23" t="n"/>
      <c r="J222" s="24" t="n"/>
      <c r="K222" s="23" t="n"/>
      <c r="L222" s="25">
        <f>IF(OR(E222="",N(U222)=0),"",U222-SUMIFS(Q$18:Q222,E$18:E222,E222))</f>
        <v/>
      </c>
      <c r="M222" s="26">
        <f>IF(OR(N(J222)=0,K222="Cancelled"),"",IF(AND(N(J222)&gt;5000,P222&lt;&gt;"G"),"Yes: ₹1","No"))</f>
        <v/>
      </c>
      <c r="N222" s="27">
        <f>IF(AND(B222="",D222="",N(J222)=0),"",IF(B222="","Enter the date",IF(AND(ROW()&gt;18,B221=""),"Use the next empty row: a skipped row leaves a gap in the receipt numbers",IF(D222="","Enter who paid",IF(N(J222)=0,"Enter the amount",IF(G222="","Pick what the money was for",IF(P222="?","Pick what it was for from the list",IF(H222="","Pick how it was paid",IF(K222="Cancelled","Cancelled: keep this number unused and give a fresh receipt",IF(AND(H222&lt;&gt;"Cash",I222=""),"Enter the cheque no., UTR or UPI reference",IF(AND(L222&lt;&gt;"",N(L222)&lt;0),"More than the balance due on this invoice",IF(S222&gt;=200000,"₹2,00,000 or more in cash from this person today: barred, s.186",IF(T222&gt;=200000,"₹2,00,000 or more in cash against this invoice: barred, s.186",IF(AND(P222="T",H222="Cash",N(J222)&gt;=20000),"Loan of ₹20,000 or more in cash: barred, s.185",IF(AND(P222="D",H222="Cash",N(J222)&gt;=20000),"Cash deposit of ₹20,000 or more: ask your accountant whether s.185 applies",IF(AND(OR(P222="AG",P222="AS"),$E$9&lt;&gt;""),"Advance: also give a GST receipt voucher, s.31(3)(d) and Rule 50","OK"))))))))))))))))</f>
        <v/>
      </c>
      <c r="P222">
        <f>IF(G222="","",IFERROR(VLOOKUP(G222,Lists!$A$2:$B$9,2,FALSE),"?"))</f>
        <v/>
      </c>
      <c r="Q222">
        <f>IF(K222="Cancelled",0,N(J222))</f>
        <v/>
      </c>
      <c r="R222">
        <f>IF(OR(H222&lt;&gt;"Cash",P222="T",P222="D"),0,Q222)</f>
        <v/>
      </c>
      <c r="S222">
        <f>IF(R222=0,0,SUMIFS($R$18:$R$317,$B$18:$B$317,B222,$D$18:$D$317,D222))</f>
        <v/>
      </c>
      <c r="T222">
        <f>IF(OR(R222=0,E222=""),0,SUMIFS($R$18:$R$317,$E$18:$E$317,E222))</f>
        <v/>
      </c>
      <c r="U222">
        <f>IF(E222="","",IF(N(F222)&gt;0,F222,IFERROR(INDEX($F$18:$F$317,MATCH(E222,$E$18:$E$317,0)),"")))</f>
        <v/>
      </c>
      <c r="V222">
        <f>IF(OR(N222="",N222="OK",K222="Cancelled"),0,1)</f>
        <v/>
      </c>
    </row>
    <row r="223">
      <c r="B223" s="21" t="n"/>
      <c r="C223" s="22">
        <f>IF(B223="","",$E$10&amp;TEXT(N($E$11)+205,"000"))</f>
        <v/>
      </c>
      <c r="D223" s="14" t="n"/>
      <c r="E223" s="23" t="n"/>
      <c r="F223" s="24" t="n"/>
      <c r="G223" s="14" t="n"/>
      <c r="H223" s="14" t="n"/>
      <c r="I223" s="23" t="n"/>
      <c r="J223" s="24" t="n"/>
      <c r="K223" s="23" t="n"/>
      <c r="L223" s="25">
        <f>IF(OR(E223="",N(U223)=0),"",U223-SUMIFS(Q$18:Q223,E$18:E223,E223))</f>
        <v/>
      </c>
      <c r="M223" s="26">
        <f>IF(OR(N(J223)=0,K223="Cancelled"),"",IF(AND(N(J223)&gt;5000,P223&lt;&gt;"G"),"Yes: ₹1","No"))</f>
        <v/>
      </c>
      <c r="N223" s="27">
        <f>IF(AND(B223="",D223="",N(J223)=0),"",IF(B223="","Enter the date",IF(AND(ROW()&gt;18,B222=""),"Use the next empty row: a skipped row leaves a gap in the receipt numbers",IF(D223="","Enter who paid",IF(N(J223)=0,"Enter the amount",IF(G223="","Pick what the money was for",IF(P223="?","Pick what it was for from the list",IF(H223="","Pick how it was paid",IF(K223="Cancelled","Cancelled: keep this number unused and give a fresh receipt",IF(AND(H223&lt;&gt;"Cash",I223=""),"Enter the cheque no., UTR or UPI reference",IF(AND(L223&lt;&gt;"",N(L223)&lt;0),"More than the balance due on this invoice",IF(S223&gt;=200000,"₹2,00,000 or more in cash from this person today: barred, s.186",IF(T223&gt;=200000,"₹2,00,000 or more in cash against this invoice: barred, s.186",IF(AND(P223="T",H223="Cash",N(J223)&gt;=20000),"Loan of ₹20,000 or more in cash: barred, s.185",IF(AND(P223="D",H223="Cash",N(J223)&gt;=20000),"Cash deposit of ₹20,000 or more: ask your accountant whether s.185 applies",IF(AND(OR(P223="AG",P223="AS"),$E$9&lt;&gt;""),"Advance: also give a GST receipt voucher, s.31(3)(d) and Rule 50","OK"))))))))))))))))</f>
        <v/>
      </c>
      <c r="P223">
        <f>IF(G223="","",IFERROR(VLOOKUP(G223,Lists!$A$2:$B$9,2,FALSE),"?"))</f>
        <v/>
      </c>
      <c r="Q223">
        <f>IF(K223="Cancelled",0,N(J223))</f>
        <v/>
      </c>
      <c r="R223">
        <f>IF(OR(H223&lt;&gt;"Cash",P223="T",P223="D"),0,Q223)</f>
        <v/>
      </c>
      <c r="S223">
        <f>IF(R223=0,0,SUMIFS($R$18:$R$317,$B$18:$B$317,B223,$D$18:$D$317,D223))</f>
        <v/>
      </c>
      <c r="T223">
        <f>IF(OR(R223=0,E223=""),0,SUMIFS($R$18:$R$317,$E$18:$E$317,E223))</f>
        <v/>
      </c>
      <c r="U223">
        <f>IF(E223="","",IF(N(F223)&gt;0,F223,IFERROR(INDEX($F$18:$F$317,MATCH(E223,$E$18:$E$317,0)),"")))</f>
        <v/>
      </c>
      <c r="V223">
        <f>IF(OR(N223="",N223="OK",K223="Cancelled"),0,1)</f>
        <v/>
      </c>
    </row>
    <row r="224">
      <c r="B224" s="21" t="n"/>
      <c r="C224" s="22">
        <f>IF(B224="","",$E$10&amp;TEXT(N($E$11)+206,"000"))</f>
        <v/>
      </c>
      <c r="D224" s="14" t="n"/>
      <c r="E224" s="23" t="n"/>
      <c r="F224" s="24" t="n"/>
      <c r="G224" s="14" t="n"/>
      <c r="H224" s="14" t="n"/>
      <c r="I224" s="23" t="n"/>
      <c r="J224" s="24" t="n"/>
      <c r="K224" s="23" t="n"/>
      <c r="L224" s="25">
        <f>IF(OR(E224="",N(U224)=0),"",U224-SUMIFS(Q$18:Q224,E$18:E224,E224))</f>
        <v/>
      </c>
      <c r="M224" s="26">
        <f>IF(OR(N(J224)=0,K224="Cancelled"),"",IF(AND(N(J224)&gt;5000,P224&lt;&gt;"G"),"Yes: ₹1","No"))</f>
        <v/>
      </c>
      <c r="N224" s="27">
        <f>IF(AND(B224="",D224="",N(J224)=0),"",IF(B224="","Enter the date",IF(AND(ROW()&gt;18,B223=""),"Use the next empty row: a skipped row leaves a gap in the receipt numbers",IF(D224="","Enter who paid",IF(N(J224)=0,"Enter the amount",IF(G224="","Pick what the money was for",IF(P224="?","Pick what it was for from the list",IF(H224="","Pick how it was paid",IF(K224="Cancelled","Cancelled: keep this number unused and give a fresh receipt",IF(AND(H224&lt;&gt;"Cash",I224=""),"Enter the cheque no., UTR or UPI reference",IF(AND(L224&lt;&gt;"",N(L224)&lt;0),"More than the balance due on this invoice",IF(S224&gt;=200000,"₹2,00,000 or more in cash from this person today: barred, s.186",IF(T224&gt;=200000,"₹2,00,000 or more in cash against this invoice: barred, s.186",IF(AND(P224="T",H224="Cash",N(J224)&gt;=20000),"Loan of ₹20,000 or more in cash: barred, s.185",IF(AND(P224="D",H224="Cash",N(J224)&gt;=20000),"Cash deposit of ₹20,000 or more: ask your accountant whether s.185 applies",IF(AND(OR(P224="AG",P224="AS"),$E$9&lt;&gt;""),"Advance: also give a GST receipt voucher, s.31(3)(d) and Rule 50","OK"))))))))))))))))</f>
        <v/>
      </c>
      <c r="P224">
        <f>IF(G224="","",IFERROR(VLOOKUP(G224,Lists!$A$2:$B$9,2,FALSE),"?"))</f>
        <v/>
      </c>
      <c r="Q224">
        <f>IF(K224="Cancelled",0,N(J224))</f>
        <v/>
      </c>
      <c r="R224">
        <f>IF(OR(H224&lt;&gt;"Cash",P224="T",P224="D"),0,Q224)</f>
        <v/>
      </c>
      <c r="S224">
        <f>IF(R224=0,0,SUMIFS($R$18:$R$317,$B$18:$B$317,B224,$D$18:$D$317,D224))</f>
        <v/>
      </c>
      <c r="T224">
        <f>IF(OR(R224=0,E224=""),0,SUMIFS($R$18:$R$317,$E$18:$E$317,E224))</f>
        <v/>
      </c>
      <c r="U224">
        <f>IF(E224="","",IF(N(F224)&gt;0,F224,IFERROR(INDEX($F$18:$F$317,MATCH(E224,$E$18:$E$317,0)),"")))</f>
        <v/>
      </c>
      <c r="V224">
        <f>IF(OR(N224="",N224="OK",K224="Cancelled"),0,1)</f>
        <v/>
      </c>
    </row>
    <row r="225">
      <c r="B225" s="21" t="n"/>
      <c r="C225" s="22">
        <f>IF(B225="","",$E$10&amp;TEXT(N($E$11)+207,"000"))</f>
        <v/>
      </c>
      <c r="D225" s="14" t="n"/>
      <c r="E225" s="23" t="n"/>
      <c r="F225" s="24" t="n"/>
      <c r="G225" s="14" t="n"/>
      <c r="H225" s="14" t="n"/>
      <c r="I225" s="23" t="n"/>
      <c r="J225" s="24" t="n"/>
      <c r="K225" s="23" t="n"/>
      <c r="L225" s="25">
        <f>IF(OR(E225="",N(U225)=0),"",U225-SUMIFS(Q$18:Q225,E$18:E225,E225))</f>
        <v/>
      </c>
      <c r="M225" s="26">
        <f>IF(OR(N(J225)=0,K225="Cancelled"),"",IF(AND(N(J225)&gt;5000,P225&lt;&gt;"G"),"Yes: ₹1","No"))</f>
        <v/>
      </c>
      <c r="N225" s="27">
        <f>IF(AND(B225="",D225="",N(J225)=0),"",IF(B225="","Enter the date",IF(AND(ROW()&gt;18,B224=""),"Use the next empty row: a skipped row leaves a gap in the receipt numbers",IF(D225="","Enter who paid",IF(N(J225)=0,"Enter the amount",IF(G225="","Pick what the money was for",IF(P225="?","Pick what it was for from the list",IF(H225="","Pick how it was paid",IF(K225="Cancelled","Cancelled: keep this number unused and give a fresh receipt",IF(AND(H225&lt;&gt;"Cash",I225=""),"Enter the cheque no., UTR or UPI reference",IF(AND(L225&lt;&gt;"",N(L225)&lt;0),"More than the balance due on this invoice",IF(S225&gt;=200000,"₹2,00,000 or more in cash from this person today: barred, s.186",IF(T225&gt;=200000,"₹2,00,000 or more in cash against this invoice: barred, s.186",IF(AND(P225="T",H225="Cash",N(J225)&gt;=20000),"Loan of ₹20,000 or more in cash: barred, s.185",IF(AND(P225="D",H225="Cash",N(J225)&gt;=20000),"Cash deposit of ₹20,000 or more: ask your accountant whether s.185 applies",IF(AND(OR(P225="AG",P225="AS"),$E$9&lt;&gt;""),"Advance: also give a GST receipt voucher, s.31(3)(d) and Rule 50","OK"))))))))))))))))</f>
        <v/>
      </c>
      <c r="P225">
        <f>IF(G225="","",IFERROR(VLOOKUP(G225,Lists!$A$2:$B$9,2,FALSE),"?"))</f>
        <v/>
      </c>
      <c r="Q225">
        <f>IF(K225="Cancelled",0,N(J225))</f>
        <v/>
      </c>
      <c r="R225">
        <f>IF(OR(H225&lt;&gt;"Cash",P225="T",P225="D"),0,Q225)</f>
        <v/>
      </c>
      <c r="S225">
        <f>IF(R225=0,0,SUMIFS($R$18:$R$317,$B$18:$B$317,B225,$D$18:$D$317,D225))</f>
        <v/>
      </c>
      <c r="T225">
        <f>IF(OR(R225=0,E225=""),0,SUMIFS($R$18:$R$317,$E$18:$E$317,E225))</f>
        <v/>
      </c>
      <c r="U225">
        <f>IF(E225="","",IF(N(F225)&gt;0,F225,IFERROR(INDEX($F$18:$F$317,MATCH(E225,$E$18:$E$317,0)),"")))</f>
        <v/>
      </c>
      <c r="V225">
        <f>IF(OR(N225="",N225="OK",K225="Cancelled"),0,1)</f>
        <v/>
      </c>
    </row>
    <row r="226">
      <c r="B226" s="21" t="n"/>
      <c r="C226" s="22">
        <f>IF(B226="","",$E$10&amp;TEXT(N($E$11)+208,"000"))</f>
        <v/>
      </c>
      <c r="D226" s="14" t="n"/>
      <c r="E226" s="23" t="n"/>
      <c r="F226" s="24" t="n"/>
      <c r="G226" s="14" t="n"/>
      <c r="H226" s="14" t="n"/>
      <c r="I226" s="23" t="n"/>
      <c r="J226" s="24" t="n"/>
      <c r="K226" s="23" t="n"/>
      <c r="L226" s="25">
        <f>IF(OR(E226="",N(U226)=0),"",U226-SUMIFS(Q$18:Q226,E$18:E226,E226))</f>
        <v/>
      </c>
      <c r="M226" s="26">
        <f>IF(OR(N(J226)=0,K226="Cancelled"),"",IF(AND(N(J226)&gt;5000,P226&lt;&gt;"G"),"Yes: ₹1","No"))</f>
        <v/>
      </c>
      <c r="N226" s="27">
        <f>IF(AND(B226="",D226="",N(J226)=0),"",IF(B226="","Enter the date",IF(AND(ROW()&gt;18,B225=""),"Use the next empty row: a skipped row leaves a gap in the receipt numbers",IF(D226="","Enter who paid",IF(N(J226)=0,"Enter the amount",IF(G226="","Pick what the money was for",IF(P226="?","Pick what it was for from the list",IF(H226="","Pick how it was paid",IF(K226="Cancelled","Cancelled: keep this number unused and give a fresh receipt",IF(AND(H226&lt;&gt;"Cash",I226=""),"Enter the cheque no., UTR or UPI reference",IF(AND(L226&lt;&gt;"",N(L226)&lt;0),"More than the balance due on this invoice",IF(S226&gt;=200000,"₹2,00,000 or more in cash from this person today: barred, s.186",IF(T226&gt;=200000,"₹2,00,000 or more in cash against this invoice: barred, s.186",IF(AND(P226="T",H226="Cash",N(J226)&gt;=20000),"Loan of ₹20,000 or more in cash: barred, s.185",IF(AND(P226="D",H226="Cash",N(J226)&gt;=20000),"Cash deposit of ₹20,000 or more: ask your accountant whether s.185 applies",IF(AND(OR(P226="AG",P226="AS"),$E$9&lt;&gt;""),"Advance: also give a GST receipt voucher, s.31(3)(d) and Rule 50","OK"))))))))))))))))</f>
        <v/>
      </c>
      <c r="P226">
        <f>IF(G226="","",IFERROR(VLOOKUP(G226,Lists!$A$2:$B$9,2,FALSE),"?"))</f>
        <v/>
      </c>
      <c r="Q226">
        <f>IF(K226="Cancelled",0,N(J226))</f>
        <v/>
      </c>
      <c r="R226">
        <f>IF(OR(H226&lt;&gt;"Cash",P226="T",P226="D"),0,Q226)</f>
        <v/>
      </c>
      <c r="S226">
        <f>IF(R226=0,0,SUMIFS($R$18:$R$317,$B$18:$B$317,B226,$D$18:$D$317,D226))</f>
        <v/>
      </c>
      <c r="T226">
        <f>IF(OR(R226=0,E226=""),0,SUMIFS($R$18:$R$317,$E$18:$E$317,E226))</f>
        <v/>
      </c>
      <c r="U226">
        <f>IF(E226="","",IF(N(F226)&gt;0,F226,IFERROR(INDEX($F$18:$F$317,MATCH(E226,$E$18:$E$317,0)),"")))</f>
        <v/>
      </c>
      <c r="V226">
        <f>IF(OR(N226="",N226="OK",K226="Cancelled"),0,1)</f>
        <v/>
      </c>
    </row>
    <row r="227">
      <c r="B227" s="21" t="n"/>
      <c r="C227" s="22">
        <f>IF(B227="","",$E$10&amp;TEXT(N($E$11)+209,"000"))</f>
        <v/>
      </c>
      <c r="D227" s="14" t="n"/>
      <c r="E227" s="23" t="n"/>
      <c r="F227" s="24" t="n"/>
      <c r="G227" s="14" t="n"/>
      <c r="H227" s="14" t="n"/>
      <c r="I227" s="23" t="n"/>
      <c r="J227" s="24" t="n"/>
      <c r="K227" s="23" t="n"/>
      <c r="L227" s="25">
        <f>IF(OR(E227="",N(U227)=0),"",U227-SUMIFS(Q$18:Q227,E$18:E227,E227))</f>
        <v/>
      </c>
      <c r="M227" s="26">
        <f>IF(OR(N(J227)=0,K227="Cancelled"),"",IF(AND(N(J227)&gt;5000,P227&lt;&gt;"G"),"Yes: ₹1","No"))</f>
        <v/>
      </c>
      <c r="N227" s="27">
        <f>IF(AND(B227="",D227="",N(J227)=0),"",IF(B227="","Enter the date",IF(AND(ROW()&gt;18,B226=""),"Use the next empty row: a skipped row leaves a gap in the receipt numbers",IF(D227="","Enter who paid",IF(N(J227)=0,"Enter the amount",IF(G227="","Pick what the money was for",IF(P227="?","Pick what it was for from the list",IF(H227="","Pick how it was paid",IF(K227="Cancelled","Cancelled: keep this number unused and give a fresh receipt",IF(AND(H227&lt;&gt;"Cash",I227=""),"Enter the cheque no., UTR or UPI reference",IF(AND(L227&lt;&gt;"",N(L227)&lt;0),"More than the balance due on this invoice",IF(S227&gt;=200000,"₹2,00,000 or more in cash from this person today: barred, s.186",IF(T227&gt;=200000,"₹2,00,000 or more in cash against this invoice: barred, s.186",IF(AND(P227="T",H227="Cash",N(J227)&gt;=20000),"Loan of ₹20,000 or more in cash: barred, s.185",IF(AND(P227="D",H227="Cash",N(J227)&gt;=20000),"Cash deposit of ₹20,000 or more: ask your accountant whether s.185 applies",IF(AND(OR(P227="AG",P227="AS"),$E$9&lt;&gt;""),"Advance: also give a GST receipt voucher, s.31(3)(d) and Rule 50","OK"))))))))))))))))</f>
        <v/>
      </c>
      <c r="P227">
        <f>IF(G227="","",IFERROR(VLOOKUP(G227,Lists!$A$2:$B$9,2,FALSE),"?"))</f>
        <v/>
      </c>
      <c r="Q227">
        <f>IF(K227="Cancelled",0,N(J227))</f>
        <v/>
      </c>
      <c r="R227">
        <f>IF(OR(H227&lt;&gt;"Cash",P227="T",P227="D"),0,Q227)</f>
        <v/>
      </c>
      <c r="S227">
        <f>IF(R227=0,0,SUMIFS($R$18:$R$317,$B$18:$B$317,B227,$D$18:$D$317,D227))</f>
        <v/>
      </c>
      <c r="T227">
        <f>IF(OR(R227=0,E227=""),0,SUMIFS($R$18:$R$317,$E$18:$E$317,E227))</f>
        <v/>
      </c>
      <c r="U227">
        <f>IF(E227="","",IF(N(F227)&gt;0,F227,IFERROR(INDEX($F$18:$F$317,MATCH(E227,$E$18:$E$317,0)),"")))</f>
        <v/>
      </c>
      <c r="V227">
        <f>IF(OR(N227="",N227="OK",K227="Cancelled"),0,1)</f>
        <v/>
      </c>
    </row>
    <row r="228">
      <c r="B228" s="21" t="n"/>
      <c r="C228" s="22">
        <f>IF(B228="","",$E$10&amp;TEXT(N($E$11)+210,"000"))</f>
        <v/>
      </c>
      <c r="D228" s="14" t="n"/>
      <c r="E228" s="23" t="n"/>
      <c r="F228" s="24" t="n"/>
      <c r="G228" s="14" t="n"/>
      <c r="H228" s="14" t="n"/>
      <c r="I228" s="23" t="n"/>
      <c r="J228" s="24" t="n"/>
      <c r="K228" s="23" t="n"/>
      <c r="L228" s="25">
        <f>IF(OR(E228="",N(U228)=0),"",U228-SUMIFS(Q$18:Q228,E$18:E228,E228))</f>
        <v/>
      </c>
      <c r="M228" s="26">
        <f>IF(OR(N(J228)=0,K228="Cancelled"),"",IF(AND(N(J228)&gt;5000,P228&lt;&gt;"G"),"Yes: ₹1","No"))</f>
        <v/>
      </c>
      <c r="N228" s="27">
        <f>IF(AND(B228="",D228="",N(J228)=0),"",IF(B228="","Enter the date",IF(AND(ROW()&gt;18,B227=""),"Use the next empty row: a skipped row leaves a gap in the receipt numbers",IF(D228="","Enter who paid",IF(N(J228)=0,"Enter the amount",IF(G228="","Pick what the money was for",IF(P228="?","Pick what it was for from the list",IF(H228="","Pick how it was paid",IF(K228="Cancelled","Cancelled: keep this number unused and give a fresh receipt",IF(AND(H228&lt;&gt;"Cash",I228=""),"Enter the cheque no., UTR or UPI reference",IF(AND(L228&lt;&gt;"",N(L228)&lt;0),"More than the balance due on this invoice",IF(S228&gt;=200000,"₹2,00,000 or more in cash from this person today: barred, s.186",IF(T228&gt;=200000,"₹2,00,000 or more in cash against this invoice: barred, s.186",IF(AND(P228="T",H228="Cash",N(J228)&gt;=20000),"Loan of ₹20,000 or more in cash: barred, s.185",IF(AND(P228="D",H228="Cash",N(J228)&gt;=20000),"Cash deposit of ₹20,000 or more: ask your accountant whether s.185 applies",IF(AND(OR(P228="AG",P228="AS"),$E$9&lt;&gt;""),"Advance: also give a GST receipt voucher, s.31(3)(d) and Rule 50","OK"))))))))))))))))</f>
        <v/>
      </c>
      <c r="P228">
        <f>IF(G228="","",IFERROR(VLOOKUP(G228,Lists!$A$2:$B$9,2,FALSE),"?"))</f>
        <v/>
      </c>
      <c r="Q228">
        <f>IF(K228="Cancelled",0,N(J228))</f>
        <v/>
      </c>
      <c r="R228">
        <f>IF(OR(H228&lt;&gt;"Cash",P228="T",P228="D"),0,Q228)</f>
        <v/>
      </c>
      <c r="S228">
        <f>IF(R228=0,0,SUMIFS($R$18:$R$317,$B$18:$B$317,B228,$D$18:$D$317,D228))</f>
        <v/>
      </c>
      <c r="T228">
        <f>IF(OR(R228=0,E228=""),0,SUMIFS($R$18:$R$317,$E$18:$E$317,E228))</f>
        <v/>
      </c>
      <c r="U228">
        <f>IF(E228="","",IF(N(F228)&gt;0,F228,IFERROR(INDEX($F$18:$F$317,MATCH(E228,$E$18:$E$317,0)),"")))</f>
        <v/>
      </c>
      <c r="V228">
        <f>IF(OR(N228="",N228="OK",K228="Cancelled"),0,1)</f>
        <v/>
      </c>
    </row>
    <row r="229">
      <c r="B229" s="21" t="n"/>
      <c r="C229" s="22">
        <f>IF(B229="","",$E$10&amp;TEXT(N($E$11)+211,"000"))</f>
        <v/>
      </c>
      <c r="D229" s="14" t="n"/>
      <c r="E229" s="23" t="n"/>
      <c r="F229" s="24" t="n"/>
      <c r="G229" s="14" t="n"/>
      <c r="H229" s="14" t="n"/>
      <c r="I229" s="23" t="n"/>
      <c r="J229" s="24" t="n"/>
      <c r="K229" s="23" t="n"/>
      <c r="L229" s="25">
        <f>IF(OR(E229="",N(U229)=0),"",U229-SUMIFS(Q$18:Q229,E$18:E229,E229))</f>
        <v/>
      </c>
      <c r="M229" s="26">
        <f>IF(OR(N(J229)=0,K229="Cancelled"),"",IF(AND(N(J229)&gt;5000,P229&lt;&gt;"G"),"Yes: ₹1","No"))</f>
        <v/>
      </c>
      <c r="N229" s="27">
        <f>IF(AND(B229="",D229="",N(J229)=0),"",IF(B229="","Enter the date",IF(AND(ROW()&gt;18,B228=""),"Use the next empty row: a skipped row leaves a gap in the receipt numbers",IF(D229="","Enter who paid",IF(N(J229)=0,"Enter the amount",IF(G229="","Pick what the money was for",IF(P229="?","Pick what it was for from the list",IF(H229="","Pick how it was paid",IF(K229="Cancelled","Cancelled: keep this number unused and give a fresh receipt",IF(AND(H229&lt;&gt;"Cash",I229=""),"Enter the cheque no., UTR or UPI reference",IF(AND(L229&lt;&gt;"",N(L229)&lt;0),"More than the balance due on this invoice",IF(S229&gt;=200000,"₹2,00,000 or more in cash from this person today: barred, s.186",IF(T229&gt;=200000,"₹2,00,000 or more in cash against this invoice: barred, s.186",IF(AND(P229="T",H229="Cash",N(J229)&gt;=20000),"Loan of ₹20,000 or more in cash: barred, s.185",IF(AND(P229="D",H229="Cash",N(J229)&gt;=20000),"Cash deposit of ₹20,000 or more: ask your accountant whether s.185 applies",IF(AND(OR(P229="AG",P229="AS"),$E$9&lt;&gt;""),"Advance: also give a GST receipt voucher, s.31(3)(d) and Rule 50","OK"))))))))))))))))</f>
        <v/>
      </c>
      <c r="P229">
        <f>IF(G229="","",IFERROR(VLOOKUP(G229,Lists!$A$2:$B$9,2,FALSE),"?"))</f>
        <v/>
      </c>
      <c r="Q229">
        <f>IF(K229="Cancelled",0,N(J229))</f>
        <v/>
      </c>
      <c r="R229">
        <f>IF(OR(H229&lt;&gt;"Cash",P229="T",P229="D"),0,Q229)</f>
        <v/>
      </c>
      <c r="S229">
        <f>IF(R229=0,0,SUMIFS($R$18:$R$317,$B$18:$B$317,B229,$D$18:$D$317,D229))</f>
        <v/>
      </c>
      <c r="T229">
        <f>IF(OR(R229=0,E229=""),0,SUMIFS($R$18:$R$317,$E$18:$E$317,E229))</f>
        <v/>
      </c>
      <c r="U229">
        <f>IF(E229="","",IF(N(F229)&gt;0,F229,IFERROR(INDEX($F$18:$F$317,MATCH(E229,$E$18:$E$317,0)),"")))</f>
        <v/>
      </c>
      <c r="V229">
        <f>IF(OR(N229="",N229="OK",K229="Cancelled"),0,1)</f>
        <v/>
      </c>
    </row>
    <row r="230">
      <c r="B230" s="21" t="n"/>
      <c r="C230" s="22">
        <f>IF(B230="","",$E$10&amp;TEXT(N($E$11)+212,"000"))</f>
        <v/>
      </c>
      <c r="D230" s="14" t="n"/>
      <c r="E230" s="23" t="n"/>
      <c r="F230" s="24" t="n"/>
      <c r="G230" s="14" t="n"/>
      <c r="H230" s="14" t="n"/>
      <c r="I230" s="23" t="n"/>
      <c r="J230" s="24" t="n"/>
      <c r="K230" s="23" t="n"/>
      <c r="L230" s="25">
        <f>IF(OR(E230="",N(U230)=0),"",U230-SUMIFS(Q$18:Q230,E$18:E230,E230))</f>
        <v/>
      </c>
      <c r="M230" s="26">
        <f>IF(OR(N(J230)=0,K230="Cancelled"),"",IF(AND(N(J230)&gt;5000,P230&lt;&gt;"G"),"Yes: ₹1","No"))</f>
        <v/>
      </c>
      <c r="N230" s="27">
        <f>IF(AND(B230="",D230="",N(J230)=0),"",IF(B230="","Enter the date",IF(AND(ROW()&gt;18,B229=""),"Use the next empty row: a skipped row leaves a gap in the receipt numbers",IF(D230="","Enter who paid",IF(N(J230)=0,"Enter the amount",IF(G230="","Pick what the money was for",IF(P230="?","Pick what it was for from the list",IF(H230="","Pick how it was paid",IF(K230="Cancelled","Cancelled: keep this number unused and give a fresh receipt",IF(AND(H230&lt;&gt;"Cash",I230=""),"Enter the cheque no., UTR or UPI reference",IF(AND(L230&lt;&gt;"",N(L230)&lt;0),"More than the balance due on this invoice",IF(S230&gt;=200000,"₹2,00,000 or more in cash from this person today: barred, s.186",IF(T230&gt;=200000,"₹2,00,000 or more in cash against this invoice: barred, s.186",IF(AND(P230="T",H230="Cash",N(J230)&gt;=20000),"Loan of ₹20,000 or more in cash: barred, s.185",IF(AND(P230="D",H230="Cash",N(J230)&gt;=20000),"Cash deposit of ₹20,000 or more: ask your accountant whether s.185 applies",IF(AND(OR(P230="AG",P230="AS"),$E$9&lt;&gt;""),"Advance: also give a GST receipt voucher, s.31(3)(d) and Rule 50","OK"))))))))))))))))</f>
        <v/>
      </c>
      <c r="P230">
        <f>IF(G230="","",IFERROR(VLOOKUP(G230,Lists!$A$2:$B$9,2,FALSE),"?"))</f>
        <v/>
      </c>
      <c r="Q230">
        <f>IF(K230="Cancelled",0,N(J230))</f>
        <v/>
      </c>
      <c r="R230">
        <f>IF(OR(H230&lt;&gt;"Cash",P230="T",P230="D"),0,Q230)</f>
        <v/>
      </c>
      <c r="S230">
        <f>IF(R230=0,0,SUMIFS($R$18:$R$317,$B$18:$B$317,B230,$D$18:$D$317,D230))</f>
        <v/>
      </c>
      <c r="T230">
        <f>IF(OR(R230=0,E230=""),0,SUMIFS($R$18:$R$317,$E$18:$E$317,E230))</f>
        <v/>
      </c>
      <c r="U230">
        <f>IF(E230="","",IF(N(F230)&gt;0,F230,IFERROR(INDEX($F$18:$F$317,MATCH(E230,$E$18:$E$317,0)),"")))</f>
        <v/>
      </c>
      <c r="V230">
        <f>IF(OR(N230="",N230="OK",K230="Cancelled"),0,1)</f>
        <v/>
      </c>
    </row>
    <row r="231">
      <c r="B231" s="21" t="n"/>
      <c r="C231" s="22">
        <f>IF(B231="","",$E$10&amp;TEXT(N($E$11)+213,"000"))</f>
        <v/>
      </c>
      <c r="D231" s="14" t="n"/>
      <c r="E231" s="23" t="n"/>
      <c r="F231" s="24" t="n"/>
      <c r="G231" s="14" t="n"/>
      <c r="H231" s="14" t="n"/>
      <c r="I231" s="23" t="n"/>
      <c r="J231" s="24" t="n"/>
      <c r="K231" s="23" t="n"/>
      <c r="L231" s="25">
        <f>IF(OR(E231="",N(U231)=0),"",U231-SUMIFS(Q$18:Q231,E$18:E231,E231))</f>
        <v/>
      </c>
      <c r="M231" s="26">
        <f>IF(OR(N(J231)=0,K231="Cancelled"),"",IF(AND(N(J231)&gt;5000,P231&lt;&gt;"G"),"Yes: ₹1","No"))</f>
        <v/>
      </c>
      <c r="N231" s="27">
        <f>IF(AND(B231="",D231="",N(J231)=0),"",IF(B231="","Enter the date",IF(AND(ROW()&gt;18,B230=""),"Use the next empty row: a skipped row leaves a gap in the receipt numbers",IF(D231="","Enter who paid",IF(N(J231)=0,"Enter the amount",IF(G231="","Pick what the money was for",IF(P231="?","Pick what it was for from the list",IF(H231="","Pick how it was paid",IF(K231="Cancelled","Cancelled: keep this number unused and give a fresh receipt",IF(AND(H231&lt;&gt;"Cash",I231=""),"Enter the cheque no., UTR or UPI reference",IF(AND(L231&lt;&gt;"",N(L231)&lt;0),"More than the balance due on this invoice",IF(S231&gt;=200000,"₹2,00,000 or more in cash from this person today: barred, s.186",IF(T231&gt;=200000,"₹2,00,000 or more in cash against this invoice: barred, s.186",IF(AND(P231="T",H231="Cash",N(J231)&gt;=20000),"Loan of ₹20,000 or more in cash: barred, s.185",IF(AND(P231="D",H231="Cash",N(J231)&gt;=20000),"Cash deposit of ₹20,000 or more: ask your accountant whether s.185 applies",IF(AND(OR(P231="AG",P231="AS"),$E$9&lt;&gt;""),"Advance: also give a GST receipt voucher, s.31(3)(d) and Rule 50","OK"))))))))))))))))</f>
        <v/>
      </c>
      <c r="P231">
        <f>IF(G231="","",IFERROR(VLOOKUP(G231,Lists!$A$2:$B$9,2,FALSE),"?"))</f>
        <v/>
      </c>
      <c r="Q231">
        <f>IF(K231="Cancelled",0,N(J231))</f>
        <v/>
      </c>
      <c r="R231">
        <f>IF(OR(H231&lt;&gt;"Cash",P231="T",P231="D"),0,Q231)</f>
        <v/>
      </c>
      <c r="S231">
        <f>IF(R231=0,0,SUMIFS($R$18:$R$317,$B$18:$B$317,B231,$D$18:$D$317,D231))</f>
        <v/>
      </c>
      <c r="T231">
        <f>IF(OR(R231=0,E231=""),0,SUMIFS($R$18:$R$317,$E$18:$E$317,E231))</f>
        <v/>
      </c>
      <c r="U231">
        <f>IF(E231="","",IF(N(F231)&gt;0,F231,IFERROR(INDEX($F$18:$F$317,MATCH(E231,$E$18:$E$317,0)),"")))</f>
        <v/>
      </c>
      <c r="V231">
        <f>IF(OR(N231="",N231="OK",K231="Cancelled"),0,1)</f>
        <v/>
      </c>
    </row>
    <row r="232">
      <c r="B232" s="21" t="n"/>
      <c r="C232" s="22">
        <f>IF(B232="","",$E$10&amp;TEXT(N($E$11)+214,"000"))</f>
        <v/>
      </c>
      <c r="D232" s="14" t="n"/>
      <c r="E232" s="23" t="n"/>
      <c r="F232" s="24" t="n"/>
      <c r="G232" s="14" t="n"/>
      <c r="H232" s="14" t="n"/>
      <c r="I232" s="23" t="n"/>
      <c r="J232" s="24" t="n"/>
      <c r="K232" s="23" t="n"/>
      <c r="L232" s="25">
        <f>IF(OR(E232="",N(U232)=0),"",U232-SUMIFS(Q$18:Q232,E$18:E232,E232))</f>
        <v/>
      </c>
      <c r="M232" s="26">
        <f>IF(OR(N(J232)=0,K232="Cancelled"),"",IF(AND(N(J232)&gt;5000,P232&lt;&gt;"G"),"Yes: ₹1","No"))</f>
        <v/>
      </c>
      <c r="N232" s="27">
        <f>IF(AND(B232="",D232="",N(J232)=0),"",IF(B232="","Enter the date",IF(AND(ROW()&gt;18,B231=""),"Use the next empty row: a skipped row leaves a gap in the receipt numbers",IF(D232="","Enter who paid",IF(N(J232)=0,"Enter the amount",IF(G232="","Pick what the money was for",IF(P232="?","Pick what it was for from the list",IF(H232="","Pick how it was paid",IF(K232="Cancelled","Cancelled: keep this number unused and give a fresh receipt",IF(AND(H232&lt;&gt;"Cash",I232=""),"Enter the cheque no., UTR or UPI reference",IF(AND(L232&lt;&gt;"",N(L232)&lt;0),"More than the balance due on this invoice",IF(S232&gt;=200000,"₹2,00,000 or more in cash from this person today: barred, s.186",IF(T232&gt;=200000,"₹2,00,000 or more in cash against this invoice: barred, s.186",IF(AND(P232="T",H232="Cash",N(J232)&gt;=20000),"Loan of ₹20,000 or more in cash: barred, s.185",IF(AND(P232="D",H232="Cash",N(J232)&gt;=20000),"Cash deposit of ₹20,000 or more: ask your accountant whether s.185 applies",IF(AND(OR(P232="AG",P232="AS"),$E$9&lt;&gt;""),"Advance: also give a GST receipt voucher, s.31(3)(d) and Rule 50","OK"))))))))))))))))</f>
        <v/>
      </c>
      <c r="P232">
        <f>IF(G232="","",IFERROR(VLOOKUP(G232,Lists!$A$2:$B$9,2,FALSE),"?"))</f>
        <v/>
      </c>
      <c r="Q232">
        <f>IF(K232="Cancelled",0,N(J232))</f>
        <v/>
      </c>
      <c r="R232">
        <f>IF(OR(H232&lt;&gt;"Cash",P232="T",P232="D"),0,Q232)</f>
        <v/>
      </c>
      <c r="S232">
        <f>IF(R232=0,0,SUMIFS($R$18:$R$317,$B$18:$B$317,B232,$D$18:$D$317,D232))</f>
        <v/>
      </c>
      <c r="T232">
        <f>IF(OR(R232=0,E232=""),0,SUMIFS($R$18:$R$317,$E$18:$E$317,E232))</f>
        <v/>
      </c>
      <c r="U232">
        <f>IF(E232="","",IF(N(F232)&gt;0,F232,IFERROR(INDEX($F$18:$F$317,MATCH(E232,$E$18:$E$317,0)),"")))</f>
        <v/>
      </c>
      <c r="V232">
        <f>IF(OR(N232="",N232="OK",K232="Cancelled"),0,1)</f>
        <v/>
      </c>
    </row>
    <row r="233">
      <c r="B233" s="21" t="n"/>
      <c r="C233" s="22">
        <f>IF(B233="","",$E$10&amp;TEXT(N($E$11)+215,"000"))</f>
        <v/>
      </c>
      <c r="D233" s="14" t="n"/>
      <c r="E233" s="23" t="n"/>
      <c r="F233" s="24" t="n"/>
      <c r="G233" s="14" t="n"/>
      <c r="H233" s="14" t="n"/>
      <c r="I233" s="23" t="n"/>
      <c r="J233" s="24" t="n"/>
      <c r="K233" s="23" t="n"/>
      <c r="L233" s="25">
        <f>IF(OR(E233="",N(U233)=0),"",U233-SUMIFS(Q$18:Q233,E$18:E233,E233))</f>
        <v/>
      </c>
      <c r="M233" s="26">
        <f>IF(OR(N(J233)=0,K233="Cancelled"),"",IF(AND(N(J233)&gt;5000,P233&lt;&gt;"G"),"Yes: ₹1","No"))</f>
        <v/>
      </c>
      <c r="N233" s="27">
        <f>IF(AND(B233="",D233="",N(J233)=0),"",IF(B233="","Enter the date",IF(AND(ROW()&gt;18,B232=""),"Use the next empty row: a skipped row leaves a gap in the receipt numbers",IF(D233="","Enter who paid",IF(N(J233)=0,"Enter the amount",IF(G233="","Pick what the money was for",IF(P233="?","Pick what it was for from the list",IF(H233="","Pick how it was paid",IF(K233="Cancelled","Cancelled: keep this number unused and give a fresh receipt",IF(AND(H233&lt;&gt;"Cash",I233=""),"Enter the cheque no., UTR or UPI reference",IF(AND(L233&lt;&gt;"",N(L233)&lt;0),"More than the balance due on this invoice",IF(S233&gt;=200000,"₹2,00,000 or more in cash from this person today: barred, s.186",IF(T233&gt;=200000,"₹2,00,000 or more in cash against this invoice: barred, s.186",IF(AND(P233="T",H233="Cash",N(J233)&gt;=20000),"Loan of ₹20,000 or more in cash: barred, s.185",IF(AND(P233="D",H233="Cash",N(J233)&gt;=20000),"Cash deposit of ₹20,000 or more: ask your accountant whether s.185 applies",IF(AND(OR(P233="AG",P233="AS"),$E$9&lt;&gt;""),"Advance: also give a GST receipt voucher, s.31(3)(d) and Rule 50","OK"))))))))))))))))</f>
        <v/>
      </c>
      <c r="P233">
        <f>IF(G233="","",IFERROR(VLOOKUP(G233,Lists!$A$2:$B$9,2,FALSE),"?"))</f>
        <v/>
      </c>
      <c r="Q233">
        <f>IF(K233="Cancelled",0,N(J233))</f>
        <v/>
      </c>
      <c r="R233">
        <f>IF(OR(H233&lt;&gt;"Cash",P233="T",P233="D"),0,Q233)</f>
        <v/>
      </c>
      <c r="S233">
        <f>IF(R233=0,0,SUMIFS($R$18:$R$317,$B$18:$B$317,B233,$D$18:$D$317,D233))</f>
        <v/>
      </c>
      <c r="T233">
        <f>IF(OR(R233=0,E233=""),0,SUMIFS($R$18:$R$317,$E$18:$E$317,E233))</f>
        <v/>
      </c>
      <c r="U233">
        <f>IF(E233="","",IF(N(F233)&gt;0,F233,IFERROR(INDEX($F$18:$F$317,MATCH(E233,$E$18:$E$317,0)),"")))</f>
        <v/>
      </c>
      <c r="V233">
        <f>IF(OR(N233="",N233="OK",K233="Cancelled"),0,1)</f>
        <v/>
      </c>
    </row>
    <row r="234">
      <c r="B234" s="21" t="n"/>
      <c r="C234" s="22">
        <f>IF(B234="","",$E$10&amp;TEXT(N($E$11)+216,"000"))</f>
        <v/>
      </c>
      <c r="D234" s="14" t="n"/>
      <c r="E234" s="23" t="n"/>
      <c r="F234" s="24" t="n"/>
      <c r="G234" s="14" t="n"/>
      <c r="H234" s="14" t="n"/>
      <c r="I234" s="23" t="n"/>
      <c r="J234" s="24" t="n"/>
      <c r="K234" s="23" t="n"/>
      <c r="L234" s="25">
        <f>IF(OR(E234="",N(U234)=0),"",U234-SUMIFS(Q$18:Q234,E$18:E234,E234))</f>
        <v/>
      </c>
      <c r="M234" s="26">
        <f>IF(OR(N(J234)=0,K234="Cancelled"),"",IF(AND(N(J234)&gt;5000,P234&lt;&gt;"G"),"Yes: ₹1","No"))</f>
        <v/>
      </c>
      <c r="N234" s="27">
        <f>IF(AND(B234="",D234="",N(J234)=0),"",IF(B234="","Enter the date",IF(AND(ROW()&gt;18,B233=""),"Use the next empty row: a skipped row leaves a gap in the receipt numbers",IF(D234="","Enter who paid",IF(N(J234)=0,"Enter the amount",IF(G234="","Pick what the money was for",IF(P234="?","Pick what it was for from the list",IF(H234="","Pick how it was paid",IF(K234="Cancelled","Cancelled: keep this number unused and give a fresh receipt",IF(AND(H234&lt;&gt;"Cash",I234=""),"Enter the cheque no., UTR or UPI reference",IF(AND(L234&lt;&gt;"",N(L234)&lt;0),"More than the balance due on this invoice",IF(S234&gt;=200000,"₹2,00,000 or more in cash from this person today: barred, s.186",IF(T234&gt;=200000,"₹2,00,000 or more in cash against this invoice: barred, s.186",IF(AND(P234="T",H234="Cash",N(J234)&gt;=20000),"Loan of ₹20,000 or more in cash: barred, s.185",IF(AND(P234="D",H234="Cash",N(J234)&gt;=20000),"Cash deposit of ₹20,000 or more: ask your accountant whether s.185 applies",IF(AND(OR(P234="AG",P234="AS"),$E$9&lt;&gt;""),"Advance: also give a GST receipt voucher, s.31(3)(d) and Rule 50","OK"))))))))))))))))</f>
        <v/>
      </c>
      <c r="P234">
        <f>IF(G234="","",IFERROR(VLOOKUP(G234,Lists!$A$2:$B$9,2,FALSE),"?"))</f>
        <v/>
      </c>
      <c r="Q234">
        <f>IF(K234="Cancelled",0,N(J234))</f>
        <v/>
      </c>
      <c r="R234">
        <f>IF(OR(H234&lt;&gt;"Cash",P234="T",P234="D"),0,Q234)</f>
        <v/>
      </c>
      <c r="S234">
        <f>IF(R234=0,0,SUMIFS($R$18:$R$317,$B$18:$B$317,B234,$D$18:$D$317,D234))</f>
        <v/>
      </c>
      <c r="T234">
        <f>IF(OR(R234=0,E234=""),0,SUMIFS($R$18:$R$317,$E$18:$E$317,E234))</f>
        <v/>
      </c>
      <c r="U234">
        <f>IF(E234="","",IF(N(F234)&gt;0,F234,IFERROR(INDEX($F$18:$F$317,MATCH(E234,$E$18:$E$317,0)),"")))</f>
        <v/>
      </c>
      <c r="V234">
        <f>IF(OR(N234="",N234="OK",K234="Cancelled"),0,1)</f>
        <v/>
      </c>
    </row>
    <row r="235">
      <c r="B235" s="21" t="n"/>
      <c r="C235" s="22">
        <f>IF(B235="","",$E$10&amp;TEXT(N($E$11)+217,"000"))</f>
        <v/>
      </c>
      <c r="D235" s="14" t="n"/>
      <c r="E235" s="23" t="n"/>
      <c r="F235" s="24" t="n"/>
      <c r="G235" s="14" t="n"/>
      <c r="H235" s="14" t="n"/>
      <c r="I235" s="23" t="n"/>
      <c r="J235" s="24" t="n"/>
      <c r="K235" s="23" t="n"/>
      <c r="L235" s="25">
        <f>IF(OR(E235="",N(U235)=0),"",U235-SUMIFS(Q$18:Q235,E$18:E235,E235))</f>
        <v/>
      </c>
      <c r="M235" s="26">
        <f>IF(OR(N(J235)=0,K235="Cancelled"),"",IF(AND(N(J235)&gt;5000,P235&lt;&gt;"G"),"Yes: ₹1","No"))</f>
        <v/>
      </c>
      <c r="N235" s="27">
        <f>IF(AND(B235="",D235="",N(J235)=0),"",IF(B235="","Enter the date",IF(AND(ROW()&gt;18,B234=""),"Use the next empty row: a skipped row leaves a gap in the receipt numbers",IF(D235="","Enter who paid",IF(N(J235)=0,"Enter the amount",IF(G235="","Pick what the money was for",IF(P235="?","Pick what it was for from the list",IF(H235="","Pick how it was paid",IF(K235="Cancelled","Cancelled: keep this number unused and give a fresh receipt",IF(AND(H235&lt;&gt;"Cash",I235=""),"Enter the cheque no., UTR or UPI reference",IF(AND(L235&lt;&gt;"",N(L235)&lt;0),"More than the balance due on this invoice",IF(S235&gt;=200000,"₹2,00,000 or more in cash from this person today: barred, s.186",IF(T235&gt;=200000,"₹2,00,000 or more in cash against this invoice: barred, s.186",IF(AND(P235="T",H235="Cash",N(J235)&gt;=20000),"Loan of ₹20,000 or more in cash: barred, s.185",IF(AND(P235="D",H235="Cash",N(J235)&gt;=20000),"Cash deposit of ₹20,000 or more: ask your accountant whether s.185 applies",IF(AND(OR(P235="AG",P235="AS"),$E$9&lt;&gt;""),"Advance: also give a GST receipt voucher, s.31(3)(d) and Rule 50","OK"))))))))))))))))</f>
        <v/>
      </c>
      <c r="P235">
        <f>IF(G235="","",IFERROR(VLOOKUP(G235,Lists!$A$2:$B$9,2,FALSE),"?"))</f>
        <v/>
      </c>
      <c r="Q235">
        <f>IF(K235="Cancelled",0,N(J235))</f>
        <v/>
      </c>
      <c r="R235">
        <f>IF(OR(H235&lt;&gt;"Cash",P235="T",P235="D"),0,Q235)</f>
        <v/>
      </c>
      <c r="S235">
        <f>IF(R235=0,0,SUMIFS($R$18:$R$317,$B$18:$B$317,B235,$D$18:$D$317,D235))</f>
        <v/>
      </c>
      <c r="T235">
        <f>IF(OR(R235=0,E235=""),0,SUMIFS($R$18:$R$317,$E$18:$E$317,E235))</f>
        <v/>
      </c>
      <c r="U235">
        <f>IF(E235="","",IF(N(F235)&gt;0,F235,IFERROR(INDEX($F$18:$F$317,MATCH(E235,$E$18:$E$317,0)),"")))</f>
        <v/>
      </c>
      <c r="V235">
        <f>IF(OR(N235="",N235="OK",K235="Cancelled"),0,1)</f>
        <v/>
      </c>
    </row>
    <row r="236">
      <c r="B236" s="21" t="n"/>
      <c r="C236" s="22">
        <f>IF(B236="","",$E$10&amp;TEXT(N($E$11)+218,"000"))</f>
        <v/>
      </c>
      <c r="D236" s="14" t="n"/>
      <c r="E236" s="23" t="n"/>
      <c r="F236" s="24" t="n"/>
      <c r="G236" s="14" t="n"/>
      <c r="H236" s="14" t="n"/>
      <c r="I236" s="23" t="n"/>
      <c r="J236" s="24" t="n"/>
      <c r="K236" s="23" t="n"/>
      <c r="L236" s="25">
        <f>IF(OR(E236="",N(U236)=0),"",U236-SUMIFS(Q$18:Q236,E$18:E236,E236))</f>
        <v/>
      </c>
      <c r="M236" s="26">
        <f>IF(OR(N(J236)=0,K236="Cancelled"),"",IF(AND(N(J236)&gt;5000,P236&lt;&gt;"G"),"Yes: ₹1","No"))</f>
        <v/>
      </c>
      <c r="N236" s="27">
        <f>IF(AND(B236="",D236="",N(J236)=0),"",IF(B236="","Enter the date",IF(AND(ROW()&gt;18,B235=""),"Use the next empty row: a skipped row leaves a gap in the receipt numbers",IF(D236="","Enter who paid",IF(N(J236)=0,"Enter the amount",IF(G236="","Pick what the money was for",IF(P236="?","Pick what it was for from the list",IF(H236="","Pick how it was paid",IF(K236="Cancelled","Cancelled: keep this number unused and give a fresh receipt",IF(AND(H236&lt;&gt;"Cash",I236=""),"Enter the cheque no., UTR or UPI reference",IF(AND(L236&lt;&gt;"",N(L236)&lt;0),"More than the balance due on this invoice",IF(S236&gt;=200000,"₹2,00,000 or more in cash from this person today: barred, s.186",IF(T236&gt;=200000,"₹2,00,000 or more in cash against this invoice: barred, s.186",IF(AND(P236="T",H236="Cash",N(J236)&gt;=20000),"Loan of ₹20,000 or more in cash: barred, s.185",IF(AND(P236="D",H236="Cash",N(J236)&gt;=20000),"Cash deposit of ₹20,000 or more: ask your accountant whether s.185 applies",IF(AND(OR(P236="AG",P236="AS"),$E$9&lt;&gt;""),"Advance: also give a GST receipt voucher, s.31(3)(d) and Rule 50","OK"))))))))))))))))</f>
        <v/>
      </c>
      <c r="P236">
        <f>IF(G236="","",IFERROR(VLOOKUP(G236,Lists!$A$2:$B$9,2,FALSE),"?"))</f>
        <v/>
      </c>
      <c r="Q236">
        <f>IF(K236="Cancelled",0,N(J236))</f>
        <v/>
      </c>
      <c r="R236">
        <f>IF(OR(H236&lt;&gt;"Cash",P236="T",P236="D"),0,Q236)</f>
        <v/>
      </c>
      <c r="S236">
        <f>IF(R236=0,0,SUMIFS($R$18:$R$317,$B$18:$B$317,B236,$D$18:$D$317,D236))</f>
        <v/>
      </c>
      <c r="T236">
        <f>IF(OR(R236=0,E236=""),0,SUMIFS($R$18:$R$317,$E$18:$E$317,E236))</f>
        <v/>
      </c>
      <c r="U236">
        <f>IF(E236="","",IF(N(F236)&gt;0,F236,IFERROR(INDEX($F$18:$F$317,MATCH(E236,$E$18:$E$317,0)),"")))</f>
        <v/>
      </c>
      <c r="V236">
        <f>IF(OR(N236="",N236="OK",K236="Cancelled"),0,1)</f>
        <v/>
      </c>
    </row>
    <row r="237">
      <c r="B237" s="21" t="n"/>
      <c r="C237" s="22">
        <f>IF(B237="","",$E$10&amp;TEXT(N($E$11)+219,"000"))</f>
        <v/>
      </c>
      <c r="D237" s="14" t="n"/>
      <c r="E237" s="23" t="n"/>
      <c r="F237" s="24" t="n"/>
      <c r="G237" s="14" t="n"/>
      <c r="H237" s="14" t="n"/>
      <c r="I237" s="23" t="n"/>
      <c r="J237" s="24" t="n"/>
      <c r="K237" s="23" t="n"/>
      <c r="L237" s="25">
        <f>IF(OR(E237="",N(U237)=0),"",U237-SUMIFS(Q$18:Q237,E$18:E237,E237))</f>
        <v/>
      </c>
      <c r="M237" s="26">
        <f>IF(OR(N(J237)=0,K237="Cancelled"),"",IF(AND(N(J237)&gt;5000,P237&lt;&gt;"G"),"Yes: ₹1","No"))</f>
        <v/>
      </c>
      <c r="N237" s="27">
        <f>IF(AND(B237="",D237="",N(J237)=0),"",IF(B237="","Enter the date",IF(AND(ROW()&gt;18,B236=""),"Use the next empty row: a skipped row leaves a gap in the receipt numbers",IF(D237="","Enter who paid",IF(N(J237)=0,"Enter the amount",IF(G237="","Pick what the money was for",IF(P237="?","Pick what it was for from the list",IF(H237="","Pick how it was paid",IF(K237="Cancelled","Cancelled: keep this number unused and give a fresh receipt",IF(AND(H237&lt;&gt;"Cash",I237=""),"Enter the cheque no., UTR or UPI reference",IF(AND(L237&lt;&gt;"",N(L237)&lt;0),"More than the balance due on this invoice",IF(S237&gt;=200000,"₹2,00,000 or more in cash from this person today: barred, s.186",IF(T237&gt;=200000,"₹2,00,000 or more in cash against this invoice: barred, s.186",IF(AND(P237="T",H237="Cash",N(J237)&gt;=20000),"Loan of ₹20,000 or more in cash: barred, s.185",IF(AND(P237="D",H237="Cash",N(J237)&gt;=20000),"Cash deposit of ₹20,000 or more: ask your accountant whether s.185 applies",IF(AND(OR(P237="AG",P237="AS"),$E$9&lt;&gt;""),"Advance: also give a GST receipt voucher, s.31(3)(d) and Rule 50","OK"))))))))))))))))</f>
        <v/>
      </c>
      <c r="P237">
        <f>IF(G237="","",IFERROR(VLOOKUP(G237,Lists!$A$2:$B$9,2,FALSE),"?"))</f>
        <v/>
      </c>
      <c r="Q237">
        <f>IF(K237="Cancelled",0,N(J237))</f>
        <v/>
      </c>
      <c r="R237">
        <f>IF(OR(H237&lt;&gt;"Cash",P237="T",P237="D"),0,Q237)</f>
        <v/>
      </c>
      <c r="S237">
        <f>IF(R237=0,0,SUMIFS($R$18:$R$317,$B$18:$B$317,B237,$D$18:$D$317,D237))</f>
        <v/>
      </c>
      <c r="T237">
        <f>IF(OR(R237=0,E237=""),0,SUMIFS($R$18:$R$317,$E$18:$E$317,E237))</f>
        <v/>
      </c>
      <c r="U237">
        <f>IF(E237="","",IF(N(F237)&gt;0,F237,IFERROR(INDEX($F$18:$F$317,MATCH(E237,$E$18:$E$317,0)),"")))</f>
        <v/>
      </c>
      <c r="V237">
        <f>IF(OR(N237="",N237="OK",K237="Cancelled"),0,1)</f>
        <v/>
      </c>
    </row>
    <row r="238">
      <c r="B238" s="21" t="n"/>
      <c r="C238" s="22">
        <f>IF(B238="","",$E$10&amp;TEXT(N($E$11)+220,"000"))</f>
        <v/>
      </c>
      <c r="D238" s="14" t="n"/>
      <c r="E238" s="23" t="n"/>
      <c r="F238" s="24" t="n"/>
      <c r="G238" s="14" t="n"/>
      <c r="H238" s="14" t="n"/>
      <c r="I238" s="23" t="n"/>
      <c r="J238" s="24" t="n"/>
      <c r="K238" s="23" t="n"/>
      <c r="L238" s="25">
        <f>IF(OR(E238="",N(U238)=0),"",U238-SUMIFS(Q$18:Q238,E$18:E238,E238))</f>
        <v/>
      </c>
      <c r="M238" s="26">
        <f>IF(OR(N(J238)=0,K238="Cancelled"),"",IF(AND(N(J238)&gt;5000,P238&lt;&gt;"G"),"Yes: ₹1","No"))</f>
        <v/>
      </c>
      <c r="N238" s="27">
        <f>IF(AND(B238="",D238="",N(J238)=0),"",IF(B238="","Enter the date",IF(AND(ROW()&gt;18,B237=""),"Use the next empty row: a skipped row leaves a gap in the receipt numbers",IF(D238="","Enter who paid",IF(N(J238)=0,"Enter the amount",IF(G238="","Pick what the money was for",IF(P238="?","Pick what it was for from the list",IF(H238="","Pick how it was paid",IF(K238="Cancelled","Cancelled: keep this number unused and give a fresh receipt",IF(AND(H238&lt;&gt;"Cash",I238=""),"Enter the cheque no., UTR or UPI reference",IF(AND(L238&lt;&gt;"",N(L238)&lt;0),"More than the balance due on this invoice",IF(S238&gt;=200000,"₹2,00,000 or more in cash from this person today: barred, s.186",IF(T238&gt;=200000,"₹2,00,000 or more in cash against this invoice: barred, s.186",IF(AND(P238="T",H238="Cash",N(J238)&gt;=20000),"Loan of ₹20,000 or more in cash: barred, s.185",IF(AND(P238="D",H238="Cash",N(J238)&gt;=20000),"Cash deposit of ₹20,000 or more: ask your accountant whether s.185 applies",IF(AND(OR(P238="AG",P238="AS"),$E$9&lt;&gt;""),"Advance: also give a GST receipt voucher, s.31(3)(d) and Rule 50","OK"))))))))))))))))</f>
        <v/>
      </c>
      <c r="P238">
        <f>IF(G238="","",IFERROR(VLOOKUP(G238,Lists!$A$2:$B$9,2,FALSE),"?"))</f>
        <v/>
      </c>
      <c r="Q238">
        <f>IF(K238="Cancelled",0,N(J238))</f>
        <v/>
      </c>
      <c r="R238">
        <f>IF(OR(H238&lt;&gt;"Cash",P238="T",P238="D"),0,Q238)</f>
        <v/>
      </c>
      <c r="S238">
        <f>IF(R238=0,0,SUMIFS($R$18:$R$317,$B$18:$B$317,B238,$D$18:$D$317,D238))</f>
        <v/>
      </c>
      <c r="T238">
        <f>IF(OR(R238=0,E238=""),0,SUMIFS($R$18:$R$317,$E$18:$E$317,E238))</f>
        <v/>
      </c>
      <c r="U238">
        <f>IF(E238="","",IF(N(F238)&gt;0,F238,IFERROR(INDEX($F$18:$F$317,MATCH(E238,$E$18:$E$317,0)),"")))</f>
        <v/>
      </c>
      <c r="V238">
        <f>IF(OR(N238="",N238="OK",K238="Cancelled"),0,1)</f>
        <v/>
      </c>
    </row>
    <row r="239">
      <c r="B239" s="21" t="n"/>
      <c r="C239" s="22">
        <f>IF(B239="","",$E$10&amp;TEXT(N($E$11)+221,"000"))</f>
        <v/>
      </c>
      <c r="D239" s="14" t="n"/>
      <c r="E239" s="23" t="n"/>
      <c r="F239" s="24" t="n"/>
      <c r="G239" s="14" t="n"/>
      <c r="H239" s="14" t="n"/>
      <c r="I239" s="23" t="n"/>
      <c r="J239" s="24" t="n"/>
      <c r="K239" s="23" t="n"/>
      <c r="L239" s="25">
        <f>IF(OR(E239="",N(U239)=0),"",U239-SUMIFS(Q$18:Q239,E$18:E239,E239))</f>
        <v/>
      </c>
      <c r="M239" s="26">
        <f>IF(OR(N(J239)=0,K239="Cancelled"),"",IF(AND(N(J239)&gt;5000,P239&lt;&gt;"G"),"Yes: ₹1","No"))</f>
        <v/>
      </c>
      <c r="N239" s="27">
        <f>IF(AND(B239="",D239="",N(J239)=0),"",IF(B239="","Enter the date",IF(AND(ROW()&gt;18,B238=""),"Use the next empty row: a skipped row leaves a gap in the receipt numbers",IF(D239="","Enter who paid",IF(N(J239)=0,"Enter the amount",IF(G239="","Pick what the money was for",IF(P239="?","Pick what it was for from the list",IF(H239="","Pick how it was paid",IF(K239="Cancelled","Cancelled: keep this number unused and give a fresh receipt",IF(AND(H239&lt;&gt;"Cash",I239=""),"Enter the cheque no., UTR or UPI reference",IF(AND(L239&lt;&gt;"",N(L239)&lt;0),"More than the balance due on this invoice",IF(S239&gt;=200000,"₹2,00,000 or more in cash from this person today: barred, s.186",IF(T239&gt;=200000,"₹2,00,000 or more in cash against this invoice: barred, s.186",IF(AND(P239="T",H239="Cash",N(J239)&gt;=20000),"Loan of ₹20,000 or more in cash: barred, s.185",IF(AND(P239="D",H239="Cash",N(J239)&gt;=20000),"Cash deposit of ₹20,000 or more: ask your accountant whether s.185 applies",IF(AND(OR(P239="AG",P239="AS"),$E$9&lt;&gt;""),"Advance: also give a GST receipt voucher, s.31(3)(d) and Rule 50","OK"))))))))))))))))</f>
        <v/>
      </c>
      <c r="P239">
        <f>IF(G239="","",IFERROR(VLOOKUP(G239,Lists!$A$2:$B$9,2,FALSE),"?"))</f>
        <v/>
      </c>
      <c r="Q239">
        <f>IF(K239="Cancelled",0,N(J239))</f>
        <v/>
      </c>
      <c r="R239">
        <f>IF(OR(H239&lt;&gt;"Cash",P239="T",P239="D"),0,Q239)</f>
        <v/>
      </c>
      <c r="S239">
        <f>IF(R239=0,0,SUMIFS($R$18:$R$317,$B$18:$B$317,B239,$D$18:$D$317,D239))</f>
        <v/>
      </c>
      <c r="T239">
        <f>IF(OR(R239=0,E239=""),0,SUMIFS($R$18:$R$317,$E$18:$E$317,E239))</f>
        <v/>
      </c>
      <c r="U239">
        <f>IF(E239="","",IF(N(F239)&gt;0,F239,IFERROR(INDEX($F$18:$F$317,MATCH(E239,$E$18:$E$317,0)),"")))</f>
        <v/>
      </c>
      <c r="V239">
        <f>IF(OR(N239="",N239="OK",K239="Cancelled"),0,1)</f>
        <v/>
      </c>
    </row>
    <row r="240">
      <c r="B240" s="21" t="n"/>
      <c r="C240" s="22">
        <f>IF(B240="","",$E$10&amp;TEXT(N($E$11)+222,"000"))</f>
        <v/>
      </c>
      <c r="D240" s="14" t="n"/>
      <c r="E240" s="23" t="n"/>
      <c r="F240" s="24" t="n"/>
      <c r="G240" s="14" t="n"/>
      <c r="H240" s="14" t="n"/>
      <c r="I240" s="23" t="n"/>
      <c r="J240" s="24" t="n"/>
      <c r="K240" s="23" t="n"/>
      <c r="L240" s="25">
        <f>IF(OR(E240="",N(U240)=0),"",U240-SUMIFS(Q$18:Q240,E$18:E240,E240))</f>
        <v/>
      </c>
      <c r="M240" s="26">
        <f>IF(OR(N(J240)=0,K240="Cancelled"),"",IF(AND(N(J240)&gt;5000,P240&lt;&gt;"G"),"Yes: ₹1","No"))</f>
        <v/>
      </c>
      <c r="N240" s="27">
        <f>IF(AND(B240="",D240="",N(J240)=0),"",IF(B240="","Enter the date",IF(AND(ROW()&gt;18,B239=""),"Use the next empty row: a skipped row leaves a gap in the receipt numbers",IF(D240="","Enter who paid",IF(N(J240)=0,"Enter the amount",IF(G240="","Pick what the money was for",IF(P240="?","Pick what it was for from the list",IF(H240="","Pick how it was paid",IF(K240="Cancelled","Cancelled: keep this number unused and give a fresh receipt",IF(AND(H240&lt;&gt;"Cash",I240=""),"Enter the cheque no., UTR or UPI reference",IF(AND(L240&lt;&gt;"",N(L240)&lt;0),"More than the balance due on this invoice",IF(S240&gt;=200000,"₹2,00,000 or more in cash from this person today: barred, s.186",IF(T240&gt;=200000,"₹2,00,000 or more in cash against this invoice: barred, s.186",IF(AND(P240="T",H240="Cash",N(J240)&gt;=20000),"Loan of ₹20,000 or more in cash: barred, s.185",IF(AND(P240="D",H240="Cash",N(J240)&gt;=20000),"Cash deposit of ₹20,000 or more: ask your accountant whether s.185 applies",IF(AND(OR(P240="AG",P240="AS"),$E$9&lt;&gt;""),"Advance: also give a GST receipt voucher, s.31(3)(d) and Rule 50","OK"))))))))))))))))</f>
        <v/>
      </c>
      <c r="P240">
        <f>IF(G240="","",IFERROR(VLOOKUP(G240,Lists!$A$2:$B$9,2,FALSE),"?"))</f>
        <v/>
      </c>
      <c r="Q240">
        <f>IF(K240="Cancelled",0,N(J240))</f>
        <v/>
      </c>
      <c r="R240">
        <f>IF(OR(H240&lt;&gt;"Cash",P240="T",P240="D"),0,Q240)</f>
        <v/>
      </c>
      <c r="S240">
        <f>IF(R240=0,0,SUMIFS($R$18:$R$317,$B$18:$B$317,B240,$D$18:$D$317,D240))</f>
        <v/>
      </c>
      <c r="T240">
        <f>IF(OR(R240=0,E240=""),0,SUMIFS($R$18:$R$317,$E$18:$E$317,E240))</f>
        <v/>
      </c>
      <c r="U240">
        <f>IF(E240="","",IF(N(F240)&gt;0,F240,IFERROR(INDEX($F$18:$F$317,MATCH(E240,$E$18:$E$317,0)),"")))</f>
        <v/>
      </c>
      <c r="V240">
        <f>IF(OR(N240="",N240="OK",K240="Cancelled"),0,1)</f>
        <v/>
      </c>
    </row>
    <row r="241">
      <c r="B241" s="21" t="n"/>
      <c r="C241" s="22">
        <f>IF(B241="","",$E$10&amp;TEXT(N($E$11)+223,"000"))</f>
        <v/>
      </c>
      <c r="D241" s="14" t="n"/>
      <c r="E241" s="23" t="n"/>
      <c r="F241" s="24" t="n"/>
      <c r="G241" s="14" t="n"/>
      <c r="H241" s="14" t="n"/>
      <c r="I241" s="23" t="n"/>
      <c r="J241" s="24" t="n"/>
      <c r="K241" s="23" t="n"/>
      <c r="L241" s="25">
        <f>IF(OR(E241="",N(U241)=0),"",U241-SUMIFS(Q$18:Q241,E$18:E241,E241))</f>
        <v/>
      </c>
      <c r="M241" s="26">
        <f>IF(OR(N(J241)=0,K241="Cancelled"),"",IF(AND(N(J241)&gt;5000,P241&lt;&gt;"G"),"Yes: ₹1","No"))</f>
        <v/>
      </c>
      <c r="N241" s="27">
        <f>IF(AND(B241="",D241="",N(J241)=0),"",IF(B241="","Enter the date",IF(AND(ROW()&gt;18,B240=""),"Use the next empty row: a skipped row leaves a gap in the receipt numbers",IF(D241="","Enter who paid",IF(N(J241)=0,"Enter the amount",IF(G241="","Pick what the money was for",IF(P241="?","Pick what it was for from the list",IF(H241="","Pick how it was paid",IF(K241="Cancelled","Cancelled: keep this number unused and give a fresh receipt",IF(AND(H241&lt;&gt;"Cash",I241=""),"Enter the cheque no., UTR or UPI reference",IF(AND(L241&lt;&gt;"",N(L241)&lt;0),"More than the balance due on this invoice",IF(S241&gt;=200000,"₹2,00,000 or more in cash from this person today: barred, s.186",IF(T241&gt;=200000,"₹2,00,000 or more in cash against this invoice: barred, s.186",IF(AND(P241="T",H241="Cash",N(J241)&gt;=20000),"Loan of ₹20,000 or more in cash: barred, s.185",IF(AND(P241="D",H241="Cash",N(J241)&gt;=20000),"Cash deposit of ₹20,000 or more: ask your accountant whether s.185 applies",IF(AND(OR(P241="AG",P241="AS"),$E$9&lt;&gt;""),"Advance: also give a GST receipt voucher, s.31(3)(d) and Rule 50","OK"))))))))))))))))</f>
        <v/>
      </c>
      <c r="P241">
        <f>IF(G241="","",IFERROR(VLOOKUP(G241,Lists!$A$2:$B$9,2,FALSE),"?"))</f>
        <v/>
      </c>
      <c r="Q241">
        <f>IF(K241="Cancelled",0,N(J241))</f>
        <v/>
      </c>
      <c r="R241">
        <f>IF(OR(H241&lt;&gt;"Cash",P241="T",P241="D"),0,Q241)</f>
        <v/>
      </c>
      <c r="S241">
        <f>IF(R241=0,0,SUMIFS($R$18:$R$317,$B$18:$B$317,B241,$D$18:$D$317,D241))</f>
        <v/>
      </c>
      <c r="T241">
        <f>IF(OR(R241=0,E241=""),0,SUMIFS($R$18:$R$317,$E$18:$E$317,E241))</f>
        <v/>
      </c>
      <c r="U241">
        <f>IF(E241="","",IF(N(F241)&gt;0,F241,IFERROR(INDEX($F$18:$F$317,MATCH(E241,$E$18:$E$317,0)),"")))</f>
        <v/>
      </c>
      <c r="V241">
        <f>IF(OR(N241="",N241="OK",K241="Cancelled"),0,1)</f>
        <v/>
      </c>
    </row>
    <row r="242">
      <c r="B242" s="21" t="n"/>
      <c r="C242" s="22">
        <f>IF(B242="","",$E$10&amp;TEXT(N($E$11)+224,"000"))</f>
        <v/>
      </c>
      <c r="D242" s="14" t="n"/>
      <c r="E242" s="23" t="n"/>
      <c r="F242" s="24" t="n"/>
      <c r="G242" s="14" t="n"/>
      <c r="H242" s="14" t="n"/>
      <c r="I242" s="23" t="n"/>
      <c r="J242" s="24" t="n"/>
      <c r="K242" s="23" t="n"/>
      <c r="L242" s="25">
        <f>IF(OR(E242="",N(U242)=0),"",U242-SUMIFS(Q$18:Q242,E$18:E242,E242))</f>
        <v/>
      </c>
      <c r="M242" s="26">
        <f>IF(OR(N(J242)=0,K242="Cancelled"),"",IF(AND(N(J242)&gt;5000,P242&lt;&gt;"G"),"Yes: ₹1","No"))</f>
        <v/>
      </c>
      <c r="N242" s="27">
        <f>IF(AND(B242="",D242="",N(J242)=0),"",IF(B242="","Enter the date",IF(AND(ROW()&gt;18,B241=""),"Use the next empty row: a skipped row leaves a gap in the receipt numbers",IF(D242="","Enter who paid",IF(N(J242)=0,"Enter the amount",IF(G242="","Pick what the money was for",IF(P242="?","Pick what it was for from the list",IF(H242="","Pick how it was paid",IF(K242="Cancelled","Cancelled: keep this number unused and give a fresh receipt",IF(AND(H242&lt;&gt;"Cash",I242=""),"Enter the cheque no., UTR or UPI reference",IF(AND(L242&lt;&gt;"",N(L242)&lt;0),"More than the balance due on this invoice",IF(S242&gt;=200000,"₹2,00,000 or more in cash from this person today: barred, s.186",IF(T242&gt;=200000,"₹2,00,000 or more in cash against this invoice: barred, s.186",IF(AND(P242="T",H242="Cash",N(J242)&gt;=20000),"Loan of ₹20,000 or more in cash: barred, s.185",IF(AND(P242="D",H242="Cash",N(J242)&gt;=20000),"Cash deposit of ₹20,000 or more: ask your accountant whether s.185 applies",IF(AND(OR(P242="AG",P242="AS"),$E$9&lt;&gt;""),"Advance: also give a GST receipt voucher, s.31(3)(d) and Rule 50","OK"))))))))))))))))</f>
        <v/>
      </c>
      <c r="P242">
        <f>IF(G242="","",IFERROR(VLOOKUP(G242,Lists!$A$2:$B$9,2,FALSE),"?"))</f>
        <v/>
      </c>
      <c r="Q242">
        <f>IF(K242="Cancelled",0,N(J242))</f>
        <v/>
      </c>
      <c r="R242">
        <f>IF(OR(H242&lt;&gt;"Cash",P242="T",P242="D"),0,Q242)</f>
        <v/>
      </c>
      <c r="S242">
        <f>IF(R242=0,0,SUMIFS($R$18:$R$317,$B$18:$B$317,B242,$D$18:$D$317,D242))</f>
        <v/>
      </c>
      <c r="T242">
        <f>IF(OR(R242=0,E242=""),0,SUMIFS($R$18:$R$317,$E$18:$E$317,E242))</f>
        <v/>
      </c>
      <c r="U242">
        <f>IF(E242="","",IF(N(F242)&gt;0,F242,IFERROR(INDEX($F$18:$F$317,MATCH(E242,$E$18:$E$317,0)),"")))</f>
        <v/>
      </c>
      <c r="V242">
        <f>IF(OR(N242="",N242="OK",K242="Cancelled"),0,1)</f>
        <v/>
      </c>
    </row>
    <row r="243">
      <c r="B243" s="21" t="n"/>
      <c r="C243" s="22">
        <f>IF(B243="","",$E$10&amp;TEXT(N($E$11)+225,"000"))</f>
        <v/>
      </c>
      <c r="D243" s="14" t="n"/>
      <c r="E243" s="23" t="n"/>
      <c r="F243" s="24" t="n"/>
      <c r="G243" s="14" t="n"/>
      <c r="H243" s="14" t="n"/>
      <c r="I243" s="23" t="n"/>
      <c r="J243" s="24" t="n"/>
      <c r="K243" s="23" t="n"/>
      <c r="L243" s="25">
        <f>IF(OR(E243="",N(U243)=0),"",U243-SUMIFS(Q$18:Q243,E$18:E243,E243))</f>
        <v/>
      </c>
      <c r="M243" s="26">
        <f>IF(OR(N(J243)=0,K243="Cancelled"),"",IF(AND(N(J243)&gt;5000,P243&lt;&gt;"G"),"Yes: ₹1","No"))</f>
        <v/>
      </c>
      <c r="N243" s="27">
        <f>IF(AND(B243="",D243="",N(J243)=0),"",IF(B243="","Enter the date",IF(AND(ROW()&gt;18,B242=""),"Use the next empty row: a skipped row leaves a gap in the receipt numbers",IF(D243="","Enter who paid",IF(N(J243)=0,"Enter the amount",IF(G243="","Pick what the money was for",IF(P243="?","Pick what it was for from the list",IF(H243="","Pick how it was paid",IF(K243="Cancelled","Cancelled: keep this number unused and give a fresh receipt",IF(AND(H243&lt;&gt;"Cash",I243=""),"Enter the cheque no., UTR or UPI reference",IF(AND(L243&lt;&gt;"",N(L243)&lt;0),"More than the balance due on this invoice",IF(S243&gt;=200000,"₹2,00,000 or more in cash from this person today: barred, s.186",IF(T243&gt;=200000,"₹2,00,000 or more in cash against this invoice: barred, s.186",IF(AND(P243="T",H243="Cash",N(J243)&gt;=20000),"Loan of ₹20,000 or more in cash: barred, s.185",IF(AND(P243="D",H243="Cash",N(J243)&gt;=20000),"Cash deposit of ₹20,000 or more: ask your accountant whether s.185 applies",IF(AND(OR(P243="AG",P243="AS"),$E$9&lt;&gt;""),"Advance: also give a GST receipt voucher, s.31(3)(d) and Rule 50","OK"))))))))))))))))</f>
        <v/>
      </c>
      <c r="P243">
        <f>IF(G243="","",IFERROR(VLOOKUP(G243,Lists!$A$2:$B$9,2,FALSE),"?"))</f>
        <v/>
      </c>
      <c r="Q243">
        <f>IF(K243="Cancelled",0,N(J243))</f>
        <v/>
      </c>
      <c r="R243">
        <f>IF(OR(H243&lt;&gt;"Cash",P243="T",P243="D"),0,Q243)</f>
        <v/>
      </c>
      <c r="S243">
        <f>IF(R243=0,0,SUMIFS($R$18:$R$317,$B$18:$B$317,B243,$D$18:$D$317,D243))</f>
        <v/>
      </c>
      <c r="T243">
        <f>IF(OR(R243=0,E243=""),0,SUMIFS($R$18:$R$317,$E$18:$E$317,E243))</f>
        <v/>
      </c>
      <c r="U243">
        <f>IF(E243="","",IF(N(F243)&gt;0,F243,IFERROR(INDEX($F$18:$F$317,MATCH(E243,$E$18:$E$317,0)),"")))</f>
        <v/>
      </c>
      <c r="V243">
        <f>IF(OR(N243="",N243="OK",K243="Cancelled"),0,1)</f>
        <v/>
      </c>
    </row>
    <row r="244">
      <c r="B244" s="21" t="n"/>
      <c r="C244" s="22">
        <f>IF(B244="","",$E$10&amp;TEXT(N($E$11)+226,"000"))</f>
        <v/>
      </c>
      <c r="D244" s="14" t="n"/>
      <c r="E244" s="23" t="n"/>
      <c r="F244" s="24" t="n"/>
      <c r="G244" s="14" t="n"/>
      <c r="H244" s="14" t="n"/>
      <c r="I244" s="23" t="n"/>
      <c r="J244" s="24" t="n"/>
      <c r="K244" s="23" t="n"/>
      <c r="L244" s="25">
        <f>IF(OR(E244="",N(U244)=0),"",U244-SUMIFS(Q$18:Q244,E$18:E244,E244))</f>
        <v/>
      </c>
      <c r="M244" s="26">
        <f>IF(OR(N(J244)=0,K244="Cancelled"),"",IF(AND(N(J244)&gt;5000,P244&lt;&gt;"G"),"Yes: ₹1","No"))</f>
        <v/>
      </c>
      <c r="N244" s="27">
        <f>IF(AND(B244="",D244="",N(J244)=0),"",IF(B244="","Enter the date",IF(AND(ROW()&gt;18,B243=""),"Use the next empty row: a skipped row leaves a gap in the receipt numbers",IF(D244="","Enter who paid",IF(N(J244)=0,"Enter the amount",IF(G244="","Pick what the money was for",IF(P244="?","Pick what it was for from the list",IF(H244="","Pick how it was paid",IF(K244="Cancelled","Cancelled: keep this number unused and give a fresh receipt",IF(AND(H244&lt;&gt;"Cash",I244=""),"Enter the cheque no., UTR or UPI reference",IF(AND(L244&lt;&gt;"",N(L244)&lt;0),"More than the balance due on this invoice",IF(S244&gt;=200000,"₹2,00,000 or more in cash from this person today: barred, s.186",IF(T244&gt;=200000,"₹2,00,000 or more in cash against this invoice: barred, s.186",IF(AND(P244="T",H244="Cash",N(J244)&gt;=20000),"Loan of ₹20,000 or more in cash: barred, s.185",IF(AND(P244="D",H244="Cash",N(J244)&gt;=20000),"Cash deposit of ₹20,000 or more: ask your accountant whether s.185 applies",IF(AND(OR(P244="AG",P244="AS"),$E$9&lt;&gt;""),"Advance: also give a GST receipt voucher, s.31(3)(d) and Rule 50","OK"))))))))))))))))</f>
        <v/>
      </c>
      <c r="P244">
        <f>IF(G244="","",IFERROR(VLOOKUP(G244,Lists!$A$2:$B$9,2,FALSE),"?"))</f>
        <v/>
      </c>
      <c r="Q244">
        <f>IF(K244="Cancelled",0,N(J244))</f>
        <v/>
      </c>
      <c r="R244">
        <f>IF(OR(H244&lt;&gt;"Cash",P244="T",P244="D"),0,Q244)</f>
        <v/>
      </c>
      <c r="S244">
        <f>IF(R244=0,0,SUMIFS($R$18:$R$317,$B$18:$B$317,B244,$D$18:$D$317,D244))</f>
        <v/>
      </c>
      <c r="T244">
        <f>IF(OR(R244=0,E244=""),0,SUMIFS($R$18:$R$317,$E$18:$E$317,E244))</f>
        <v/>
      </c>
      <c r="U244">
        <f>IF(E244="","",IF(N(F244)&gt;0,F244,IFERROR(INDEX($F$18:$F$317,MATCH(E244,$E$18:$E$317,0)),"")))</f>
        <v/>
      </c>
      <c r="V244">
        <f>IF(OR(N244="",N244="OK",K244="Cancelled"),0,1)</f>
        <v/>
      </c>
    </row>
    <row r="245">
      <c r="B245" s="21" t="n"/>
      <c r="C245" s="22">
        <f>IF(B245="","",$E$10&amp;TEXT(N($E$11)+227,"000"))</f>
        <v/>
      </c>
      <c r="D245" s="14" t="n"/>
      <c r="E245" s="23" t="n"/>
      <c r="F245" s="24" t="n"/>
      <c r="G245" s="14" t="n"/>
      <c r="H245" s="14" t="n"/>
      <c r="I245" s="23" t="n"/>
      <c r="J245" s="24" t="n"/>
      <c r="K245" s="23" t="n"/>
      <c r="L245" s="25">
        <f>IF(OR(E245="",N(U245)=0),"",U245-SUMIFS(Q$18:Q245,E$18:E245,E245))</f>
        <v/>
      </c>
      <c r="M245" s="26">
        <f>IF(OR(N(J245)=0,K245="Cancelled"),"",IF(AND(N(J245)&gt;5000,P245&lt;&gt;"G"),"Yes: ₹1","No"))</f>
        <v/>
      </c>
      <c r="N245" s="27">
        <f>IF(AND(B245="",D245="",N(J245)=0),"",IF(B245="","Enter the date",IF(AND(ROW()&gt;18,B244=""),"Use the next empty row: a skipped row leaves a gap in the receipt numbers",IF(D245="","Enter who paid",IF(N(J245)=0,"Enter the amount",IF(G245="","Pick what the money was for",IF(P245="?","Pick what it was for from the list",IF(H245="","Pick how it was paid",IF(K245="Cancelled","Cancelled: keep this number unused and give a fresh receipt",IF(AND(H245&lt;&gt;"Cash",I245=""),"Enter the cheque no., UTR or UPI reference",IF(AND(L245&lt;&gt;"",N(L245)&lt;0),"More than the balance due on this invoice",IF(S245&gt;=200000,"₹2,00,000 or more in cash from this person today: barred, s.186",IF(T245&gt;=200000,"₹2,00,000 or more in cash against this invoice: barred, s.186",IF(AND(P245="T",H245="Cash",N(J245)&gt;=20000),"Loan of ₹20,000 or more in cash: barred, s.185",IF(AND(P245="D",H245="Cash",N(J245)&gt;=20000),"Cash deposit of ₹20,000 or more: ask your accountant whether s.185 applies",IF(AND(OR(P245="AG",P245="AS"),$E$9&lt;&gt;""),"Advance: also give a GST receipt voucher, s.31(3)(d) and Rule 50","OK"))))))))))))))))</f>
        <v/>
      </c>
      <c r="P245">
        <f>IF(G245="","",IFERROR(VLOOKUP(G245,Lists!$A$2:$B$9,2,FALSE),"?"))</f>
        <v/>
      </c>
      <c r="Q245">
        <f>IF(K245="Cancelled",0,N(J245))</f>
        <v/>
      </c>
      <c r="R245">
        <f>IF(OR(H245&lt;&gt;"Cash",P245="T",P245="D"),0,Q245)</f>
        <v/>
      </c>
      <c r="S245">
        <f>IF(R245=0,0,SUMIFS($R$18:$R$317,$B$18:$B$317,B245,$D$18:$D$317,D245))</f>
        <v/>
      </c>
      <c r="T245">
        <f>IF(OR(R245=0,E245=""),0,SUMIFS($R$18:$R$317,$E$18:$E$317,E245))</f>
        <v/>
      </c>
      <c r="U245">
        <f>IF(E245="","",IF(N(F245)&gt;0,F245,IFERROR(INDEX($F$18:$F$317,MATCH(E245,$E$18:$E$317,0)),"")))</f>
        <v/>
      </c>
      <c r="V245">
        <f>IF(OR(N245="",N245="OK",K245="Cancelled"),0,1)</f>
        <v/>
      </c>
    </row>
    <row r="246">
      <c r="B246" s="21" t="n"/>
      <c r="C246" s="22">
        <f>IF(B246="","",$E$10&amp;TEXT(N($E$11)+228,"000"))</f>
        <v/>
      </c>
      <c r="D246" s="14" t="n"/>
      <c r="E246" s="23" t="n"/>
      <c r="F246" s="24" t="n"/>
      <c r="G246" s="14" t="n"/>
      <c r="H246" s="14" t="n"/>
      <c r="I246" s="23" t="n"/>
      <c r="J246" s="24" t="n"/>
      <c r="K246" s="23" t="n"/>
      <c r="L246" s="25">
        <f>IF(OR(E246="",N(U246)=0),"",U246-SUMIFS(Q$18:Q246,E$18:E246,E246))</f>
        <v/>
      </c>
      <c r="M246" s="26">
        <f>IF(OR(N(J246)=0,K246="Cancelled"),"",IF(AND(N(J246)&gt;5000,P246&lt;&gt;"G"),"Yes: ₹1","No"))</f>
        <v/>
      </c>
      <c r="N246" s="27">
        <f>IF(AND(B246="",D246="",N(J246)=0),"",IF(B246="","Enter the date",IF(AND(ROW()&gt;18,B245=""),"Use the next empty row: a skipped row leaves a gap in the receipt numbers",IF(D246="","Enter who paid",IF(N(J246)=0,"Enter the amount",IF(G246="","Pick what the money was for",IF(P246="?","Pick what it was for from the list",IF(H246="","Pick how it was paid",IF(K246="Cancelled","Cancelled: keep this number unused and give a fresh receipt",IF(AND(H246&lt;&gt;"Cash",I246=""),"Enter the cheque no., UTR or UPI reference",IF(AND(L246&lt;&gt;"",N(L246)&lt;0),"More than the balance due on this invoice",IF(S246&gt;=200000,"₹2,00,000 or more in cash from this person today: barred, s.186",IF(T246&gt;=200000,"₹2,00,000 or more in cash against this invoice: barred, s.186",IF(AND(P246="T",H246="Cash",N(J246)&gt;=20000),"Loan of ₹20,000 or more in cash: barred, s.185",IF(AND(P246="D",H246="Cash",N(J246)&gt;=20000),"Cash deposit of ₹20,000 or more: ask your accountant whether s.185 applies",IF(AND(OR(P246="AG",P246="AS"),$E$9&lt;&gt;""),"Advance: also give a GST receipt voucher, s.31(3)(d) and Rule 50","OK"))))))))))))))))</f>
        <v/>
      </c>
      <c r="P246">
        <f>IF(G246="","",IFERROR(VLOOKUP(G246,Lists!$A$2:$B$9,2,FALSE),"?"))</f>
        <v/>
      </c>
      <c r="Q246">
        <f>IF(K246="Cancelled",0,N(J246))</f>
        <v/>
      </c>
      <c r="R246">
        <f>IF(OR(H246&lt;&gt;"Cash",P246="T",P246="D"),0,Q246)</f>
        <v/>
      </c>
      <c r="S246">
        <f>IF(R246=0,0,SUMIFS($R$18:$R$317,$B$18:$B$317,B246,$D$18:$D$317,D246))</f>
        <v/>
      </c>
      <c r="T246">
        <f>IF(OR(R246=0,E246=""),0,SUMIFS($R$18:$R$317,$E$18:$E$317,E246))</f>
        <v/>
      </c>
      <c r="U246">
        <f>IF(E246="","",IF(N(F246)&gt;0,F246,IFERROR(INDEX($F$18:$F$317,MATCH(E246,$E$18:$E$317,0)),"")))</f>
        <v/>
      </c>
      <c r="V246">
        <f>IF(OR(N246="",N246="OK",K246="Cancelled"),0,1)</f>
        <v/>
      </c>
    </row>
    <row r="247">
      <c r="B247" s="21" t="n"/>
      <c r="C247" s="22">
        <f>IF(B247="","",$E$10&amp;TEXT(N($E$11)+229,"000"))</f>
        <v/>
      </c>
      <c r="D247" s="14" t="n"/>
      <c r="E247" s="23" t="n"/>
      <c r="F247" s="24" t="n"/>
      <c r="G247" s="14" t="n"/>
      <c r="H247" s="14" t="n"/>
      <c r="I247" s="23" t="n"/>
      <c r="J247" s="24" t="n"/>
      <c r="K247" s="23" t="n"/>
      <c r="L247" s="25">
        <f>IF(OR(E247="",N(U247)=0),"",U247-SUMIFS(Q$18:Q247,E$18:E247,E247))</f>
        <v/>
      </c>
      <c r="M247" s="26">
        <f>IF(OR(N(J247)=0,K247="Cancelled"),"",IF(AND(N(J247)&gt;5000,P247&lt;&gt;"G"),"Yes: ₹1","No"))</f>
        <v/>
      </c>
      <c r="N247" s="27">
        <f>IF(AND(B247="",D247="",N(J247)=0),"",IF(B247="","Enter the date",IF(AND(ROW()&gt;18,B246=""),"Use the next empty row: a skipped row leaves a gap in the receipt numbers",IF(D247="","Enter who paid",IF(N(J247)=0,"Enter the amount",IF(G247="","Pick what the money was for",IF(P247="?","Pick what it was for from the list",IF(H247="","Pick how it was paid",IF(K247="Cancelled","Cancelled: keep this number unused and give a fresh receipt",IF(AND(H247&lt;&gt;"Cash",I247=""),"Enter the cheque no., UTR or UPI reference",IF(AND(L247&lt;&gt;"",N(L247)&lt;0),"More than the balance due on this invoice",IF(S247&gt;=200000,"₹2,00,000 or more in cash from this person today: barred, s.186",IF(T247&gt;=200000,"₹2,00,000 or more in cash against this invoice: barred, s.186",IF(AND(P247="T",H247="Cash",N(J247)&gt;=20000),"Loan of ₹20,000 or more in cash: barred, s.185",IF(AND(P247="D",H247="Cash",N(J247)&gt;=20000),"Cash deposit of ₹20,000 or more: ask your accountant whether s.185 applies",IF(AND(OR(P247="AG",P247="AS"),$E$9&lt;&gt;""),"Advance: also give a GST receipt voucher, s.31(3)(d) and Rule 50","OK"))))))))))))))))</f>
        <v/>
      </c>
      <c r="P247">
        <f>IF(G247="","",IFERROR(VLOOKUP(G247,Lists!$A$2:$B$9,2,FALSE),"?"))</f>
        <v/>
      </c>
      <c r="Q247">
        <f>IF(K247="Cancelled",0,N(J247))</f>
        <v/>
      </c>
      <c r="R247">
        <f>IF(OR(H247&lt;&gt;"Cash",P247="T",P247="D"),0,Q247)</f>
        <v/>
      </c>
      <c r="S247">
        <f>IF(R247=0,0,SUMIFS($R$18:$R$317,$B$18:$B$317,B247,$D$18:$D$317,D247))</f>
        <v/>
      </c>
      <c r="T247">
        <f>IF(OR(R247=0,E247=""),0,SUMIFS($R$18:$R$317,$E$18:$E$317,E247))</f>
        <v/>
      </c>
      <c r="U247">
        <f>IF(E247="","",IF(N(F247)&gt;0,F247,IFERROR(INDEX($F$18:$F$317,MATCH(E247,$E$18:$E$317,0)),"")))</f>
        <v/>
      </c>
      <c r="V247">
        <f>IF(OR(N247="",N247="OK",K247="Cancelled"),0,1)</f>
        <v/>
      </c>
    </row>
    <row r="248">
      <c r="B248" s="21" t="n"/>
      <c r="C248" s="22">
        <f>IF(B248="","",$E$10&amp;TEXT(N($E$11)+230,"000"))</f>
        <v/>
      </c>
      <c r="D248" s="14" t="n"/>
      <c r="E248" s="23" t="n"/>
      <c r="F248" s="24" t="n"/>
      <c r="G248" s="14" t="n"/>
      <c r="H248" s="14" t="n"/>
      <c r="I248" s="23" t="n"/>
      <c r="J248" s="24" t="n"/>
      <c r="K248" s="23" t="n"/>
      <c r="L248" s="25">
        <f>IF(OR(E248="",N(U248)=0),"",U248-SUMIFS(Q$18:Q248,E$18:E248,E248))</f>
        <v/>
      </c>
      <c r="M248" s="26">
        <f>IF(OR(N(J248)=0,K248="Cancelled"),"",IF(AND(N(J248)&gt;5000,P248&lt;&gt;"G"),"Yes: ₹1","No"))</f>
        <v/>
      </c>
      <c r="N248" s="27">
        <f>IF(AND(B248="",D248="",N(J248)=0),"",IF(B248="","Enter the date",IF(AND(ROW()&gt;18,B247=""),"Use the next empty row: a skipped row leaves a gap in the receipt numbers",IF(D248="","Enter who paid",IF(N(J248)=0,"Enter the amount",IF(G248="","Pick what the money was for",IF(P248="?","Pick what it was for from the list",IF(H248="","Pick how it was paid",IF(K248="Cancelled","Cancelled: keep this number unused and give a fresh receipt",IF(AND(H248&lt;&gt;"Cash",I248=""),"Enter the cheque no., UTR or UPI reference",IF(AND(L248&lt;&gt;"",N(L248)&lt;0),"More than the balance due on this invoice",IF(S248&gt;=200000,"₹2,00,000 or more in cash from this person today: barred, s.186",IF(T248&gt;=200000,"₹2,00,000 or more in cash against this invoice: barred, s.186",IF(AND(P248="T",H248="Cash",N(J248)&gt;=20000),"Loan of ₹20,000 or more in cash: barred, s.185",IF(AND(P248="D",H248="Cash",N(J248)&gt;=20000),"Cash deposit of ₹20,000 or more: ask your accountant whether s.185 applies",IF(AND(OR(P248="AG",P248="AS"),$E$9&lt;&gt;""),"Advance: also give a GST receipt voucher, s.31(3)(d) and Rule 50","OK"))))))))))))))))</f>
        <v/>
      </c>
      <c r="P248">
        <f>IF(G248="","",IFERROR(VLOOKUP(G248,Lists!$A$2:$B$9,2,FALSE),"?"))</f>
        <v/>
      </c>
      <c r="Q248">
        <f>IF(K248="Cancelled",0,N(J248))</f>
        <v/>
      </c>
      <c r="R248">
        <f>IF(OR(H248&lt;&gt;"Cash",P248="T",P248="D"),0,Q248)</f>
        <v/>
      </c>
      <c r="S248">
        <f>IF(R248=0,0,SUMIFS($R$18:$R$317,$B$18:$B$317,B248,$D$18:$D$317,D248))</f>
        <v/>
      </c>
      <c r="T248">
        <f>IF(OR(R248=0,E248=""),0,SUMIFS($R$18:$R$317,$E$18:$E$317,E248))</f>
        <v/>
      </c>
      <c r="U248">
        <f>IF(E248="","",IF(N(F248)&gt;0,F248,IFERROR(INDEX($F$18:$F$317,MATCH(E248,$E$18:$E$317,0)),"")))</f>
        <v/>
      </c>
      <c r="V248">
        <f>IF(OR(N248="",N248="OK",K248="Cancelled"),0,1)</f>
        <v/>
      </c>
    </row>
    <row r="249">
      <c r="B249" s="21" t="n"/>
      <c r="C249" s="22">
        <f>IF(B249="","",$E$10&amp;TEXT(N($E$11)+231,"000"))</f>
        <v/>
      </c>
      <c r="D249" s="14" t="n"/>
      <c r="E249" s="23" t="n"/>
      <c r="F249" s="24" t="n"/>
      <c r="G249" s="14" t="n"/>
      <c r="H249" s="14" t="n"/>
      <c r="I249" s="23" t="n"/>
      <c r="J249" s="24" t="n"/>
      <c r="K249" s="23" t="n"/>
      <c r="L249" s="25">
        <f>IF(OR(E249="",N(U249)=0),"",U249-SUMIFS(Q$18:Q249,E$18:E249,E249))</f>
        <v/>
      </c>
      <c r="M249" s="26">
        <f>IF(OR(N(J249)=0,K249="Cancelled"),"",IF(AND(N(J249)&gt;5000,P249&lt;&gt;"G"),"Yes: ₹1","No"))</f>
        <v/>
      </c>
      <c r="N249" s="27">
        <f>IF(AND(B249="",D249="",N(J249)=0),"",IF(B249="","Enter the date",IF(AND(ROW()&gt;18,B248=""),"Use the next empty row: a skipped row leaves a gap in the receipt numbers",IF(D249="","Enter who paid",IF(N(J249)=0,"Enter the amount",IF(G249="","Pick what the money was for",IF(P249="?","Pick what it was for from the list",IF(H249="","Pick how it was paid",IF(K249="Cancelled","Cancelled: keep this number unused and give a fresh receipt",IF(AND(H249&lt;&gt;"Cash",I249=""),"Enter the cheque no., UTR or UPI reference",IF(AND(L249&lt;&gt;"",N(L249)&lt;0),"More than the balance due on this invoice",IF(S249&gt;=200000,"₹2,00,000 or more in cash from this person today: barred, s.186",IF(T249&gt;=200000,"₹2,00,000 or more in cash against this invoice: barred, s.186",IF(AND(P249="T",H249="Cash",N(J249)&gt;=20000),"Loan of ₹20,000 or more in cash: barred, s.185",IF(AND(P249="D",H249="Cash",N(J249)&gt;=20000),"Cash deposit of ₹20,000 or more: ask your accountant whether s.185 applies",IF(AND(OR(P249="AG",P249="AS"),$E$9&lt;&gt;""),"Advance: also give a GST receipt voucher, s.31(3)(d) and Rule 50","OK"))))))))))))))))</f>
        <v/>
      </c>
      <c r="P249">
        <f>IF(G249="","",IFERROR(VLOOKUP(G249,Lists!$A$2:$B$9,2,FALSE),"?"))</f>
        <v/>
      </c>
      <c r="Q249">
        <f>IF(K249="Cancelled",0,N(J249))</f>
        <v/>
      </c>
      <c r="R249">
        <f>IF(OR(H249&lt;&gt;"Cash",P249="T",P249="D"),0,Q249)</f>
        <v/>
      </c>
      <c r="S249">
        <f>IF(R249=0,0,SUMIFS($R$18:$R$317,$B$18:$B$317,B249,$D$18:$D$317,D249))</f>
        <v/>
      </c>
      <c r="T249">
        <f>IF(OR(R249=0,E249=""),0,SUMIFS($R$18:$R$317,$E$18:$E$317,E249))</f>
        <v/>
      </c>
      <c r="U249">
        <f>IF(E249="","",IF(N(F249)&gt;0,F249,IFERROR(INDEX($F$18:$F$317,MATCH(E249,$E$18:$E$317,0)),"")))</f>
        <v/>
      </c>
      <c r="V249">
        <f>IF(OR(N249="",N249="OK",K249="Cancelled"),0,1)</f>
        <v/>
      </c>
    </row>
    <row r="250">
      <c r="B250" s="21" t="n"/>
      <c r="C250" s="22">
        <f>IF(B250="","",$E$10&amp;TEXT(N($E$11)+232,"000"))</f>
        <v/>
      </c>
      <c r="D250" s="14" t="n"/>
      <c r="E250" s="23" t="n"/>
      <c r="F250" s="24" t="n"/>
      <c r="G250" s="14" t="n"/>
      <c r="H250" s="14" t="n"/>
      <c r="I250" s="23" t="n"/>
      <c r="J250" s="24" t="n"/>
      <c r="K250" s="23" t="n"/>
      <c r="L250" s="25">
        <f>IF(OR(E250="",N(U250)=0),"",U250-SUMIFS(Q$18:Q250,E$18:E250,E250))</f>
        <v/>
      </c>
      <c r="M250" s="26">
        <f>IF(OR(N(J250)=0,K250="Cancelled"),"",IF(AND(N(J250)&gt;5000,P250&lt;&gt;"G"),"Yes: ₹1","No"))</f>
        <v/>
      </c>
      <c r="N250" s="27">
        <f>IF(AND(B250="",D250="",N(J250)=0),"",IF(B250="","Enter the date",IF(AND(ROW()&gt;18,B249=""),"Use the next empty row: a skipped row leaves a gap in the receipt numbers",IF(D250="","Enter who paid",IF(N(J250)=0,"Enter the amount",IF(G250="","Pick what the money was for",IF(P250="?","Pick what it was for from the list",IF(H250="","Pick how it was paid",IF(K250="Cancelled","Cancelled: keep this number unused and give a fresh receipt",IF(AND(H250&lt;&gt;"Cash",I250=""),"Enter the cheque no., UTR or UPI reference",IF(AND(L250&lt;&gt;"",N(L250)&lt;0),"More than the balance due on this invoice",IF(S250&gt;=200000,"₹2,00,000 or more in cash from this person today: barred, s.186",IF(T250&gt;=200000,"₹2,00,000 or more in cash against this invoice: barred, s.186",IF(AND(P250="T",H250="Cash",N(J250)&gt;=20000),"Loan of ₹20,000 or more in cash: barred, s.185",IF(AND(P250="D",H250="Cash",N(J250)&gt;=20000),"Cash deposit of ₹20,000 or more: ask your accountant whether s.185 applies",IF(AND(OR(P250="AG",P250="AS"),$E$9&lt;&gt;""),"Advance: also give a GST receipt voucher, s.31(3)(d) and Rule 50","OK"))))))))))))))))</f>
        <v/>
      </c>
      <c r="P250">
        <f>IF(G250="","",IFERROR(VLOOKUP(G250,Lists!$A$2:$B$9,2,FALSE),"?"))</f>
        <v/>
      </c>
      <c r="Q250">
        <f>IF(K250="Cancelled",0,N(J250))</f>
        <v/>
      </c>
      <c r="R250">
        <f>IF(OR(H250&lt;&gt;"Cash",P250="T",P250="D"),0,Q250)</f>
        <v/>
      </c>
      <c r="S250">
        <f>IF(R250=0,0,SUMIFS($R$18:$R$317,$B$18:$B$317,B250,$D$18:$D$317,D250))</f>
        <v/>
      </c>
      <c r="T250">
        <f>IF(OR(R250=0,E250=""),0,SUMIFS($R$18:$R$317,$E$18:$E$317,E250))</f>
        <v/>
      </c>
      <c r="U250">
        <f>IF(E250="","",IF(N(F250)&gt;0,F250,IFERROR(INDEX($F$18:$F$317,MATCH(E250,$E$18:$E$317,0)),"")))</f>
        <v/>
      </c>
      <c r="V250">
        <f>IF(OR(N250="",N250="OK",K250="Cancelled"),0,1)</f>
        <v/>
      </c>
    </row>
    <row r="251">
      <c r="B251" s="21" t="n"/>
      <c r="C251" s="22">
        <f>IF(B251="","",$E$10&amp;TEXT(N($E$11)+233,"000"))</f>
        <v/>
      </c>
      <c r="D251" s="14" t="n"/>
      <c r="E251" s="23" t="n"/>
      <c r="F251" s="24" t="n"/>
      <c r="G251" s="14" t="n"/>
      <c r="H251" s="14" t="n"/>
      <c r="I251" s="23" t="n"/>
      <c r="J251" s="24" t="n"/>
      <c r="K251" s="23" t="n"/>
      <c r="L251" s="25">
        <f>IF(OR(E251="",N(U251)=0),"",U251-SUMIFS(Q$18:Q251,E$18:E251,E251))</f>
        <v/>
      </c>
      <c r="M251" s="26">
        <f>IF(OR(N(J251)=0,K251="Cancelled"),"",IF(AND(N(J251)&gt;5000,P251&lt;&gt;"G"),"Yes: ₹1","No"))</f>
        <v/>
      </c>
      <c r="N251" s="27">
        <f>IF(AND(B251="",D251="",N(J251)=0),"",IF(B251="","Enter the date",IF(AND(ROW()&gt;18,B250=""),"Use the next empty row: a skipped row leaves a gap in the receipt numbers",IF(D251="","Enter who paid",IF(N(J251)=0,"Enter the amount",IF(G251="","Pick what the money was for",IF(P251="?","Pick what it was for from the list",IF(H251="","Pick how it was paid",IF(K251="Cancelled","Cancelled: keep this number unused and give a fresh receipt",IF(AND(H251&lt;&gt;"Cash",I251=""),"Enter the cheque no., UTR or UPI reference",IF(AND(L251&lt;&gt;"",N(L251)&lt;0),"More than the balance due on this invoice",IF(S251&gt;=200000,"₹2,00,000 or more in cash from this person today: barred, s.186",IF(T251&gt;=200000,"₹2,00,000 or more in cash against this invoice: barred, s.186",IF(AND(P251="T",H251="Cash",N(J251)&gt;=20000),"Loan of ₹20,000 or more in cash: barred, s.185",IF(AND(P251="D",H251="Cash",N(J251)&gt;=20000),"Cash deposit of ₹20,000 or more: ask your accountant whether s.185 applies",IF(AND(OR(P251="AG",P251="AS"),$E$9&lt;&gt;""),"Advance: also give a GST receipt voucher, s.31(3)(d) and Rule 50","OK"))))))))))))))))</f>
        <v/>
      </c>
      <c r="P251">
        <f>IF(G251="","",IFERROR(VLOOKUP(G251,Lists!$A$2:$B$9,2,FALSE),"?"))</f>
        <v/>
      </c>
      <c r="Q251">
        <f>IF(K251="Cancelled",0,N(J251))</f>
        <v/>
      </c>
      <c r="R251">
        <f>IF(OR(H251&lt;&gt;"Cash",P251="T",P251="D"),0,Q251)</f>
        <v/>
      </c>
      <c r="S251">
        <f>IF(R251=0,0,SUMIFS($R$18:$R$317,$B$18:$B$317,B251,$D$18:$D$317,D251))</f>
        <v/>
      </c>
      <c r="T251">
        <f>IF(OR(R251=0,E251=""),0,SUMIFS($R$18:$R$317,$E$18:$E$317,E251))</f>
        <v/>
      </c>
      <c r="U251">
        <f>IF(E251="","",IF(N(F251)&gt;0,F251,IFERROR(INDEX($F$18:$F$317,MATCH(E251,$E$18:$E$317,0)),"")))</f>
        <v/>
      </c>
      <c r="V251">
        <f>IF(OR(N251="",N251="OK",K251="Cancelled"),0,1)</f>
        <v/>
      </c>
    </row>
    <row r="252">
      <c r="B252" s="21" t="n"/>
      <c r="C252" s="22">
        <f>IF(B252="","",$E$10&amp;TEXT(N($E$11)+234,"000"))</f>
        <v/>
      </c>
      <c r="D252" s="14" t="n"/>
      <c r="E252" s="23" t="n"/>
      <c r="F252" s="24" t="n"/>
      <c r="G252" s="14" t="n"/>
      <c r="H252" s="14" t="n"/>
      <c r="I252" s="23" t="n"/>
      <c r="J252" s="24" t="n"/>
      <c r="K252" s="23" t="n"/>
      <c r="L252" s="25">
        <f>IF(OR(E252="",N(U252)=0),"",U252-SUMIFS(Q$18:Q252,E$18:E252,E252))</f>
        <v/>
      </c>
      <c r="M252" s="26">
        <f>IF(OR(N(J252)=0,K252="Cancelled"),"",IF(AND(N(J252)&gt;5000,P252&lt;&gt;"G"),"Yes: ₹1","No"))</f>
        <v/>
      </c>
      <c r="N252" s="27">
        <f>IF(AND(B252="",D252="",N(J252)=0),"",IF(B252="","Enter the date",IF(AND(ROW()&gt;18,B251=""),"Use the next empty row: a skipped row leaves a gap in the receipt numbers",IF(D252="","Enter who paid",IF(N(J252)=0,"Enter the amount",IF(G252="","Pick what the money was for",IF(P252="?","Pick what it was for from the list",IF(H252="","Pick how it was paid",IF(K252="Cancelled","Cancelled: keep this number unused and give a fresh receipt",IF(AND(H252&lt;&gt;"Cash",I252=""),"Enter the cheque no., UTR or UPI reference",IF(AND(L252&lt;&gt;"",N(L252)&lt;0),"More than the balance due on this invoice",IF(S252&gt;=200000,"₹2,00,000 or more in cash from this person today: barred, s.186",IF(T252&gt;=200000,"₹2,00,000 or more in cash against this invoice: barred, s.186",IF(AND(P252="T",H252="Cash",N(J252)&gt;=20000),"Loan of ₹20,000 or more in cash: barred, s.185",IF(AND(P252="D",H252="Cash",N(J252)&gt;=20000),"Cash deposit of ₹20,000 or more: ask your accountant whether s.185 applies",IF(AND(OR(P252="AG",P252="AS"),$E$9&lt;&gt;""),"Advance: also give a GST receipt voucher, s.31(3)(d) and Rule 50","OK"))))))))))))))))</f>
        <v/>
      </c>
      <c r="P252">
        <f>IF(G252="","",IFERROR(VLOOKUP(G252,Lists!$A$2:$B$9,2,FALSE),"?"))</f>
        <v/>
      </c>
      <c r="Q252">
        <f>IF(K252="Cancelled",0,N(J252))</f>
        <v/>
      </c>
      <c r="R252">
        <f>IF(OR(H252&lt;&gt;"Cash",P252="T",P252="D"),0,Q252)</f>
        <v/>
      </c>
      <c r="S252">
        <f>IF(R252=0,0,SUMIFS($R$18:$R$317,$B$18:$B$317,B252,$D$18:$D$317,D252))</f>
        <v/>
      </c>
      <c r="T252">
        <f>IF(OR(R252=0,E252=""),0,SUMIFS($R$18:$R$317,$E$18:$E$317,E252))</f>
        <v/>
      </c>
      <c r="U252">
        <f>IF(E252="","",IF(N(F252)&gt;0,F252,IFERROR(INDEX($F$18:$F$317,MATCH(E252,$E$18:$E$317,0)),"")))</f>
        <v/>
      </c>
      <c r="V252">
        <f>IF(OR(N252="",N252="OK",K252="Cancelled"),0,1)</f>
        <v/>
      </c>
    </row>
    <row r="253">
      <c r="B253" s="21" t="n"/>
      <c r="C253" s="22">
        <f>IF(B253="","",$E$10&amp;TEXT(N($E$11)+235,"000"))</f>
        <v/>
      </c>
      <c r="D253" s="14" t="n"/>
      <c r="E253" s="23" t="n"/>
      <c r="F253" s="24" t="n"/>
      <c r="G253" s="14" t="n"/>
      <c r="H253" s="14" t="n"/>
      <c r="I253" s="23" t="n"/>
      <c r="J253" s="24" t="n"/>
      <c r="K253" s="23" t="n"/>
      <c r="L253" s="25">
        <f>IF(OR(E253="",N(U253)=0),"",U253-SUMIFS(Q$18:Q253,E$18:E253,E253))</f>
        <v/>
      </c>
      <c r="M253" s="26">
        <f>IF(OR(N(J253)=0,K253="Cancelled"),"",IF(AND(N(J253)&gt;5000,P253&lt;&gt;"G"),"Yes: ₹1","No"))</f>
        <v/>
      </c>
      <c r="N253" s="27">
        <f>IF(AND(B253="",D253="",N(J253)=0),"",IF(B253="","Enter the date",IF(AND(ROW()&gt;18,B252=""),"Use the next empty row: a skipped row leaves a gap in the receipt numbers",IF(D253="","Enter who paid",IF(N(J253)=0,"Enter the amount",IF(G253="","Pick what the money was for",IF(P253="?","Pick what it was for from the list",IF(H253="","Pick how it was paid",IF(K253="Cancelled","Cancelled: keep this number unused and give a fresh receipt",IF(AND(H253&lt;&gt;"Cash",I253=""),"Enter the cheque no., UTR or UPI reference",IF(AND(L253&lt;&gt;"",N(L253)&lt;0),"More than the balance due on this invoice",IF(S253&gt;=200000,"₹2,00,000 or more in cash from this person today: barred, s.186",IF(T253&gt;=200000,"₹2,00,000 or more in cash against this invoice: barred, s.186",IF(AND(P253="T",H253="Cash",N(J253)&gt;=20000),"Loan of ₹20,000 or more in cash: barred, s.185",IF(AND(P253="D",H253="Cash",N(J253)&gt;=20000),"Cash deposit of ₹20,000 or more: ask your accountant whether s.185 applies",IF(AND(OR(P253="AG",P253="AS"),$E$9&lt;&gt;""),"Advance: also give a GST receipt voucher, s.31(3)(d) and Rule 50","OK"))))))))))))))))</f>
        <v/>
      </c>
      <c r="P253">
        <f>IF(G253="","",IFERROR(VLOOKUP(G253,Lists!$A$2:$B$9,2,FALSE),"?"))</f>
        <v/>
      </c>
      <c r="Q253">
        <f>IF(K253="Cancelled",0,N(J253))</f>
        <v/>
      </c>
      <c r="R253">
        <f>IF(OR(H253&lt;&gt;"Cash",P253="T",P253="D"),0,Q253)</f>
        <v/>
      </c>
      <c r="S253">
        <f>IF(R253=0,0,SUMIFS($R$18:$R$317,$B$18:$B$317,B253,$D$18:$D$317,D253))</f>
        <v/>
      </c>
      <c r="T253">
        <f>IF(OR(R253=0,E253=""),0,SUMIFS($R$18:$R$317,$E$18:$E$317,E253))</f>
        <v/>
      </c>
      <c r="U253">
        <f>IF(E253="","",IF(N(F253)&gt;0,F253,IFERROR(INDEX($F$18:$F$317,MATCH(E253,$E$18:$E$317,0)),"")))</f>
        <v/>
      </c>
      <c r="V253">
        <f>IF(OR(N253="",N253="OK",K253="Cancelled"),0,1)</f>
        <v/>
      </c>
    </row>
    <row r="254">
      <c r="B254" s="21" t="n"/>
      <c r="C254" s="22">
        <f>IF(B254="","",$E$10&amp;TEXT(N($E$11)+236,"000"))</f>
        <v/>
      </c>
      <c r="D254" s="14" t="n"/>
      <c r="E254" s="23" t="n"/>
      <c r="F254" s="24" t="n"/>
      <c r="G254" s="14" t="n"/>
      <c r="H254" s="14" t="n"/>
      <c r="I254" s="23" t="n"/>
      <c r="J254" s="24" t="n"/>
      <c r="K254" s="23" t="n"/>
      <c r="L254" s="25">
        <f>IF(OR(E254="",N(U254)=0),"",U254-SUMIFS(Q$18:Q254,E$18:E254,E254))</f>
        <v/>
      </c>
      <c r="M254" s="26">
        <f>IF(OR(N(J254)=0,K254="Cancelled"),"",IF(AND(N(J254)&gt;5000,P254&lt;&gt;"G"),"Yes: ₹1","No"))</f>
        <v/>
      </c>
      <c r="N254" s="27">
        <f>IF(AND(B254="",D254="",N(J254)=0),"",IF(B254="","Enter the date",IF(AND(ROW()&gt;18,B253=""),"Use the next empty row: a skipped row leaves a gap in the receipt numbers",IF(D254="","Enter who paid",IF(N(J254)=0,"Enter the amount",IF(G254="","Pick what the money was for",IF(P254="?","Pick what it was for from the list",IF(H254="","Pick how it was paid",IF(K254="Cancelled","Cancelled: keep this number unused and give a fresh receipt",IF(AND(H254&lt;&gt;"Cash",I254=""),"Enter the cheque no., UTR or UPI reference",IF(AND(L254&lt;&gt;"",N(L254)&lt;0),"More than the balance due on this invoice",IF(S254&gt;=200000,"₹2,00,000 or more in cash from this person today: barred, s.186",IF(T254&gt;=200000,"₹2,00,000 or more in cash against this invoice: barred, s.186",IF(AND(P254="T",H254="Cash",N(J254)&gt;=20000),"Loan of ₹20,000 or more in cash: barred, s.185",IF(AND(P254="D",H254="Cash",N(J254)&gt;=20000),"Cash deposit of ₹20,000 or more: ask your accountant whether s.185 applies",IF(AND(OR(P254="AG",P254="AS"),$E$9&lt;&gt;""),"Advance: also give a GST receipt voucher, s.31(3)(d) and Rule 50","OK"))))))))))))))))</f>
        <v/>
      </c>
      <c r="P254">
        <f>IF(G254="","",IFERROR(VLOOKUP(G254,Lists!$A$2:$B$9,2,FALSE),"?"))</f>
        <v/>
      </c>
      <c r="Q254">
        <f>IF(K254="Cancelled",0,N(J254))</f>
        <v/>
      </c>
      <c r="R254">
        <f>IF(OR(H254&lt;&gt;"Cash",P254="T",P254="D"),0,Q254)</f>
        <v/>
      </c>
      <c r="S254">
        <f>IF(R254=0,0,SUMIFS($R$18:$R$317,$B$18:$B$317,B254,$D$18:$D$317,D254))</f>
        <v/>
      </c>
      <c r="T254">
        <f>IF(OR(R254=0,E254=""),0,SUMIFS($R$18:$R$317,$E$18:$E$317,E254))</f>
        <v/>
      </c>
      <c r="U254">
        <f>IF(E254="","",IF(N(F254)&gt;0,F254,IFERROR(INDEX($F$18:$F$317,MATCH(E254,$E$18:$E$317,0)),"")))</f>
        <v/>
      </c>
      <c r="V254">
        <f>IF(OR(N254="",N254="OK",K254="Cancelled"),0,1)</f>
        <v/>
      </c>
    </row>
    <row r="255">
      <c r="B255" s="21" t="n"/>
      <c r="C255" s="22">
        <f>IF(B255="","",$E$10&amp;TEXT(N($E$11)+237,"000"))</f>
        <v/>
      </c>
      <c r="D255" s="14" t="n"/>
      <c r="E255" s="23" t="n"/>
      <c r="F255" s="24" t="n"/>
      <c r="G255" s="14" t="n"/>
      <c r="H255" s="14" t="n"/>
      <c r="I255" s="23" t="n"/>
      <c r="J255" s="24" t="n"/>
      <c r="K255" s="23" t="n"/>
      <c r="L255" s="25">
        <f>IF(OR(E255="",N(U255)=0),"",U255-SUMIFS(Q$18:Q255,E$18:E255,E255))</f>
        <v/>
      </c>
      <c r="M255" s="26">
        <f>IF(OR(N(J255)=0,K255="Cancelled"),"",IF(AND(N(J255)&gt;5000,P255&lt;&gt;"G"),"Yes: ₹1","No"))</f>
        <v/>
      </c>
      <c r="N255" s="27">
        <f>IF(AND(B255="",D255="",N(J255)=0),"",IF(B255="","Enter the date",IF(AND(ROW()&gt;18,B254=""),"Use the next empty row: a skipped row leaves a gap in the receipt numbers",IF(D255="","Enter who paid",IF(N(J255)=0,"Enter the amount",IF(G255="","Pick what the money was for",IF(P255="?","Pick what it was for from the list",IF(H255="","Pick how it was paid",IF(K255="Cancelled","Cancelled: keep this number unused and give a fresh receipt",IF(AND(H255&lt;&gt;"Cash",I255=""),"Enter the cheque no., UTR or UPI reference",IF(AND(L255&lt;&gt;"",N(L255)&lt;0),"More than the balance due on this invoice",IF(S255&gt;=200000,"₹2,00,000 or more in cash from this person today: barred, s.186",IF(T255&gt;=200000,"₹2,00,000 or more in cash against this invoice: barred, s.186",IF(AND(P255="T",H255="Cash",N(J255)&gt;=20000),"Loan of ₹20,000 or more in cash: barred, s.185",IF(AND(P255="D",H255="Cash",N(J255)&gt;=20000),"Cash deposit of ₹20,000 or more: ask your accountant whether s.185 applies",IF(AND(OR(P255="AG",P255="AS"),$E$9&lt;&gt;""),"Advance: also give a GST receipt voucher, s.31(3)(d) and Rule 50","OK"))))))))))))))))</f>
        <v/>
      </c>
      <c r="P255">
        <f>IF(G255="","",IFERROR(VLOOKUP(G255,Lists!$A$2:$B$9,2,FALSE),"?"))</f>
        <v/>
      </c>
      <c r="Q255">
        <f>IF(K255="Cancelled",0,N(J255))</f>
        <v/>
      </c>
      <c r="R255">
        <f>IF(OR(H255&lt;&gt;"Cash",P255="T",P255="D"),0,Q255)</f>
        <v/>
      </c>
      <c r="S255">
        <f>IF(R255=0,0,SUMIFS($R$18:$R$317,$B$18:$B$317,B255,$D$18:$D$317,D255))</f>
        <v/>
      </c>
      <c r="T255">
        <f>IF(OR(R255=0,E255=""),0,SUMIFS($R$18:$R$317,$E$18:$E$317,E255))</f>
        <v/>
      </c>
      <c r="U255">
        <f>IF(E255="","",IF(N(F255)&gt;0,F255,IFERROR(INDEX($F$18:$F$317,MATCH(E255,$E$18:$E$317,0)),"")))</f>
        <v/>
      </c>
      <c r="V255">
        <f>IF(OR(N255="",N255="OK",K255="Cancelled"),0,1)</f>
        <v/>
      </c>
    </row>
    <row r="256">
      <c r="B256" s="21" t="n"/>
      <c r="C256" s="22">
        <f>IF(B256="","",$E$10&amp;TEXT(N($E$11)+238,"000"))</f>
        <v/>
      </c>
      <c r="D256" s="14" t="n"/>
      <c r="E256" s="23" t="n"/>
      <c r="F256" s="24" t="n"/>
      <c r="G256" s="14" t="n"/>
      <c r="H256" s="14" t="n"/>
      <c r="I256" s="23" t="n"/>
      <c r="J256" s="24" t="n"/>
      <c r="K256" s="23" t="n"/>
      <c r="L256" s="25">
        <f>IF(OR(E256="",N(U256)=0),"",U256-SUMIFS(Q$18:Q256,E$18:E256,E256))</f>
        <v/>
      </c>
      <c r="M256" s="26">
        <f>IF(OR(N(J256)=0,K256="Cancelled"),"",IF(AND(N(J256)&gt;5000,P256&lt;&gt;"G"),"Yes: ₹1","No"))</f>
        <v/>
      </c>
      <c r="N256" s="27">
        <f>IF(AND(B256="",D256="",N(J256)=0),"",IF(B256="","Enter the date",IF(AND(ROW()&gt;18,B255=""),"Use the next empty row: a skipped row leaves a gap in the receipt numbers",IF(D256="","Enter who paid",IF(N(J256)=0,"Enter the amount",IF(G256="","Pick what the money was for",IF(P256="?","Pick what it was for from the list",IF(H256="","Pick how it was paid",IF(K256="Cancelled","Cancelled: keep this number unused and give a fresh receipt",IF(AND(H256&lt;&gt;"Cash",I256=""),"Enter the cheque no., UTR or UPI reference",IF(AND(L256&lt;&gt;"",N(L256)&lt;0),"More than the balance due on this invoice",IF(S256&gt;=200000,"₹2,00,000 or more in cash from this person today: barred, s.186",IF(T256&gt;=200000,"₹2,00,000 or more in cash against this invoice: barred, s.186",IF(AND(P256="T",H256="Cash",N(J256)&gt;=20000),"Loan of ₹20,000 or more in cash: barred, s.185",IF(AND(P256="D",H256="Cash",N(J256)&gt;=20000),"Cash deposit of ₹20,000 or more: ask your accountant whether s.185 applies",IF(AND(OR(P256="AG",P256="AS"),$E$9&lt;&gt;""),"Advance: also give a GST receipt voucher, s.31(3)(d) and Rule 50","OK"))))))))))))))))</f>
        <v/>
      </c>
      <c r="P256">
        <f>IF(G256="","",IFERROR(VLOOKUP(G256,Lists!$A$2:$B$9,2,FALSE),"?"))</f>
        <v/>
      </c>
      <c r="Q256">
        <f>IF(K256="Cancelled",0,N(J256))</f>
        <v/>
      </c>
      <c r="R256">
        <f>IF(OR(H256&lt;&gt;"Cash",P256="T",P256="D"),0,Q256)</f>
        <v/>
      </c>
      <c r="S256">
        <f>IF(R256=0,0,SUMIFS($R$18:$R$317,$B$18:$B$317,B256,$D$18:$D$317,D256))</f>
        <v/>
      </c>
      <c r="T256">
        <f>IF(OR(R256=0,E256=""),0,SUMIFS($R$18:$R$317,$E$18:$E$317,E256))</f>
        <v/>
      </c>
      <c r="U256">
        <f>IF(E256="","",IF(N(F256)&gt;0,F256,IFERROR(INDEX($F$18:$F$317,MATCH(E256,$E$18:$E$317,0)),"")))</f>
        <v/>
      </c>
      <c r="V256">
        <f>IF(OR(N256="",N256="OK",K256="Cancelled"),0,1)</f>
        <v/>
      </c>
    </row>
    <row r="257">
      <c r="B257" s="21" t="n"/>
      <c r="C257" s="22">
        <f>IF(B257="","",$E$10&amp;TEXT(N($E$11)+239,"000"))</f>
        <v/>
      </c>
      <c r="D257" s="14" t="n"/>
      <c r="E257" s="23" t="n"/>
      <c r="F257" s="24" t="n"/>
      <c r="G257" s="14" t="n"/>
      <c r="H257" s="14" t="n"/>
      <c r="I257" s="23" t="n"/>
      <c r="J257" s="24" t="n"/>
      <c r="K257" s="23" t="n"/>
      <c r="L257" s="25">
        <f>IF(OR(E257="",N(U257)=0),"",U257-SUMIFS(Q$18:Q257,E$18:E257,E257))</f>
        <v/>
      </c>
      <c r="M257" s="26">
        <f>IF(OR(N(J257)=0,K257="Cancelled"),"",IF(AND(N(J257)&gt;5000,P257&lt;&gt;"G"),"Yes: ₹1","No"))</f>
        <v/>
      </c>
      <c r="N257" s="27">
        <f>IF(AND(B257="",D257="",N(J257)=0),"",IF(B257="","Enter the date",IF(AND(ROW()&gt;18,B256=""),"Use the next empty row: a skipped row leaves a gap in the receipt numbers",IF(D257="","Enter who paid",IF(N(J257)=0,"Enter the amount",IF(G257="","Pick what the money was for",IF(P257="?","Pick what it was for from the list",IF(H257="","Pick how it was paid",IF(K257="Cancelled","Cancelled: keep this number unused and give a fresh receipt",IF(AND(H257&lt;&gt;"Cash",I257=""),"Enter the cheque no., UTR or UPI reference",IF(AND(L257&lt;&gt;"",N(L257)&lt;0),"More than the balance due on this invoice",IF(S257&gt;=200000,"₹2,00,000 or more in cash from this person today: barred, s.186",IF(T257&gt;=200000,"₹2,00,000 or more in cash against this invoice: barred, s.186",IF(AND(P257="T",H257="Cash",N(J257)&gt;=20000),"Loan of ₹20,000 or more in cash: barred, s.185",IF(AND(P257="D",H257="Cash",N(J257)&gt;=20000),"Cash deposit of ₹20,000 or more: ask your accountant whether s.185 applies",IF(AND(OR(P257="AG",P257="AS"),$E$9&lt;&gt;""),"Advance: also give a GST receipt voucher, s.31(3)(d) and Rule 50","OK"))))))))))))))))</f>
        <v/>
      </c>
      <c r="P257">
        <f>IF(G257="","",IFERROR(VLOOKUP(G257,Lists!$A$2:$B$9,2,FALSE),"?"))</f>
        <v/>
      </c>
      <c r="Q257">
        <f>IF(K257="Cancelled",0,N(J257))</f>
        <v/>
      </c>
      <c r="R257">
        <f>IF(OR(H257&lt;&gt;"Cash",P257="T",P257="D"),0,Q257)</f>
        <v/>
      </c>
      <c r="S257">
        <f>IF(R257=0,0,SUMIFS($R$18:$R$317,$B$18:$B$317,B257,$D$18:$D$317,D257))</f>
        <v/>
      </c>
      <c r="T257">
        <f>IF(OR(R257=0,E257=""),0,SUMIFS($R$18:$R$317,$E$18:$E$317,E257))</f>
        <v/>
      </c>
      <c r="U257">
        <f>IF(E257="","",IF(N(F257)&gt;0,F257,IFERROR(INDEX($F$18:$F$317,MATCH(E257,$E$18:$E$317,0)),"")))</f>
        <v/>
      </c>
      <c r="V257">
        <f>IF(OR(N257="",N257="OK",K257="Cancelled"),0,1)</f>
        <v/>
      </c>
    </row>
    <row r="258">
      <c r="B258" s="21" t="n"/>
      <c r="C258" s="22">
        <f>IF(B258="","",$E$10&amp;TEXT(N($E$11)+240,"000"))</f>
        <v/>
      </c>
      <c r="D258" s="14" t="n"/>
      <c r="E258" s="23" t="n"/>
      <c r="F258" s="24" t="n"/>
      <c r="G258" s="14" t="n"/>
      <c r="H258" s="14" t="n"/>
      <c r="I258" s="23" t="n"/>
      <c r="J258" s="24" t="n"/>
      <c r="K258" s="23" t="n"/>
      <c r="L258" s="25">
        <f>IF(OR(E258="",N(U258)=0),"",U258-SUMIFS(Q$18:Q258,E$18:E258,E258))</f>
        <v/>
      </c>
      <c r="M258" s="26">
        <f>IF(OR(N(J258)=0,K258="Cancelled"),"",IF(AND(N(J258)&gt;5000,P258&lt;&gt;"G"),"Yes: ₹1","No"))</f>
        <v/>
      </c>
      <c r="N258" s="27">
        <f>IF(AND(B258="",D258="",N(J258)=0),"",IF(B258="","Enter the date",IF(AND(ROW()&gt;18,B257=""),"Use the next empty row: a skipped row leaves a gap in the receipt numbers",IF(D258="","Enter who paid",IF(N(J258)=0,"Enter the amount",IF(G258="","Pick what the money was for",IF(P258="?","Pick what it was for from the list",IF(H258="","Pick how it was paid",IF(K258="Cancelled","Cancelled: keep this number unused and give a fresh receipt",IF(AND(H258&lt;&gt;"Cash",I258=""),"Enter the cheque no., UTR or UPI reference",IF(AND(L258&lt;&gt;"",N(L258)&lt;0),"More than the balance due on this invoice",IF(S258&gt;=200000,"₹2,00,000 or more in cash from this person today: barred, s.186",IF(T258&gt;=200000,"₹2,00,000 or more in cash against this invoice: barred, s.186",IF(AND(P258="T",H258="Cash",N(J258)&gt;=20000),"Loan of ₹20,000 or more in cash: barred, s.185",IF(AND(P258="D",H258="Cash",N(J258)&gt;=20000),"Cash deposit of ₹20,000 or more: ask your accountant whether s.185 applies",IF(AND(OR(P258="AG",P258="AS"),$E$9&lt;&gt;""),"Advance: also give a GST receipt voucher, s.31(3)(d) and Rule 50","OK"))))))))))))))))</f>
        <v/>
      </c>
      <c r="P258">
        <f>IF(G258="","",IFERROR(VLOOKUP(G258,Lists!$A$2:$B$9,2,FALSE),"?"))</f>
        <v/>
      </c>
      <c r="Q258">
        <f>IF(K258="Cancelled",0,N(J258))</f>
        <v/>
      </c>
      <c r="R258">
        <f>IF(OR(H258&lt;&gt;"Cash",P258="T",P258="D"),0,Q258)</f>
        <v/>
      </c>
      <c r="S258">
        <f>IF(R258=0,0,SUMIFS($R$18:$R$317,$B$18:$B$317,B258,$D$18:$D$317,D258))</f>
        <v/>
      </c>
      <c r="T258">
        <f>IF(OR(R258=0,E258=""),0,SUMIFS($R$18:$R$317,$E$18:$E$317,E258))</f>
        <v/>
      </c>
      <c r="U258">
        <f>IF(E258="","",IF(N(F258)&gt;0,F258,IFERROR(INDEX($F$18:$F$317,MATCH(E258,$E$18:$E$317,0)),"")))</f>
        <v/>
      </c>
      <c r="V258">
        <f>IF(OR(N258="",N258="OK",K258="Cancelled"),0,1)</f>
        <v/>
      </c>
    </row>
    <row r="259">
      <c r="B259" s="21" t="n"/>
      <c r="C259" s="22">
        <f>IF(B259="","",$E$10&amp;TEXT(N($E$11)+241,"000"))</f>
        <v/>
      </c>
      <c r="D259" s="14" t="n"/>
      <c r="E259" s="23" t="n"/>
      <c r="F259" s="24" t="n"/>
      <c r="G259" s="14" t="n"/>
      <c r="H259" s="14" t="n"/>
      <c r="I259" s="23" t="n"/>
      <c r="J259" s="24" t="n"/>
      <c r="K259" s="23" t="n"/>
      <c r="L259" s="25">
        <f>IF(OR(E259="",N(U259)=0),"",U259-SUMIFS(Q$18:Q259,E$18:E259,E259))</f>
        <v/>
      </c>
      <c r="M259" s="26">
        <f>IF(OR(N(J259)=0,K259="Cancelled"),"",IF(AND(N(J259)&gt;5000,P259&lt;&gt;"G"),"Yes: ₹1","No"))</f>
        <v/>
      </c>
      <c r="N259" s="27">
        <f>IF(AND(B259="",D259="",N(J259)=0),"",IF(B259="","Enter the date",IF(AND(ROW()&gt;18,B258=""),"Use the next empty row: a skipped row leaves a gap in the receipt numbers",IF(D259="","Enter who paid",IF(N(J259)=0,"Enter the amount",IF(G259="","Pick what the money was for",IF(P259="?","Pick what it was for from the list",IF(H259="","Pick how it was paid",IF(K259="Cancelled","Cancelled: keep this number unused and give a fresh receipt",IF(AND(H259&lt;&gt;"Cash",I259=""),"Enter the cheque no., UTR or UPI reference",IF(AND(L259&lt;&gt;"",N(L259)&lt;0),"More than the balance due on this invoice",IF(S259&gt;=200000,"₹2,00,000 or more in cash from this person today: barred, s.186",IF(T259&gt;=200000,"₹2,00,000 or more in cash against this invoice: barred, s.186",IF(AND(P259="T",H259="Cash",N(J259)&gt;=20000),"Loan of ₹20,000 or more in cash: barred, s.185",IF(AND(P259="D",H259="Cash",N(J259)&gt;=20000),"Cash deposit of ₹20,000 or more: ask your accountant whether s.185 applies",IF(AND(OR(P259="AG",P259="AS"),$E$9&lt;&gt;""),"Advance: also give a GST receipt voucher, s.31(3)(d) and Rule 50","OK"))))))))))))))))</f>
        <v/>
      </c>
      <c r="P259">
        <f>IF(G259="","",IFERROR(VLOOKUP(G259,Lists!$A$2:$B$9,2,FALSE),"?"))</f>
        <v/>
      </c>
      <c r="Q259">
        <f>IF(K259="Cancelled",0,N(J259))</f>
        <v/>
      </c>
      <c r="R259">
        <f>IF(OR(H259&lt;&gt;"Cash",P259="T",P259="D"),0,Q259)</f>
        <v/>
      </c>
      <c r="S259">
        <f>IF(R259=0,0,SUMIFS($R$18:$R$317,$B$18:$B$317,B259,$D$18:$D$317,D259))</f>
        <v/>
      </c>
      <c r="T259">
        <f>IF(OR(R259=0,E259=""),0,SUMIFS($R$18:$R$317,$E$18:$E$317,E259))</f>
        <v/>
      </c>
      <c r="U259">
        <f>IF(E259="","",IF(N(F259)&gt;0,F259,IFERROR(INDEX($F$18:$F$317,MATCH(E259,$E$18:$E$317,0)),"")))</f>
        <v/>
      </c>
      <c r="V259">
        <f>IF(OR(N259="",N259="OK",K259="Cancelled"),0,1)</f>
        <v/>
      </c>
    </row>
    <row r="260">
      <c r="B260" s="21" t="n"/>
      <c r="C260" s="22">
        <f>IF(B260="","",$E$10&amp;TEXT(N($E$11)+242,"000"))</f>
        <v/>
      </c>
      <c r="D260" s="14" t="n"/>
      <c r="E260" s="23" t="n"/>
      <c r="F260" s="24" t="n"/>
      <c r="G260" s="14" t="n"/>
      <c r="H260" s="14" t="n"/>
      <c r="I260" s="23" t="n"/>
      <c r="J260" s="24" t="n"/>
      <c r="K260" s="23" t="n"/>
      <c r="L260" s="25">
        <f>IF(OR(E260="",N(U260)=0),"",U260-SUMIFS(Q$18:Q260,E$18:E260,E260))</f>
        <v/>
      </c>
      <c r="M260" s="26">
        <f>IF(OR(N(J260)=0,K260="Cancelled"),"",IF(AND(N(J260)&gt;5000,P260&lt;&gt;"G"),"Yes: ₹1","No"))</f>
        <v/>
      </c>
      <c r="N260" s="27">
        <f>IF(AND(B260="",D260="",N(J260)=0),"",IF(B260="","Enter the date",IF(AND(ROW()&gt;18,B259=""),"Use the next empty row: a skipped row leaves a gap in the receipt numbers",IF(D260="","Enter who paid",IF(N(J260)=0,"Enter the amount",IF(G260="","Pick what the money was for",IF(P260="?","Pick what it was for from the list",IF(H260="","Pick how it was paid",IF(K260="Cancelled","Cancelled: keep this number unused and give a fresh receipt",IF(AND(H260&lt;&gt;"Cash",I260=""),"Enter the cheque no., UTR or UPI reference",IF(AND(L260&lt;&gt;"",N(L260)&lt;0),"More than the balance due on this invoice",IF(S260&gt;=200000,"₹2,00,000 or more in cash from this person today: barred, s.186",IF(T260&gt;=200000,"₹2,00,000 or more in cash against this invoice: barred, s.186",IF(AND(P260="T",H260="Cash",N(J260)&gt;=20000),"Loan of ₹20,000 or more in cash: barred, s.185",IF(AND(P260="D",H260="Cash",N(J260)&gt;=20000),"Cash deposit of ₹20,000 or more: ask your accountant whether s.185 applies",IF(AND(OR(P260="AG",P260="AS"),$E$9&lt;&gt;""),"Advance: also give a GST receipt voucher, s.31(3)(d) and Rule 50","OK"))))))))))))))))</f>
        <v/>
      </c>
      <c r="P260">
        <f>IF(G260="","",IFERROR(VLOOKUP(G260,Lists!$A$2:$B$9,2,FALSE),"?"))</f>
        <v/>
      </c>
      <c r="Q260">
        <f>IF(K260="Cancelled",0,N(J260))</f>
        <v/>
      </c>
      <c r="R260">
        <f>IF(OR(H260&lt;&gt;"Cash",P260="T",P260="D"),0,Q260)</f>
        <v/>
      </c>
      <c r="S260">
        <f>IF(R260=0,0,SUMIFS($R$18:$R$317,$B$18:$B$317,B260,$D$18:$D$317,D260))</f>
        <v/>
      </c>
      <c r="T260">
        <f>IF(OR(R260=0,E260=""),0,SUMIFS($R$18:$R$317,$E$18:$E$317,E260))</f>
        <v/>
      </c>
      <c r="U260">
        <f>IF(E260="","",IF(N(F260)&gt;0,F260,IFERROR(INDEX($F$18:$F$317,MATCH(E260,$E$18:$E$317,0)),"")))</f>
        <v/>
      </c>
      <c r="V260">
        <f>IF(OR(N260="",N260="OK",K260="Cancelled"),0,1)</f>
        <v/>
      </c>
    </row>
    <row r="261">
      <c r="B261" s="21" t="n"/>
      <c r="C261" s="22">
        <f>IF(B261="","",$E$10&amp;TEXT(N($E$11)+243,"000"))</f>
        <v/>
      </c>
      <c r="D261" s="14" t="n"/>
      <c r="E261" s="23" t="n"/>
      <c r="F261" s="24" t="n"/>
      <c r="G261" s="14" t="n"/>
      <c r="H261" s="14" t="n"/>
      <c r="I261" s="23" t="n"/>
      <c r="J261" s="24" t="n"/>
      <c r="K261" s="23" t="n"/>
      <c r="L261" s="25">
        <f>IF(OR(E261="",N(U261)=0),"",U261-SUMIFS(Q$18:Q261,E$18:E261,E261))</f>
        <v/>
      </c>
      <c r="M261" s="26">
        <f>IF(OR(N(J261)=0,K261="Cancelled"),"",IF(AND(N(J261)&gt;5000,P261&lt;&gt;"G"),"Yes: ₹1","No"))</f>
        <v/>
      </c>
      <c r="N261" s="27">
        <f>IF(AND(B261="",D261="",N(J261)=0),"",IF(B261="","Enter the date",IF(AND(ROW()&gt;18,B260=""),"Use the next empty row: a skipped row leaves a gap in the receipt numbers",IF(D261="","Enter who paid",IF(N(J261)=0,"Enter the amount",IF(G261="","Pick what the money was for",IF(P261="?","Pick what it was for from the list",IF(H261="","Pick how it was paid",IF(K261="Cancelled","Cancelled: keep this number unused and give a fresh receipt",IF(AND(H261&lt;&gt;"Cash",I261=""),"Enter the cheque no., UTR or UPI reference",IF(AND(L261&lt;&gt;"",N(L261)&lt;0),"More than the balance due on this invoice",IF(S261&gt;=200000,"₹2,00,000 or more in cash from this person today: barred, s.186",IF(T261&gt;=200000,"₹2,00,000 or more in cash against this invoice: barred, s.186",IF(AND(P261="T",H261="Cash",N(J261)&gt;=20000),"Loan of ₹20,000 or more in cash: barred, s.185",IF(AND(P261="D",H261="Cash",N(J261)&gt;=20000),"Cash deposit of ₹20,000 or more: ask your accountant whether s.185 applies",IF(AND(OR(P261="AG",P261="AS"),$E$9&lt;&gt;""),"Advance: also give a GST receipt voucher, s.31(3)(d) and Rule 50","OK"))))))))))))))))</f>
        <v/>
      </c>
      <c r="P261">
        <f>IF(G261="","",IFERROR(VLOOKUP(G261,Lists!$A$2:$B$9,2,FALSE),"?"))</f>
        <v/>
      </c>
      <c r="Q261">
        <f>IF(K261="Cancelled",0,N(J261))</f>
        <v/>
      </c>
      <c r="R261">
        <f>IF(OR(H261&lt;&gt;"Cash",P261="T",P261="D"),0,Q261)</f>
        <v/>
      </c>
      <c r="S261">
        <f>IF(R261=0,0,SUMIFS($R$18:$R$317,$B$18:$B$317,B261,$D$18:$D$317,D261))</f>
        <v/>
      </c>
      <c r="T261">
        <f>IF(OR(R261=0,E261=""),0,SUMIFS($R$18:$R$317,$E$18:$E$317,E261))</f>
        <v/>
      </c>
      <c r="U261">
        <f>IF(E261="","",IF(N(F261)&gt;0,F261,IFERROR(INDEX($F$18:$F$317,MATCH(E261,$E$18:$E$317,0)),"")))</f>
        <v/>
      </c>
      <c r="V261">
        <f>IF(OR(N261="",N261="OK",K261="Cancelled"),0,1)</f>
        <v/>
      </c>
    </row>
    <row r="262">
      <c r="B262" s="21" t="n"/>
      <c r="C262" s="22">
        <f>IF(B262="","",$E$10&amp;TEXT(N($E$11)+244,"000"))</f>
        <v/>
      </c>
      <c r="D262" s="14" t="n"/>
      <c r="E262" s="23" t="n"/>
      <c r="F262" s="24" t="n"/>
      <c r="G262" s="14" t="n"/>
      <c r="H262" s="14" t="n"/>
      <c r="I262" s="23" t="n"/>
      <c r="J262" s="24" t="n"/>
      <c r="K262" s="23" t="n"/>
      <c r="L262" s="25">
        <f>IF(OR(E262="",N(U262)=0),"",U262-SUMIFS(Q$18:Q262,E$18:E262,E262))</f>
        <v/>
      </c>
      <c r="M262" s="26">
        <f>IF(OR(N(J262)=0,K262="Cancelled"),"",IF(AND(N(J262)&gt;5000,P262&lt;&gt;"G"),"Yes: ₹1","No"))</f>
        <v/>
      </c>
      <c r="N262" s="27">
        <f>IF(AND(B262="",D262="",N(J262)=0),"",IF(B262="","Enter the date",IF(AND(ROW()&gt;18,B261=""),"Use the next empty row: a skipped row leaves a gap in the receipt numbers",IF(D262="","Enter who paid",IF(N(J262)=0,"Enter the amount",IF(G262="","Pick what the money was for",IF(P262="?","Pick what it was for from the list",IF(H262="","Pick how it was paid",IF(K262="Cancelled","Cancelled: keep this number unused and give a fresh receipt",IF(AND(H262&lt;&gt;"Cash",I262=""),"Enter the cheque no., UTR or UPI reference",IF(AND(L262&lt;&gt;"",N(L262)&lt;0),"More than the balance due on this invoice",IF(S262&gt;=200000,"₹2,00,000 or more in cash from this person today: barred, s.186",IF(T262&gt;=200000,"₹2,00,000 or more in cash against this invoice: barred, s.186",IF(AND(P262="T",H262="Cash",N(J262)&gt;=20000),"Loan of ₹20,000 or more in cash: barred, s.185",IF(AND(P262="D",H262="Cash",N(J262)&gt;=20000),"Cash deposit of ₹20,000 or more: ask your accountant whether s.185 applies",IF(AND(OR(P262="AG",P262="AS"),$E$9&lt;&gt;""),"Advance: also give a GST receipt voucher, s.31(3)(d) and Rule 50","OK"))))))))))))))))</f>
        <v/>
      </c>
      <c r="P262">
        <f>IF(G262="","",IFERROR(VLOOKUP(G262,Lists!$A$2:$B$9,2,FALSE),"?"))</f>
        <v/>
      </c>
      <c r="Q262">
        <f>IF(K262="Cancelled",0,N(J262))</f>
        <v/>
      </c>
      <c r="R262">
        <f>IF(OR(H262&lt;&gt;"Cash",P262="T",P262="D"),0,Q262)</f>
        <v/>
      </c>
      <c r="S262">
        <f>IF(R262=0,0,SUMIFS($R$18:$R$317,$B$18:$B$317,B262,$D$18:$D$317,D262))</f>
        <v/>
      </c>
      <c r="T262">
        <f>IF(OR(R262=0,E262=""),0,SUMIFS($R$18:$R$317,$E$18:$E$317,E262))</f>
        <v/>
      </c>
      <c r="U262">
        <f>IF(E262="","",IF(N(F262)&gt;0,F262,IFERROR(INDEX($F$18:$F$317,MATCH(E262,$E$18:$E$317,0)),"")))</f>
        <v/>
      </c>
      <c r="V262">
        <f>IF(OR(N262="",N262="OK",K262="Cancelled"),0,1)</f>
        <v/>
      </c>
    </row>
    <row r="263">
      <c r="B263" s="21" t="n"/>
      <c r="C263" s="22">
        <f>IF(B263="","",$E$10&amp;TEXT(N($E$11)+245,"000"))</f>
        <v/>
      </c>
      <c r="D263" s="14" t="n"/>
      <c r="E263" s="23" t="n"/>
      <c r="F263" s="24" t="n"/>
      <c r="G263" s="14" t="n"/>
      <c r="H263" s="14" t="n"/>
      <c r="I263" s="23" t="n"/>
      <c r="J263" s="24" t="n"/>
      <c r="K263" s="23" t="n"/>
      <c r="L263" s="25">
        <f>IF(OR(E263="",N(U263)=0),"",U263-SUMIFS(Q$18:Q263,E$18:E263,E263))</f>
        <v/>
      </c>
      <c r="M263" s="26">
        <f>IF(OR(N(J263)=0,K263="Cancelled"),"",IF(AND(N(J263)&gt;5000,P263&lt;&gt;"G"),"Yes: ₹1","No"))</f>
        <v/>
      </c>
      <c r="N263" s="27">
        <f>IF(AND(B263="",D263="",N(J263)=0),"",IF(B263="","Enter the date",IF(AND(ROW()&gt;18,B262=""),"Use the next empty row: a skipped row leaves a gap in the receipt numbers",IF(D263="","Enter who paid",IF(N(J263)=0,"Enter the amount",IF(G263="","Pick what the money was for",IF(P263="?","Pick what it was for from the list",IF(H263="","Pick how it was paid",IF(K263="Cancelled","Cancelled: keep this number unused and give a fresh receipt",IF(AND(H263&lt;&gt;"Cash",I263=""),"Enter the cheque no., UTR or UPI reference",IF(AND(L263&lt;&gt;"",N(L263)&lt;0),"More than the balance due on this invoice",IF(S263&gt;=200000,"₹2,00,000 or more in cash from this person today: barred, s.186",IF(T263&gt;=200000,"₹2,00,000 or more in cash against this invoice: barred, s.186",IF(AND(P263="T",H263="Cash",N(J263)&gt;=20000),"Loan of ₹20,000 or more in cash: barred, s.185",IF(AND(P263="D",H263="Cash",N(J263)&gt;=20000),"Cash deposit of ₹20,000 or more: ask your accountant whether s.185 applies",IF(AND(OR(P263="AG",P263="AS"),$E$9&lt;&gt;""),"Advance: also give a GST receipt voucher, s.31(3)(d) and Rule 50","OK"))))))))))))))))</f>
        <v/>
      </c>
      <c r="P263">
        <f>IF(G263="","",IFERROR(VLOOKUP(G263,Lists!$A$2:$B$9,2,FALSE),"?"))</f>
        <v/>
      </c>
      <c r="Q263">
        <f>IF(K263="Cancelled",0,N(J263))</f>
        <v/>
      </c>
      <c r="R263">
        <f>IF(OR(H263&lt;&gt;"Cash",P263="T",P263="D"),0,Q263)</f>
        <v/>
      </c>
      <c r="S263">
        <f>IF(R263=0,0,SUMIFS($R$18:$R$317,$B$18:$B$317,B263,$D$18:$D$317,D263))</f>
        <v/>
      </c>
      <c r="T263">
        <f>IF(OR(R263=0,E263=""),0,SUMIFS($R$18:$R$317,$E$18:$E$317,E263))</f>
        <v/>
      </c>
      <c r="U263">
        <f>IF(E263="","",IF(N(F263)&gt;0,F263,IFERROR(INDEX($F$18:$F$317,MATCH(E263,$E$18:$E$317,0)),"")))</f>
        <v/>
      </c>
      <c r="V263">
        <f>IF(OR(N263="",N263="OK",K263="Cancelled"),0,1)</f>
        <v/>
      </c>
    </row>
    <row r="264">
      <c r="B264" s="21" t="n"/>
      <c r="C264" s="22">
        <f>IF(B264="","",$E$10&amp;TEXT(N($E$11)+246,"000"))</f>
        <v/>
      </c>
      <c r="D264" s="14" t="n"/>
      <c r="E264" s="23" t="n"/>
      <c r="F264" s="24" t="n"/>
      <c r="G264" s="14" t="n"/>
      <c r="H264" s="14" t="n"/>
      <c r="I264" s="23" t="n"/>
      <c r="J264" s="24" t="n"/>
      <c r="K264" s="23" t="n"/>
      <c r="L264" s="25">
        <f>IF(OR(E264="",N(U264)=0),"",U264-SUMIFS(Q$18:Q264,E$18:E264,E264))</f>
        <v/>
      </c>
      <c r="M264" s="26">
        <f>IF(OR(N(J264)=0,K264="Cancelled"),"",IF(AND(N(J264)&gt;5000,P264&lt;&gt;"G"),"Yes: ₹1","No"))</f>
        <v/>
      </c>
      <c r="N264" s="27">
        <f>IF(AND(B264="",D264="",N(J264)=0),"",IF(B264="","Enter the date",IF(AND(ROW()&gt;18,B263=""),"Use the next empty row: a skipped row leaves a gap in the receipt numbers",IF(D264="","Enter who paid",IF(N(J264)=0,"Enter the amount",IF(G264="","Pick what the money was for",IF(P264="?","Pick what it was for from the list",IF(H264="","Pick how it was paid",IF(K264="Cancelled","Cancelled: keep this number unused and give a fresh receipt",IF(AND(H264&lt;&gt;"Cash",I264=""),"Enter the cheque no., UTR or UPI reference",IF(AND(L264&lt;&gt;"",N(L264)&lt;0),"More than the balance due on this invoice",IF(S264&gt;=200000,"₹2,00,000 or more in cash from this person today: barred, s.186",IF(T264&gt;=200000,"₹2,00,000 or more in cash against this invoice: barred, s.186",IF(AND(P264="T",H264="Cash",N(J264)&gt;=20000),"Loan of ₹20,000 or more in cash: barred, s.185",IF(AND(P264="D",H264="Cash",N(J264)&gt;=20000),"Cash deposit of ₹20,000 or more: ask your accountant whether s.185 applies",IF(AND(OR(P264="AG",P264="AS"),$E$9&lt;&gt;""),"Advance: also give a GST receipt voucher, s.31(3)(d) and Rule 50","OK"))))))))))))))))</f>
        <v/>
      </c>
      <c r="P264">
        <f>IF(G264="","",IFERROR(VLOOKUP(G264,Lists!$A$2:$B$9,2,FALSE),"?"))</f>
        <v/>
      </c>
      <c r="Q264">
        <f>IF(K264="Cancelled",0,N(J264))</f>
        <v/>
      </c>
      <c r="R264">
        <f>IF(OR(H264&lt;&gt;"Cash",P264="T",P264="D"),0,Q264)</f>
        <v/>
      </c>
      <c r="S264">
        <f>IF(R264=0,0,SUMIFS($R$18:$R$317,$B$18:$B$317,B264,$D$18:$D$317,D264))</f>
        <v/>
      </c>
      <c r="T264">
        <f>IF(OR(R264=0,E264=""),0,SUMIFS($R$18:$R$317,$E$18:$E$317,E264))</f>
        <v/>
      </c>
      <c r="U264">
        <f>IF(E264="","",IF(N(F264)&gt;0,F264,IFERROR(INDEX($F$18:$F$317,MATCH(E264,$E$18:$E$317,0)),"")))</f>
        <v/>
      </c>
      <c r="V264">
        <f>IF(OR(N264="",N264="OK",K264="Cancelled"),0,1)</f>
        <v/>
      </c>
    </row>
    <row r="265">
      <c r="B265" s="21" t="n"/>
      <c r="C265" s="22">
        <f>IF(B265="","",$E$10&amp;TEXT(N($E$11)+247,"000"))</f>
        <v/>
      </c>
      <c r="D265" s="14" t="n"/>
      <c r="E265" s="23" t="n"/>
      <c r="F265" s="24" t="n"/>
      <c r="G265" s="14" t="n"/>
      <c r="H265" s="14" t="n"/>
      <c r="I265" s="23" t="n"/>
      <c r="J265" s="24" t="n"/>
      <c r="K265" s="23" t="n"/>
      <c r="L265" s="25">
        <f>IF(OR(E265="",N(U265)=0),"",U265-SUMIFS(Q$18:Q265,E$18:E265,E265))</f>
        <v/>
      </c>
      <c r="M265" s="26">
        <f>IF(OR(N(J265)=0,K265="Cancelled"),"",IF(AND(N(J265)&gt;5000,P265&lt;&gt;"G"),"Yes: ₹1","No"))</f>
        <v/>
      </c>
      <c r="N265" s="27">
        <f>IF(AND(B265="",D265="",N(J265)=0),"",IF(B265="","Enter the date",IF(AND(ROW()&gt;18,B264=""),"Use the next empty row: a skipped row leaves a gap in the receipt numbers",IF(D265="","Enter who paid",IF(N(J265)=0,"Enter the amount",IF(G265="","Pick what the money was for",IF(P265="?","Pick what it was for from the list",IF(H265="","Pick how it was paid",IF(K265="Cancelled","Cancelled: keep this number unused and give a fresh receipt",IF(AND(H265&lt;&gt;"Cash",I265=""),"Enter the cheque no., UTR or UPI reference",IF(AND(L265&lt;&gt;"",N(L265)&lt;0),"More than the balance due on this invoice",IF(S265&gt;=200000,"₹2,00,000 or more in cash from this person today: barred, s.186",IF(T265&gt;=200000,"₹2,00,000 or more in cash against this invoice: barred, s.186",IF(AND(P265="T",H265="Cash",N(J265)&gt;=20000),"Loan of ₹20,000 or more in cash: barred, s.185",IF(AND(P265="D",H265="Cash",N(J265)&gt;=20000),"Cash deposit of ₹20,000 or more: ask your accountant whether s.185 applies",IF(AND(OR(P265="AG",P265="AS"),$E$9&lt;&gt;""),"Advance: also give a GST receipt voucher, s.31(3)(d) and Rule 50","OK"))))))))))))))))</f>
        <v/>
      </c>
      <c r="P265">
        <f>IF(G265="","",IFERROR(VLOOKUP(G265,Lists!$A$2:$B$9,2,FALSE),"?"))</f>
        <v/>
      </c>
      <c r="Q265">
        <f>IF(K265="Cancelled",0,N(J265))</f>
        <v/>
      </c>
      <c r="R265">
        <f>IF(OR(H265&lt;&gt;"Cash",P265="T",P265="D"),0,Q265)</f>
        <v/>
      </c>
      <c r="S265">
        <f>IF(R265=0,0,SUMIFS($R$18:$R$317,$B$18:$B$317,B265,$D$18:$D$317,D265))</f>
        <v/>
      </c>
      <c r="T265">
        <f>IF(OR(R265=0,E265=""),0,SUMIFS($R$18:$R$317,$E$18:$E$317,E265))</f>
        <v/>
      </c>
      <c r="U265">
        <f>IF(E265="","",IF(N(F265)&gt;0,F265,IFERROR(INDEX($F$18:$F$317,MATCH(E265,$E$18:$E$317,0)),"")))</f>
        <v/>
      </c>
      <c r="V265">
        <f>IF(OR(N265="",N265="OK",K265="Cancelled"),0,1)</f>
        <v/>
      </c>
    </row>
    <row r="266">
      <c r="B266" s="21" t="n"/>
      <c r="C266" s="22">
        <f>IF(B266="","",$E$10&amp;TEXT(N($E$11)+248,"000"))</f>
        <v/>
      </c>
      <c r="D266" s="14" t="n"/>
      <c r="E266" s="23" t="n"/>
      <c r="F266" s="24" t="n"/>
      <c r="G266" s="14" t="n"/>
      <c r="H266" s="14" t="n"/>
      <c r="I266" s="23" t="n"/>
      <c r="J266" s="24" t="n"/>
      <c r="K266" s="23" t="n"/>
      <c r="L266" s="25">
        <f>IF(OR(E266="",N(U266)=0),"",U266-SUMIFS(Q$18:Q266,E$18:E266,E266))</f>
        <v/>
      </c>
      <c r="M266" s="26">
        <f>IF(OR(N(J266)=0,K266="Cancelled"),"",IF(AND(N(J266)&gt;5000,P266&lt;&gt;"G"),"Yes: ₹1","No"))</f>
        <v/>
      </c>
      <c r="N266" s="27">
        <f>IF(AND(B266="",D266="",N(J266)=0),"",IF(B266="","Enter the date",IF(AND(ROW()&gt;18,B265=""),"Use the next empty row: a skipped row leaves a gap in the receipt numbers",IF(D266="","Enter who paid",IF(N(J266)=0,"Enter the amount",IF(G266="","Pick what the money was for",IF(P266="?","Pick what it was for from the list",IF(H266="","Pick how it was paid",IF(K266="Cancelled","Cancelled: keep this number unused and give a fresh receipt",IF(AND(H266&lt;&gt;"Cash",I266=""),"Enter the cheque no., UTR or UPI reference",IF(AND(L266&lt;&gt;"",N(L266)&lt;0),"More than the balance due on this invoice",IF(S266&gt;=200000,"₹2,00,000 or more in cash from this person today: barred, s.186",IF(T266&gt;=200000,"₹2,00,000 or more in cash against this invoice: barred, s.186",IF(AND(P266="T",H266="Cash",N(J266)&gt;=20000),"Loan of ₹20,000 or more in cash: barred, s.185",IF(AND(P266="D",H266="Cash",N(J266)&gt;=20000),"Cash deposit of ₹20,000 or more: ask your accountant whether s.185 applies",IF(AND(OR(P266="AG",P266="AS"),$E$9&lt;&gt;""),"Advance: also give a GST receipt voucher, s.31(3)(d) and Rule 50","OK"))))))))))))))))</f>
        <v/>
      </c>
      <c r="P266">
        <f>IF(G266="","",IFERROR(VLOOKUP(G266,Lists!$A$2:$B$9,2,FALSE),"?"))</f>
        <v/>
      </c>
      <c r="Q266">
        <f>IF(K266="Cancelled",0,N(J266))</f>
        <v/>
      </c>
      <c r="R266">
        <f>IF(OR(H266&lt;&gt;"Cash",P266="T",P266="D"),0,Q266)</f>
        <v/>
      </c>
      <c r="S266">
        <f>IF(R266=0,0,SUMIFS($R$18:$R$317,$B$18:$B$317,B266,$D$18:$D$317,D266))</f>
        <v/>
      </c>
      <c r="T266">
        <f>IF(OR(R266=0,E266=""),0,SUMIFS($R$18:$R$317,$E$18:$E$317,E266))</f>
        <v/>
      </c>
      <c r="U266">
        <f>IF(E266="","",IF(N(F266)&gt;0,F266,IFERROR(INDEX($F$18:$F$317,MATCH(E266,$E$18:$E$317,0)),"")))</f>
        <v/>
      </c>
      <c r="V266">
        <f>IF(OR(N266="",N266="OK",K266="Cancelled"),0,1)</f>
        <v/>
      </c>
    </row>
    <row r="267">
      <c r="B267" s="21" t="n"/>
      <c r="C267" s="22">
        <f>IF(B267="","",$E$10&amp;TEXT(N($E$11)+249,"000"))</f>
        <v/>
      </c>
      <c r="D267" s="14" t="n"/>
      <c r="E267" s="23" t="n"/>
      <c r="F267" s="24" t="n"/>
      <c r="G267" s="14" t="n"/>
      <c r="H267" s="14" t="n"/>
      <c r="I267" s="23" t="n"/>
      <c r="J267" s="24" t="n"/>
      <c r="K267" s="23" t="n"/>
      <c r="L267" s="25">
        <f>IF(OR(E267="",N(U267)=0),"",U267-SUMIFS(Q$18:Q267,E$18:E267,E267))</f>
        <v/>
      </c>
      <c r="M267" s="26">
        <f>IF(OR(N(J267)=0,K267="Cancelled"),"",IF(AND(N(J267)&gt;5000,P267&lt;&gt;"G"),"Yes: ₹1","No"))</f>
        <v/>
      </c>
      <c r="N267" s="27">
        <f>IF(AND(B267="",D267="",N(J267)=0),"",IF(B267="","Enter the date",IF(AND(ROW()&gt;18,B266=""),"Use the next empty row: a skipped row leaves a gap in the receipt numbers",IF(D267="","Enter who paid",IF(N(J267)=0,"Enter the amount",IF(G267="","Pick what the money was for",IF(P267="?","Pick what it was for from the list",IF(H267="","Pick how it was paid",IF(K267="Cancelled","Cancelled: keep this number unused and give a fresh receipt",IF(AND(H267&lt;&gt;"Cash",I267=""),"Enter the cheque no., UTR or UPI reference",IF(AND(L267&lt;&gt;"",N(L267)&lt;0),"More than the balance due on this invoice",IF(S267&gt;=200000,"₹2,00,000 or more in cash from this person today: barred, s.186",IF(T267&gt;=200000,"₹2,00,000 or more in cash against this invoice: barred, s.186",IF(AND(P267="T",H267="Cash",N(J267)&gt;=20000),"Loan of ₹20,000 or more in cash: barred, s.185",IF(AND(P267="D",H267="Cash",N(J267)&gt;=20000),"Cash deposit of ₹20,000 or more: ask your accountant whether s.185 applies",IF(AND(OR(P267="AG",P267="AS"),$E$9&lt;&gt;""),"Advance: also give a GST receipt voucher, s.31(3)(d) and Rule 50","OK"))))))))))))))))</f>
        <v/>
      </c>
      <c r="P267">
        <f>IF(G267="","",IFERROR(VLOOKUP(G267,Lists!$A$2:$B$9,2,FALSE),"?"))</f>
        <v/>
      </c>
      <c r="Q267">
        <f>IF(K267="Cancelled",0,N(J267))</f>
        <v/>
      </c>
      <c r="R267">
        <f>IF(OR(H267&lt;&gt;"Cash",P267="T",P267="D"),0,Q267)</f>
        <v/>
      </c>
      <c r="S267">
        <f>IF(R267=0,0,SUMIFS($R$18:$R$317,$B$18:$B$317,B267,$D$18:$D$317,D267))</f>
        <v/>
      </c>
      <c r="T267">
        <f>IF(OR(R267=0,E267=""),0,SUMIFS($R$18:$R$317,$E$18:$E$317,E267))</f>
        <v/>
      </c>
      <c r="U267">
        <f>IF(E267="","",IF(N(F267)&gt;0,F267,IFERROR(INDEX($F$18:$F$317,MATCH(E267,$E$18:$E$317,0)),"")))</f>
        <v/>
      </c>
      <c r="V267">
        <f>IF(OR(N267="",N267="OK",K267="Cancelled"),0,1)</f>
        <v/>
      </c>
    </row>
    <row r="268">
      <c r="B268" s="21" t="n"/>
      <c r="C268" s="22">
        <f>IF(B268="","",$E$10&amp;TEXT(N($E$11)+250,"000"))</f>
        <v/>
      </c>
      <c r="D268" s="14" t="n"/>
      <c r="E268" s="23" t="n"/>
      <c r="F268" s="24" t="n"/>
      <c r="G268" s="14" t="n"/>
      <c r="H268" s="14" t="n"/>
      <c r="I268" s="23" t="n"/>
      <c r="J268" s="24" t="n"/>
      <c r="K268" s="23" t="n"/>
      <c r="L268" s="25">
        <f>IF(OR(E268="",N(U268)=0),"",U268-SUMIFS(Q$18:Q268,E$18:E268,E268))</f>
        <v/>
      </c>
      <c r="M268" s="26">
        <f>IF(OR(N(J268)=0,K268="Cancelled"),"",IF(AND(N(J268)&gt;5000,P268&lt;&gt;"G"),"Yes: ₹1","No"))</f>
        <v/>
      </c>
      <c r="N268" s="27">
        <f>IF(AND(B268="",D268="",N(J268)=0),"",IF(B268="","Enter the date",IF(AND(ROW()&gt;18,B267=""),"Use the next empty row: a skipped row leaves a gap in the receipt numbers",IF(D268="","Enter who paid",IF(N(J268)=0,"Enter the amount",IF(G268="","Pick what the money was for",IF(P268="?","Pick what it was for from the list",IF(H268="","Pick how it was paid",IF(K268="Cancelled","Cancelled: keep this number unused and give a fresh receipt",IF(AND(H268&lt;&gt;"Cash",I268=""),"Enter the cheque no., UTR or UPI reference",IF(AND(L268&lt;&gt;"",N(L268)&lt;0),"More than the balance due on this invoice",IF(S268&gt;=200000,"₹2,00,000 or more in cash from this person today: barred, s.186",IF(T268&gt;=200000,"₹2,00,000 or more in cash against this invoice: barred, s.186",IF(AND(P268="T",H268="Cash",N(J268)&gt;=20000),"Loan of ₹20,000 or more in cash: barred, s.185",IF(AND(P268="D",H268="Cash",N(J268)&gt;=20000),"Cash deposit of ₹20,000 or more: ask your accountant whether s.185 applies",IF(AND(OR(P268="AG",P268="AS"),$E$9&lt;&gt;""),"Advance: also give a GST receipt voucher, s.31(3)(d) and Rule 50","OK"))))))))))))))))</f>
        <v/>
      </c>
      <c r="P268">
        <f>IF(G268="","",IFERROR(VLOOKUP(G268,Lists!$A$2:$B$9,2,FALSE),"?"))</f>
        <v/>
      </c>
      <c r="Q268">
        <f>IF(K268="Cancelled",0,N(J268))</f>
        <v/>
      </c>
      <c r="R268">
        <f>IF(OR(H268&lt;&gt;"Cash",P268="T",P268="D"),0,Q268)</f>
        <v/>
      </c>
      <c r="S268">
        <f>IF(R268=0,0,SUMIFS($R$18:$R$317,$B$18:$B$317,B268,$D$18:$D$317,D268))</f>
        <v/>
      </c>
      <c r="T268">
        <f>IF(OR(R268=0,E268=""),0,SUMIFS($R$18:$R$317,$E$18:$E$317,E268))</f>
        <v/>
      </c>
      <c r="U268">
        <f>IF(E268="","",IF(N(F268)&gt;0,F268,IFERROR(INDEX($F$18:$F$317,MATCH(E268,$E$18:$E$317,0)),"")))</f>
        <v/>
      </c>
      <c r="V268">
        <f>IF(OR(N268="",N268="OK",K268="Cancelled"),0,1)</f>
        <v/>
      </c>
    </row>
    <row r="269">
      <c r="B269" s="21" t="n"/>
      <c r="C269" s="22">
        <f>IF(B269="","",$E$10&amp;TEXT(N($E$11)+251,"000"))</f>
        <v/>
      </c>
      <c r="D269" s="14" t="n"/>
      <c r="E269" s="23" t="n"/>
      <c r="F269" s="24" t="n"/>
      <c r="G269" s="14" t="n"/>
      <c r="H269" s="14" t="n"/>
      <c r="I269" s="23" t="n"/>
      <c r="J269" s="24" t="n"/>
      <c r="K269" s="23" t="n"/>
      <c r="L269" s="25">
        <f>IF(OR(E269="",N(U269)=0),"",U269-SUMIFS(Q$18:Q269,E$18:E269,E269))</f>
        <v/>
      </c>
      <c r="M269" s="26">
        <f>IF(OR(N(J269)=0,K269="Cancelled"),"",IF(AND(N(J269)&gt;5000,P269&lt;&gt;"G"),"Yes: ₹1","No"))</f>
        <v/>
      </c>
      <c r="N269" s="27">
        <f>IF(AND(B269="",D269="",N(J269)=0),"",IF(B269="","Enter the date",IF(AND(ROW()&gt;18,B268=""),"Use the next empty row: a skipped row leaves a gap in the receipt numbers",IF(D269="","Enter who paid",IF(N(J269)=0,"Enter the amount",IF(G269="","Pick what the money was for",IF(P269="?","Pick what it was for from the list",IF(H269="","Pick how it was paid",IF(K269="Cancelled","Cancelled: keep this number unused and give a fresh receipt",IF(AND(H269&lt;&gt;"Cash",I269=""),"Enter the cheque no., UTR or UPI reference",IF(AND(L269&lt;&gt;"",N(L269)&lt;0),"More than the balance due on this invoice",IF(S269&gt;=200000,"₹2,00,000 or more in cash from this person today: barred, s.186",IF(T269&gt;=200000,"₹2,00,000 or more in cash against this invoice: barred, s.186",IF(AND(P269="T",H269="Cash",N(J269)&gt;=20000),"Loan of ₹20,000 or more in cash: barred, s.185",IF(AND(P269="D",H269="Cash",N(J269)&gt;=20000),"Cash deposit of ₹20,000 or more: ask your accountant whether s.185 applies",IF(AND(OR(P269="AG",P269="AS"),$E$9&lt;&gt;""),"Advance: also give a GST receipt voucher, s.31(3)(d) and Rule 50","OK"))))))))))))))))</f>
        <v/>
      </c>
      <c r="P269">
        <f>IF(G269="","",IFERROR(VLOOKUP(G269,Lists!$A$2:$B$9,2,FALSE),"?"))</f>
        <v/>
      </c>
      <c r="Q269">
        <f>IF(K269="Cancelled",0,N(J269))</f>
        <v/>
      </c>
      <c r="R269">
        <f>IF(OR(H269&lt;&gt;"Cash",P269="T",P269="D"),0,Q269)</f>
        <v/>
      </c>
      <c r="S269">
        <f>IF(R269=0,0,SUMIFS($R$18:$R$317,$B$18:$B$317,B269,$D$18:$D$317,D269))</f>
        <v/>
      </c>
      <c r="T269">
        <f>IF(OR(R269=0,E269=""),0,SUMIFS($R$18:$R$317,$E$18:$E$317,E269))</f>
        <v/>
      </c>
      <c r="U269">
        <f>IF(E269="","",IF(N(F269)&gt;0,F269,IFERROR(INDEX($F$18:$F$317,MATCH(E269,$E$18:$E$317,0)),"")))</f>
        <v/>
      </c>
      <c r="V269">
        <f>IF(OR(N269="",N269="OK",K269="Cancelled"),0,1)</f>
        <v/>
      </c>
    </row>
    <row r="270">
      <c r="B270" s="21" t="n"/>
      <c r="C270" s="22">
        <f>IF(B270="","",$E$10&amp;TEXT(N($E$11)+252,"000"))</f>
        <v/>
      </c>
      <c r="D270" s="14" t="n"/>
      <c r="E270" s="23" t="n"/>
      <c r="F270" s="24" t="n"/>
      <c r="G270" s="14" t="n"/>
      <c r="H270" s="14" t="n"/>
      <c r="I270" s="23" t="n"/>
      <c r="J270" s="24" t="n"/>
      <c r="K270" s="23" t="n"/>
      <c r="L270" s="25">
        <f>IF(OR(E270="",N(U270)=0),"",U270-SUMIFS(Q$18:Q270,E$18:E270,E270))</f>
        <v/>
      </c>
      <c r="M270" s="26">
        <f>IF(OR(N(J270)=0,K270="Cancelled"),"",IF(AND(N(J270)&gt;5000,P270&lt;&gt;"G"),"Yes: ₹1","No"))</f>
        <v/>
      </c>
      <c r="N270" s="27">
        <f>IF(AND(B270="",D270="",N(J270)=0),"",IF(B270="","Enter the date",IF(AND(ROW()&gt;18,B269=""),"Use the next empty row: a skipped row leaves a gap in the receipt numbers",IF(D270="","Enter who paid",IF(N(J270)=0,"Enter the amount",IF(G270="","Pick what the money was for",IF(P270="?","Pick what it was for from the list",IF(H270="","Pick how it was paid",IF(K270="Cancelled","Cancelled: keep this number unused and give a fresh receipt",IF(AND(H270&lt;&gt;"Cash",I270=""),"Enter the cheque no., UTR or UPI reference",IF(AND(L270&lt;&gt;"",N(L270)&lt;0),"More than the balance due on this invoice",IF(S270&gt;=200000,"₹2,00,000 or more in cash from this person today: barred, s.186",IF(T270&gt;=200000,"₹2,00,000 or more in cash against this invoice: barred, s.186",IF(AND(P270="T",H270="Cash",N(J270)&gt;=20000),"Loan of ₹20,000 or more in cash: barred, s.185",IF(AND(P270="D",H270="Cash",N(J270)&gt;=20000),"Cash deposit of ₹20,000 or more: ask your accountant whether s.185 applies",IF(AND(OR(P270="AG",P270="AS"),$E$9&lt;&gt;""),"Advance: also give a GST receipt voucher, s.31(3)(d) and Rule 50","OK"))))))))))))))))</f>
        <v/>
      </c>
      <c r="P270">
        <f>IF(G270="","",IFERROR(VLOOKUP(G270,Lists!$A$2:$B$9,2,FALSE),"?"))</f>
        <v/>
      </c>
      <c r="Q270">
        <f>IF(K270="Cancelled",0,N(J270))</f>
        <v/>
      </c>
      <c r="R270">
        <f>IF(OR(H270&lt;&gt;"Cash",P270="T",P270="D"),0,Q270)</f>
        <v/>
      </c>
      <c r="S270">
        <f>IF(R270=0,0,SUMIFS($R$18:$R$317,$B$18:$B$317,B270,$D$18:$D$317,D270))</f>
        <v/>
      </c>
      <c r="T270">
        <f>IF(OR(R270=0,E270=""),0,SUMIFS($R$18:$R$317,$E$18:$E$317,E270))</f>
        <v/>
      </c>
      <c r="U270">
        <f>IF(E270="","",IF(N(F270)&gt;0,F270,IFERROR(INDEX($F$18:$F$317,MATCH(E270,$E$18:$E$317,0)),"")))</f>
        <v/>
      </c>
      <c r="V270">
        <f>IF(OR(N270="",N270="OK",K270="Cancelled"),0,1)</f>
        <v/>
      </c>
    </row>
    <row r="271">
      <c r="B271" s="21" t="n"/>
      <c r="C271" s="22">
        <f>IF(B271="","",$E$10&amp;TEXT(N($E$11)+253,"000"))</f>
        <v/>
      </c>
      <c r="D271" s="14" t="n"/>
      <c r="E271" s="23" t="n"/>
      <c r="F271" s="24" t="n"/>
      <c r="G271" s="14" t="n"/>
      <c r="H271" s="14" t="n"/>
      <c r="I271" s="23" t="n"/>
      <c r="J271" s="24" t="n"/>
      <c r="K271" s="23" t="n"/>
      <c r="L271" s="25">
        <f>IF(OR(E271="",N(U271)=0),"",U271-SUMIFS(Q$18:Q271,E$18:E271,E271))</f>
        <v/>
      </c>
      <c r="M271" s="26">
        <f>IF(OR(N(J271)=0,K271="Cancelled"),"",IF(AND(N(J271)&gt;5000,P271&lt;&gt;"G"),"Yes: ₹1","No"))</f>
        <v/>
      </c>
      <c r="N271" s="27">
        <f>IF(AND(B271="",D271="",N(J271)=0),"",IF(B271="","Enter the date",IF(AND(ROW()&gt;18,B270=""),"Use the next empty row: a skipped row leaves a gap in the receipt numbers",IF(D271="","Enter who paid",IF(N(J271)=0,"Enter the amount",IF(G271="","Pick what the money was for",IF(P271="?","Pick what it was for from the list",IF(H271="","Pick how it was paid",IF(K271="Cancelled","Cancelled: keep this number unused and give a fresh receipt",IF(AND(H271&lt;&gt;"Cash",I271=""),"Enter the cheque no., UTR or UPI reference",IF(AND(L271&lt;&gt;"",N(L271)&lt;0),"More than the balance due on this invoice",IF(S271&gt;=200000,"₹2,00,000 or more in cash from this person today: barred, s.186",IF(T271&gt;=200000,"₹2,00,000 or more in cash against this invoice: barred, s.186",IF(AND(P271="T",H271="Cash",N(J271)&gt;=20000),"Loan of ₹20,000 or more in cash: barred, s.185",IF(AND(P271="D",H271="Cash",N(J271)&gt;=20000),"Cash deposit of ₹20,000 or more: ask your accountant whether s.185 applies",IF(AND(OR(P271="AG",P271="AS"),$E$9&lt;&gt;""),"Advance: also give a GST receipt voucher, s.31(3)(d) and Rule 50","OK"))))))))))))))))</f>
        <v/>
      </c>
      <c r="P271">
        <f>IF(G271="","",IFERROR(VLOOKUP(G271,Lists!$A$2:$B$9,2,FALSE),"?"))</f>
        <v/>
      </c>
      <c r="Q271">
        <f>IF(K271="Cancelled",0,N(J271))</f>
        <v/>
      </c>
      <c r="R271">
        <f>IF(OR(H271&lt;&gt;"Cash",P271="T",P271="D"),0,Q271)</f>
        <v/>
      </c>
      <c r="S271">
        <f>IF(R271=0,0,SUMIFS($R$18:$R$317,$B$18:$B$317,B271,$D$18:$D$317,D271))</f>
        <v/>
      </c>
      <c r="T271">
        <f>IF(OR(R271=0,E271=""),0,SUMIFS($R$18:$R$317,$E$18:$E$317,E271))</f>
        <v/>
      </c>
      <c r="U271">
        <f>IF(E271="","",IF(N(F271)&gt;0,F271,IFERROR(INDEX($F$18:$F$317,MATCH(E271,$E$18:$E$317,0)),"")))</f>
        <v/>
      </c>
      <c r="V271">
        <f>IF(OR(N271="",N271="OK",K271="Cancelled"),0,1)</f>
        <v/>
      </c>
    </row>
    <row r="272">
      <c r="B272" s="21" t="n"/>
      <c r="C272" s="22">
        <f>IF(B272="","",$E$10&amp;TEXT(N($E$11)+254,"000"))</f>
        <v/>
      </c>
      <c r="D272" s="14" t="n"/>
      <c r="E272" s="23" t="n"/>
      <c r="F272" s="24" t="n"/>
      <c r="G272" s="14" t="n"/>
      <c r="H272" s="14" t="n"/>
      <c r="I272" s="23" t="n"/>
      <c r="J272" s="24" t="n"/>
      <c r="K272" s="23" t="n"/>
      <c r="L272" s="25">
        <f>IF(OR(E272="",N(U272)=0),"",U272-SUMIFS(Q$18:Q272,E$18:E272,E272))</f>
        <v/>
      </c>
      <c r="M272" s="26">
        <f>IF(OR(N(J272)=0,K272="Cancelled"),"",IF(AND(N(J272)&gt;5000,P272&lt;&gt;"G"),"Yes: ₹1","No"))</f>
        <v/>
      </c>
      <c r="N272" s="27">
        <f>IF(AND(B272="",D272="",N(J272)=0),"",IF(B272="","Enter the date",IF(AND(ROW()&gt;18,B271=""),"Use the next empty row: a skipped row leaves a gap in the receipt numbers",IF(D272="","Enter who paid",IF(N(J272)=0,"Enter the amount",IF(G272="","Pick what the money was for",IF(P272="?","Pick what it was for from the list",IF(H272="","Pick how it was paid",IF(K272="Cancelled","Cancelled: keep this number unused and give a fresh receipt",IF(AND(H272&lt;&gt;"Cash",I272=""),"Enter the cheque no., UTR or UPI reference",IF(AND(L272&lt;&gt;"",N(L272)&lt;0),"More than the balance due on this invoice",IF(S272&gt;=200000,"₹2,00,000 or more in cash from this person today: barred, s.186",IF(T272&gt;=200000,"₹2,00,000 or more in cash against this invoice: barred, s.186",IF(AND(P272="T",H272="Cash",N(J272)&gt;=20000),"Loan of ₹20,000 or more in cash: barred, s.185",IF(AND(P272="D",H272="Cash",N(J272)&gt;=20000),"Cash deposit of ₹20,000 or more: ask your accountant whether s.185 applies",IF(AND(OR(P272="AG",P272="AS"),$E$9&lt;&gt;""),"Advance: also give a GST receipt voucher, s.31(3)(d) and Rule 50","OK"))))))))))))))))</f>
        <v/>
      </c>
      <c r="P272">
        <f>IF(G272="","",IFERROR(VLOOKUP(G272,Lists!$A$2:$B$9,2,FALSE),"?"))</f>
        <v/>
      </c>
      <c r="Q272">
        <f>IF(K272="Cancelled",0,N(J272))</f>
        <v/>
      </c>
      <c r="R272">
        <f>IF(OR(H272&lt;&gt;"Cash",P272="T",P272="D"),0,Q272)</f>
        <v/>
      </c>
      <c r="S272">
        <f>IF(R272=0,0,SUMIFS($R$18:$R$317,$B$18:$B$317,B272,$D$18:$D$317,D272))</f>
        <v/>
      </c>
      <c r="T272">
        <f>IF(OR(R272=0,E272=""),0,SUMIFS($R$18:$R$317,$E$18:$E$317,E272))</f>
        <v/>
      </c>
      <c r="U272">
        <f>IF(E272="","",IF(N(F272)&gt;0,F272,IFERROR(INDEX($F$18:$F$317,MATCH(E272,$E$18:$E$317,0)),"")))</f>
        <v/>
      </c>
      <c r="V272">
        <f>IF(OR(N272="",N272="OK",K272="Cancelled"),0,1)</f>
        <v/>
      </c>
    </row>
    <row r="273">
      <c r="B273" s="21" t="n"/>
      <c r="C273" s="22">
        <f>IF(B273="","",$E$10&amp;TEXT(N($E$11)+255,"000"))</f>
        <v/>
      </c>
      <c r="D273" s="14" t="n"/>
      <c r="E273" s="23" t="n"/>
      <c r="F273" s="24" t="n"/>
      <c r="G273" s="14" t="n"/>
      <c r="H273" s="14" t="n"/>
      <c r="I273" s="23" t="n"/>
      <c r="J273" s="24" t="n"/>
      <c r="K273" s="23" t="n"/>
      <c r="L273" s="25">
        <f>IF(OR(E273="",N(U273)=0),"",U273-SUMIFS(Q$18:Q273,E$18:E273,E273))</f>
        <v/>
      </c>
      <c r="M273" s="26">
        <f>IF(OR(N(J273)=0,K273="Cancelled"),"",IF(AND(N(J273)&gt;5000,P273&lt;&gt;"G"),"Yes: ₹1","No"))</f>
        <v/>
      </c>
      <c r="N273" s="27">
        <f>IF(AND(B273="",D273="",N(J273)=0),"",IF(B273="","Enter the date",IF(AND(ROW()&gt;18,B272=""),"Use the next empty row: a skipped row leaves a gap in the receipt numbers",IF(D273="","Enter who paid",IF(N(J273)=0,"Enter the amount",IF(G273="","Pick what the money was for",IF(P273="?","Pick what it was for from the list",IF(H273="","Pick how it was paid",IF(K273="Cancelled","Cancelled: keep this number unused and give a fresh receipt",IF(AND(H273&lt;&gt;"Cash",I273=""),"Enter the cheque no., UTR or UPI reference",IF(AND(L273&lt;&gt;"",N(L273)&lt;0),"More than the balance due on this invoice",IF(S273&gt;=200000,"₹2,00,000 or more in cash from this person today: barred, s.186",IF(T273&gt;=200000,"₹2,00,000 or more in cash against this invoice: barred, s.186",IF(AND(P273="T",H273="Cash",N(J273)&gt;=20000),"Loan of ₹20,000 or more in cash: barred, s.185",IF(AND(P273="D",H273="Cash",N(J273)&gt;=20000),"Cash deposit of ₹20,000 or more: ask your accountant whether s.185 applies",IF(AND(OR(P273="AG",P273="AS"),$E$9&lt;&gt;""),"Advance: also give a GST receipt voucher, s.31(3)(d) and Rule 50","OK"))))))))))))))))</f>
        <v/>
      </c>
      <c r="P273">
        <f>IF(G273="","",IFERROR(VLOOKUP(G273,Lists!$A$2:$B$9,2,FALSE),"?"))</f>
        <v/>
      </c>
      <c r="Q273">
        <f>IF(K273="Cancelled",0,N(J273))</f>
        <v/>
      </c>
      <c r="R273">
        <f>IF(OR(H273&lt;&gt;"Cash",P273="T",P273="D"),0,Q273)</f>
        <v/>
      </c>
      <c r="S273">
        <f>IF(R273=0,0,SUMIFS($R$18:$R$317,$B$18:$B$317,B273,$D$18:$D$317,D273))</f>
        <v/>
      </c>
      <c r="T273">
        <f>IF(OR(R273=0,E273=""),0,SUMIFS($R$18:$R$317,$E$18:$E$317,E273))</f>
        <v/>
      </c>
      <c r="U273">
        <f>IF(E273="","",IF(N(F273)&gt;0,F273,IFERROR(INDEX($F$18:$F$317,MATCH(E273,$E$18:$E$317,0)),"")))</f>
        <v/>
      </c>
      <c r="V273">
        <f>IF(OR(N273="",N273="OK",K273="Cancelled"),0,1)</f>
        <v/>
      </c>
    </row>
    <row r="274">
      <c r="B274" s="21" t="n"/>
      <c r="C274" s="22">
        <f>IF(B274="","",$E$10&amp;TEXT(N($E$11)+256,"000"))</f>
        <v/>
      </c>
      <c r="D274" s="14" t="n"/>
      <c r="E274" s="23" t="n"/>
      <c r="F274" s="24" t="n"/>
      <c r="G274" s="14" t="n"/>
      <c r="H274" s="14" t="n"/>
      <c r="I274" s="23" t="n"/>
      <c r="J274" s="24" t="n"/>
      <c r="K274" s="23" t="n"/>
      <c r="L274" s="25">
        <f>IF(OR(E274="",N(U274)=0),"",U274-SUMIFS(Q$18:Q274,E$18:E274,E274))</f>
        <v/>
      </c>
      <c r="M274" s="26">
        <f>IF(OR(N(J274)=0,K274="Cancelled"),"",IF(AND(N(J274)&gt;5000,P274&lt;&gt;"G"),"Yes: ₹1","No"))</f>
        <v/>
      </c>
      <c r="N274" s="27">
        <f>IF(AND(B274="",D274="",N(J274)=0),"",IF(B274="","Enter the date",IF(AND(ROW()&gt;18,B273=""),"Use the next empty row: a skipped row leaves a gap in the receipt numbers",IF(D274="","Enter who paid",IF(N(J274)=0,"Enter the amount",IF(G274="","Pick what the money was for",IF(P274="?","Pick what it was for from the list",IF(H274="","Pick how it was paid",IF(K274="Cancelled","Cancelled: keep this number unused and give a fresh receipt",IF(AND(H274&lt;&gt;"Cash",I274=""),"Enter the cheque no., UTR or UPI reference",IF(AND(L274&lt;&gt;"",N(L274)&lt;0),"More than the balance due on this invoice",IF(S274&gt;=200000,"₹2,00,000 or more in cash from this person today: barred, s.186",IF(T274&gt;=200000,"₹2,00,000 or more in cash against this invoice: barred, s.186",IF(AND(P274="T",H274="Cash",N(J274)&gt;=20000),"Loan of ₹20,000 or more in cash: barred, s.185",IF(AND(P274="D",H274="Cash",N(J274)&gt;=20000),"Cash deposit of ₹20,000 or more: ask your accountant whether s.185 applies",IF(AND(OR(P274="AG",P274="AS"),$E$9&lt;&gt;""),"Advance: also give a GST receipt voucher, s.31(3)(d) and Rule 50","OK"))))))))))))))))</f>
        <v/>
      </c>
      <c r="P274">
        <f>IF(G274="","",IFERROR(VLOOKUP(G274,Lists!$A$2:$B$9,2,FALSE),"?"))</f>
        <v/>
      </c>
      <c r="Q274">
        <f>IF(K274="Cancelled",0,N(J274))</f>
        <v/>
      </c>
      <c r="R274">
        <f>IF(OR(H274&lt;&gt;"Cash",P274="T",P274="D"),0,Q274)</f>
        <v/>
      </c>
      <c r="S274">
        <f>IF(R274=0,0,SUMIFS($R$18:$R$317,$B$18:$B$317,B274,$D$18:$D$317,D274))</f>
        <v/>
      </c>
      <c r="T274">
        <f>IF(OR(R274=0,E274=""),0,SUMIFS($R$18:$R$317,$E$18:$E$317,E274))</f>
        <v/>
      </c>
      <c r="U274">
        <f>IF(E274="","",IF(N(F274)&gt;0,F274,IFERROR(INDEX($F$18:$F$317,MATCH(E274,$E$18:$E$317,0)),"")))</f>
        <v/>
      </c>
      <c r="V274">
        <f>IF(OR(N274="",N274="OK",K274="Cancelled"),0,1)</f>
        <v/>
      </c>
    </row>
    <row r="275">
      <c r="B275" s="21" t="n"/>
      <c r="C275" s="22">
        <f>IF(B275="","",$E$10&amp;TEXT(N($E$11)+257,"000"))</f>
        <v/>
      </c>
      <c r="D275" s="14" t="n"/>
      <c r="E275" s="23" t="n"/>
      <c r="F275" s="24" t="n"/>
      <c r="G275" s="14" t="n"/>
      <c r="H275" s="14" t="n"/>
      <c r="I275" s="23" t="n"/>
      <c r="J275" s="24" t="n"/>
      <c r="K275" s="23" t="n"/>
      <c r="L275" s="25">
        <f>IF(OR(E275="",N(U275)=0),"",U275-SUMIFS(Q$18:Q275,E$18:E275,E275))</f>
        <v/>
      </c>
      <c r="M275" s="26">
        <f>IF(OR(N(J275)=0,K275="Cancelled"),"",IF(AND(N(J275)&gt;5000,P275&lt;&gt;"G"),"Yes: ₹1","No"))</f>
        <v/>
      </c>
      <c r="N275" s="27">
        <f>IF(AND(B275="",D275="",N(J275)=0),"",IF(B275="","Enter the date",IF(AND(ROW()&gt;18,B274=""),"Use the next empty row: a skipped row leaves a gap in the receipt numbers",IF(D275="","Enter who paid",IF(N(J275)=0,"Enter the amount",IF(G275="","Pick what the money was for",IF(P275="?","Pick what it was for from the list",IF(H275="","Pick how it was paid",IF(K275="Cancelled","Cancelled: keep this number unused and give a fresh receipt",IF(AND(H275&lt;&gt;"Cash",I275=""),"Enter the cheque no., UTR or UPI reference",IF(AND(L275&lt;&gt;"",N(L275)&lt;0),"More than the balance due on this invoice",IF(S275&gt;=200000,"₹2,00,000 or more in cash from this person today: barred, s.186",IF(T275&gt;=200000,"₹2,00,000 or more in cash against this invoice: barred, s.186",IF(AND(P275="T",H275="Cash",N(J275)&gt;=20000),"Loan of ₹20,000 or more in cash: barred, s.185",IF(AND(P275="D",H275="Cash",N(J275)&gt;=20000),"Cash deposit of ₹20,000 or more: ask your accountant whether s.185 applies",IF(AND(OR(P275="AG",P275="AS"),$E$9&lt;&gt;""),"Advance: also give a GST receipt voucher, s.31(3)(d) and Rule 50","OK"))))))))))))))))</f>
        <v/>
      </c>
      <c r="P275">
        <f>IF(G275="","",IFERROR(VLOOKUP(G275,Lists!$A$2:$B$9,2,FALSE),"?"))</f>
        <v/>
      </c>
      <c r="Q275">
        <f>IF(K275="Cancelled",0,N(J275))</f>
        <v/>
      </c>
      <c r="R275">
        <f>IF(OR(H275&lt;&gt;"Cash",P275="T",P275="D"),0,Q275)</f>
        <v/>
      </c>
      <c r="S275">
        <f>IF(R275=0,0,SUMIFS($R$18:$R$317,$B$18:$B$317,B275,$D$18:$D$317,D275))</f>
        <v/>
      </c>
      <c r="T275">
        <f>IF(OR(R275=0,E275=""),0,SUMIFS($R$18:$R$317,$E$18:$E$317,E275))</f>
        <v/>
      </c>
      <c r="U275">
        <f>IF(E275="","",IF(N(F275)&gt;0,F275,IFERROR(INDEX($F$18:$F$317,MATCH(E275,$E$18:$E$317,0)),"")))</f>
        <v/>
      </c>
      <c r="V275">
        <f>IF(OR(N275="",N275="OK",K275="Cancelled"),0,1)</f>
        <v/>
      </c>
    </row>
    <row r="276">
      <c r="B276" s="21" t="n"/>
      <c r="C276" s="22">
        <f>IF(B276="","",$E$10&amp;TEXT(N($E$11)+258,"000"))</f>
        <v/>
      </c>
      <c r="D276" s="14" t="n"/>
      <c r="E276" s="23" t="n"/>
      <c r="F276" s="24" t="n"/>
      <c r="G276" s="14" t="n"/>
      <c r="H276" s="14" t="n"/>
      <c r="I276" s="23" t="n"/>
      <c r="J276" s="24" t="n"/>
      <c r="K276" s="23" t="n"/>
      <c r="L276" s="25">
        <f>IF(OR(E276="",N(U276)=0),"",U276-SUMIFS(Q$18:Q276,E$18:E276,E276))</f>
        <v/>
      </c>
      <c r="M276" s="26">
        <f>IF(OR(N(J276)=0,K276="Cancelled"),"",IF(AND(N(J276)&gt;5000,P276&lt;&gt;"G"),"Yes: ₹1","No"))</f>
        <v/>
      </c>
      <c r="N276" s="27">
        <f>IF(AND(B276="",D276="",N(J276)=0),"",IF(B276="","Enter the date",IF(AND(ROW()&gt;18,B275=""),"Use the next empty row: a skipped row leaves a gap in the receipt numbers",IF(D276="","Enter who paid",IF(N(J276)=0,"Enter the amount",IF(G276="","Pick what the money was for",IF(P276="?","Pick what it was for from the list",IF(H276="","Pick how it was paid",IF(K276="Cancelled","Cancelled: keep this number unused and give a fresh receipt",IF(AND(H276&lt;&gt;"Cash",I276=""),"Enter the cheque no., UTR or UPI reference",IF(AND(L276&lt;&gt;"",N(L276)&lt;0),"More than the balance due on this invoice",IF(S276&gt;=200000,"₹2,00,000 or more in cash from this person today: barred, s.186",IF(T276&gt;=200000,"₹2,00,000 or more in cash against this invoice: barred, s.186",IF(AND(P276="T",H276="Cash",N(J276)&gt;=20000),"Loan of ₹20,000 or more in cash: barred, s.185",IF(AND(P276="D",H276="Cash",N(J276)&gt;=20000),"Cash deposit of ₹20,000 or more: ask your accountant whether s.185 applies",IF(AND(OR(P276="AG",P276="AS"),$E$9&lt;&gt;""),"Advance: also give a GST receipt voucher, s.31(3)(d) and Rule 50","OK"))))))))))))))))</f>
        <v/>
      </c>
      <c r="P276">
        <f>IF(G276="","",IFERROR(VLOOKUP(G276,Lists!$A$2:$B$9,2,FALSE),"?"))</f>
        <v/>
      </c>
      <c r="Q276">
        <f>IF(K276="Cancelled",0,N(J276))</f>
        <v/>
      </c>
      <c r="R276">
        <f>IF(OR(H276&lt;&gt;"Cash",P276="T",P276="D"),0,Q276)</f>
        <v/>
      </c>
      <c r="S276">
        <f>IF(R276=0,0,SUMIFS($R$18:$R$317,$B$18:$B$317,B276,$D$18:$D$317,D276))</f>
        <v/>
      </c>
      <c r="T276">
        <f>IF(OR(R276=0,E276=""),0,SUMIFS($R$18:$R$317,$E$18:$E$317,E276))</f>
        <v/>
      </c>
      <c r="U276">
        <f>IF(E276="","",IF(N(F276)&gt;0,F276,IFERROR(INDEX($F$18:$F$317,MATCH(E276,$E$18:$E$317,0)),"")))</f>
        <v/>
      </c>
      <c r="V276">
        <f>IF(OR(N276="",N276="OK",K276="Cancelled"),0,1)</f>
        <v/>
      </c>
    </row>
    <row r="277">
      <c r="B277" s="21" t="n"/>
      <c r="C277" s="22">
        <f>IF(B277="","",$E$10&amp;TEXT(N($E$11)+259,"000"))</f>
        <v/>
      </c>
      <c r="D277" s="14" t="n"/>
      <c r="E277" s="23" t="n"/>
      <c r="F277" s="24" t="n"/>
      <c r="G277" s="14" t="n"/>
      <c r="H277" s="14" t="n"/>
      <c r="I277" s="23" t="n"/>
      <c r="J277" s="24" t="n"/>
      <c r="K277" s="23" t="n"/>
      <c r="L277" s="25">
        <f>IF(OR(E277="",N(U277)=0),"",U277-SUMIFS(Q$18:Q277,E$18:E277,E277))</f>
        <v/>
      </c>
      <c r="M277" s="26">
        <f>IF(OR(N(J277)=0,K277="Cancelled"),"",IF(AND(N(J277)&gt;5000,P277&lt;&gt;"G"),"Yes: ₹1","No"))</f>
        <v/>
      </c>
      <c r="N277" s="27">
        <f>IF(AND(B277="",D277="",N(J277)=0),"",IF(B277="","Enter the date",IF(AND(ROW()&gt;18,B276=""),"Use the next empty row: a skipped row leaves a gap in the receipt numbers",IF(D277="","Enter who paid",IF(N(J277)=0,"Enter the amount",IF(G277="","Pick what the money was for",IF(P277="?","Pick what it was for from the list",IF(H277="","Pick how it was paid",IF(K277="Cancelled","Cancelled: keep this number unused and give a fresh receipt",IF(AND(H277&lt;&gt;"Cash",I277=""),"Enter the cheque no., UTR or UPI reference",IF(AND(L277&lt;&gt;"",N(L277)&lt;0),"More than the balance due on this invoice",IF(S277&gt;=200000,"₹2,00,000 or more in cash from this person today: barred, s.186",IF(T277&gt;=200000,"₹2,00,000 or more in cash against this invoice: barred, s.186",IF(AND(P277="T",H277="Cash",N(J277)&gt;=20000),"Loan of ₹20,000 or more in cash: barred, s.185",IF(AND(P277="D",H277="Cash",N(J277)&gt;=20000),"Cash deposit of ₹20,000 or more: ask your accountant whether s.185 applies",IF(AND(OR(P277="AG",P277="AS"),$E$9&lt;&gt;""),"Advance: also give a GST receipt voucher, s.31(3)(d) and Rule 50","OK"))))))))))))))))</f>
        <v/>
      </c>
      <c r="P277">
        <f>IF(G277="","",IFERROR(VLOOKUP(G277,Lists!$A$2:$B$9,2,FALSE),"?"))</f>
        <v/>
      </c>
      <c r="Q277">
        <f>IF(K277="Cancelled",0,N(J277))</f>
        <v/>
      </c>
      <c r="R277">
        <f>IF(OR(H277&lt;&gt;"Cash",P277="T",P277="D"),0,Q277)</f>
        <v/>
      </c>
      <c r="S277">
        <f>IF(R277=0,0,SUMIFS($R$18:$R$317,$B$18:$B$317,B277,$D$18:$D$317,D277))</f>
        <v/>
      </c>
      <c r="T277">
        <f>IF(OR(R277=0,E277=""),0,SUMIFS($R$18:$R$317,$E$18:$E$317,E277))</f>
        <v/>
      </c>
      <c r="U277">
        <f>IF(E277="","",IF(N(F277)&gt;0,F277,IFERROR(INDEX($F$18:$F$317,MATCH(E277,$E$18:$E$317,0)),"")))</f>
        <v/>
      </c>
      <c r="V277">
        <f>IF(OR(N277="",N277="OK",K277="Cancelled"),0,1)</f>
        <v/>
      </c>
    </row>
    <row r="278">
      <c r="B278" s="21" t="n"/>
      <c r="C278" s="22">
        <f>IF(B278="","",$E$10&amp;TEXT(N($E$11)+260,"000"))</f>
        <v/>
      </c>
      <c r="D278" s="14" t="n"/>
      <c r="E278" s="23" t="n"/>
      <c r="F278" s="24" t="n"/>
      <c r="G278" s="14" t="n"/>
      <c r="H278" s="14" t="n"/>
      <c r="I278" s="23" t="n"/>
      <c r="J278" s="24" t="n"/>
      <c r="K278" s="23" t="n"/>
      <c r="L278" s="25">
        <f>IF(OR(E278="",N(U278)=0),"",U278-SUMIFS(Q$18:Q278,E$18:E278,E278))</f>
        <v/>
      </c>
      <c r="M278" s="26">
        <f>IF(OR(N(J278)=0,K278="Cancelled"),"",IF(AND(N(J278)&gt;5000,P278&lt;&gt;"G"),"Yes: ₹1","No"))</f>
        <v/>
      </c>
      <c r="N278" s="27">
        <f>IF(AND(B278="",D278="",N(J278)=0),"",IF(B278="","Enter the date",IF(AND(ROW()&gt;18,B277=""),"Use the next empty row: a skipped row leaves a gap in the receipt numbers",IF(D278="","Enter who paid",IF(N(J278)=0,"Enter the amount",IF(G278="","Pick what the money was for",IF(P278="?","Pick what it was for from the list",IF(H278="","Pick how it was paid",IF(K278="Cancelled","Cancelled: keep this number unused and give a fresh receipt",IF(AND(H278&lt;&gt;"Cash",I278=""),"Enter the cheque no., UTR or UPI reference",IF(AND(L278&lt;&gt;"",N(L278)&lt;0),"More than the balance due on this invoice",IF(S278&gt;=200000,"₹2,00,000 or more in cash from this person today: barred, s.186",IF(T278&gt;=200000,"₹2,00,000 or more in cash against this invoice: barred, s.186",IF(AND(P278="T",H278="Cash",N(J278)&gt;=20000),"Loan of ₹20,000 or more in cash: barred, s.185",IF(AND(P278="D",H278="Cash",N(J278)&gt;=20000),"Cash deposit of ₹20,000 or more: ask your accountant whether s.185 applies",IF(AND(OR(P278="AG",P278="AS"),$E$9&lt;&gt;""),"Advance: also give a GST receipt voucher, s.31(3)(d) and Rule 50","OK"))))))))))))))))</f>
        <v/>
      </c>
      <c r="P278">
        <f>IF(G278="","",IFERROR(VLOOKUP(G278,Lists!$A$2:$B$9,2,FALSE),"?"))</f>
        <v/>
      </c>
      <c r="Q278">
        <f>IF(K278="Cancelled",0,N(J278))</f>
        <v/>
      </c>
      <c r="R278">
        <f>IF(OR(H278&lt;&gt;"Cash",P278="T",P278="D"),0,Q278)</f>
        <v/>
      </c>
      <c r="S278">
        <f>IF(R278=0,0,SUMIFS($R$18:$R$317,$B$18:$B$317,B278,$D$18:$D$317,D278))</f>
        <v/>
      </c>
      <c r="T278">
        <f>IF(OR(R278=0,E278=""),0,SUMIFS($R$18:$R$317,$E$18:$E$317,E278))</f>
        <v/>
      </c>
      <c r="U278">
        <f>IF(E278="","",IF(N(F278)&gt;0,F278,IFERROR(INDEX($F$18:$F$317,MATCH(E278,$E$18:$E$317,0)),"")))</f>
        <v/>
      </c>
      <c r="V278">
        <f>IF(OR(N278="",N278="OK",K278="Cancelled"),0,1)</f>
        <v/>
      </c>
    </row>
    <row r="279">
      <c r="B279" s="21" t="n"/>
      <c r="C279" s="22">
        <f>IF(B279="","",$E$10&amp;TEXT(N($E$11)+261,"000"))</f>
        <v/>
      </c>
      <c r="D279" s="14" t="n"/>
      <c r="E279" s="23" t="n"/>
      <c r="F279" s="24" t="n"/>
      <c r="G279" s="14" t="n"/>
      <c r="H279" s="14" t="n"/>
      <c r="I279" s="23" t="n"/>
      <c r="J279" s="24" t="n"/>
      <c r="K279" s="23" t="n"/>
      <c r="L279" s="25">
        <f>IF(OR(E279="",N(U279)=0),"",U279-SUMIFS(Q$18:Q279,E$18:E279,E279))</f>
        <v/>
      </c>
      <c r="M279" s="26">
        <f>IF(OR(N(J279)=0,K279="Cancelled"),"",IF(AND(N(J279)&gt;5000,P279&lt;&gt;"G"),"Yes: ₹1","No"))</f>
        <v/>
      </c>
      <c r="N279" s="27">
        <f>IF(AND(B279="",D279="",N(J279)=0),"",IF(B279="","Enter the date",IF(AND(ROW()&gt;18,B278=""),"Use the next empty row: a skipped row leaves a gap in the receipt numbers",IF(D279="","Enter who paid",IF(N(J279)=0,"Enter the amount",IF(G279="","Pick what the money was for",IF(P279="?","Pick what it was for from the list",IF(H279="","Pick how it was paid",IF(K279="Cancelled","Cancelled: keep this number unused and give a fresh receipt",IF(AND(H279&lt;&gt;"Cash",I279=""),"Enter the cheque no., UTR or UPI reference",IF(AND(L279&lt;&gt;"",N(L279)&lt;0),"More than the balance due on this invoice",IF(S279&gt;=200000,"₹2,00,000 or more in cash from this person today: barred, s.186",IF(T279&gt;=200000,"₹2,00,000 or more in cash against this invoice: barred, s.186",IF(AND(P279="T",H279="Cash",N(J279)&gt;=20000),"Loan of ₹20,000 or more in cash: barred, s.185",IF(AND(P279="D",H279="Cash",N(J279)&gt;=20000),"Cash deposit of ₹20,000 or more: ask your accountant whether s.185 applies",IF(AND(OR(P279="AG",P279="AS"),$E$9&lt;&gt;""),"Advance: also give a GST receipt voucher, s.31(3)(d) and Rule 50","OK"))))))))))))))))</f>
        <v/>
      </c>
      <c r="P279">
        <f>IF(G279="","",IFERROR(VLOOKUP(G279,Lists!$A$2:$B$9,2,FALSE),"?"))</f>
        <v/>
      </c>
      <c r="Q279">
        <f>IF(K279="Cancelled",0,N(J279))</f>
        <v/>
      </c>
      <c r="R279">
        <f>IF(OR(H279&lt;&gt;"Cash",P279="T",P279="D"),0,Q279)</f>
        <v/>
      </c>
      <c r="S279">
        <f>IF(R279=0,0,SUMIFS($R$18:$R$317,$B$18:$B$317,B279,$D$18:$D$317,D279))</f>
        <v/>
      </c>
      <c r="T279">
        <f>IF(OR(R279=0,E279=""),0,SUMIFS($R$18:$R$317,$E$18:$E$317,E279))</f>
        <v/>
      </c>
      <c r="U279">
        <f>IF(E279="","",IF(N(F279)&gt;0,F279,IFERROR(INDEX($F$18:$F$317,MATCH(E279,$E$18:$E$317,0)),"")))</f>
        <v/>
      </c>
      <c r="V279">
        <f>IF(OR(N279="",N279="OK",K279="Cancelled"),0,1)</f>
        <v/>
      </c>
    </row>
    <row r="280">
      <c r="B280" s="21" t="n"/>
      <c r="C280" s="22">
        <f>IF(B280="","",$E$10&amp;TEXT(N($E$11)+262,"000"))</f>
        <v/>
      </c>
      <c r="D280" s="14" t="n"/>
      <c r="E280" s="23" t="n"/>
      <c r="F280" s="24" t="n"/>
      <c r="G280" s="14" t="n"/>
      <c r="H280" s="14" t="n"/>
      <c r="I280" s="23" t="n"/>
      <c r="J280" s="24" t="n"/>
      <c r="K280" s="23" t="n"/>
      <c r="L280" s="25">
        <f>IF(OR(E280="",N(U280)=0),"",U280-SUMIFS(Q$18:Q280,E$18:E280,E280))</f>
        <v/>
      </c>
      <c r="M280" s="26">
        <f>IF(OR(N(J280)=0,K280="Cancelled"),"",IF(AND(N(J280)&gt;5000,P280&lt;&gt;"G"),"Yes: ₹1","No"))</f>
        <v/>
      </c>
      <c r="N280" s="27">
        <f>IF(AND(B280="",D280="",N(J280)=0),"",IF(B280="","Enter the date",IF(AND(ROW()&gt;18,B279=""),"Use the next empty row: a skipped row leaves a gap in the receipt numbers",IF(D280="","Enter who paid",IF(N(J280)=0,"Enter the amount",IF(G280="","Pick what the money was for",IF(P280="?","Pick what it was for from the list",IF(H280="","Pick how it was paid",IF(K280="Cancelled","Cancelled: keep this number unused and give a fresh receipt",IF(AND(H280&lt;&gt;"Cash",I280=""),"Enter the cheque no., UTR or UPI reference",IF(AND(L280&lt;&gt;"",N(L280)&lt;0),"More than the balance due on this invoice",IF(S280&gt;=200000,"₹2,00,000 or more in cash from this person today: barred, s.186",IF(T280&gt;=200000,"₹2,00,000 or more in cash against this invoice: barred, s.186",IF(AND(P280="T",H280="Cash",N(J280)&gt;=20000),"Loan of ₹20,000 or more in cash: barred, s.185",IF(AND(P280="D",H280="Cash",N(J280)&gt;=20000),"Cash deposit of ₹20,000 or more: ask your accountant whether s.185 applies",IF(AND(OR(P280="AG",P280="AS"),$E$9&lt;&gt;""),"Advance: also give a GST receipt voucher, s.31(3)(d) and Rule 50","OK"))))))))))))))))</f>
        <v/>
      </c>
      <c r="P280">
        <f>IF(G280="","",IFERROR(VLOOKUP(G280,Lists!$A$2:$B$9,2,FALSE),"?"))</f>
        <v/>
      </c>
      <c r="Q280">
        <f>IF(K280="Cancelled",0,N(J280))</f>
        <v/>
      </c>
      <c r="R280">
        <f>IF(OR(H280&lt;&gt;"Cash",P280="T",P280="D"),0,Q280)</f>
        <v/>
      </c>
      <c r="S280">
        <f>IF(R280=0,0,SUMIFS($R$18:$R$317,$B$18:$B$317,B280,$D$18:$D$317,D280))</f>
        <v/>
      </c>
      <c r="T280">
        <f>IF(OR(R280=0,E280=""),0,SUMIFS($R$18:$R$317,$E$18:$E$317,E280))</f>
        <v/>
      </c>
      <c r="U280">
        <f>IF(E280="","",IF(N(F280)&gt;0,F280,IFERROR(INDEX($F$18:$F$317,MATCH(E280,$E$18:$E$317,0)),"")))</f>
        <v/>
      </c>
      <c r="V280">
        <f>IF(OR(N280="",N280="OK",K280="Cancelled"),0,1)</f>
        <v/>
      </c>
    </row>
    <row r="281">
      <c r="B281" s="21" t="n"/>
      <c r="C281" s="22">
        <f>IF(B281="","",$E$10&amp;TEXT(N($E$11)+263,"000"))</f>
        <v/>
      </c>
      <c r="D281" s="14" t="n"/>
      <c r="E281" s="23" t="n"/>
      <c r="F281" s="24" t="n"/>
      <c r="G281" s="14" t="n"/>
      <c r="H281" s="14" t="n"/>
      <c r="I281" s="23" t="n"/>
      <c r="J281" s="24" t="n"/>
      <c r="K281" s="23" t="n"/>
      <c r="L281" s="25">
        <f>IF(OR(E281="",N(U281)=0),"",U281-SUMIFS(Q$18:Q281,E$18:E281,E281))</f>
        <v/>
      </c>
      <c r="M281" s="26">
        <f>IF(OR(N(J281)=0,K281="Cancelled"),"",IF(AND(N(J281)&gt;5000,P281&lt;&gt;"G"),"Yes: ₹1","No"))</f>
        <v/>
      </c>
      <c r="N281" s="27">
        <f>IF(AND(B281="",D281="",N(J281)=0),"",IF(B281="","Enter the date",IF(AND(ROW()&gt;18,B280=""),"Use the next empty row: a skipped row leaves a gap in the receipt numbers",IF(D281="","Enter who paid",IF(N(J281)=0,"Enter the amount",IF(G281="","Pick what the money was for",IF(P281="?","Pick what it was for from the list",IF(H281="","Pick how it was paid",IF(K281="Cancelled","Cancelled: keep this number unused and give a fresh receipt",IF(AND(H281&lt;&gt;"Cash",I281=""),"Enter the cheque no., UTR or UPI reference",IF(AND(L281&lt;&gt;"",N(L281)&lt;0),"More than the balance due on this invoice",IF(S281&gt;=200000,"₹2,00,000 or more in cash from this person today: barred, s.186",IF(T281&gt;=200000,"₹2,00,000 or more in cash against this invoice: barred, s.186",IF(AND(P281="T",H281="Cash",N(J281)&gt;=20000),"Loan of ₹20,000 or more in cash: barred, s.185",IF(AND(P281="D",H281="Cash",N(J281)&gt;=20000),"Cash deposit of ₹20,000 or more: ask your accountant whether s.185 applies",IF(AND(OR(P281="AG",P281="AS"),$E$9&lt;&gt;""),"Advance: also give a GST receipt voucher, s.31(3)(d) and Rule 50","OK"))))))))))))))))</f>
        <v/>
      </c>
      <c r="P281">
        <f>IF(G281="","",IFERROR(VLOOKUP(G281,Lists!$A$2:$B$9,2,FALSE),"?"))</f>
        <v/>
      </c>
      <c r="Q281">
        <f>IF(K281="Cancelled",0,N(J281))</f>
        <v/>
      </c>
      <c r="R281">
        <f>IF(OR(H281&lt;&gt;"Cash",P281="T",P281="D"),0,Q281)</f>
        <v/>
      </c>
      <c r="S281">
        <f>IF(R281=0,0,SUMIFS($R$18:$R$317,$B$18:$B$317,B281,$D$18:$D$317,D281))</f>
        <v/>
      </c>
      <c r="T281">
        <f>IF(OR(R281=0,E281=""),0,SUMIFS($R$18:$R$317,$E$18:$E$317,E281))</f>
        <v/>
      </c>
      <c r="U281">
        <f>IF(E281="","",IF(N(F281)&gt;0,F281,IFERROR(INDEX($F$18:$F$317,MATCH(E281,$E$18:$E$317,0)),"")))</f>
        <v/>
      </c>
      <c r="V281">
        <f>IF(OR(N281="",N281="OK",K281="Cancelled"),0,1)</f>
        <v/>
      </c>
    </row>
    <row r="282">
      <c r="B282" s="21" t="n"/>
      <c r="C282" s="22">
        <f>IF(B282="","",$E$10&amp;TEXT(N($E$11)+264,"000"))</f>
        <v/>
      </c>
      <c r="D282" s="14" t="n"/>
      <c r="E282" s="23" t="n"/>
      <c r="F282" s="24" t="n"/>
      <c r="G282" s="14" t="n"/>
      <c r="H282" s="14" t="n"/>
      <c r="I282" s="23" t="n"/>
      <c r="J282" s="24" t="n"/>
      <c r="K282" s="23" t="n"/>
      <c r="L282" s="25">
        <f>IF(OR(E282="",N(U282)=0),"",U282-SUMIFS(Q$18:Q282,E$18:E282,E282))</f>
        <v/>
      </c>
      <c r="M282" s="26">
        <f>IF(OR(N(J282)=0,K282="Cancelled"),"",IF(AND(N(J282)&gt;5000,P282&lt;&gt;"G"),"Yes: ₹1","No"))</f>
        <v/>
      </c>
      <c r="N282" s="27">
        <f>IF(AND(B282="",D282="",N(J282)=0),"",IF(B282="","Enter the date",IF(AND(ROW()&gt;18,B281=""),"Use the next empty row: a skipped row leaves a gap in the receipt numbers",IF(D282="","Enter who paid",IF(N(J282)=0,"Enter the amount",IF(G282="","Pick what the money was for",IF(P282="?","Pick what it was for from the list",IF(H282="","Pick how it was paid",IF(K282="Cancelled","Cancelled: keep this number unused and give a fresh receipt",IF(AND(H282&lt;&gt;"Cash",I282=""),"Enter the cheque no., UTR or UPI reference",IF(AND(L282&lt;&gt;"",N(L282)&lt;0),"More than the balance due on this invoice",IF(S282&gt;=200000,"₹2,00,000 or more in cash from this person today: barred, s.186",IF(T282&gt;=200000,"₹2,00,000 or more in cash against this invoice: barred, s.186",IF(AND(P282="T",H282="Cash",N(J282)&gt;=20000),"Loan of ₹20,000 or more in cash: barred, s.185",IF(AND(P282="D",H282="Cash",N(J282)&gt;=20000),"Cash deposit of ₹20,000 or more: ask your accountant whether s.185 applies",IF(AND(OR(P282="AG",P282="AS"),$E$9&lt;&gt;""),"Advance: also give a GST receipt voucher, s.31(3)(d) and Rule 50","OK"))))))))))))))))</f>
        <v/>
      </c>
      <c r="P282">
        <f>IF(G282="","",IFERROR(VLOOKUP(G282,Lists!$A$2:$B$9,2,FALSE),"?"))</f>
        <v/>
      </c>
      <c r="Q282">
        <f>IF(K282="Cancelled",0,N(J282))</f>
        <v/>
      </c>
      <c r="R282">
        <f>IF(OR(H282&lt;&gt;"Cash",P282="T",P282="D"),0,Q282)</f>
        <v/>
      </c>
      <c r="S282">
        <f>IF(R282=0,0,SUMIFS($R$18:$R$317,$B$18:$B$317,B282,$D$18:$D$317,D282))</f>
        <v/>
      </c>
      <c r="T282">
        <f>IF(OR(R282=0,E282=""),0,SUMIFS($R$18:$R$317,$E$18:$E$317,E282))</f>
        <v/>
      </c>
      <c r="U282">
        <f>IF(E282="","",IF(N(F282)&gt;0,F282,IFERROR(INDEX($F$18:$F$317,MATCH(E282,$E$18:$E$317,0)),"")))</f>
        <v/>
      </c>
      <c r="V282">
        <f>IF(OR(N282="",N282="OK",K282="Cancelled"),0,1)</f>
        <v/>
      </c>
    </row>
    <row r="283">
      <c r="B283" s="21" t="n"/>
      <c r="C283" s="22">
        <f>IF(B283="","",$E$10&amp;TEXT(N($E$11)+265,"000"))</f>
        <v/>
      </c>
      <c r="D283" s="14" t="n"/>
      <c r="E283" s="23" t="n"/>
      <c r="F283" s="24" t="n"/>
      <c r="G283" s="14" t="n"/>
      <c r="H283" s="14" t="n"/>
      <c r="I283" s="23" t="n"/>
      <c r="J283" s="24" t="n"/>
      <c r="K283" s="23" t="n"/>
      <c r="L283" s="25">
        <f>IF(OR(E283="",N(U283)=0),"",U283-SUMIFS(Q$18:Q283,E$18:E283,E283))</f>
        <v/>
      </c>
      <c r="M283" s="26">
        <f>IF(OR(N(J283)=0,K283="Cancelled"),"",IF(AND(N(J283)&gt;5000,P283&lt;&gt;"G"),"Yes: ₹1","No"))</f>
        <v/>
      </c>
      <c r="N283" s="27">
        <f>IF(AND(B283="",D283="",N(J283)=0),"",IF(B283="","Enter the date",IF(AND(ROW()&gt;18,B282=""),"Use the next empty row: a skipped row leaves a gap in the receipt numbers",IF(D283="","Enter who paid",IF(N(J283)=0,"Enter the amount",IF(G283="","Pick what the money was for",IF(P283="?","Pick what it was for from the list",IF(H283="","Pick how it was paid",IF(K283="Cancelled","Cancelled: keep this number unused and give a fresh receipt",IF(AND(H283&lt;&gt;"Cash",I283=""),"Enter the cheque no., UTR or UPI reference",IF(AND(L283&lt;&gt;"",N(L283)&lt;0),"More than the balance due on this invoice",IF(S283&gt;=200000,"₹2,00,000 or more in cash from this person today: barred, s.186",IF(T283&gt;=200000,"₹2,00,000 or more in cash against this invoice: barred, s.186",IF(AND(P283="T",H283="Cash",N(J283)&gt;=20000),"Loan of ₹20,000 or more in cash: barred, s.185",IF(AND(P283="D",H283="Cash",N(J283)&gt;=20000),"Cash deposit of ₹20,000 or more: ask your accountant whether s.185 applies",IF(AND(OR(P283="AG",P283="AS"),$E$9&lt;&gt;""),"Advance: also give a GST receipt voucher, s.31(3)(d) and Rule 50","OK"))))))))))))))))</f>
        <v/>
      </c>
      <c r="P283">
        <f>IF(G283="","",IFERROR(VLOOKUP(G283,Lists!$A$2:$B$9,2,FALSE),"?"))</f>
        <v/>
      </c>
      <c r="Q283">
        <f>IF(K283="Cancelled",0,N(J283))</f>
        <v/>
      </c>
      <c r="R283">
        <f>IF(OR(H283&lt;&gt;"Cash",P283="T",P283="D"),0,Q283)</f>
        <v/>
      </c>
      <c r="S283">
        <f>IF(R283=0,0,SUMIFS($R$18:$R$317,$B$18:$B$317,B283,$D$18:$D$317,D283))</f>
        <v/>
      </c>
      <c r="T283">
        <f>IF(OR(R283=0,E283=""),0,SUMIFS($R$18:$R$317,$E$18:$E$317,E283))</f>
        <v/>
      </c>
      <c r="U283">
        <f>IF(E283="","",IF(N(F283)&gt;0,F283,IFERROR(INDEX($F$18:$F$317,MATCH(E283,$E$18:$E$317,0)),"")))</f>
        <v/>
      </c>
      <c r="V283">
        <f>IF(OR(N283="",N283="OK",K283="Cancelled"),0,1)</f>
        <v/>
      </c>
    </row>
    <row r="284">
      <c r="B284" s="21" t="n"/>
      <c r="C284" s="22">
        <f>IF(B284="","",$E$10&amp;TEXT(N($E$11)+266,"000"))</f>
        <v/>
      </c>
      <c r="D284" s="14" t="n"/>
      <c r="E284" s="23" t="n"/>
      <c r="F284" s="24" t="n"/>
      <c r="G284" s="14" t="n"/>
      <c r="H284" s="14" t="n"/>
      <c r="I284" s="23" t="n"/>
      <c r="J284" s="24" t="n"/>
      <c r="K284" s="23" t="n"/>
      <c r="L284" s="25">
        <f>IF(OR(E284="",N(U284)=0),"",U284-SUMIFS(Q$18:Q284,E$18:E284,E284))</f>
        <v/>
      </c>
      <c r="M284" s="26">
        <f>IF(OR(N(J284)=0,K284="Cancelled"),"",IF(AND(N(J284)&gt;5000,P284&lt;&gt;"G"),"Yes: ₹1","No"))</f>
        <v/>
      </c>
      <c r="N284" s="27">
        <f>IF(AND(B284="",D284="",N(J284)=0),"",IF(B284="","Enter the date",IF(AND(ROW()&gt;18,B283=""),"Use the next empty row: a skipped row leaves a gap in the receipt numbers",IF(D284="","Enter who paid",IF(N(J284)=0,"Enter the amount",IF(G284="","Pick what the money was for",IF(P284="?","Pick what it was for from the list",IF(H284="","Pick how it was paid",IF(K284="Cancelled","Cancelled: keep this number unused and give a fresh receipt",IF(AND(H284&lt;&gt;"Cash",I284=""),"Enter the cheque no., UTR or UPI reference",IF(AND(L284&lt;&gt;"",N(L284)&lt;0),"More than the balance due on this invoice",IF(S284&gt;=200000,"₹2,00,000 or more in cash from this person today: barred, s.186",IF(T284&gt;=200000,"₹2,00,000 or more in cash against this invoice: barred, s.186",IF(AND(P284="T",H284="Cash",N(J284)&gt;=20000),"Loan of ₹20,000 or more in cash: barred, s.185",IF(AND(P284="D",H284="Cash",N(J284)&gt;=20000),"Cash deposit of ₹20,000 or more: ask your accountant whether s.185 applies",IF(AND(OR(P284="AG",P284="AS"),$E$9&lt;&gt;""),"Advance: also give a GST receipt voucher, s.31(3)(d) and Rule 50","OK"))))))))))))))))</f>
        <v/>
      </c>
      <c r="P284">
        <f>IF(G284="","",IFERROR(VLOOKUP(G284,Lists!$A$2:$B$9,2,FALSE),"?"))</f>
        <v/>
      </c>
      <c r="Q284">
        <f>IF(K284="Cancelled",0,N(J284))</f>
        <v/>
      </c>
      <c r="R284">
        <f>IF(OR(H284&lt;&gt;"Cash",P284="T",P284="D"),0,Q284)</f>
        <v/>
      </c>
      <c r="S284">
        <f>IF(R284=0,0,SUMIFS($R$18:$R$317,$B$18:$B$317,B284,$D$18:$D$317,D284))</f>
        <v/>
      </c>
      <c r="T284">
        <f>IF(OR(R284=0,E284=""),0,SUMIFS($R$18:$R$317,$E$18:$E$317,E284))</f>
        <v/>
      </c>
      <c r="U284">
        <f>IF(E284="","",IF(N(F284)&gt;0,F284,IFERROR(INDEX($F$18:$F$317,MATCH(E284,$E$18:$E$317,0)),"")))</f>
        <v/>
      </c>
      <c r="V284">
        <f>IF(OR(N284="",N284="OK",K284="Cancelled"),0,1)</f>
        <v/>
      </c>
    </row>
    <row r="285">
      <c r="B285" s="21" t="n"/>
      <c r="C285" s="22">
        <f>IF(B285="","",$E$10&amp;TEXT(N($E$11)+267,"000"))</f>
        <v/>
      </c>
      <c r="D285" s="14" t="n"/>
      <c r="E285" s="23" t="n"/>
      <c r="F285" s="24" t="n"/>
      <c r="G285" s="14" t="n"/>
      <c r="H285" s="14" t="n"/>
      <c r="I285" s="23" t="n"/>
      <c r="J285" s="24" t="n"/>
      <c r="K285" s="23" t="n"/>
      <c r="L285" s="25">
        <f>IF(OR(E285="",N(U285)=0),"",U285-SUMIFS(Q$18:Q285,E$18:E285,E285))</f>
        <v/>
      </c>
      <c r="M285" s="26">
        <f>IF(OR(N(J285)=0,K285="Cancelled"),"",IF(AND(N(J285)&gt;5000,P285&lt;&gt;"G"),"Yes: ₹1","No"))</f>
        <v/>
      </c>
      <c r="N285" s="27">
        <f>IF(AND(B285="",D285="",N(J285)=0),"",IF(B285="","Enter the date",IF(AND(ROW()&gt;18,B284=""),"Use the next empty row: a skipped row leaves a gap in the receipt numbers",IF(D285="","Enter who paid",IF(N(J285)=0,"Enter the amount",IF(G285="","Pick what the money was for",IF(P285="?","Pick what it was for from the list",IF(H285="","Pick how it was paid",IF(K285="Cancelled","Cancelled: keep this number unused and give a fresh receipt",IF(AND(H285&lt;&gt;"Cash",I285=""),"Enter the cheque no., UTR or UPI reference",IF(AND(L285&lt;&gt;"",N(L285)&lt;0),"More than the balance due on this invoice",IF(S285&gt;=200000,"₹2,00,000 or more in cash from this person today: barred, s.186",IF(T285&gt;=200000,"₹2,00,000 or more in cash against this invoice: barred, s.186",IF(AND(P285="T",H285="Cash",N(J285)&gt;=20000),"Loan of ₹20,000 or more in cash: barred, s.185",IF(AND(P285="D",H285="Cash",N(J285)&gt;=20000),"Cash deposit of ₹20,000 or more: ask your accountant whether s.185 applies",IF(AND(OR(P285="AG",P285="AS"),$E$9&lt;&gt;""),"Advance: also give a GST receipt voucher, s.31(3)(d) and Rule 50","OK"))))))))))))))))</f>
        <v/>
      </c>
      <c r="P285">
        <f>IF(G285="","",IFERROR(VLOOKUP(G285,Lists!$A$2:$B$9,2,FALSE),"?"))</f>
        <v/>
      </c>
      <c r="Q285">
        <f>IF(K285="Cancelled",0,N(J285))</f>
        <v/>
      </c>
      <c r="R285">
        <f>IF(OR(H285&lt;&gt;"Cash",P285="T",P285="D"),0,Q285)</f>
        <v/>
      </c>
      <c r="S285">
        <f>IF(R285=0,0,SUMIFS($R$18:$R$317,$B$18:$B$317,B285,$D$18:$D$317,D285))</f>
        <v/>
      </c>
      <c r="T285">
        <f>IF(OR(R285=0,E285=""),0,SUMIFS($R$18:$R$317,$E$18:$E$317,E285))</f>
        <v/>
      </c>
      <c r="U285">
        <f>IF(E285="","",IF(N(F285)&gt;0,F285,IFERROR(INDEX($F$18:$F$317,MATCH(E285,$E$18:$E$317,0)),"")))</f>
        <v/>
      </c>
      <c r="V285">
        <f>IF(OR(N285="",N285="OK",K285="Cancelled"),0,1)</f>
        <v/>
      </c>
    </row>
    <row r="286">
      <c r="B286" s="21" t="n"/>
      <c r="C286" s="22">
        <f>IF(B286="","",$E$10&amp;TEXT(N($E$11)+268,"000"))</f>
        <v/>
      </c>
      <c r="D286" s="14" t="n"/>
      <c r="E286" s="23" t="n"/>
      <c r="F286" s="24" t="n"/>
      <c r="G286" s="14" t="n"/>
      <c r="H286" s="14" t="n"/>
      <c r="I286" s="23" t="n"/>
      <c r="J286" s="24" t="n"/>
      <c r="K286" s="23" t="n"/>
      <c r="L286" s="25">
        <f>IF(OR(E286="",N(U286)=0),"",U286-SUMIFS(Q$18:Q286,E$18:E286,E286))</f>
        <v/>
      </c>
      <c r="M286" s="26">
        <f>IF(OR(N(J286)=0,K286="Cancelled"),"",IF(AND(N(J286)&gt;5000,P286&lt;&gt;"G"),"Yes: ₹1","No"))</f>
        <v/>
      </c>
      <c r="N286" s="27">
        <f>IF(AND(B286="",D286="",N(J286)=0),"",IF(B286="","Enter the date",IF(AND(ROW()&gt;18,B285=""),"Use the next empty row: a skipped row leaves a gap in the receipt numbers",IF(D286="","Enter who paid",IF(N(J286)=0,"Enter the amount",IF(G286="","Pick what the money was for",IF(P286="?","Pick what it was for from the list",IF(H286="","Pick how it was paid",IF(K286="Cancelled","Cancelled: keep this number unused and give a fresh receipt",IF(AND(H286&lt;&gt;"Cash",I286=""),"Enter the cheque no., UTR or UPI reference",IF(AND(L286&lt;&gt;"",N(L286)&lt;0),"More than the balance due on this invoice",IF(S286&gt;=200000,"₹2,00,000 or more in cash from this person today: barred, s.186",IF(T286&gt;=200000,"₹2,00,000 or more in cash against this invoice: barred, s.186",IF(AND(P286="T",H286="Cash",N(J286)&gt;=20000),"Loan of ₹20,000 or more in cash: barred, s.185",IF(AND(P286="D",H286="Cash",N(J286)&gt;=20000),"Cash deposit of ₹20,000 or more: ask your accountant whether s.185 applies",IF(AND(OR(P286="AG",P286="AS"),$E$9&lt;&gt;""),"Advance: also give a GST receipt voucher, s.31(3)(d) and Rule 50","OK"))))))))))))))))</f>
        <v/>
      </c>
      <c r="P286">
        <f>IF(G286="","",IFERROR(VLOOKUP(G286,Lists!$A$2:$B$9,2,FALSE),"?"))</f>
        <v/>
      </c>
      <c r="Q286">
        <f>IF(K286="Cancelled",0,N(J286))</f>
        <v/>
      </c>
      <c r="R286">
        <f>IF(OR(H286&lt;&gt;"Cash",P286="T",P286="D"),0,Q286)</f>
        <v/>
      </c>
      <c r="S286">
        <f>IF(R286=0,0,SUMIFS($R$18:$R$317,$B$18:$B$317,B286,$D$18:$D$317,D286))</f>
        <v/>
      </c>
      <c r="T286">
        <f>IF(OR(R286=0,E286=""),0,SUMIFS($R$18:$R$317,$E$18:$E$317,E286))</f>
        <v/>
      </c>
      <c r="U286">
        <f>IF(E286="","",IF(N(F286)&gt;0,F286,IFERROR(INDEX($F$18:$F$317,MATCH(E286,$E$18:$E$317,0)),"")))</f>
        <v/>
      </c>
      <c r="V286">
        <f>IF(OR(N286="",N286="OK",K286="Cancelled"),0,1)</f>
        <v/>
      </c>
    </row>
    <row r="287">
      <c r="B287" s="21" t="n"/>
      <c r="C287" s="22">
        <f>IF(B287="","",$E$10&amp;TEXT(N($E$11)+269,"000"))</f>
        <v/>
      </c>
      <c r="D287" s="14" t="n"/>
      <c r="E287" s="23" t="n"/>
      <c r="F287" s="24" t="n"/>
      <c r="G287" s="14" t="n"/>
      <c r="H287" s="14" t="n"/>
      <c r="I287" s="23" t="n"/>
      <c r="J287" s="24" t="n"/>
      <c r="K287" s="23" t="n"/>
      <c r="L287" s="25">
        <f>IF(OR(E287="",N(U287)=0),"",U287-SUMIFS(Q$18:Q287,E$18:E287,E287))</f>
        <v/>
      </c>
      <c r="M287" s="26">
        <f>IF(OR(N(J287)=0,K287="Cancelled"),"",IF(AND(N(J287)&gt;5000,P287&lt;&gt;"G"),"Yes: ₹1","No"))</f>
        <v/>
      </c>
      <c r="N287" s="27">
        <f>IF(AND(B287="",D287="",N(J287)=0),"",IF(B287="","Enter the date",IF(AND(ROW()&gt;18,B286=""),"Use the next empty row: a skipped row leaves a gap in the receipt numbers",IF(D287="","Enter who paid",IF(N(J287)=0,"Enter the amount",IF(G287="","Pick what the money was for",IF(P287="?","Pick what it was for from the list",IF(H287="","Pick how it was paid",IF(K287="Cancelled","Cancelled: keep this number unused and give a fresh receipt",IF(AND(H287&lt;&gt;"Cash",I287=""),"Enter the cheque no., UTR or UPI reference",IF(AND(L287&lt;&gt;"",N(L287)&lt;0),"More than the balance due on this invoice",IF(S287&gt;=200000,"₹2,00,000 or more in cash from this person today: barred, s.186",IF(T287&gt;=200000,"₹2,00,000 or more in cash against this invoice: barred, s.186",IF(AND(P287="T",H287="Cash",N(J287)&gt;=20000),"Loan of ₹20,000 or more in cash: barred, s.185",IF(AND(P287="D",H287="Cash",N(J287)&gt;=20000),"Cash deposit of ₹20,000 or more: ask your accountant whether s.185 applies",IF(AND(OR(P287="AG",P287="AS"),$E$9&lt;&gt;""),"Advance: also give a GST receipt voucher, s.31(3)(d) and Rule 50","OK"))))))))))))))))</f>
        <v/>
      </c>
      <c r="P287">
        <f>IF(G287="","",IFERROR(VLOOKUP(G287,Lists!$A$2:$B$9,2,FALSE),"?"))</f>
        <v/>
      </c>
      <c r="Q287">
        <f>IF(K287="Cancelled",0,N(J287))</f>
        <v/>
      </c>
      <c r="R287">
        <f>IF(OR(H287&lt;&gt;"Cash",P287="T",P287="D"),0,Q287)</f>
        <v/>
      </c>
      <c r="S287">
        <f>IF(R287=0,0,SUMIFS($R$18:$R$317,$B$18:$B$317,B287,$D$18:$D$317,D287))</f>
        <v/>
      </c>
      <c r="T287">
        <f>IF(OR(R287=0,E287=""),0,SUMIFS($R$18:$R$317,$E$18:$E$317,E287))</f>
        <v/>
      </c>
      <c r="U287">
        <f>IF(E287="","",IF(N(F287)&gt;0,F287,IFERROR(INDEX($F$18:$F$317,MATCH(E287,$E$18:$E$317,0)),"")))</f>
        <v/>
      </c>
      <c r="V287">
        <f>IF(OR(N287="",N287="OK",K287="Cancelled"),0,1)</f>
        <v/>
      </c>
    </row>
    <row r="288">
      <c r="B288" s="21" t="n"/>
      <c r="C288" s="22">
        <f>IF(B288="","",$E$10&amp;TEXT(N($E$11)+270,"000"))</f>
        <v/>
      </c>
      <c r="D288" s="14" t="n"/>
      <c r="E288" s="23" t="n"/>
      <c r="F288" s="24" t="n"/>
      <c r="G288" s="14" t="n"/>
      <c r="H288" s="14" t="n"/>
      <c r="I288" s="23" t="n"/>
      <c r="J288" s="24" t="n"/>
      <c r="K288" s="23" t="n"/>
      <c r="L288" s="25">
        <f>IF(OR(E288="",N(U288)=0),"",U288-SUMIFS(Q$18:Q288,E$18:E288,E288))</f>
        <v/>
      </c>
      <c r="M288" s="26">
        <f>IF(OR(N(J288)=0,K288="Cancelled"),"",IF(AND(N(J288)&gt;5000,P288&lt;&gt;"G"),"Yes: ₹1","No"))</f>
        <v/>
      </c>
      <c r="N288" s="27">
        <f>IF(AND(B288="",D288="",N(J288)=0),"",IF(B288="","Enter the date",IF(AND(ROW()&gt;18,B287=""),"Use the next empty row: a skipped row leaves a gap in the receipt numbers",IF(D288="","Enter who paid",IF(N(J288)=0,"Enter the amount",IF(G288="","Pick what the money was for",IF(P288="?","Pick what it was for from the list",IF(H288="","Pick how it was paid",IF(K288="Cancelled","Cancelled: keep this number unused and give a fresh receipt",IF(AND(H288&lt;&gt;"Cash",I288=""),"Enter the cheque no., UTR or UPI reference",IF(AND(L288&lt;&gt;"",N(L288)&lt;0),"More than the balance due on this invoice",IF(S288&gt;=200000,"₹2,00,000 or more in cash from this person today: barred, s.186",IF(T288&gt;=200000,"₹2,00,000 or more in cash against this invoice: barred, s.186",IF(AND(P288="T",H288="Cash",N(J288)&gt;=20000),"Loan of ₹20,000 or more in cash: barred, s.185",IF(AND(P288="D",H288="Cash",N(J288)&gt;=20000),"Cash deposit of ₹20,000 or more: ask your accountant whether s.185 applies",IF(AND(OR(P288="AG",P288="AS"),$E$9&lt;&gt;""),"Advance: also give a GST receipt voucher, s.31(3)(d) and Rule 50","OK"))))))))))))))))</f>
        <v/>
      </c>
      <c r="P288">
        <f>IF(G288="","",IFERROR(VLOOKUP(G288,Lists!$A$2:$B$9,2,FALSE),"?"))</f>
        <v/>
      </c>
      <c r="Q288">
        <f>IF(K288="Cancelled",0,N(J288))</f>
        <v/>
      </c>
      <c r="R288">
        <f>IF(OR(H288&lt;&gt;"Cash",P288="T",P288="D"),0,Q288)</f>
        <v/>
      </c>
      <c r="S288">
        <f>IF(R288=0,0,SUMIFS($R$18:$R$317,$B$18:$B$317,B288,$D$18:$D$317,D288))</f>
        <v/>
      </c>
      <c r="T288">
        <f>IF(OR(R288=0,E288=""),0,SUMIFS($R$18:$R$317,$E$18:$E$317,E288))</f>
        <v/>
      </c>
      <c r="U288">
        <f>IF(E288="","",IF(N(F288)&gt;0,F288,IFERROR(INDEX($F$18:$F$317,MATCH(E288,$E$18:$E$317,0)),"")))</f>
        <v/>
      </c>
      <c r="V288">
        <f>IF(OR(N288="",N288="OK",K288="Cancelled"),0,1)</f>
        <v/>
      </c>
    </row>
    <row r="289">
      <c r="B289" s="21" t="n"/>
      <c r="C289" s="22">
        <f>IF(B289="","",$E$10&amp;TEXT(N($E$11)+271,"000"))</f>
        <v/>
      </c>
      <c r="D289" s="14" t="n"/>
      <c r="E289" s="23" t="n"/>
      <c r="F289" s="24" t="n"/>
      <c r="G289" s="14" t="n"/>
      <c r="H289" s="14" t="n"/>
      <c r="I289" s="23" t="n"/>
      <c r="J289" s="24" t="n"/>
      <c r="K289" s="23" t="n"/>
      <c r="L289" s="25">
        <f>IF(OR(E289="",N(U289)=0),"",U289-SUMIFS(Q$18:Q289,E$18:E289,E289))</f>
        <v/>
      </c>
      <c r="M289" s="26">
        <f>IF(OR(N(J289)=0,K289="Cancelled"),"",IF(AND(N(J289)&gt;5000,P289&lt;&gt;"G"),"Yes: ₹1","No"))</f>
        <v/>
      </c>
      <c r="N289" s="27">
        <f>IF(AND(B289="",D289="",N(J289)=0),"",IF(B289="","Enter the date",IF(AND(ROW()&gt;18,B288=""),"Use the next empty row: a skipped row leaves a gap in the receipt numbers",IF(D289="","Enter who paid",IF(N(J289)=0,"Enter the amount",IF(G289="","Pick what the money was for",IF(P289="?","Pick what it was for from the list",IF(H289="","Pick how it was paid",IF(K289="Cancelled","Cancelled: keep this number unused and give a fresh receipt",IF(AND(H289&lt;&gt;"Cash",I289=""),"Enter the cheque no., UTR or UPI reference",IF(AND(L289&lt;&gt;"",N(L289)&lt;0),"More than the balance due on this invoice",IF(S289&gt;=200000,"₹2,00,000 or more in cash from this person today: barred, s.186",IF(T289&gt;=200000,"₹2,00,000 or more in cash against this invoice: barred, s.186",IF(AND(P289="T",H289="Cash",N(J289)&gt;=20000),"Loan of ₹20,000 or more in cash: barred, s.185",IF(AND(P289="D",H289="Cash",N(J289)&gt;=20000),"Cash deposit of ₹20,000 or more: ask your accountant whether s.185 applies",IF(AND(OR(P289="AG",P289="AS"),$E$9&lt;&gt;""),"Advance: also give a GST receipt voucher, s.31(3)(d) and Rule 50","OK"))))))))))))))))</f>
        <v/>
      </c>
      <c r="P289">
        <f>IF(G289="","",IFERROR(VLOOKUP(G289,Lists!$A$2:$B$9,2,FALSE),"?"))</f>
        <v/>
      </c>
      <c r="Q289">
        <f>IF(K289="Cancelled",0,N(J289))</f>
        <v/>
      </c>
      <c r="R289">
        <f>IF(OR(H289&lt;&gt;"Cash",P289="T",P289="D"),0,Q289)</f>
        <v/>
      </c>
      <c r="S289">
        <f>IF(R289=0,0,SUMIFS($R$18:$R$317,$B$18:$B$317,B289,$D$18:$D$317,D289))</f>
        <v/>
      </c>
      <c r="T289">
        <f>IF(OR(R289=0,E289=""),0,SUMIFS($R$18:$R$317,$E$18:$E$317,E289))</f>
        <v/>
      </c>
      <c r="U289">
        <f>IF(E289="","",IF(N(F289)&gt;0,F289,IFERROR(INDEX($F$18:$F$317,MATCH(E289,$E$18:$E$317,0)),"")))</f>
        <v/>
      </c>
      <c r="V289">
        <f>IF(OR(N289="",N289="OK",K289="Cancelled"),0,1)</f>
        <v/>
      </c>
    </row>
    <row r="290">
      <c r="B290" s="21" t="n"/>
      <c r="C290" s="22">
        <f>IF(B290="","",$E$10&amp;TEXT(N($E$11)+272,"000"))</f>
        <v/>
      </c>
      <c r="D290" s="14" t="n"/>
      <c r="E290" s="23" t="n"/>
      <c r="F290" s="24" t="n"/>
      <c r="G290" s="14" t="n"/>
      <c r="H290" s="14" t="n"/>
      <c r="I290" s="23" t="n"/>
      <c r="J290" s="24" t="n"/>
      <c r="K290" s="23" t="n"/>
      <c r="L290" s="25">
        <f>IF(OR(E290="",N(U290)=0),"",U290-SUMIFS(Q$18:Q290,E$18:E290,E290))</f>
        <v/>
      </c>
      <c r="M290" s="26">
        <f>IF(OR(N(J290)=0,K290="Cancelled"),"",IF(AND(N(J290)&gt;5000,P290&lt;&gt;"G"),"Yes: ₹1","No"))</f>
        <v/>
      </c>
      <c r="N290" s="27">
        <f>IF(AND(B290="",D290="",N(J290)=0),"",IF(B290="","Enter the date",IF(AND(ROW()&gt;18,B289=""),"Use the next empty row: a skipped row leaves a gap in the receipt numbers",IF(D290="","Enter who paid",IF(N(J290)=0,"Enter the amount",IF(G290="","Pick what the money was for",IF(P290="?","Pick what it was for from the list",IF(H290="","Pick how it was paid",IF(K290="Cancelled","Cancelled: keep this number unused and give a fresh receipt",IF(AND(H290&lt;&gt;"Cash",I290=""),"Enter the cheque no., UTR or UPI reference",IF(AND(L290&lt;&gt;"",N(L290)&lt;0),"More than the balance due on this invoice",IF(S290&gt;=200000,"₹2,00,000 or more in cash from this person today: barred, s.186",IF(T290&gt;=200000,"₹2,00,000 or more in cash against this invoice: barred, s.186",IF(AND(P290="T",H290="Cash",N(J290)&gt;=20000),"Loan of ₹20,000 or more in cash: barred, s.185",IF(AND(P290="D",H290="Cash",N(J290)&gt;=20000),"Cash deposit of ₹20,000 or more: ask your accountant whether s.185 applies",IF(AND(OR(P290="AG",P290="AS"),$E$9&lt;&gt;""),"Advance: also give a GST receipt voucher, s.31(3)(d) and Rule 50","OK"))))))))))))))))</f>
        <v/>
      </c>
      <c r="P290">
        <f>IF(G290="","",IFERROR(VLOOKUP(G290,Lists!$A$2:$B$9,2,FALSE),"?"))</f>
        <v/>
      </c>
      <c r="Q290">
        <f>IF(K290="Cancelled",0,N(J290))</f>
        <v/>
      </c>
      <c r="R290">
        <f>IF(OR(H290&lt;&gt;"Cash",P290="T",P290="D"),0,Q290)</f>
        <v/>
      </c>
      <c r="S290">
        <f>IF(R290=0,0,SUMIFS($R$18:$R$317,$B$18:$B$317,B290,$D$18:$D$317,D290))</f>
        <v/>
      </c>
      <c r="T290">
        <f>IF(OR(R290=0,E290=""),0,SUMIFS($R$18:$R$317,$E$18:$E$317,E290))</f>
        <v/>
      </c>
      <c r="U290">
        <f>IF(E290="","",IF(N(F290)&gt;0,F290,IFERROR(INDEX($F$18:$F$317,MATCH(E290,$E$18:$E$317,0)),"")))</f>
        <v/>
      </c>
      <c r="V290">
        <f>IF(OR(N290="",N290="OK",K290="Cancelled"),0,1)</f>
        <v/>
      </c>
    </row>
    <row r="291">
      <c r="B291" s="21" t="n"/>
      <c r="C291" s="22">
        <f>IF(B291="","",$E$10&amp;TEXT(N($E$11)+273,"000"))</f>
        <v/>
      </c>
      <c r="D291" s="14" t="n"/>
      <c r="E291" s="23" t="n"/>
      <c r="F291" s="24" t="n"/>
      <c r="G291" s="14" t="n"/>
      <c r="H291" s="14" t="n"/>
      <c r="I291" s="23" t="n"/>
      <c r="J291" s="24" t="n"/>
      <c r="K291" s="23" t="n"/>
      <c r="L291" s="25">
        <f>IF(OR(E291="",N(U291)=0),"",U291-SUMIFS(Q$18:Q291,E$18:E291,E291))</f>
        <v/>
      </c>
      <c r="M291" s="26">
        <f>IF(OR(N(J291)=0,K291="Cancelled"),"",IF(AND(N(J291)&gt;5000,P291&lt;&gt;"G"),"Yes: ₹1","No"))</f>
        <v/>
      </c>
      <c r="N291" s="27">
        <f>IF(AND(B291="",D291="",N(J291)=0),"",IF(B291="","Enter the date",IF(AND(ROW()&gt;18,B290=""),"Use the next empty row: a skipped row leaves a gap in the receipt numbers",IF(D291="","Enter who paid",IF(N(J291)=0,"Enter the amount",IF(G291="","Pick what the money was for",IF(P291="?","Pick what it was for from the list",IF(H291="","Pick how it was paid",IF(K291="Cancelled","Cancelled: keep this number unused and give a fresh receipt",IF(AND(H291&lt;&gt;"Cash",I291=""),"Enter the cheque no., UTR or UPI reference",IF(AND(L291&lt;&gt;"",N(L291)&lt;0),"More than the balance due on this invoice",IF(S291&gt;=200000,"₹2,00,000 or more in cash from this person today: barred, s.186",IF(T291&gt;=200000,"₹2,00,000 or more in cash against this invoice: barred, s.186",IF(AND(P291="T",H291="Cash",N(J291)&gt;=20000),"Loan of ₹20,000 or more in cash: barred, s.185",IF(AND(P291="D",H291="Cash",N(J291)&gt;=20000),"Cash deposit of ₹20,000 or more: ask your accountant whether s.185 applies",IF(AND(OR(P291="AG",P291="AS"),$E$9&lt;&gt;""),"Advance: also give a GST receipt voucher, s.31(3)(d) and Rule 50","OK"))))))))))))))))</f>
        <v/>
      </c>
      <c r="P291">
        <f>IF(G291="","",IFERROR(VLOOKUP(G291,Lists!$A$2:$B$9,2,FALSE),"?"))</f>
        <v/>
      </c>
      <c r="Q291">
        <f>IF(K291="Cancelled",0,N(J291))</f>
        <v/>
      </c>
      <c r="R291">
        <f>IF(OR(H291&lt;&gt;"Cash",P291="T",P291="D"),0,Q291)</f>
        <v/>
      </c>
      <c r="S291">
        <f>IF(R291=0,0,SUMIFS($R$18:$R$317,$B$18:$B$317,B291,$D$18:$D$317,D291))</f>
        <v/>
      </c>
      <c r="T291">
        <f>IF(OR(R291=0,E291=""),0,SUMIFS($R$18:$R$317,$E$18:$E$317,E291))</f>
        <v/>
      </c>
      <c r="U291">
        <f>IF(E291="","",IF(N(F291)&gt;0,F291,IFERROR(INDEX($F$18:$F$317,MATCH(E291,$E$18:$E$317,0)),"")))</f>
        <v/>
      </c>
      <c r="V291">
        <f>IF(OR(N291="",N291="OK",K291="Cancelled"),0,1)</f>
        <v/>
      </c>
    </row>
    <row r="292">
      <c r="B292" s="21" t="n"/>
      <c r="C292" s="22">
        <f>IF(B292="","",$E$10&amp;TEXT(N($E$11)+274,"000"))</f>
        <v/>
      </c>
      <c r="D292" s="14" t="n"/>
      <c r="E292" s="23" t="n"/>
      <c r="F292" s="24" t="n"/>
      <c r="G292" s="14" t="n"/>
      <c r="H292" s="14" t="n"/>
      <c r="I292" s="23" t="n"/>
      <c r="J292" s="24" t="n"/>
      <c r="K292" s="23" t="n"/>
      <c r="L292" s="25">
        <f>IF(OR(E292="",N(U292)=0),"",U292-SUMIFS(Q$18:Q292,E$18:E292,E292))</f>
        <v/>
      </c>
      <c r="M292" s="26">
        <f>IF(OR(N(J292)=0,K292="Cancelled"),"",IF(AND(N(J292)&gt;5000,P292&lt;&gt;"G"),"Yes: ₹1","No"))</f>
        <v/>
      </c>
      <c r="N292" s="27">
        <f>IF(AND(B292="",D292="",N(J292)=0),"",IF(B292="","Enter the date",IF(AND(ROW()&gt;18,B291=""),"Use the next empty row: a skipped row leaves a gap in the receipt numbers",IF(D292="","Enter who paid",IF(N(J292)=0,"Enter the amount",IF(G292="","Pick what the money was for",IF(P292="?","Pick what it was for from the list",IF(H292="","Pick how it was paid",IF(K292="Cancelled","Cancelled: keep this number unused and give a fresh receipt",IF(AND(H292&lt;&gt;"Cash",I292=""),"Enter the cheque no., UTR or UPI reference",IF(AND(L292&lt;&gt;"",N(L292)&lt;0),"More than the balance due on this invoice",IF(S292&gt;=200000,"₹2,00,000 or more in cash from this person today: barred, s.186",IF(T292&gt;=200000,"₹2,00,000 or more in cash against this invoice: barred, s.186",IF(AND(P292="T",H292="Cash",N(J292)&gt;=20000),"Loan of ₹20,000 or more in cash: barred, s.185",IF(AND(P292="D",H292="Cash",N(J292)&gt;=20000),"Cash deposit of ₹20,000 or more: ask your accountant whether s.185 applies",IF(AND(OR(P292="AG",P292="AS"),$E$9&lt;&gt;""),"Advance: also give a GST receipt voucher, s.31(3)(d) and Rule 50","OK"))))))))))))))))</f>
        <v/>
      </c>
      <c r="P292">
        <f>IF(G292="","",IFERROR(VLOOKUP(G292,Lists!$A$2:$B$9,2,FALSE),"?"))</f>
        <v/>
      </c>
      <c r="Q292">
        <f>IF(K292="Cancelled",0,N(J292))</f>
        <v/>
      </c>
      <c r="R292">
        <f>IF(OR(H292&lt;&gt;"Cash",P292="T",P292="D"),0,Q292)</f>
        <v/>
      </c>
      <c r="S292">
        <f>IF(R292=0,0,SUMIFS($R$18:$R$317,$B$18:$B$317,B292,$D$18:$D$317,D292))</f>
        <v/>
      </c>
      <c r="T292">
        <f>IF(OR(R292=0,E292=""),0,SUMIFS($R$18:$R$317,$E$18:$E$317,E292))</f>
        <v/>
      </c>
      <c r="U292">
        <f>IF(E292="","",IF(N(F292)&gt;0,F292,IFERROR(INDEX($F$18:$F$317,MATCH(E292,$E$18:$E$317,0)),"")))</f>
        <v/>
      </c>
      <c r="V292">
        <f>IF(OR(N292="",N292="OK",K292="Cancelled"),0,1)</f>
        <v/>
      </c>
    </row>
    <row r="293">
      <c r="B293" s="21" t="n"/>
      <c r="C293" s="22">
        <f>IF(B293="","",$E$10&amp;TEXT(N($E$11)+275,"000"))</f>
        <v/>
      </c>
      <c r="D293" s="14" t="n"/>
      <c r="E293" s="23" t="n"/>
      <c r="F293" s="24" t="n"/>
      <c r="G293" s="14" t="n"/>
      <c r="H293" s="14" t="n"/>
      <c r="I293" s="23" t="n"/>
      <c r="J293" s="24" t="n"/>
      <c r="K293" s="23" t="n"/>
      <c r="L293" s="25">
        <f>IF(OR(E293="",N(U293)=0),"",U293-SUMIFS(Q$18:Q293,E$18:E293,E293))</f>
        <v/>
      </c>
      <c r="M293" s="26">
        <f>IF(OR(N(J293)=0,K293="Cancelled"),"",IF(AND(N(J293)&gt;5000,P293&lt;&gt;"G"),"Yes: ₹1","No"))</f>
        <v/>
      </c>
      <c r="N293" s="27">
        <f>IF(AND(B293="",D293="",N(J293)=0),"",IF(B293="","Enter the date",IF(AND(ROW()&gt;18,B292=""),"Use the next empty row: a skipped row leaves a gap in the receipt numbers",IF(D293="","Enter who paid",IF(N(J293)=0,"Enter the amount",IF(G293="","Pick what the money was for",IF(P293="?","Pick what it was for from the list",IF(H293="","Pick how it was paid",IF(K293="Cancelled","Cancelled: keep this number unused and give a fresh receipt",IF(AND(H293&lt;&gt;"Cash",I293=""),"Enter the cheque no., UTR or UPI reference",IF(AND(L293&lt;&gt;"",N(L293)&lt;0),"More than the balance due on this invoice",IF(S293&gt;=200000,"₹2,00,000 or more in cash from this person today: barred, s.186",IF(T293&gt;=200000,"₹2,00,000 or more in cash against this invoice: barred, s.186",IF(AND(P293="T",H293="Cash",N(J293)&gt;=20000),"Loan of ₹20,000 or more in cash: barred, s.185",IF(AND(P293="D",H293="Cash",N(J293)&gt;=20000),"Cash deposit of ₹20,000 or more: ask your accountant whether s.185 applies",IF(AND(OR(P293="AG",P293="AS"),$E$9&lt;&gt;""),"Advance: also give a GST receipt voucher, s.31(3)(d) and Rule 50","OK"))))))))))))))))</f>
        <v/>
      </c>
      <c r="P293">
        <f>IF(G293="","",IFERROR(VLOOKUP(G293,Lists!$A$2:$B$9,2,FALSE),"?"))</f>
        <v/>
      </c>
      <c r="Q293">
        <f>IF(K293="Cancelled",0,N(J293))</f>
        <v/>
      </c>
      <c r="R293">
        <f>IF(OR(H293&lt;&gt;"Cash",P293="T",P293="D"),0,Q293)</f>
        <v/>
      </c>
      <c r="S293">
        <f>IF(R293=0,0,SUMIFS($R$18:$R$317,$B$18:$B$317,B293,$D$18:$D$317,D293))</f>
        <v/>
      </c>
      <c r="T293">
        <f>IF(OR(R293=0,E293=""),0,SUMIFS($R$18:$R$317,$E$18:$E$317,E293))</f>
        <v/>
      </c>
      <c r="U293">
        <f>IF(E293="","",IF(N(F293)&gt;0,F293,IFERROR(INDEX($F$18:$F$317,MATCH(E293,$E$18:$E$317,0)),"")))</f>
        <v/>
      </c>
      <c r="V293">
        <f>IF(OR(N293="",N293="OK",K293="Cancelled"),0,1)</f>
        <v/>
      </c>
    </row>
    <row r="294">
      <c r="B294" s="21" t="n"/>
      <c r="C294" s="22">
        <f>IF(B294="","",$E$10&amp;TEXT(N($E$11)+276,"000"))</f>
        <v/>
      </c>
      <c r="D294" s="14" t="n"/>
      <c r="E294" s="23" t="n"/>
      <c r="F294" s="24" t="n"/>
      <c r="G294" s="14" t="n"/>
      <c r="H294" s="14" t="n"/>
      <c r="I294" s="23" t="n"/>
      <c r="J294" s="24" t="n"/>
      <c r="K294" s="23" t="n"/>
      <c r="L294" s="25">
        <f>IF(OR(E294="",N(U294)=0),"",U294-SUMIFS(Q$18:Q294,E$18:E294,E294))</f>
        <v/>
      </c>
      <c r="M294" s="26">
        <f>IF(OR(N(J294)=0,K294="Cancelled"),"",IF(AND(N(J294)&gt;5000,P294&lt;&gt;"G"),"Yes: ₹1","No"))</f>
        <v/>
      </c>
      <c r="N294" s="27">
        <f>IF(AND(B294="",D294="",N(J294)=0),"",IF(B294="","Enter the date",IF(AND(ROW()&gt;18,B293=""),"Use the next empty row: a skipped row leaves a gap in the receipt numbers",IF(D294="","Enter who paid",IF(N(J294)=0,"Enter the amount",IF(G294="","Pick what the money was for",IF(P294="?","Pick what it was for from the list",IF(H294="","Pick how it was paid",IF(K294="Cancelled","Cancelled: keep this number unused and give a fresh receipt",IF(AND(H294&lt;&gt;"Cash",I294=""),"Enter the cheque no., UTR or UPI reference",IF(AND(L294&lt;&gt;"",N(L294)&lt;0),"More than the balance due on this invoice",IF(S294&gt;=200000,"₹2,00,000 or more in cash from this person today: barred, s.186",IF(T294&gt;=200000,"₹2,00,000 or more in cash against this invoice: barred, s.186",IF(AND(P294="T",H294="Cash",N(J294)&gt;=20000),"Loan of ₹20,000 or more in cash: barred, s.185",IF(AND(P294="D",H294="Cash",N(J294)&gt;=20000),"Cash deposit of ₹20,000 or more: ask your accountant whether s.185 applies",IF(AND(OR(P294="AG",P294="AS"),$E$9&lt;&gt;""),"Advance: also give a GST receipt voucher, s.31(3)(d) and Rule 50","OK"))))))))))))))))</f>
        <v/>
      </c>
      <c r="P294">
        <f>IF(G294="","",IFERROR(VLOOKUP(G294,Lists!$A$2:$B$9,2,FALSE),"?"))</f>
        <v/>
      </c>
      <c r="Q294">
        <f>IF(K294="Cancelled",0,N(J294))</f>
        <v/>
      </c>
      <c r="R294">
        <f>IF(OR(H294&lt;&gt;"Cash",P294="T",P294="D"),0,Q294)</f>
        <v/>
      </c>
      <c r="S294">
        <f>IF(R294=0,0,SUMIFS($R$18:$R$317,$B$18:$B$317,B294,$D$18:$D$317,D294))</f>
        <v/>
      </c>
      <c r="T294">
        <f>IF(OR(R294=0,E294=""),0,SUMIFS($R$18:$R$317,$E$18:$E$317,E294))</f>
        <v/>
      </c>
      <c r="U294">
        <f>IF(E294="","",IF(N(F294)&gt;0,F294,IFERROR(INDEX($F$18:$F$317,MATCH(E294,$E$18:$E$317,0)),"")))</f>
        <v/>
      </c>
      <c r="V294">
        <f>IF(OR(N294="",N294="OK",K294="Cancelled"),0,1)</f>
        <v/>
      </c>
    </row>
    <row r="295">
      <c r="B295" s="21" t="n"/>
      <c r="C295" s="22">
        <f>IF(B295="","",$E$10&amp;TEXT(N($E$11)+277,"000"))</f>
        <v/>
      </c>
      <c r="D295" s="14" t="n"/>
      <c r="E295" s="23" t="n"/>
      <c r="F295" s="24" t="n"/>
      <c r="G295" s="14" t="n"/>
      <c r="H295" s="14" t="n"/>
      <c r="I295" s="23" t="n"/>
      <c r="J295" s="24" t="n"/>
      <c r="K295" s="23" t="n"/>
      <c r="L295" s="25">
        <f>IF(OR(E295="",N(U295)=0),"",U295-SUMIFS(Q$18:Q295,E$18:E295,E295))</f>
        <v/>
      </c>
      <c r="M295" s="26">
        <f>IF(OR(N(J295)=0,K295="Cancelled"),"",IF(AND(N(J295)&gt;5000,P295&lt;&gt;"G"),"Yes: ₹1","No"))</f>
        <v/>
      </c>
      <c r="N295" s="27">
        <f>IF(AND(B295="",D295="",N(J295)=0),"",IF(B295="","Enter the date",IF(AND(ROW()&gt;18,B294=""),"Use the next empty row: a skipped row leaves a gap in the receipt numbers",IF(D295="","Enter who paid",IF(N(J295)=0,"Enter the amount",IF(G295="","Pick what the money was for",IF(P295="?","Pick what it was for from the list",IF(H295="","Pick how it was paid",IF(K295="Cancelled","Cancelled: keep this number unused and give a fresh receipt",IF(AND(H295&lt;&gt;"Cash",I295=""),"Enter the cheque no., UTR or UPI reference",IF(AND(L295&lt;&gt;"",N(L295)&lt;0),"More than the balance due on this invoice",IF(S295&gt;=200000,"₹2,00,000 or more in cash from this person today: barred, s.186",IF(T295&gt;=200000,"₹2,00,000 or more in cash against this invoice: barred, s.186",IF(AND(P295="T",H295="Cash",N(J295)&gt;=20000),"Loan of ₹20,000 or more in cash: barred, s.185",IF(AND(P295="D",H295="Cash",N(J295)&gt;=20000),"Cash deposit of ₹20,000 or more: ask your accountant whether s.185 applies",IF(AND(OR(P295="AG",P295="AS"),$E$9&lt;&gt;""),"Advance: also give a GST receipt voucher, s.31(3)(d) and Rule 50","OK"))))))))))))))))</f>
        <v/>
      </c>
      <c r="P295">
        <f>IF(G295="","",IFERROR(VLOOKUP(G295,Lists!$A$2:$B$9,2,FALSE),"?"))</f>
        <v/>
      </c>
      <c r="Q295">
        <f>IF(K295="Cancelled",0,N(J295))</f>
        <v/>
      </c>
      <c r="R295">
        <f>IF(OR(H295&lt;&gt;"Cash",P295="T",P295="D"),0,Q295)</f>
        <v/>
      </c>
      <c r="S295">
        <f>IF(R295=0,0,SUMIFS($R$18:$R$317,$B$18:$B$317,B295,$D$18:$D$317,D295))</f>
        <v/>
      </c>
      <c r="T295">
        <f>IF(OR(R295=0,E295=""),0,SUMIFS($R$18:$R$317,$E$18:$E$317,E295))</f>
        <v/>
      </c>
      <c r="U295">
        <f>IF(E295="","",IF(N(F295)&gt;0,F295,IFERROR(INDEX($F$18:$F$317,MATCH(E295,$E$18:$E$317,0)),"")))</f>
        <v/>
      </c>
      <c r="V295">
        <f>IF(OR(N295="",N295="OK",K295="Cancelled"),0,1)</f>
        <v/>
      </c>
    </row>
    <row r="296">
      <c r="B296" s="21" t="n"/>
      <c r="C296" s="22">
        <f>IF(B296="","",$E$10&amp;TEXT(N($E$11)+278,"000"))</f>
        <v/>
      </c>
      <c r="D296" s="14" t="n"/>
      <c r="E296" s="23" t="n"/>
      <c r="F296" s="24" t="n"/>
      <c r="G296" s="14" t="n"/>
      <c r="H296" s="14" t="n"/>
      <c r="I296" s="23" t="n"/>
      <c r="J296" s="24" t="n"/>
      <c r="K296" s="23" t="n"/>
      <c r="L296" s="25">
        <f>IF(OR(E296="",N(U296)=0),"",U296-SUMIFS(Q$18:Q296,E$18:E296,E296))</f>
        <v/>
      </c>
      <c r="M296" s="26">
        <f>IF(OR(N(J296)=0,K296="Cancelled"),"",IF(AND(N(J296)&gt;5000,P296&lt;&gt;"G"),"Yes: ₹1","No"))</f>
        <v/>
      </c>
      <c r="N296" s="27">
        <f>IF(AND(B296="",D296="",N(J296)=0),"",IF(B296="","Enter the date",IF(AND(ROW()&gt;18,B295=""),"Use the next empty row: a skipped row leaves a gap in the receipt numbers",IF(D296="","Enter who paid",IF(N(J296)=0,"Enter the amount",IF(G296="","Pick what the money was for",IF(P296="?","Pick what it was for from the list",IF(H296="","Pick how it was paid",IF(K296="Cancelled","Cancelled: keep this number unused and give a fresh receipt",IF(AND(H296&lt;&gt;"Cash",I296=""),"Enter the cheque no., UTR or UPI reference",IF(AND(L296&lt;&gt;"",N(L296)&lt;0),"More than the balance due on this invoice",IF(S296&gt;=200000,"₹2,00,000 or more in cash from this person today: barred, s.186",IF(T296&gt;=200000,"₹2,00,000 or more in cash against this invoice: barred, s.186",IF(AND(P296="T",H296="Cash",N(J296)&gt;=20000),"Loan of ₹20,000 or more in cash: barred, s.185",IF(AND(P296="D",H296="Cash",N(J296)&gt;=20000),"Cash deposit of ₹20,000 or more: ask your accountant whether s.185 applies",IF(AND(OR(P296="AG",P296="AS"),$E$9&lt;&gt;""),"Advance: also give a GST receipt voucher, s.31(3)(d) and Rule 50","OK"))))))))))))))))</f>
        <v/>
      </c>
      <c r="P296">
        <f>IF(G296="","",IFERROR(VLOOKUP(G296,Lists!$A$2:$B$9,2,FALSE),"?"))</f>
        <v/>
      </c>
      <c r="Q296">
        <f>IF(K296="Cancelled",0,N(J296))</f>
        <v/>
      </c>
      <c r="R296">
        <f>IF(OR(H296&lt;&gt;"Cash",P296="T",P296="D"),0,Q296)</f>
        <v/>
      </c>
      <c r="S296">
        <f>IF(R296=0,0,SUMIFS($R$18:$R$317,$B$18:$B$317,B296,$D$18:$D$317,D296))</f>
        <v/>
      </c>
      <c r="T296">
        <f>IF(OR(R296=0,E296=""),0,SUMIFS($R$18:$R$317,$E$18:$E$317,E296))</f>
        <v/>
      </c>
      <c r="U296">
        <f>IF(E296="","",IF(N(F296)&gt;0,F296,IFERROR(INDEX($F$18:$F$317,MATCH(E296,$E$18:$E$317,0)),"")))</f>
        <v/>
      </c>
      <c r="V296">
        <f>IF(OR(N296="",N296="OK",K296="Cancelled"),0,1)</f>
        <v/>
      </c>
    </row>
    <row r="297">
      <c r="B297" s="21" t="n"/>
      <c r="C297" s="22">
        <f>IF(B297="","",$E$10&amp;TEXT(N($E$11)+279,"000"))</f>
        <v/>
      </c>
      <c r="D297" s="14" t="n"/>
      <c r="E297" s="23" t="n"/>
      <c r="F297" s="24" t="n"/>
      <c r="G297" s="14" t="n"/>
      <c r="H297" s="14" t="n"/>
      <c r="I297" s="23" t="n"/>
      <c r="J297" s="24" t="n"/>
      <c r="K297" s="23" t="n"/>
      <c r="L297" s="25">
        <f>IF(OR(E297="",N(U297)=0),"",U297-SUMIFS(Q$18:Q297,E$18:E297,E297))</f>
        <v/>
      </c>
      <c r="M297" s="26">
        <f>IF(OR(N(J297)=0,K297="Cancelled"),"",IF(AND(N(J297)&gt;5000,P297&lt;&gt;"G"),"Yes: ₹1","No"))</f>
        <v/>
      </c>
      <c r="N297" s="27">
        <f>IF(AND(B297="",D297="",N(J297)=0),"",IF(B297="","Enter the date",IF(AND(ROW()&gt;18,B296=""),"Use the next empty row: a skipped row leaves a gap in the receipt numbers",IF(D297="","Enter who paid",IF(N(J297)=0,"Enter the amount",IF(G297="","Pick what the money was for",IF(P297="?","Pick what it was for from the list",IF(H297="","Pick how it was paid",IF(K297="Cancelled","Cancelled: keep this number unused and give a fresh receipt",IF(AND(H297&lt;&gt;"Cash",I297=""),"Enter the cheque no., UTR or UPI reference",IF(AND(L297&lt;&gt;"",N(L297)&lt;0),"More than the balance due on this invoice",IF(S297&gt;=200000,"₹2,00,000 or more in cash from this person today: barred, s.186",IF(T297&gt;=200000,"₹2,00,000 or more in cash against this invoice: barred, s.186",IF(AND(P297="T",H297="Cash",N(J297)&gt;=20000),"Loan of ₹20,000 or more in cash: barred, s.185",IF(AND(P297="D",H297="Cash",N(J297)&gt;=20000),"Cash deposit of ₹20,000 or more: ask your accountant whether s.185 applies",IF(AND(OR(P297="AG",P297="AS"),$E$9&lt;&gt;""),"Advance: also give a GST receipt voucher, s.31(3)(d) and Rule 50","OK"))))))))))))))))</f>
        <v/>
      </c>
      <c r="P297">
        <f>IF(G297="","",IFERROR(VLOOKUP(G297,Lists!$A$2:$B$9,2,FALSE),"?"))</f>
        <v/>
      </c>
      <c r="Q297">
        <f>IF(K297="Cancelled",0,N(J297))</f>
        <v/>
      </c>
      <c r="R297">
        <f>IF(OR(H297&lt;&gt;"Cash",P297="T",P297="D"),0,Q297)</f>
        <v/>
      </c>
      <c r="S297">
        <f>IF(R297=0,0,SUMIFS($R$18:$R$317,$B$18:$B$317,B297,$D$18:$D$317,D297))</f>
        <v/>
      </c>
      <c r="T297">
        <f>IF(OR(R297=0,E297=""),0,SUMIFS($R$18:$R$317,$E$18:$E$317,E297))</f>
        <v/>
      </c>
      <c r="U297">
        <f>IF(E297="","",IF(N(F297)&gt;0,F297,IFERROR(INDEX($F$18:$F$317,MATCH(E297,$E$18:$E$317,0)),"")))</f>
        <v/>
      </c>
      <c r="V297">
        <f>IF(OR(N297="",N297="OK",K297="Cancelled"),0,1)</f>
        <v/>
      </c>
    </row>
    <row r="298">
      <c r="B298" s="21" t="n"/>
      <c r="C298" s="22">
        <f>IF(B298="","",$E$10&amp;TEXT(N($E$11)+280,"000"))</f>
        <v/>
      </c>
      <c r="D298" s="14" t="n"/>
      <c r="E298" s="23" t="n"/>
      <c r="F298" s="24" t="n"/>
      <c r="G298" s="14" t="n"/>
      <c r="H298" s="14" t="n"/>
      <c r="I298" s="23" t="n"/>
      <c r="J298" s="24" t="n"/>
      <c r="K298" s="23" t="n"/>
      <c r="L298" s="25">
        <f>IF(OR(E298="",N(U298)=0),"",U298-SUMIFS(Q$18:Q298,E$18:E298,E298))</f>
        <v/>
      </c>
      <c r="M298" s="26">
        <f>IF(OR(N(J298)=0,K298="Cancelled"),"",IF(AND(N(J298)&gt;5000,P298&lt;&gt;"G"),"Yes: ₹1","No"))</f>
        <v/>
      </c>
      <c r="N298" s="27">
        <f>IF(AND(B298="",D298="",N(J298)=0),"",IF(B298="","Enter the date",IF(AND(ROW()&gt;18,B297=""),"Use the next empty row: a skipped row leaves a gap in the receipt numbers",IF(D298="","Enter who paid",IF(N(J298)=0,"Enter the amount",IF(G298="","Pick what the money was for",IF(P298="?","Pick what it was for from the list",IF(H298="","Pick how it was paid",IF(K298="Cancelled","Cancelled: keep this number unused and give a fresh receipt",IF(AND(H298&lt;&gt;"Cash",I298=""),"Enter the cheque no., UTR or UPI reference",IF(AND(L298&lt;&gt;"",N(L298)&lt;0),"More than the balance due on this invoice",IF(S298&gt;=200000,"₹2,00,000 or more in cash from this person today: barred, s.186",IF(T298&gt;=200000,"₹2,00,000 or more in cash against this invoice: barred, s.186",IF(AND(P298="T",H298="Cash",N(J298)&gt;=20000),"Loan of ₹20,000 or more in cash: barred, s.185",IF(AND(P298="D",H298="Cash",N(J298)&gt;=20000),"Cash deposit of ₹20,000 or more: ask your accountant whether s.185 applies",IF(AND(OR(P298="AG",P298="AS"),$E$9&lt;&gt;""),"Advance: also give a GST receipt voucher, s.31(3)(d) and Rule 50","OK"))))))))))))))))</f>
        <v/>
      </c>
      <c r="P298">
        <f>IF(G298="","",IFERROR(VLOOKUP(G298,Lists!$A$2:$B$9,2,FALSE),"?"))</f>
        <v/>
      </c>
      <c r="Q298">
        <f>IF(K298="Cancelled",0,N(J298))</f>
        <v/>
      </c>
      <c r="R298">
        <f>IF(OR(H298&lt;&gt;"Cash",P298="T",P298="D"),0,Q298)</f>
        <v/>
      </c>
      <c r="S298">
        <f>IF(R298=0,0,SUMIFS($R$18:$R$317,$B$18:$B$317,B298,$D$18:$D$317,D298))</f>
        <v/>
      </c>
      <c r="T298">
        <f>IF(OR(R298=0,E298=""),0,SUMIFS($R$18:$R$317,$E$18:$E$317,E298))</f>
        <v/>
      </c>
      <c r="U298">
        <f>IF(E298="","",IF(N(F298)&gt;0,F298,IFERROR(INDEX($F$18:$F$317,MATCH(E298,$E$18:$E$317,0)),"")))</f>
        <v/>
      </c>
      <c r="V298">
        <f>IF(OR(N298="",N298="OK",K298="Cancelled"),0,1)</f>
        <v/>
      </c>
    </row>
    <row r="299">
      <c r="B299" s="21" t="n"/>
      <c r="C299" s="22">
        <f>IF(B299="","",$E$10&amp;TEXT(N($E$11)+281,"000"))</f>
        <v/>
      </c>
      <c r="D299" s="14" t="n"/>
      <c r="E299" s="23" t="n"/>
      <c r="F299" s="24" t="n"/>
      <c r="G299" s="14" t="n"/>
      <c r="H299" s="14" t="n"/>
      <c r="I299" s="23" t="n"/>
      <c r="J299" s="24" t="n"/>
      <c r="K299" s="23" t="n"/>
      <c r="L299" s="25">
        <f>IF(OR(E299="",N(U299)=0),"",U299-SUMIFS(Q$18:Q299,E$18:E299,E299))</f>
        <v/>
      </c>
      <c r="M299" s="26">
        <f>IF(OR(N(J299)=0,K299="Cancelled"),"",IF(AND(N(J299)&gt;5000,P299&lt;&gt;"G"),"Yes: ₹1","No"))</f>
        <v/>
      </c>
      <c r="N299" s="27">
        <f>IF(AND(B299="",D299="",N(J299)=0),"",IF(B299="","Enter the date",IF(AND(ROW()&gt;18,B298=""),"Use the next empty row: a skipped row leaves a gap in the receipt numbers",IF(D299="","Enter who paid",IF(N(J299)=0,"Enter the amount",IF(G299="","Pick what the money was for",IF(P299="?","Pick what it was for from the list",IF(H299="","Pick how it was paid",IF(K299="Cancelled","Cancelled: keep this number unused and give a fresh receipt",IF(AND(H299&lt;&gt;"Cash",I299=""),"Enter the cheque no., UTR or UPI reference",IF(AND(L299&lt;&gt;"",N(L299)&lt;0),"More than the balance due on this invoice",IF(S299&gt;=200000,"₹2,00,000 or more in cash from this person today: barred, s.186",IF(T299&gt;=200000,"₹2,00,000 or more in cash against this invoice: barred, s.186",IF(AND(P299="T",H299="Cash",N(J299)&gt;=20000),"Loan of ₹20,000 or more in cash: barred, s.185",IF(AND(P299="D",H299="Cash",N(J299)&gt;=20000),"Cash deposit of ₹20,000 or more: ask your accountant whether s.185 applies",IF(AND(OR(P299="AG",P299="AS"),$E$9&lt;&gt;""),"Advance: also give a GST receipt voucher, s.31(3)(d) and Rule 50","OK"))))))))))))))))</f>
        <v/>
      </c>
      <c r="P299">
        <f>IF(G299="","",IFERROR(VLOOKUP(G299,Lists!$A$2:$B$9,2,FALSE),"?"))</f>
        <v/>
      </c>
      <c r="Q299">
        <f>IF(K299="Cancelled",0,N(J299))</f>
        <v/>
      </c>
      <c r="R299">
        <f>IF(OR(H299&lt;&gt;"Cash",P299="T",P299="D"),0,Q299)</f>
        <v/>
      </c>
      <c r="S299">
        <f>IF(R299=0,0,SUMIFS($R$18:$R$317,$B$18:$B$317,B299,$D$18:$D$317,D299))</f>
        <v/>
      </c>
      <c r="T299">
        <f>IF(OR(R299=0,E299=""),0,SUMIFS($R$18:$R$317,$E$18:$E$317,E299))</f>
        <v/>
      </c>
      <c r="U299">
        <f>IF(E299="","",IF(N(F299)&gt;0,F299,IFERROR(INDEX($F$18:$F$317,MATCH(E299,$E$18:$E$317,0)),"")))</f>
        <v/>
      </c>
      <c r="V299">
        <f>IF(OR(N299="",N299="OK",K299="Cancelled"),0,1)</f>
        <v/>
      </c>
    </row>
    <row r="300">
      <c r="B300" s="21" t="n"/>
      <c r="C300" s="22">
        <f>IF(B300="","",$E$10&amp;TEXT(N($E$11)+282,"000"))</f>
        <v/>
      </c>
      <c r="D300" s="14" t="n"/>
      <c r="E300" s="23" t="n"/>
      <c r="F300" s="24" t="n"/>
      <c r="G300" s="14" t="n"/>
      <c r="H300" s="14" t="n"/>
      <c r="I300" s="23" t="n"/>
      <c r="J300" s="24" t="n"/>
      <c r="K300" s="23" t="n"/>
      <c r="L300" s="25">
        <f>IF(OR(E300="",N(U300)=0),"",U300-SUMIFS(Q$18:Q300,E$18:E300,E300))</f>
        <v/>
      </c>
      <c r="M300" s="26">
        <f>IF(OR(N(J300)=0,K300="Cancelled"),"",IF(AND(N(J300)&gt;5000,P300&lt;&gt;"G"),"Yes: ₹1","No"))</f>
        <v/>
      </c>
      <c r="N300" s="27">
        <f>IF(AND(B300="",D300="",N(J300)=0),"",IF(B300="","Enter the date",IF(AND(ROW()&gt;18,B299=""),"Use the next empty row: a skipped row leaves a gap in the receipt numbers",IF(D300="","Enter who paid",IF(N(J300)=0,"Enter the amount",IF(G300="","Pick what the money was for",IF(P300="?","Pick what it was for from the list",IF(H300="","Pick how it was paid",IF(K300="Cancelled","Cancelled: keep this number unused and give a fresh receipt",IF(AND(H300&lt;&gt;"Cash",I300=""),"Enter the cheque no., UTR or UPI reference",IF(AND(L300&lt;&gt;"",N(L300)&lt;0),"More than the balance due on this invoice",IF(S300&gt;=200000,"₹2,00,000 or more in cash from this person today: barred, s.186",IF(T300&gt;=200000,"₹2,00,000 or more in cash against this invoice: barred, s.186",IF(AND(P300="T",H300="Cash",N(J300)&gt;=20000),"Loan of ₹20,000 or more in cash: barred, s.185",IF(AND(P300="D",H300="Cash",N(J300)&gt;=20000),"Cash deposit of ₹20,000 or more: ask your accountant whether s.185 applies",IF(AND(OR(P300="AG",P300="AS"),$E$9&lt;&gt;""),"Advance: also give a GST receipt voucher, s.31(3)(d) and Rule 50","OK"))))))))))))))))</f>
        <v/>
      </c>
      <c r="P300">
        <f>IF(G300="","",IFERROR(VLOOKUP(G300,Lists!$A$2:$B$9,2,FALSE),"?"))</f>
        <v/>
      </c>
      <c r="Q300">
        <f>IF(K300="Cancelled",0,N(J300))</f>
        <v/>
      </c>
      <c r="R300">
        <f>IF(OR(H300&lt;&gt;"Cash",P300="T",P300="D"),0,Q300)</f>
        <v/>
      </c>
      <c r="S300">
        <f>IF(R300=0,0,SUMIFS($R$18:$R$317,$B$18:$B$317,B300,$D$18:$D$317,D300))</f>
        <v/>
      </c>
      <c r="T300">
        <f>IF(OR(R300=0,E300=""),0,SUMIFS($R$18:$R$317,$E$18:$E$317,E300))</f>
        <v/>
      </c>
      <c r="U300">
        <f>IF(E300="","",IF(N(F300)&gt;0,F300,IFERROR(INDEX($F$18:$F$317,MATCH(E300,$E$18:$E$317,0)),"")))</f>
        <v/>
      </c>
      <c r="V300">
        <f>IF(OR(N300="",N300="OK",K300="Cancelled"),0,1)</f>
        <v/>
      </c>
    </row>
    <row r="301">
      <c r="B301" s="21" t="n"/>
      <c r="C301" s="22">
        <f>IF(B301="","",$E$10&amp;TEXT(N($E$11)+283,"000"))</f>
        <v/>
      </c>
      <c r="D301" s="14" t="n"/>
      <c r="E301" s="23" t="n"/>
      <c r="F301" s="24" t="n"/>
      <c r="G301" s="14" t="n"/>
      <c r="H301" s="14" t="n"/>
      <c r="I301" s="23" t="n"/>
      <c r="J301" s="24" t="n"/>
      <c r="K301" s="23" t="n"/>
      <c r="L301" s="25">
        <f>IF(OR(E301="",N(U301)=0),"",U301-SUMIFS(Q$18:Q301,E$18:E301,E301))</f>
        <v/>
      </c>
      <c r="M301" s="26">
        <f>IF(OR(N(J301)=0,K301="Cancelled"),"",IF(AND(N(J301)&gt;5000,P301&lt;&gt;"G"),"Yes: ₹1","No"))</f>
        <v/>
      </c>
      <c r="N301" s="27">
        <f>IF(AND(B301="",D301="",N(J301)=0),"",IF(B301="","Enter the date",IF(AND(ROW()&gt;18,B300=""),"Use the next empty row: a skipped row leaves a gap in the receipt numbers",IF(D301="","Enter who paid",IF(N(J301)=0,"Enter the amount",IF(G301="","Pick what the money was for",IF(P301="?","Pick what it was for from the list",IF(H301="","Pick how it was paid",IF(K301="Cancelled","Cancelled: keep this number unused and give a fresh receipt",IF(AND(H301&lt;&gt;"Cash",I301=""),"Enter the cheque no., UTR or UPI reference",IF(AND(L301&lt;&gt;"",N(L301)&lt;0),"More than the balance due on this invoice",IF(S301&gt;=200000,"₹2,00,000 or more in cash from this person today: barred, s.186",IF(T301&gt;=200000,"₹2,00,000 or more in cash against this invoice: barred, s.186",IF(AND(P301="T",H301="Cash",N(J301)&gt;=20000),"Loan of ₹20,000 or more in cash: barred, s.185",IF(AND(P301="D",H301="Cash",N(J301)&gt;=20000),"Cash deposit of ₹20,000 or more: ask your accountant whether s.185 applies",IF(AND(OR(P301="AG",P301="AS"),$E$9&lt;&gt;""),"Advance: also give a GST receipt voucher, s.31(3)(d) and Rule 50","OK"))))))))))))))))</f>
        <v/>
      </c>
      <c r="P301">
        <f>IF(G301="","",IFERROR(VLOOKUP(G301,Lists!$A$2:$B$9,2,FALSE),"?"))</f>
        <v/>
      </c>
      <c r="Q301">
        <f>IF(K301="Cancelled",0,N(J301))</f>
        <v/>
      </c>
      <c r="R301">
        <f>IF(OR(H301&lt;&gt;"Cash",P301="T",P301="D"),0,Q301)</f>
        <v/>
      </c>
      <c r="S301">
        <f>IF(R301=0,0,SUMIFS($R$18:$R$317,$B$18:$B$317,B301,$D$18:$D$317,D301))</f>
        <v/>
      </c>
      <c r="T301">
        <f>IF(OR(R301=0,E301=""),0,SUMIFS($R$18:$R$317,$E$18:$E$317,E301))</f>
        <v/>
      </c>
      <c r="U301">
        <f>IF(E301="","",IF(N(F301)&gt;0,F301,IFERROR(INDEX($F$18:$F$317,MATCH(E301,$E$18:$E$317,0)),"")))</f>
        <v/>
      </c>
      <c r="V301">
        <f>IF(OR(N301="",N301="OK",K301="Cancelled"),0,1)</f>
        <v/>
      </c>
    </row>
    <row r="302">
      <c r="B302" s="21" t="n"/>
      <c r="C302" s="22">
        <f>IF(B302="","",$E$10&amp;TEXT(N($E$11)+284,"000"))</f>
        <v/>
      </c>
      <c r="D302" s="14" t="n"/>
      <c r="E302" s="23" t="n"/>
      <c r="F302" s="24" t="n"/>
      <c r="G302" s="14" t="n"/>
      <c r="H302" s="14" t="n"/>
      <c r="I302" s="23" t="n"/>
      <c r="J302" s="24" t="n"/>
      <c r="K302" s="23" t="n"/>
      <c r="L302" s="25">
        <f>IF(OR(E302="",N(U302)=0),"",U302-SUMIFS(Q$18:Q302,E$18:E302,E302))</f>
        <v/>
      </c>
      <c r="M302" s="26">
        <f>IF(OR(N(J302)=0,K302="Cancelled"),"",IF(AND(N(J302)&gt;5000,P302&lt;&gt;"G"),"Yes: ₹1","No"))</f>
        <v/>
      </c>
      <c r="N302" s="27">
        <f>IF(AND(B302="",D302="",N(J302)=0),"",IF(B302="","Enter the date",IF(AND(ROW()&gt;18,B301=""),"Use the next empty row: a skipped row leaves a gap in the receipt numbers",IF(D302="","Enter who paid",IF(N(J302)=0,"Enter the amount",IF(G302="","Pick what the money was for",IF(P302="?","Pick what it was for from the list",IF(H302="","Pick how it was paid",IF(K302="Cancelled","Cancelled: keep this number unused and give a fresh receipt",IF(AND(H302&lt;&gt;"Cash",I302=""),"Enter the cheque no., UTR or UPI reference",IF(AND(L302&lt;&gt;"",N(L302)&lt;0),"More than the balance due on this invoice",IF(S302&gt;=200000,"₹2,00,000 or more in cash from this person today: barred, s.186",IF(T302&gt;=200000,"₹2,00,000 or more in cash against this invoice: barred, s.186",IF(AND(P302="T",H302="Cash",N(J302)&gt;=20000),"Loan of ₹20,000 or more in cash: barred, s.185",IF(AND(P302="D",H302="Cash",N(J302)&gt;=20000),"Cash deposit of ₹20,000 or more: ask your accountant whether s.185 applies",IF(AND(OR(P302="AG",P302="AS"),$E$9&lt;&gt;""),"Advance: also give a GST receipt voucher, s.31(3)(d) and Rule 50","OK"))))))))))))))))</f>
        <v/>
      </c>
      <c r="P302">
        <f>IF(G302="","",IFERROR(VLOOKUP(G302,Lists!$A$2:$B$9,2,FALSE),"?"))</f>
        <v/>
      </c>
      <c r="Q302">
        <f>IF(K302="Cancelled",0,N(J302))</f>
        <v/>
      </c>
      <c r="R302">
        <f>IF(OR(H302&lt;&gt;"Cash",P302="T",P302="D"),0,Q302)</f>
        <v/>
      </c>
      <c r="S302">
        <f>IF(R302=0,0,SUMIFS($R$18:$R$317,$B$18:$B$317,B302,$D$18:$D$317,D302))</f>
        <v/>
      </c>
      <c r="T302">
        <f>IF(OR(R302=0,E302=""),0,SUMIFS($R$18:$R$317,$E$18:$E$317,E302))</f>
        <v/>
      </c>
      <c r="U302">
        <f>IF(E302="","",IF(N(F302)&gt;0,F302,IFERROR(INDEX($F$18:$F$317,MATCH(E302,$E$18:$E$317,0)),"")))</f>
        <v/>
      </c>
      <c r="V302">
        <f>IF(OR(N302="",N302="OK",K302="Cancelled"),0,1)</f>
        <v/>
      </c>
    </row>
    <row r="303">
      <c r="B303" s="21" t="n"/>
      <c r="C303" s="22">
        <f>IF(B303="","",$E$10&amp;TEXT(N($E$11)+285,"000"))</f>
        <v/>
      </c>
      <c r="D303" s="14" t="n"/>
      <c r="E303" s="23" t="n"/>
      <c r="F303" s="24" t="n"/>
      <c r="G303" s="14" t="n"/>
      <c r="H303" s="14" t="n"/>
      <c r="I303" s="23" t="n"/>
      <c r="J303" s="24" t="n"/>
      <c r="K303" s="23" t="n"/>
      <c r="L303" s="25">
        <f>IF(OR(E303="",N(U303)=0),"",U303-SUMIFS(Q$18:Q303,E$18:E303,E303))</f>
        <v/>
      </c>
      <c r="M303" s="26">
        <f>IF(OR(N(J303)=0,K303="Cancelled"),"",IF(AND(N(J303)&gt;5000,P303&lt;&gt;"G"),"Yes: ₹1","No"))</f>
        <v/>
      </c>
      <c r="N303" s="27">
        <f>IF(AND(B303="",D303="",N(J303)=0),"",IF(B303="","Enter the date",IF(AND(ROW()&gt;18,B302=""),"Use the next empty row: a skipped row leaves a gap in the receipt numbers",IF(D303="","Enter who paid",IF(N(J303)=0,"Enter the amount",IF(G303="","Pick what the money was for",IF(P303="?","Pick what it was for from the list",IF(H303="","Pick how it was paid",IF(K303="Cancelled","Cancelled: keep this number unused and give a fresh receipt",IF(AND(H303&lt;&gt;"Cash",I303=""),"Enter the cheque no., UTR or UPI reference",IF(AND(L303&lt;&gt;"",N(L303)&lt;0),"More than the balance due on this invoice",IF(S303&gt;=200000,"₹2,00,000 or more in cash from this person today: barred, s.186",IF(T303&gt;=200000,"₹2,00,000 or more in cash against this invoice: barred, s.186",IF(AND(P303="T",H303="Cash",N(J303)&gt;=20000),"Loan of ₹20,000 or more in cash: barred, s.185",IF(AND(P303="D",H303="Cash",N(J303)&gt;=20000),"Cash deposit of ₹20,000 or more: ask your accountant whether s.185 applies",IF(AND(OR(P303="AG",P303="AS"),$E$9&lt;&gt;""),"Advance: also give a GST receipt voucher, s.31(3)(d) and Rule 50","OK"))))))))))))))))</f>
        <v/>
      </c>
      <c r="P303">
        <f>IF(G303="","",IFERROR(VLOOKUP(G303,Lists!$A$2:$B$9,2,FALSE),"?"))</f>
        <v/>
      </c>
      <c r="Q303">
        <f>IF(K303="Cancelled",0,N(J303))</f>
        <v/>
      </c>
      <c r="R303">
        <f>IF(OR(H303&lt;&gt;"Cash",P303="T",P303="D"),0,Q303)</f>
        <v/>
      </c>
      <c r="S303">
        <f>IF(R303=0,0,SUMIFS($R$18:$R$317,$B$18:$B$317,B303,$D$18:$D$317,D303))</f>
        <v/>
      </c>
      <c r="T303">
        <f>IF(OR(R303=0,E303=""),0,SUMIFS($R$18:$R$317,$E$18:$E$317,E303))</f>
        <v/>
      </c>
      <c r="U303">
        <f>IF(E303="","",IF(N(F303)&gt;0,F303,IFERROR(INDEX($F$18:$F$317,MATCH(E303,$E$18:$E$317,0)),"")))</f>
        <v/>
      </c>
      <c r="V303">
        <f>IF(OR(N303="",N303="OK",K303="Cancelled"),0,1)</f>
        <v/>
      </c>
    </row>
    <row r="304">
      <c r="B304" s="21" t="n"/>
      <c r="C304" s="22">
        <f>IF(B304="","",$E$10&amp;TEXT(N($E$11)+286,"000"))</f>
        <v/>
      </c>
      <c r="D304" s="14" t="n"/>
      <c r="E304" s="23" t="n"/>
      <c r="F304" s="24" t="n"/>
      <c r="G304" s="14" t="n"/>
      <c r="H304" s="14" t="n"/>
      <c r="I304" s="23" t="n"/>
      <c r="J304" s="24" t="n"/>
      <c r="K304" s="23" t="n"/>
      <c r="L304" s="25">
        <f>IF(OR(E304="",N(U304)=0),"",U304-SUMIFS(Q$18:Q304,E$18:E304,E304))</f>
        <v/>
      </c>
      <c r="M304" s="26">
        <f>IF(OR(N(J304)=0,K304="Cancelled"),"",IF(AND(N(J304)&gt;5000,P304&lt;&gt;"G"),"Yes: ₹1","No"))</f>
        <v/>
      </c>
      <c r="N304" s="27">
        <f>IF(AND(B304="",D304="",N(J304)=0),"",IF(B304="","Enter the date",IF(AND(ROW()&gt;18,B303=""),"Use the next empty row: a skipped row leaves a gap in the receipt numbers",IF(D304="","Enter who paid",IF(N(J304)=0,"Enter the amount",IF(G304="","Pick what the money was for",IF(P304="?","Pick what it was for from the list",IF(H304="","Pick how it was paid",IF(K304="Cancelled","Cancelled: keep this number unused and give a fresh receipt",IF(AND(H304&lt;&gt;"Cash",I304=""),"Enter the cheque no., UTR or UPI reference",IF(AND(L304&lt;&gt;"",N(L304)&lt;0),"More than the balance due on this invoice",IF(S304&gt;=200000,"₹2,00,000 or more in cash from this person today: barred, s.186",IF(T304&gt;=200000,"₹2,00,000 or more in cash against this invoice: barred, s.186",IF(AND(P304="T",H304="Cash",N(J304)&gt;=20000),"Loan of ₹20,000 or more in cash: barred, s.185",IF(AND(P304="D",H304="Cash",N(J304)&gt;=20000),"Cash deposit of ₹20,000 or more: ask your accountant whether s.185 applies",IF(AND(OR(P304="AG",P304="AS"),$E$9&lt;&gt;""),"Advance: also give a GST receipt voucher, s.31(3)(d) and Rule 50","OK"))))))))))))))))</f>
        <v/>
      </c>
      <c r="P304">
        <f>IF(G304="","",IFERROR(VLOOKUP(G304,Lists!$A$2:$B$9,2,FALSE),"?"))</f>
        <v/>
      </c>
      <c r="Q304">
        <f>IF(K304="Cancelled",0,N(J304))</f>
        <v/>
      </c>
      <c r="R304">
        <f>IF(OR(H304&lt;&gt;"Cash",P304="T",P304="D"),0,Q304)</f>
        <v/>
      </c>
      <c r="S304">
        <f>IF(R304=0,0,SUMIFS($R$18:$R$317,$B$18:$B$317,B304,$D$18:$D$317,D304))</f>
        <v/>
      </c>
      <c r="T304">
        <f>IF(OR(R304=0,E304=""),0,SUMIFS($R$18:$R$317,$E$18:$E$317,E304))</f>
        <v/>
      </c>
      <c r="U304">
        <f>IF(E304="","",IF(N(F304)&gt;0,F304,IFERROR(INDEX($F$18:$F$317,MATCH(E304,$E$18:$E$317,0)),"")))</f>
        <v/>
      </c>
      <c r="V304">
        <f>IF(OR(N304="",N304="OK",K304="Cancelled"),0,1)</f>
        <v/>
      </c>
    </row>
    <row r="305">
      <c r="B305" s="21" t="n"/>
      <c r="C305" s="22">
        <f>IF(B305="","",$E$10&amp;TEXT(N($E$11)+287,"000"))</f>
        <v/>
      </c>
      <c r="D305" s="14" t="n"/>
      <c r="E305" s="23" t="n"/>
      <c r="F305" s="24" t="n"/>
      <c r="G305" s="14" t="n"/>
      <c r="H305" s="14" t="n"/>
      <c r="I305" s="23" t="n"/>
      <c r="J305" s="24" t="n"/>
      <c r="K305" s="23" t="n"/>
      <c r="L305" s="25">
        <f>IF(OR(E305="",N(U305)=0),"",U305-SUMIFS(Q$18:Q305,E$18:E305,E305))</f>
        <v/>
      </c>
      <c r="M305" s="26">
        <f>IF(OR(N(J305)=0,K305="Cancelled"),"",IF(AND(N(J305)&gt;5000,P305&lt;&gt;"G"),"Yes: ₹1","No"))</f>
        <v/>
      </c>
      <c r="N305" s="27">
        <f>IF(AND(B305="",D305="",N(J305)=0),"",IF(B305="","Enter the date",IF(AND(ROW()&gt;18,B304=""),"Use the next empty row: a skipped row leaves a gap in the receipt numbers",IF(D305="","Enter who paid",IF(N(J305)=0,"Enter the amount",IF(G305="","Pick what the money was for",IF(P305="?","Pick what it was for from the list",IF(H305="","Pick how it was paid",IF(K305="Cancelled","Cancelled: keep this number unused and give a fresh receipt",IF(AND(H305&lt;&gt;"Cash",I305=""),"Enter the cheque no., UTR or UPI reference",IF(AND(L305&lt;&gt;"",N(L305)&lt;0),"More than the balance due on this invoice",IF(S305&gt;=200000,"₹2,00,000 or more in cash from this person today: barred, s.186",IF(T305&gt;=200000,"₹2,00,000 or more in cash against this invoice: barred, s.186",IF(AND(P305="T",H305="Cash",N(J305)&gt;=20000),"Loan of ₹20,000 or more in cash: barred, s.185",IF(AND(P305="D",H305="Cash",N(J305)&gt;=20000),"Cash deposit of ₹20,000 or more: ask your accountant whether s.185 applies",IF(AND(OR(P305="AG",P305="AS"),$E$9&lt;&gt;""),"Advance: also give a GST receipt voucher, s.31(3)(d) and Rule 50","OK"))))))))))))))))</f>
        <v/>
      </c>
      <c r="P305">
        <f>IF(G305="","",IFERROR(VLOOKUP(G305,Lists!$A$2:$B$9,2,FALSE),"?"))</f>
        <v/>
      </c>
      <c r="Q305">
        <f>IF(K305="Cancelled",0,N(J305))</f>
        <v/>
      </c>
      <c r="R305">
        <f>IF(OR(H305&lt;&gt;"Cash",P305="T",P305="D"),0,Q305)</f>
        <v/>
      </c>
      <c r="S305">
        <f>IF(R305=0,0,SUMIFS($R$18:$R$317,$B$18:$B$317,B305,$D$18:$D$317,D305))</f>
        <v/>
      </c>
      <c r="T305">
        <f>IF(OR(R305=0,E305=""),0,SUMIFS($R$18:$R$317,$E$18:$E$317,E305))</f>
        <v/>
      </c>
      <c r="U305">
        <f>IF(E305="","",IF(N(F305)&gt;0,F305,IFERROR(INDEX($F$18:$F$317,MATCH(E305,$E$18:$E$317,0)),"")))</f>
        <v/>
      </c>
      <c r="V305">
        <f>IF(OR(N305="",N305="OK",K305="Cancelled"),0,1)</f>
        <v/>
      </c>
    </row>
    <row r="306">
      <c r="B306" s="21" t="n"/>
      <c r="C306" s="22">
        <f>IF(B306="","",$E$10&amp;TEXT(N($E$11)+288,"000"))</f>
        <v/>
      </c>
      <c r="D306" s="14" t="n"/>
      <c r="E306" s="23" t="n"/>
      <c r="F306" s="24" t="n"/>
      <c r="G306" s="14" t="n"/>
      <c r="H306" s="14" t="n"/>
      <c r="I306" s="23" t="n"/>
      <c r="J306" s="24" t="n"/>
      <c r="K306" s="23" t="n"/>
      <c r="L306" s="25">
        <f>IF(OR(E306="",N(U306)=0),"",U306-SUMIFS(Q$18:Q306,E$18:E306,E306))</f>
        <v/>
      </c>
      <c r="M306" s="26">
        <f>IF(OR(N(J306)=0,K306="Cancelled"),"",IF(AND(N(J306)&gt;5000,P306&lt;&gt;"G"),"Yes: ₹1","No"))</f>
        <v/>
      </c>
      <c r="N306" s="27">
        <f>IF(AND(B306="",D306="",N(J306)=0),"",IF(B306="","Enter the date",IF(AND(ROW()&gt;18,B305=""),"Use the next empty row: a skipped row leaves a gap in the receipt numbers",IF(D306="","Enter who paid",IF(N(J306)=0,"Enter the amount",IF(G306="","Pick what the money was for",IF(P306="?","Pick what it was for from the list",IF(H306="","Pick how it was paid",IF(K306="Cancelled","Cancelled: keep this number unused and give a fresh receipt",IF(AND(H306&lt;&gt;"Cash",I306=""),"Enter the cheque no., UTR or UPI reference",IF(AND(L306&lt;&gt;"",N(L306)&lt;0),"More than the balance due on this invoice",IF(S306&gt;=200000,"₹2,00,000 or more in cash from this person today: barred, s.186",IF(T306&gt;=200000,"₹2,00,000 or more in cash against this invoice: barred, s.186",IF(AND(P306="T",H306="Cash",N(J306)&gt;=20000),"Loan of ₹20,000 or more in cash: barred, s.185",IF(AND(P306="D",H306="Cash",N(J306)&gt;=20000),"Cash deposit of ₹20,000 or more: ask your accountant whether s.185 applies",IF(AND(OR(P306="AG",P306="AS"),$E$9&lt;&gt;""),"Advance: also give a GST receipt voucher, s.31(3)(d) and Rule 50","OK"))))))))))))))))</f>
        <v/>
      </c>
      <c r="P306">
        <f>IF(G306="","",IFERROR(VLOOKUP(G306,Lists!$A$2:$B$9,2,FALSE),"?"))</f>
        <v/>
      </c>
      <c r="Q306">
        <f>IF(K306="Cancelled",0,N(J306))</f>
        <v/>
      </c>
      <c r="R306">
        <f>IF(OR(H306&lt;&gt;"Cash",P306="T",P306="D"),0,Q306)</f>
        <v/>
      </c>
      <c r="S306">
        <f>IF(R306=0,0,SUMIFS($R$18:$R$317,$B$18:$B$317,B306,$D$18:$D$317,D306))</f>
        <v/>
      </c>
      <c r="T306">
        <f>IF(OR(R306=0,E306=""),0,SUMIFS($R$18:$R$317,$E$18:$E$317,E306))</f>
        <v/>
      </c>
      <c r="U306">
        <f>IF(E306="","",IF(N(F306)&gt;0,F306,IFERROR(INDEX($F$18:$F$317,MATCH(E306,$E$18:$E$317,0)),"")))</f>
        <v/>
      </c>
      <c r="V306">
        <f>IF(OR(N306="",N306="OK",K306="Cancelled"),0,1)</f>
        <v/>
      </c>
    </row>
    <row r="307">
      <c r="B307" s="21" t="n"/>
      <c r="C307" s="22">
        <f>IF(B307="","",$E$10&amp;TEXT(N($E$11)+289,"000"))</f>
        <v/>
      </c>
      <c r="D307" s="14" t="n"/>
      <c r="E307" s="23" t="n"/>
      <c r="F307" s="24" t="n"/>
      <c r="G307" s="14" t="n"/>
      <c r="H307" s="14" t="n"/>
      <c r="I307" s="23" t="n"/>
      <c r="J307" s="24" t="n"/>
      <c r="K307" s="23" t="n"/>
      <c r="L307" s="25">
        <f>IF(OR(E307="",N(U307)=0),"",U307-SUMIFS(Q$18:Q307,E$18:E307,E307))</f>
        <v/>
      </c>
      <c r="M307" s="26">
        <f>IF(OR(N(J307)=0,K307="Cancelled"),"",IF(AND(N(J307)&gt;5000,P307&lt;&gt;"G"),"Yes: ₹1","No"))</f>
        <v/>
      </c>
      <c r="N307" s="27">
        <f>IF(AND(B307="",D307="",N(J307)=0),"",IF(B307="","Enter the date",IF(AND(ROW()&gt;18,B306=""),"Use the next empty row: a skipped row leaves a gap in the receipt numbers",IF(D307="","Enter who paid",IF(N(J307)=0,"Enter the amount",IF(G307="","Pick what the money was for",IF(P307="?","Pick what it was for from the list",IF(H307="","Pick how it was paid",IF(K307="Cancelled","Cancelled: keep this number unused and give a fresh receipt",IF(AND(H307&lt;&gt;"Cash",I307=""),"Enter the cheque no., UTR or UPI reference",IF(AND(L307&lt;&gt;"",N(L307)&lt;0),"More than the balance due on this invoice",IF(S307&gt;=200000,"₹2,00,000 or more in cash from this person today: barred, s.186",IF(T307&gt;=200000,"₹2,00,000 or more in cash against this invoice: barred, s.186",IF(AND(P307="T",H307="Cash",N(J307)&gt;=20000),"Loan of ₹20,000 or more in cash: barred, s.185",IF(AND(P307="D",H307="Cash",N(J307)&gt;=20000),"Cash deposit of ₹20,000 or more: ask your accountant whether s.185 applies",IF(AND(OR(P307="AG",P307="AS"),$E$9&lt;&gt;""),"Advance: also give a GST receipt voucher, s.31(3)(d) and Rule 50","OK"))))))))))))))))</f>
        <v/>
      </c>
      <c r="P307">
        <f>IF(G307="","",IFERROR(VLOOKUP(G307,Lists!$A$2:$B$9,2,FALSE),"?"))</f>
        <v/>
      </c>
      <c r="Q307">
        <f>IF(K307="Cancelled",0,N(J307))</f>
        <v/>
      </c>
      <c r="R307">
        <f>IF(OR(H307&lt;&gt;"Cash",P307="T",P307="D"),0,Q307)</f>
        <v/>
      </c>
      <c r="S307">
        <f>IF(R307=0,0,SUMIFS($R$18:$R$317,$B$18:$B$317,B307,$D$18:$D$317,D307))</f>
        <v/>
      </c>
      <c r="T307">
        <f>IF(OR(R307=0,E307=""),0,SUMIFS($R$18:$R$317,$E$18:$E$317,E307))</f>
        <v/>
      </c>
      <c r="U307">
        <f>IF(E307="","",IF(N(F307)&gt;0,F307,IFERROR(INDEX($F$18:$F$317,MATCH(E307,$E$18:$E$317,0)),"")))</f>
        <v/>
      </c>
      <c r="V307">
        <f>IF(OR(N307="",N307="OK",K307="Cancelled"),0,1)</f>
        <v/>
      </c>
    </row>
    <row r="308">
      <c r="B308" s="21" t="n"/>
      <c r="C308" s="22">
        <f>IF(B308="","",$E$10&amp;TEXT(N($E$11)+290,"000"))</f>
        <v/>
      </c>
      <c r="D308" s="14" t="n"/>
      <c r="E308" s="23" t="n"/>
      <c r="F308" s="24" t="n"/>
      <c r="G308" s="14" t="n"/>
      <c r="H308" s="14" t="n"/>
      <c r="I308" s="23" t="n"/>
      <c r="J308" s="24" t="n"/>
      <c r="K308" s="23" t="n"/>
      <c r="L308" s="25">
        <f>IF(OR(E308="",N(U308)=0),"",U308-SUMIFS(Q$18:Q308,E$18:E308,E308))</f>
        <v/>
      </c>
      <c r="M308" s="26">
        <f>IF(OR(N(J308)=0,K308="Cancelled"),"",IF(AND(N(J308)&gt;5000,P308&lt;&gt;"G"),"Yes: ₹1","No"))</f>
        <v/>
      </c>
      <c r="N308" s="27">
        <f>IF(AND(B308="",D308="",N(J308)=0),"",IF(B308="","Enter the date",IF(AND(ROW()&gt;18,B307=""),"Use the next empty row: a skipped row leaves a gap in the receipt numbers",IF(D308="","Enter who paid",IF(N(J308)=0,"Enter the amount",IF(G308="","Pick what the money was for",IF(P308="?","Pick what it was for from the list",IF(H308="","Pick how it was paid",IF(K308="Cancelled","Cancelled: keep this number unused and give a fresh receipt",IF(AND(H308&lt;&gt;"Cash",I308=""),"Enter the cheque no., UTR or UPI reference",IF(AND(L308&lt;&gt;"",N(L308)&lt;0),"More than the balance due on this invoice",IF(S308&gt;=200000,"₹2,00,000 or more in cash from this person today: barred, s.186",IF(T308&gt;=200000,"₹2,00,000 or more in cash against this invoice: barred, s.186",IF(AND(P308="T",H308="Cash",N(J308)&gt;=20000),"Loan of ₹20,000 or more in cash: barred, s.185",IF(AND(P308="D",H308="Cash",N(J308)&gt;=20000),"Cash deposit of ₹20,000 or more: ask your accountant whether s.185 applies",IF(AND(OR(P308="AG",P308="AS"),$E$9&lt;&gt;""),"Advance: also give a GST receipt voucher, s.31(3)(d) and Rule 50","OK"))))))))))))))))</f>
        <v/>
      </c>
      <c r="P308">
        <f>IF(G308="","",IFERROR(VLOOKUP(G308,Lists!$A$2:$B$9,2,FALSE),"?"))</f>
        <v/>
      </c>
      <c r="Q308">
        <f>IF(K308="Cancelled",0,N(J308))</f>
        <v/>
      </c>
      <c r="R308">
        <f>IF(OR(H308&lt;&gt;"Cash",P308="T",P308="D"),0,Q308)</f>
        <v/>
      </c>
      <c r="S308">
        <f>IF(R308=0,0,SUMIFS($R$18:$R$317,$B$18:$B$317,B308,$D$18:$D$317,D308))</f>
        <v/>
      </c>
      <c r="T308">
        <f>IF(OR(R308=0,E308=""),0,SUMIFS($R$18:$R$317,$E$18:$E$317,E308))</f>
        <v/>
      </c>
      <c r="U308">
        <f>IF(E308="","",IF(N(F308)&gt;0,F308,IFERROR(INDEX($F$18:$F$317,MATCH(E308,$E$18:$E$317,0)),"")))</f>
        <v/>
      </c>
      <c r="V308">
        <f>IF(OR(N308="",N308="OK",K308="Cancelled"),0,1)</f>
        <v/>
      </c>
    </row>
    <row r="309">
      <c r="B309" s="21" t="n"/>
      <c r="C309" s="22">
        <f>IF(B309="","",$E$10&amp;TEXT(N($E$11)+291,"000"))</f>
        <v/>
      </c>
      <c r="D309" s="14" t="n"/>
      <c r="E309" s="23" t="n"/>
      <c r="F309" s="24" t="n"/>
      <c r="G309" s="14" t="n"/>
      <c r="H309" s="14" t="n"/>
      <c r="I309" s="23" t="n"/>
      <c r="J309" s="24" t="n"/>
      <c r="K309" s="23" t="n"/>
      <c r="L309" s="25">
        <f>IF(OR(E309="",N(U309)=0),"",U309-SUMIFS(Q$18:Q309,E$18:E309,E309))</f>
        <v/>
      </c>
      <c r="M309" s="26">
        <f>IF(OR(N(J309)=0,K309="Cancelled"),"",IF(AND(N(J309)&gt;5000,P309&lt;&gt;"G"),"Yes: ₹1","No"))</f>
        <v/>
      </c>
      <c r="N309" s="27">
        <f>IF(AND(B309="",D309="",N(J309)=0),"",IF(B309="","Enter the date",IF(AND(ROW()&gt;18,B308=""),"Use the next empty row: a skipped row leaves a gap in the receipt numbers",IF(D309="","Enter who paid",IF(N(J309)=0,"Enter the amount",IF(G309="","Pick what the money was for",IF(P309="?","Pick what it was for from the list",IF(H309="","Pick how it was paid",IF(K309="Cancelled","Cancelled: keep this number unused and give a fresh receipt",IF(AND(H309&lt;&gt;"Cash",I309=""),"Enter the cheque no., UTR or UPI reference",IF(AND(L309&lt;&gt;"",N(L309)&lt;0),"More than the balance due on this invoice",IF(S309&gt;=200000,"₹2,00,000 or more in cash from this person today: barred, s.186",IF(T309&gt;=200000,"₹2,00,000 or more in cash against this invoice: barred, s.186",IF(AND(P309="T",H309="Cash",N(J309)&gt;=20000),"Loan of ₹20,000 or more in cash: barred, s.185",IF(AND(P309="D",H309="Cash",N(J309)&gt;=20000),"Cash deposit of ₹20,000 or more: ask your accountant whether s.185 applies",IF(AND(OR(P309="AG",P309="AS"),$E$9&lt;&gt;""),"Advance: also give a GST receipt voucher, s.31(3)(d) and Rule 50","OK"))))))))))))))))</f>
        <v/>
      </c>
      <c r="P309">
        <f>IF(G309="","",IFERROR(VLOOKUP(G309,Lists!$A$2:$B$9,2,FALSE),"?"))</f>
        <v/>
      </c>
      <c r="Q309">
        <f>IF(K309="Cancelled",0,N(J309))</f>
        <v/>
      </c>
      <c r="R309">
        <f>IF(OR(H309&lt;&gt;"Cash",P309="T",P309="D"),0,Q309)</f>
        <v/>
      </c>
      <c r="S309">
        <f>IF(R309=0,0,SUMIFS($R$18:$R$317,$B$18:$B$317,B309,$D$18:$D$317,D309))</f>
        <v/>
      </c>
      <c r="T309">
        <f>IF(OR(R309=0,E309=""),0,SUMIFS($R$18:$R$317,$E$18:$E$317,E309))</f>
        <v/>
      </c>
      <c r="U309">
        <f>IF(E309="","",IF(N(F309)&gt;0,F309,IFERROR(INDEX($F$18:$F$317,MATCH(E309,$E$18:$E$317,0)),"")))</f>
        <v/>
      </c>
      <c r="V309">
        <f>IF(OR(N309="",N309="OK",K309="Cancelled"),0,1)</f>
        <v/>
      </c>
    </row>
    <row r="310">
      <c r="B310" s="21" t="n"/>
      <c r="C310" s="22">
        <f>IF(B310="","",$E$10&amp;TEXT(N($E$11)+292,"000"))</f>
        <v/>
      </c>
      <c r="D310" s="14" t="n"/>
      <c r="E310" s="23" t="n"/>
      <c r="F310" s="24" t="n"/>
      <c r="G310" s="14" t="n"/>
      <c r="H310" s="14" t="n"/>
      <c r="I310" s="23" t="n"/>
      <c r="J310" s="24" t="n"/>
      <c r="K310" s="23" t="n"/>
      <c r="L310" s="25">
        <f>IF(OR(E310="",N(U310)=0),"",U310-SUMIFS(Q$18:Q310,E$18:E310,E310))</f>
        <v/>
      </c>
      <c r="M310" s="26">
        <f>IF(OR(N(J310)=0,K310="Cancelled"),"",IF(AND(N(J310)&gt;5000,P310&lt;&gt;"G"),"Yes: ₹1","No"))</f>
        <v/>
      </c>
      <c r="N310" s="27">
        <f>IF(AND(B310="",D310="",N(J310)=0),"",IF(B310="","Enter the date",IF(AND(ROW()&gt;18,B309=""),"Use the next empty row: a skipped row leaves a gap in the receipt numbers",IF(D310="","Enter who paid",IF(N(J310)=0,"Enter the amount",IF(G310="","Pick what the money was for",IF(P310="?","Pick what it was for from the list",IF(H310="","Pick how it was paid",IF(K310="Cancelled","Cancelled: keep this number unused and give a fresh receipt",IF(AND(H310&lt;&gt;"Cash",I310=""),"Enter the cheque no., UTR or UPI reference",IF(AND(L310&lt;&gt;"",N(L310)&lt;0),"More than the balance due on this invoice",IF(S310&gt;=200000,"₹2,00,000 or more in cash from this person today: barred, s.186",IF(T310&gt;=200000,"₹2,00,000 or more in cash against this invoice: barred, s.186",IF(AND(P310="T",H310="Cash",N(J310)&gt;=20000),"Loan of ₹20,000 or more in cash: barred, s.185",IF(AND(P310="D",H310="Cash",N(J310)&gt;=20000),"Cash deposit of ₹20,000 or more: ask your accountant whether s.185 applies",IF(AND(OR(P310="AG",P310="AS"),$E$9&lt;&gt;""),"Advance: also give a GST receipt voucher, s.31(3)(d) and Rule 50","OK"))))))))))))))))</f>
        <v/>
      </c>
      <c r="P310">
        <f>IF(G310="","",IFERROR(VLOOKUP(G310,Lists!$A$2:$B$9,2,FALSE),"?"))</f>
        <v/>
      </c>
      <c r="Q310">
        <f>IF(K310="Cancelled",0,N(J310))</f>
        <v/>
      </c>
      <c r="R310">
        <f>IF(OR(H310&lt;&gt;"Cash",P310="T",P310="D"),0,Q310)</f>
        <v/>
      </c>
      <c r="S310">
        <f>IF(R310=0,0,SUMIFS($R$18:$R$317,$B$18:$B$317,B310,$D$18:$D$317,D310))</f>
        <v/>
      </c>
      <c r="T310">
        <f>IF(OR(R310=0,E310=""),0,SUMIFS($R$18:$R$317,$E$18:$E$317,E310))</f>
        <v/>
      </c>
      <c r="U310">
        <f>IF(E310="","",IF(N(F310)&gt;0,F310,IFERROR(INDEX($F$18:$F$317,MATCH(E310,$E$18:$E$317,0)),"")))</f>
        <v/>
      </c>
      <c r="V310">
        <f>IF(OR(N310="",N310="OK",K310="Cancelled"),0,1)</f>
        <v/>
      </c>
    </row>
    <row r="311">
      <c r="B311" s="21" t="n"/>
      <c r="C311" s="22">
        <f>IF(B311="","",$E$10&amp;TEXT(N($E$11)+293,"000"))</f>
        <v/>
      </c>
      <c r="D311" s="14" t="n"/>
      <c r="E311" s="23" t="n"/>
      <c r="F311" s="24" t="n"/>
      <c r="G311" s="14" t="n"/>
      <c r="H311" s="14" t="n"/>
      <c r="I311" s="23" t="n"/>
      <c r="J311" s="24" t="n"/>
      <c r="K311" s="23" t="n"/>
      <c r="L311" s="25">
        <f>IF(OR(E311="",N(U311)=0),"",U311-SUMIFS(Q$18:Q311,E$18:E311,E311))</f>
        <v/>
      </c>
      <c r="M311" s="26">
        <f>IF(OR(N(J311)=0,K311="Cancelled"),"",IF(AND(N(J311)&gt;5000,P311&lt;&gt;"G"),"Yes: ₹1","No"))</f>
        <v/>
      </c>
      <c r="N311" s="27">
        <f>IF(AND(B311="",D311="",N(J311)=0),"",IF(B311="","Enter the date",IF(AND(ROW()&gt;18,B310=""),"Use the next empty row: a skipped row leaves a gap in the receipt numbers",IF(D311="","Enter who paid",IF(N(J311)=0,"Enter the amount",IF(G311="","Pick what the money was for",IF(P311="?","Pick what it was for from the list",IF(H311="","Pick how it was paid",IF(K311="Cancelled","Cancelled: keep this number unused and give a fresh receipt",IF(AND(H311&lt;&gt;"Cash",I311=""),"Enter the cheque no., UTR or UPI reference",IF(AND(L311&lt;&gt;"",N(L311)&lt;0),"More than the balance due on this invoice",IF(S311&gt;=200000,"₹2,00,000 or more in cash from this person today: barred, s.186",IF(T311&gt;=200000,"₹2,00,000 or more in cash against this invoice: barred, s.186",IF(AND(P311="T",H311="Cash",N(J311)&gt;=20000),"Loan of ₹20,000 or more in cash: barred, s.185",IF(AND(P311="D",H311="Cash",N(J311)&gt;=20000),"Cash deposit of ₹20,000 or more: ask your accountant whether s.185 applies",IF(AND(OR(P311="AG",P311="AS"),$E$9&lt;&gt;""),"Advance: also give a GST receipt voucher, s.31(3)(d) and Rule 50","OK"))))))))))))))))</f>
        <v/>
      </c>
      <c r="P311">
        <f>IF(G311="","",IFERROR(VLOOKUP(G311,Lists!$A$2:$B$9,2,FALSE),"?"))</f>
        <v/>
      </c>
      <c r="Q311">
        <f>IF(K311="Cancelled",0,N(J311))</f>
        <v/>
      </c>
      <c r="R311">
        <f>IF(OR(H311&lt;&gt;"Cash",P311="T",P311="D"),0,Q311)</f>
        <v/>
      </c>
      <c r="S311">
        <f>IF(R311=0,0,SUMIFS($R$18:$R$317,$B$18:$B$317,B311,$D$18:$D$317,D311))</f>
        <v/>
      </c>
      <c r="T311">
        <f>IF(OR(R311=0,E311=""),0,SUMIFS($R$18:$R$317,$E$18:$E$317,E311))</f>
        <v/>
      </c>
      <c r="U311">
        <f>IF(E311="","",IF(N(F311)&gt;0,F311,IFERROR(INDEX($F$18:$F$317,MATCH(E311,$E$18:$E$317,0)),"")))</f>
        <v/>
      </c>
      <c r="V311">
        <f>IF(OR(N311="",N311="OK",K311="Cancelled"),0,1)</f>
        <v/>
      </c>
    </row>
    <row r="312">
      <c r="B312" s="21" t="n"/>
      <c r="C312" s="22">
        <f>IF(B312="","",$E$10&amp;TEXT(N($E$11)+294,"000"))</f>
        <v/>
      </c>
      <c r="D312" s="14" t="n"/>
      <c r="E312" s="23" t="n"/>
      <c r="F312" s="24" t="n"/>
      <c r="G312" s="14" t="n"/>
      <c r="H312" s="14" t="n"/>
      <c r="I312" s="23" t="n"/>
      <c r="J312" s="24" t="n"/>
      <c r="K312" s="23" t="n"/>
      <c r="L312" s="25">
        <f>IF(OR(E312="",N(U312)=0),"",U312-SUMIFS(Q$18:Q312,E$18:E312,E312))</f>
        <v/>
      </c>
      <c r="M312" s="26">
        <f>IF(OR(N(J312)=0,K312="Cancelled"),"",IF(AND(N(J312)&gt;5000,P312&lt;&gt;"G"),"Yes: ₹1","No"))</f>
        <v/>
      </c>
      <c r="N312" s="27">
        <f>IF(AND(B312="",D312="",N(J312)=0),"",IF(B312="","Enter the date",IF(AND(ROW()&gt;18,B311=""),"Use the next empty row: a skipped row leaves a gap in the receipt numbers",IF(D312="","Enter who paid",IF(N(J312)=0,"Enter the amount",IF(G312="","Pick what the money was for",IF(P312="?","Pick what it was for from the list",IF(H312="","Pick how it was paid",IF(K312="Cancelled","Cancelled: keep this number unused and give a fresh receipt",IF(AND(H312&lt;&gt;"Cash",I312=""),"Enter the cheque no., UTR or UPI reference",IF(AND(L312&lt;&gt;"",N(L312)&lt;0),"More than the balance due on this invoice",IF(S312&gt;=200000,"₹2,00,000 or more in cash from this person today: barred, s.186",IF(T312&gt;=200000,"₹2,00,000 or more in cash against this invoice: barred, s.186",IF(AND(P312="T",H312="Cash",N(J312)&gt;=20000),"Loan of ₹20,000 or more in cash: barred, s.185",IF(AND(P312="D",H312="Cash",N(J312)&gt;=20000),"Cash deposit of ₹20,000 or more: ask your accountant whether s.185 applies",IF(AND(OR(P312="AG",P312="AS"),$E$9&lt;&gt;""),"Advance: also give a GST receipt voucher, s.31(3)(d) and Rule 50","OK"))))))))))))))))</f>
        <v/>
      </c>
      <c r="P312">
        <f>IF(G312="","",IFERROR(VLOOKUP(G312,Lists!$A$2:$B$9,2,FALSE),"?"))</f>
        <v/>
      </c>
      <c r="Q312">
        <f>IF(K312="Cancelled",0,N(J312))</f>
        <v/>
      </c>
      <c r="R312">
        <f>IF(OR(H312&lt;&gt;"Cash",P312="T",P312="D"),0,Q312)</f>
        <v/>
      </c>
      <c r="S312">
        <f>IF(R312=0,0,SUMIFS($R$18:$R$317,$B$18:$B$317,B312,$D$18:$D$317,D312))</f>
        <v/>
      </c>
      <c r="T312">
        <f>IF(OR(R312=0,E312=""),0,SUMIFS($R$18:$R$317,$E$18:$E$317,E312))</f>
        <v/>
      </c>
      <c r="U312">
        <f>IF(E312="","",IF(N(F312)&gt;0,F312,IFERROR(INDEX($F$18:$F$317,MATCH(E312,$E$18:$E$317,0)),"")))</f>
        <v/>
      </c>
      <c r="V312">
        <f>IF(OR(N312="",N312="OK",K312="Cancelled"),0,1)</f>
        <v/>
      </c>
    </row>
    <row r="313">
      <c r="B313" s="21" t="n"/>
      <c r="C313" s="22">
        <f>IF(B313="","",$E$10&amp;TEXT(N($E$11)+295,"000"))</f>
        <v/>
      </c>
      <c r="D313" s="14" t="n"/>
      <c r="E313" s="23" t="n"/>
      <c r="F313" s="24" t="n"/>
      <c r="G313" s="14" t="n"/>
      <c r="H313" s="14" t="n"/>
      <c r="I313" s="23" t="n"/>
      <c r="J313" s="24" t="n"/>
      <c r="K313" s="23" t="n"/>
      <c r="L313" s="25">
        <f>IF(OR(E313="",N(U313)=0),"",U313-SUMIFS(Q$18:Q313,E$18:E313,E313))</f>
        <v/>
      </c>
      <c r="M313" s="26">
        <f>IF(OR(N(J313)=0,K313="Cancelled"),"",IF(AND(N(J313)&gt;5000,P313&lt;&gt;"G"),"Yes: ₹1","No"))</f>
        <v/>
      </c>
      <c r="N313" s="27">
        <f>IF(AND(B313="",D313="",N(J313)=0),"",IF(B313="","Enter the date",IF(AND(ROW()&gt;18,B312=""),"Use the next empty row: a skipped row leaves a gap in the receipt numbers",IF(D313="","Enter who paid",IF(N(J313)=0,"Enter the amount",IF(G313="","Pick what the money was for",IF(P313="?","Pick what it was for from the list",IF(H313="","Pick how it was paid",IF(K313="Cancelled","Cancelled: keep this number unused and give a fresh receipt",IF(AND(H313&lt;&gt;"Cash",I313=""),"Enter the cheque no., UTR or UPI reference",IF(AND(L313&lt;&gt;"",N(L313)&lt;0),"More than the balance due on this invoice",IF(S313&gt;=200000,"₹2,00,000 or more in cash from this person today: barred, s.186",IF(T313&gt;=200000,"₹2,00,000 or more in cash against this invoice: barred, s.186",IF(AND(P313="T",H313="Cash",N(J313)&gt;=20000),"Loan of ₹20,000 or more in cash: barred, s.185",IF(AND(P313="D",H313="Cash",N(J313)&gt;=20000),"Cash deposit of ₹20,000 or more: ask your accountant whether s.185 applies",IF(AND(OR(P313="AG",P313="AS"),$E$9&lt;&gt;""),"Advance: also give a GST receipt voucher, s.31(3)(d) and Rule 50","OK"))))))))))))))))</f>
        <v/>
      </c>
      <c r="P313">
        <f>IF(G313="","",IFERROR(VLOOKUP(G313,Lists!$A$2:$B$9,2,FALSE),"?"))</f>
        <v/>
      </c>
      <c r="Q313">
        <f>IF(K313="Cancelled",0,N(J313))</f>
        <v/>
      </c>
      <c r="R313">
        <f>IF(OR(H313&lt;&gt;"Cash",P313="T",P313="D"),0,Q313)</f>
        <v/>
      </c>
      <c r="S313">
        <f>IF(R313=0,0,SUMIFS($R$18:$R$317,$B$18:$B$317,B313,$D$18:$D$317,D313))</f>
        <v/>
      </c>
      <c r="T313">
        <f>IF(OR(R313=0,E313=""),0,SUMIFS($R$18:$R$317,$E$18:$E$317,E313))</f>
        <v/>
      </c>
      <c r="U313">
        <f>IF(E313="","",IF(N(F313)&gt;0,F313,IFERROR(INDEX($F$18:$F$317,MATCH(E313,$E$18:$E$317,0)),"")))</f>
        <v/>
      </c>
      <c r="V313">
        <f>IF(OR(N313="",N313="OK",K313="Cancelled"),0,1)</f>
        <v/>
      </c>
    </row>
    <row r="314">
      <c r="B314" s="21" t="n"/>
      <c r="C314" s="22">
        <f>IF(B314="","",$E$10&amp;TEXT(N($E$11)+296,"000"))</f>
        <v/>
      </c>
      <c r="D314" s="14" t="n"/>
      <c r="E314" s="23" t="n"/>
      <c r="F314" s="24" t="n"/>
      <c r="G314" s="14" t="n"/>
      <c r="H314" s="14" t="n"/>
      <c r="I314" s="23" t="n"/>
      <c r="J314" s="24" t="n"/>
      <c r="K314" s="23" t="n"/>
      <c r="L314" s="25">
        <f>IF(OR(E314="",N(U314)=0),"",U314-SUMIFS(Q$18:Q314,E$18:E314,E314))</f>
        <v/>
      </c>
      <c r="M314" s="26">
        <f>IF(OR(N(J314)=0,K314="Cancelled"),"",IF(AND(N(J314)&gt;5000,P314&lt;&gt;"G"),"Yes: ₹1","No"))</f>
        <v/>
      </c>
      <c r="N314" s="27">
        <f>IF(AND(B314="",D314="",N(J314)=0),"",IF(B314="","Enter the date",IF(AND(ROW()&gt;18,B313=""),"Use the next empty row: a skipped row leaves a gap in the receipt numbers",IF(D314="","Enter who paid",IF(N(J314)=0,"Enter the amount",IF(G314="","Pick what the money was for",IF(P314="?","Pick what it was for from the list",IF(H314="","Pick how it was paid",IF(K314="Cancelled","Cancelled: keep this number unused and give a fresh receipt",IF(AND(H314&lt;&gt;"Cash",I314=""),"Enter the cheque no., UTR or UPI reference",IF(AND(L314&lt;&gt;"",N(L314)&lt;0),"More than the balance due on this invoice",IF(S314&gt;=200000,"₹2,00,000 or more in cash from this person today: barred, s.186",IF(T314&gt;=200000,"₹2,00,000 or more in cash against this invoice: barred, s.186",IF(AND(P314="T",H314="Cash",N(J314)&gt;=20000),"Loan of ₹20,000 or more in cash: barred, s.185",IF(AND(P314="D",H314="Cash",N(J314)&gt;=20000),"Cash deposit of ₹20,000 or more: ask your accountant whether s.185 applies",IF(AND(OR(P314="AG",P314="AS"),$E$9&lt;&gt;""),"Advance: also give a GST receipt voucher, s.31(3)(d) and Rule 50","OK"))))))))))))))))</f>
        <v/>
      </c>
      <c r="P314">
        <f>IF(G314="","",IFERROR(VLOOKUP(G314,Lists!$A$2:$B$9,2,FALSE),"?"))</f>
        <v/>
      </c>
      <c r="Q314">
        <f>IF(K314="Cancelled",0,N(J314))</f>
        <v/>
      </c>
      <c r="R314">
        <f>IF(OR(H314&lt;&gt;"Cash",P314="T",P314="D"),0,Q314)</f>
        <v/>
      </c>
      <c r="S314">
        <f>IF(R314=0,0,SUMIFS($R$18:$R$317,$B$18:$B$317,B314,$D$18:$D$317,D314))</f>
        <v/>
      </c>
      <c r="T314">
        <f>IF(OR(R314=0,E314=""),0,SUMIFS($R$18:$R$317,$E$18:$E$317,E314))</f>
        <v/>
      </c>
      <c r="U314">
        <f>IF(E314="","",IF(N(F314)&gt;0,F314,IFERROR(INDEX($F$18:$F$317,MATCH(E314,$E$18:$E$317,0)),"")))</f>
        <v/>
      </c>
      <c r="V314">
        <f>IF(OR(N314="",N314="OK",K314="Cancelled"),0,1)</f>
        <v/>
      </c>
    </row>
    <row r="315">
      <c r="B315" s="21" t="n"/>
      <c r="C315" s="22">
        <f>IF(B315="","",$E$10&amp;TEXT(N($E$11)+297,"000"))</f>
        <v/>
      </c>
      <c r="D315" s="14" t="n"/>
      <c r="E315" s="23" t="n"/>
      <c r="F315" s="24" t="n"/>
      <c r="G315" s="14" t="n"/>
      <c r="H315" s="14" t="n"/>
      <c r="I315" s="23" t="n"/>
      <c r="J315" s="24" t="n"/>
      <c r="K315" s="23" t="n"/>
      <c r="L315" s="25">
        <f>IF(OR(E315="",N(U315)=0),"",U315-SUMIFS(Q$18:Q315,E$18:E315,E315))</f>
        <v/>
      </c>
      <c r="M315" s="26">
        <f>IF(OR(N(J315)=0,K315="Cancelled"),"",IF(AND(N(J315)&gt;5000,P315&lt;&gt;"G"),"Yes: ₹1","No"))</f>
        <v/>
      </c>
      <c r="N315" s="27">
        <f>IF(AND(B315="",D315="",N(J315)=0),"",IF(B315="","Enter the date",IF(AND(ROW()&gt;18,B314=""),"Use the next empty row: a skipped row leaves a gap in the receipt numbers",IF(D315="","Enter who paid",IF(N(J315)=0,"Enter the amount",IF(G315="","Pick what the money was for",IF(P315="?","Pick what it was for from the list",IF(H315="","Pick how it was paid",IF(K315="Cancelled","Cancelled: keep this number unused and give a fresh receipt",IF(AND(H315&lt;&gt;"Cash",I315=""),"Enter the cheque no., UTR or UPI reference",IF(AND(L315&lt;&gt;"",N(L315)&lt;0),"More than the balance due on this invoice",IF(S315&gt;=200000,"₹2,00,000 or more in cash from this person today: barred, s.186",IF(T315&gt;=200000,"₹2,00,000 or more in cash against this invoice: barred, s.186",IF(AND(P315="T",H315="Cash",N(J315)&gt;=20000),"Loan of ₹20,000 or more in cash: barred, s.185",IF(AND(P315="D",H315="Cash",N(J315)&gt;=20000),"Cash deposit of ₹20,000 or more: ask your accountant whether s.185 applies",IF(AND(OR(P315="AG",P315="AS"),$E$9&lt;&gt;""),"Advance: also give a GST receipt voucher, s.31(3)(d) and Rule 50","OK"))))))))))))))))</f>
        <v/>
      </c>
      <c r="P315">
        <f>IF(G315="","",IFERROR(VLOOKUP(G315,Lists!$A$2:$B$9,2,FALSE),"?"))</f>
        <v/>
      </c>
      <c r="Q315">
        <f>IF(K315="Cancelled",0,N(J315))</f>
        <v/>
      </c>
      <c r="R315">
        <f>IF(OR(H315&lt;&gt;"Cash",P315="T",P315="D"),0,Q315)</f>
        <v/>
      </c>
      <c r="S315">
        <f>IF(R315=0,0,SUMIFS($R$18:$R$317,$B$18:$B$317,B315,$D$18:$D$317,D315))</f>
        <v/>
      </c>
      <c r="T315">
        <f>IF(OR(R315=0,E315=""),0,SUMIFS($R$18:$R$317,$E$18:$E$317,E315))</f>
        <v/>
      </c>
      <c r="U315">
        <f>IF(E315="","",IF(N(F315)&gt;0,F315,IFERROR(INDEX($F$18:$F$317,MATCH(E315,$E$18:$E$317,0)),"")))</f>
        <v/>
      </c>
      <c r="V315">
        <f>IF(OR(N315="",N315="OK",K315="Cancelled"),0,1)</f>
        <v/>
      </c>
    </row>
    <row r="316">
      <c r="B316" s="21" t="n"/>
      <c r="C316" s="22">
        <f>IF(B316="","",$E$10&amp;TEXT(N($E$11)+298,"000"))</f>
        <v/>
      </c>
      <c r="D316" s="14" t="n"/>
      <c r="E316" s="23" t="n"/>
      <c r="F316" s="24" t="n"/>
      <c r="G316" s="14" t="n"/>
      <c r="H316" s="14" t="n"/>
      <c r="I316" s="23" t="n"/>
      <c r="J316" s="24" t="n"/>
      <c r="K316" s="23" t="n"/>
      <c r="L316" s="25">
        <f>IF(OR(E316="",N(U316)=0),"",U316-SUMIFS(Q$18:Q316,E$18:E316,E316))</f>
        <v/>
      </c>
      <c r="M316" s="26">
        <f>IF(OR(N(J316)=0,K316="Cancelled"),"",IF(AND(N(J316)&gt;5000,P316&lt;&gt;"G"),"Yes: ₹1","No"))</f>
        <v/>
      </c>
      <c r="N316" s="27">
        <f>IF(AND(B316="",D316="",N(J316)=0),"",IF(B316="","Enter the date",IF(AND(ROW()&gt;18,B315=""),"Use the next empty row: a skipped row leaves a gap in the receipt numbers",IF(D316="","Enter who paid",IF(N(J316)=0,"Enter the amount",IF(G316="","Pick what the money was for",IF(P316="?","Pick what it was for from the list",IF(H316="","Pick how it was paid",IF(K316="Cancelled","Cancelled: keep this number unused and give a fresh receipt",IF(AND(H316&lt;&gt;"Cash",I316=""),"Enter the cheque no., UTR or UPI reference",IF(AND(L316&lt;&gt;"",N(L316)&lt;0),"More than the balance due on this invoice",IF(S316&gt;=200000,"₹2,00,000 or more in cash from this person today: barred, s.186",IF(T316&gt;=200000,"₹2,00,000 or more in cash against this invoice: barred, s.186",IF(AND(P316="T",H316="Cash",N(J316)&gt;=20000),"Loan of ₹20,000 or more in cash: barred, s.185",IF(AND(P316="D",H316="Cash",N(J316)&gt;=20000),"Cash deposit of ₹20,000 or more: ask your accountant whether s.185 applies",IF(AND(OR(P316="AG",P316="AS"),$E$9&lt;&gt;""),"Advance: also give a GST receipt voucher, s.31(3)(d) and Rule 50","OK"))))))))))))))))</f>
        <v/>
      </c>
      <c r="P316">
        <f>IF(G316="","",IFERROR(VLOOKUP(G316,Lists!$A$2:$B$9,2,FALSE),"?"))</f>
        <v/>
      </c>
      <c r="Q316">
        <f>IF(K316="Cancelled",0,N(J316))</f>
        <v/>
      </c>
      <c r="R316">
        <f>IF(OR(H316&lt;&gt;"Cash",P316="T",P316="D"),0,Q316)</f>
        <v/>
      </c>
      <c r="S316">
        <f>IF(R316=0,0,SUMIFS($R$18:$R$317,$B$18:$B$317,B316,$D$18:$D$317,D316))</f>
        <v/>
      </c>
      <c r="T316">
        <f>IF(OR(R316=0,E316=""),0,SUMIFS($R$18:$R$317,$E$18:$E$317,E316))</f>
        <v/>
      </c>
      <c r="U316">
        <f>IF(E316="","",IF(N(F316)&gt;0,F316,IFERROR(INDEX($F$18:$F$317,MATCH(E316,$E$18:$E$317,0)),"")))</f>
        <v/>
      </c>
      <c r="V316">
        <f>IF(OR(N316="",N316="OK",K316="Cancelled"),0,1)</f>
        <v/>
      </c>
    </row>
    <row r="317">
      <c r="B317" s="21" t="n"/>
      <c r="C317" s="22">
        <f>IF(B317="","",$E$10&amp;TEXT(N($E$11)+299,"000"))</f>
        <v/>
      </c>
      <c r="D317" s="14" t="n"/>
      <c r="E317" s="23" t="n"/>
      <c r="F317" s="24" t="n"/>
      <c r="G317" s="14" t="n"/>
      <c r="H317" s="14" t="n"/>
      <c r="I317" s="23" t="n"/>
      <c r="J317" s="24" t="n"/>
      <c r="K317" s="23" t="n"/>
      <c r="L317" s="25">
        <f>IF(OR(E317="",N(U317)=0),"",U317-SUMIFS(Q$18:Q317,E$18:E317,E317))</f>
        <v/>
      </c>
      <c r="M317" s="26">
        <f>IF(OR(N(J317)=0,K317="Cancelled"),"",IF(AND(N(J317)&gt;5000,P317&lt;&gt;"G"),"Yes: ₹1","No"))</f>
        <v/>
      </c>
      <c r="N317" s="27">
        <f>IF(AND(B317="",D317="",N(J317)=0),"",IF(B317="","Enter the date",IF(AND(ROW()&gt;18,B316=""),"Use the next empty row: a skipped row leaves a gap in the receipt numbers",IF(D317="","Enter who paid",IF(N(J317)=0,"Enter the amount",IF(G317="","Pick what the money was for",IF(P317="?","Pick what it was for from the list",IF(H317="","Pick how it was paid",IF(K317="Cancelled","Cancelled: keep this number unused and give a fresh receipt",IF(AND(H317&lt;&gt;"Cash",I317=""),"Enter the cheque no., UTR or UPI reference",IF(AND(L317&lt;&gt;"",N(L317)&lt;0),"More than the balance due on this invoice",IF(S317&gt;=200000,"₹2,00,000 or more in cash from this person today: barred, s.186",IF(T317&gt;=200000,"₹2,00,000 or more in cash against this invoice: barred, s.186",IF(AND(P317="T",H317="Cash",N(J317)&gt;=20000),"Loan of ₹20,000 or more in cash: barred, s.185",IF(AND(P317="D",H317="Cash",N(J317)&gt;=20000),"Cash deposit of ₹20,000 or more: ask your accountant whether s.185 applies",IF(AND(OR(P317="AG",P317="AS"),$E$9&lt;&gt;""),"Advance: also give a GST receipt voucher, s.31(3)(d) and Rule 50","OK"))))))))))))))))</f>
        <v/>
      </c>
      <c r="P317">
        <f>IF(G317="","",IFERROR(VLOOKUP(G317,Lists!$A$2:$B$9,2,FALSE),"?"))</f>
        <v/>
      </c>
      <c r="Q317">
        <f>IF(K317="Cancelled",0,N(J317))</f>
        <v/>
      </c>
      <c r="R317">
        <f>IF(OR(H317&lt;&gt;"Cash",P317="T",P317="D"),0,Q317)</f>
        <v/>
      </c>
      <c r="S317">
        <f>IF(R317=0,0,SUMIFS($R$18:$R$317,$B$18:$B$317,B317,$D$18:$D$317,D317))</f>
        <v/>
      </c>
      <c r="T317">
        <f>IF(OR(R317=0,E317=""),0,SUMIFS($R$18:$R$317,$E$18:$E$317,E317))</f>
        <v/>
      </c>
      <c r="U317">
        <f>IF(E317="","",IF(N(F317)&gt;0,F317,IFERROR(INDEX($F$18:$F$317,MATCH(E317,$E$18:$E$317,0)),"")))</f>
        <v/>
      </c>
      <c r="V317">
        <f>IF(OR(N317="",N317="OK",K317="Cancelled"),0,1)</f>
        <v/>
      </c>
    </row>
    <row r="318" ht="18" customHeight="1">
      <c r="B318" s="28" t="inlineStr">
        <is>
          <t>Total</t>
        </is>
      </c>
      <c r="C318" s="29" t="n"/>
      <c r="D318" s="29" t="n"/>
      <c r="E318" s="29" t="n"/>
      <c r="F318" s="29" t="n"/>
      <c r="G318" s="29" t="n"/>
      <c r="H318" s="29" t="n"/>
      <c r="I318" s="29" t="n"/>
      <c r="J318" s="30">
        <f>SUM($Q$18:$Q$317)</f>
        <v/>
      </c>
      <c r="K318" s="29" t="n"/>
      <c r="L318" s="29" t="n"/>
      <c r="M318" s="29" t="n"/>
      <c r="N318" s="29" t="n"/>
    </row>
    <row r="319" ht="16" customHeight="1">
      <c r="B319" s="11" t="inlineStr">
        <is>
          <t>The total leaves out cancelled receipts.</t>
        </is>
      </c>
    </row>
    <row r="320"/>
    <row r="321" ht="16" customHeight="1">
      <c r="B321" s="8" t="inlineStr">
        <is>
          <t>General guidance, not legal or tax advice. Stamp rules are from the Indian Stamp Act, 1899; cash limits from the Income-tax Act, 2025; the receipt voucher from the CGST Act, 2017. The Receipt Rules sheet sets out each one.</t>
        </is>
      </c>
      <c r="C321" s="9" t="n"/>
      <c r="D321" s="9" t="n"/>
      <c r="E321" s="9" t="n"/>
      <c r="F321" s="9" t="n"/>
      <c r="G321" s="9" t="n"/>
      <c r="H321" s="9" t="n"/>
      <c r="I321" s="9" t="n"/>
      <c r="J321" s="9" t="n"/>
      <c r="K321" s="9" t="n"/>
      <c r="L321" s="9" t="n"/>
      <c r="M321" s="9" t="n"/>
      <c r="N321" s="9" t="n"/>
    </row>
    <row r="322"/>
    <row r="323" ht="16" customHeight="1">
      <c r="B3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25">
    <mergeCell ref="B11:D11"/>
    <mergeCell ref="B8:D8"/>
    <mergeCell ref="B319:N319"/>
    <mergeCell ref="E7:H7"/>
    <mergeCell ref="E14:F14"/>
    <mergeCell ref="B15:N15"/>
    <mergeCell ref="B10:D10"/>
    <mergeCell ref="B5:N5"/>
    <mergeCell ref="B9:D9"/>
    <mergeCell ref="B14:C14"/>
    <mergeCell ref="B3:N3"/>
    <mergeCell ref="B6:D6"/>
    <mergeCell ref="B321:N321"/>
    <mergeCell ref="E8:H8"/>
    <mergeCell ref="B12:N12"/>
    <mergeCell ref="B323:N323"/>
    <mergeCell ref="B7:D7"/>
    <mergeCell ref="K14:L14"/>
    <mergeCell ref="B2:N2"/>
    <mergeCell ref="E10:H10"/>
    <mergeCell ref="E9:H9"/>
    <mergeCell ref="E6:H6"/>
    <mergeCell ref="B13:N13"/>
    <mergeCell ref="H14:I14"/>
    <mergeCell ref="E11:H11"/>
  </mergeCells>
  <dataValidations count="7">
    <dataValidation sqref="B18:B317" showDropDown="0" showInputMessage="0" showErrorMessage="1" allowBlank="1" errorTitle="Enter a date" error="Enter a date, for example 01-Apr-2026." type="date" operator="between">
      <formula1>DATE(2000,1,1)</formula1>
      <formula2>DATE(2100,12,31)</formula2>
    </dataValidation>
    <dataValidation sqref="F18:F317" showDropDown="0" showInputMessage="0" showErrorMessage="1" allowBlank="1" errorTitle="Enter an amount" error="Enter the amount in rupees as a number, with no minus sign." type="decimal" operator="greaterThanOrEqual">
      <formula1>0</formula1>
    </dataValidation>
    <dataValidation sqref="J18:J317" showDropDown="0" showInputMessage="0" showErrorMessage="1" allowBlank="1" errorTitle="Enter an amount" error="Enter the amount in rupees as a number, with no minus sign." type="decimal" operator="greaterThanOrEqual">
      <formula1>0</formula1>
    </dataValidation>
    <dataValidation sqref="G18:G317" showDropDown="0" showInputMessage="0" showErrorMessage="1" allowBlank="1" errorTitle="Pick from the list" error="Pick an option from the drop-down list." type="list">
      <formula1>=Lists!$A$2:$A$9</formula1>
    </dataValidation>
    <dataValidation sqref="H18:H317" showDropDown="0" showInputMessage="0" showErrorMessage="1" allowBlank="1" errorTitle="Pick from the list" error="Pick an option from the drop-down list." type="list">
      <formula1>=Lists!$C$2:$C$7</formula1>
    </dataValidation>
    <dataValidation sqref="K18:K317" showDropDown="0" showInputMessage="0" showErrorMessage="1" allowBlank="1" errorTitle="Pick from the list" error="Pick an option from the drop-down list." type="list">
      <formula1>=Lists!$A$12:$A$12</formula1>
    </dataValidation>
    <dataValidation sqref="E11" showDropDown="0" showInputMessage="0" showErrorMessage="1" allowBlank="1" errorTitle="Enter a number" error="Enter a whole number, such as 1." type="whole" operator="between">
      <formula1>1</formula1>
      <formula2>99999</formula2>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L41"/>
  <sheetViews>
    <sheetView showGridLines="0" workbookViewId="0">
      <selection activeCell="A1" sqref="A1"/>
    </sheetView>
  </sheetViews>
  <sheetFormatPr baseColWidth="8" defaultRowHeight="15"/>
  <cols>
    <col width="2" customWidth="1" min="1" max="1"/>
    <col width="20" customWidth="1" min="2" max="2"/>
    <col width="14" customWidth="1" min="3" max="3"/>
    <col width="14" customWidth="1" min="4" max="4"/>
    <col width="14" customWidth="1" min="5" max="5"/>
    <col width="14" customWidth="1" min="6" max="6"/>
    <col width="14" customWidth="1" min="7" max="7"/>
    <col width="16" customWidth="1" min="8" max="8"/>
    <col width="2" customWidth="1" min="9" max="9"/>
    <col hidden="1" width="12" customWidth="1" min="11" max="11"/>
    <col hidden="1"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s>
  <sheetData>
    <row r="2">
      <c r="B2" s="1" t="inlineStr">
        <is>
          <t>PRINT A RECEIPT</t>
        </is>
      </c>
      <c r="K2" s="31" t="inlineStr">
        <is>
          <t>row</t>
        </is>
      </c>
      <c r="L2" s="32">
        <f>IF($D$4="","",IFERROR(MATCH($D$4,'Receipt Register'!$C$18:$C$317,0),""))</f>
        <v/>
      </c>
    </row>
    <row r="3">
      <c r="B3" s="11" t="inlineStr">
        <is>
          <t>Pick the receipt number, then print this sheet. You get a customer copy and an office copy on one A4 page. Rows 2 to 5 do not print.</t>
        </is>
      </c>
      <c r="K3" s="31" t="inlineStr">
        <is>
          <t>date</t>
        </is>
      </c>
      <c r="L3" s="32">
        <f>IF($L$2="","",INDEX('Receipt Register'!$B$18:$B$317,$L$2))</f>
        <v/>
      </c>
    </row>
    <row r="4">
      <c r="B4" s="12" t="inlineStr">
        <is>
          <t>Receipt number to print</t>
        </is>
      </c>
      <c r="C4" s="13" t="n"/>
      <c r="D4" s="33" t="n"/>
      <c r="E4" s="15" t="n"/>
      <c r="K4" s="31" t="inlineStr">
        <is>
          <t>who</t>
        </is>
      </c>
      <c r="L4" s="32">
        <f>IF($L$2="","",INDEX('Receipt Register'!$D$18:$D$317,$L$2)&amp;"")</f>
        <v/>
      </c>
    </row>
    <row r="5">
      <c r="K5" s="31" t="inlineStr">
        <is>
          <t>inv</t>
        </is>
      </c>
      <c r="L5" s="32">
        <f>IF($L$2="","",INDEX('Receipt Register'!$E$18:$E$317,$L$2)&amp;"")</f>
        <v/>
      </c>
    </row>
    <row r="6" ht="24" customHeight="1">
      <c r="B6" s="34">
        <f>IF('Receipt Register'!$E$6="","Name of the business",'Receipt Register'!$E$6)</f>
        <v/>
      </c>
      <c r="K6" s="31" t="inlineStr">
        <is>
          <t>for</t>
        </is>
      </c>
      <c r="L6" s="32">
        <f>IF($L$2="","",INDEX('Receipt Register'!$G$18:$G$317,$L$2)&amp;"")</f>
        <v/>
      </c>
    </row>
    <row r="7">
      <c r="B7" s="35">
        <f>TRIM('Receipt Register'!$E$7&amp;IF('Receipt Register'!$E$8="",""," | Phone: "&amp;'Receipt Register'!$E$8))</f>
        <v/>
      </c>
      <c r="K7" s="31" t="inlineStr">
        <is>
          <t>mode</t>
        </is>
      </c>
      <c r="L7" s="32">
        <f>IF($L$2="","",INDEX('Receipt Register'!$H$18:$H$317,$L$2)&amp;"")</f>
        <v/>
      </c>
    </row>
    <row r="8">
      <c r="B8" s="35">
        <f>IF('Receipt Register'!$E$9="","","GSTIN: "&amp;'Receipt Register'!$E$9)</f>
        <v/>
      </c>
      <c r="K8" s="31" t="inlineStr">
        <is>
          <t>ref</t>
        </is>
      </c>
      <c r="L8" s="32">
        <f>IF($L$2="","",INDEX('Receipt Register'!$I$18:$I$317,$L$2)&amp;"")</f>
        <v/>
      </c>
    </row>
    <row r="9" ht="22" customHeight="1">
      <c r="B9" s="3" t="inlineStr">
        <is>
          <t xml:space="preserve">  MONEY RECEIPT</t>
        </is>
      </c>
      <c r="C9" s="4" t="n"/>
      <c r="D9" s="4" t="n"/>
      <c r="E9" s="4" t="n"/>
      <c r="F9" s="4" t="n"/>
      <c r="G9" s="36">
        <f>IF($L$10="Cancelled","CANCELLED","Customer copy")</f>
        <v/>
      </c>
      <c r="H9" s="4" t="n"/>
      <c r="K9" s="31" t="inlineStr">
        <is>
          <t>amt</t>
        </is>
      </c>
      <c r="L9" s="32">
        <f>IF($L$2="","",INDEX('Receipt Register'!$J$18:$J$317,$L$2))</f>
        <v/>
      </c>
    </row>
    <row r="10" ht="20" customHeight="1">
      <c r="B10" s="12" t="inlineStr">
        <is>
          <t>Receipt no.</t>
        </is>
      </c>
      <c r="C10" s="37">
        <f>$D$4</f>
        <v/>
      </c>
      <c r="D10" s="7" t="n"/>
      <c r="F10" s="12" t="inlineStr">
        <is>
          <t>Date</t>
        </is>
      </c>
      <c r="G10" s="38">
        <f>IF($L$3="","",$L$3)</f>
        <v/>
      </c>
      <c r="H10" s="7" t="n"/>
      <c r="K10" s="31" t="inlineStr">
        <is>
          <t>canc</t>
        </is>
      </c>
      <c r="L10" s="32">
        <f>IF($L$2="","",INDEX('Receipt Register'!$K$18:$K$317,$L$2)&amp;"")</f>
        <v/>
      </c>
    </row>
    <row r="11" ht="30" customHeight="1">
      <c r="B11" s="12" t="inlineStr">
        <is>
          <t>Received with thanks from</t>
        </is>
      </c>
      <c r="C11" s="39">
        <f>$L$4</f>
        <v/>
      </c>
      <c r="D11" s="7" t="n"/>
      <c r="E11" s="7" t="n"/>
      <c r="F11" s="7" t="n"/>
      <c r="G11" s="7" t="n"/>
      <c r="H11" s="7" t="n"/>
      <c r="K11" s="31" t="inlineStr">
        <is>
          <t>bal</t>
        </is>
      </c>
      <c r="L11" s="32">
        <f>IF($L$2="","",INDEX('Receipt Register'!$L$18:$L$317,$L$2))</f>
        <v/>
      </c>
    </row>
    <row r="12" ht="30" customHeight="1">
      <c r="B12" s="12" t="inlineStr">
        <is>
          <t>The sum of</t>
        </is>
      </c>
      <c r="C12" s="39">
        <f>$L$21</f>
        <v/>
      </c>
      <c r="D12" s="7" t="n"/>
      <c r="E12" s="7" t="n"/>
      <c r="F12" s="7" t="n"/>
      <c r="G12" s="7" t="n"/>
      <c r="H12" s="7" t="n"/>
      <c r="K12" s="31" t="inlineStr">
        <is>
          <t>stamp</t>
        </is>
      </c>
      <c r="L12" s="32">
        <f>IF($L$2="","",INDEX('Receipt Register'!$M$18:$M$317,$L$2)&amp;"")</f>
        <v/>
      </c>
    </row>
    <row r="13" ht="30" customHeight="1">
      <c r="B13" s="12" t="inlineStr">
        <is>
          <t>Paid by</t>
        </is>
      </c>
      <c r="C13" s="39">
        <f>IF($L$7="","",$L$7&amp;IF($L$8="","",", ref. "&amp;$L$8)&amp;IF(OR($L$7="Cheque",$L$7="Demand draft")," (subject to realisation)",""))</f>
        <v/>
      </c>
      <c r="D13" s="7" t="n"/>
      <c r="E13" s="7" t="n"/>
      <c r="F13" s="7" t="n"/>
      <c r="G13" s="7" t="n"/>
      <c r="H13" s="7" t="n"/>
      <c r="K13" s="31" t="inlineStr">
        <is>
          <t>check</t>
        </is>
      </c>
      <c r="L13" s="32">
        <f>IF($L$2="","",INDEX('Receipt Register'!$N$18:$N$317,$L$2)&amp;"")</f>
        <v/>
      </c>
    </row>
    <row r="14" ht="30" customHeight="1">
      <c r="B14" s="12" t="inlineStr">
        <is>
          <t>Towards</t>
        </is>
      </c>
      <c r="C14" s="39">
        <f>IF($L$6="","",IF($L$5="",$L$6,IF($L$6="Payment against invoice","Payment against invoice no. "&amp;$L$5,$L$6&amp;", invoice no. "&amp;$L$5)))</f>
        <v/>
      </c>
      <c r="D14" s="7" t="n"/>
      <c r="E14" s="7" t="n"/>
      <c r="F14" s="7" t="n"/>
      <c r="G14" s="7" t="n"/>
      <c r="H14" s="7" t="n"/>
      <c r="K14" s="31" t="inlineStr">
        <is>
          <t>a</t>
        </is>
      </c>
      <c r="L14" s="32">
        <f>IF($L$9="",0,ROUND(N($L$9),2))</f>
        <v/>
      </c>
    </row>
    <row r="15" ht="26" customHeight="1">
      <c r="B15" s="12" t="inlineStr">
        <is>
          <t>Amount (₹)</t>
        </is>
      </c>
      <c r="C15" s="40">
        <f>IF($L$9="","",$L$9)</f>
        <v/>
      </c>
      <c r="D15" s="7" t="n"/>
      <c r="E15" s="41">
        <f>IF($L$11="","","Balance due on the invoice")</f>
        <v/>
      </c>
      <c r="G15" s="42">
        <f>IF($L$11="","",$L$11)</f>
        <v/>
      </c>
      <c r="K15" s="31" t="inlineStr">
        <is>
          <t>cr</t>
        </is>
      </c>
      <c r="L15" s="32">
        <f>INT($L$14/10000000)</f>
        <v/>
      </c>
    </row>
    <row r="16">
      <c r="K16" s="31" t="inlineStr">
        <is>
          <t>lk</t>
        </is>
      </c>
      <c r="L16" s="32">
        <f>INT(MOD(INT($L$14),10000000)/100000)</f>
        <v/>
      </c>
    </row>
    <row r="17">
      <c r="B17" s="43">
        <f>IF(LEFT($L$12,3)="Yes","Affix a ₹1 revenue stamp here and sign across it","")</f>
        <v/>
      </c>
      <c r="F17" s="44">
        <f>"For "&amp;IF('Receipt Register'!$E$6="","the business",'Receipt Register'!$E$6)</f>
        <v/>
      </c>
      <c r="K17" s="31" t="inlineStr">
        <is>
          <t>th</t>
        </is>
      </c>
      <c r="L17" s="32">
        <f>INT(MOD(INT($L$14),100000)/1000)</f>
        <v/>
      </c>
    </row>
    <row r="18" ht="40" customHeight="1">
      <c r="K18" s="31" t="inlineStr">
        <is>
          <t>hu</t>
        </is>
      </c>
      <c r="L18" s="32">
        <f>INT(MOD(INT($L$14),1000)/100)</f>
        <v/>
      </c>
    </row>
    <row r="19">
      <c r="F19" s="35" t="inlineStr">
        <is>
          <t>Authorised signatory</t>
        </is>
      </c>
      <c r="K19" s="31" t="inlineStr">
        <is>
          <t>te</t>
        </is>
      </c>
      <c r="L19" s="32">
        <f>MOD(INT($L$14),100)</f>
        <v/>
      </c>
    </row>
    <row r="20">
      <c r="K20" s="31" t="inlineStr">
        <is>
          <t>ps</t>
        </is>
      </c>
      <c r="L20" s="32">
        <f>ROUND(($L$14-INT($L$14))*100,0)</f>
        <v/>
      </c>
    </row>
    <row r="21">
      <c r="B21" s="10" t="inlineStr">
        <is>
          <t>- - - - - - - - - - - - - - - - - - - - - - - -  cut here  - - - - - - - - - - - - - - - - - - - - - - - -</t>
        </is>
      </c>
      <c r="K21" s="31" t="inlineStr">
        <is>
          <t>words</t>
        </is>
      </c>
      <c r="L21" s="32">
        <f>IF($L$14=0,"",IF($L$14&gt;=1000000000,"(amount too large to write in words)","Rupees "&amp;PROPER(TRIM(IF($L$15&gt;0,VLOOKUP($L$15,Lists!$D$2:$E$101,2,FALSE)&amp;" crore ","")&amp;IF($L$16&gt;0,VLOOKUP($L$16,Lists!$D$2:$E$101,2,FALSE)&amp;" lakh ","")&amp;IF($L$17&gt;0,VLOOKUP($L$17,Lists!$D$2:$E$101,2,FALSE)&amp;" thousand ","")&amp;IF($L$18&gt;0,VLOOKUP($L$18,Lists!$D$2:$E$101,2,FALSE)&amp;" hundred ","")&amp;IF($L$19&gt;0,VLOOKUP($L$19,Lists!$D$2:$E$101,2,FALSE),"")&amp;IF(INT($L$14)=0,"zero","")))&amp;IF($L$20&gt;0," and "&amp;PROPER(VLOOKUP($L$20,Lists!$D$2:$E$101,2,FALSE))&amp;" Paise","")&amp;" Only"))</f>
        <v/>
      </c>
    </row>
    <row r="23" ht="24" customHeight="1">
      <c r="B23" s="34">
        <f>IF('Receipt Register'!$E$6="","Name of the business",'Receipt Register'!$E$6)</f>
        <v/>
      </c>
    </row>
    <row r="24">
      <c r="B24" s="35">
        <f>TRIM('Receipt Register'!$E$7&amp;IF('Receipt Register'!$E$8="",""," | Phone: "&amp;'Receipt Register'!$E$8))</f>
        <v/>
      </c>
    </row>
    <row r="25">
      <c r="B25" s="35">
        <f>IF('Receipt Register'!$E$9="","","GSTIN: "&amp;'Receipt Register'!$E$9)</f>
        <v/>
      </c>
    </row>
    <row r="26" ht="22" customHeight="1">
      <c r="B26" s="3" t="inlineStr">
        <is>
          <t xml:space="preserve">  MONEY RECEIPT</t>
        </is>
      </c>
      <c r="C26" s="4" t="n"/>
      <c r="D26" s="4" t="n"/>
      <c r="E26" s="4" t="n"/>
      <c r="F26" s="4" t="n"/>
      <c r="G26" s="36">
        <f>IF($L$10="Cancelled","CANCELLED","Office copy")</f>
        <v/>
      </c>
      <c r="H26" s="4" t="n"/>
    </row>
    <row r="27" ht="20" customHeight="1">
      <c r="B27" s="12" t="inlineStr">
        <is>
          <t>Receipt no.</t>
        </is>
      </c>
      <c r="C27" s="37">
        <f>$D$4</f>
        <v/>
      </c>
      <c r="D27" s="7" t="n"/>
      <c r="F27" s="12" t="inlineStr">
        <is>
          <t>Date</t>
        </is>
      </c>
      <c r="G27" s="38">
        <f>IF($L$3="","",$L$3)</f>
        <v/>
      </c>
      <c r="H27" s="7" t="n"/>
    </row>
    <row r="28" ht="30" customHeight="1">
      <c r="B28" s="12" t="inlineStr">
        <is>
          <t>Received with thanks from</t>
        </is>
      </c>
      <c r="C28" s="39">
        <f>$L$4</f>
        <v/>
      </c>
      <c r="D28" s="7" t="n"/>
      <c r="E28" s="7" t="n"/>
      <c r="F28" s="7" t="n"/>
      <c r="G28" s="7" t="n"/>
      <c r="H28" s="7" t="n"/>
    </row>
    <row r="29" ht="30" customHeight="1">
      <c r="B29" s="12" t="inlineStr">
        <is>
          <t>The sum of</t>
        </is>
      </c>
      <c r="C29" s="39">
        <f>$L$21</f>
        <v/>
      </c>
      <c r="D29" s="7" t="n"/>
      <c r="E29" s="7" t="n"/>
      <c r="F29" s="7" t="n"/>
      <c r="G29" s="7" t="n"/>
      <c r="H29" s="7" t="n"/>
    </row>
    <row r="30" ht="30" customHeight="1">
      <c r="B30" s="12" t="inlineStr">
        <is>
          <t>Paid by</t>
        </is>
      </c>
      <c r="C30" s="39">
        <f>IF($L$7="","",$L$7&amp;IF($L$8="","",", ref. "&amp;$L$8)&amp;IF(OR($L$7="Cheque",$L$7="Demand draft")," (subject to realisation)",""))</f>
        <v/>
      </c>
      <c r="D30" s="7" t="n"/>
      <c r="E30" s="7" t="n"/>
      <c r="F30" s="7" t="n"/>
      <c r="G30" s="7" t="n"/>
      <c r="H30" s="7" t="n"/>
    </row>
    <row r="31" ht="30" customHeight="1">
      <c r="B31" s="12" t="inlineStr">
        <is>
          <t>Towards</t>
        </is>
      </c>
      <c r="C31" s="39">
        <f>IF($L$6="","",IF($L$5="",$L$6,IF($L$6="Payment against invoice","Payment against invoice no. "&amp;$L$5,$L$6&amp;", invoice no. "&amp;$L$5)))</f>
        <v/>
      </c>
      <c r="D31" s="7" t="n"/>
      <c r="E31" s="7" t="n"/>
      <c r="F31" s="7" t="n"/>
      <c r="G31" s="7" t="n"/>
      <c r="H31" s="7" t="n"/>
    </row>
    <row r="32" ht="26" customHeight="1">
      <c r="B32" s="12" t="inlineStr">
        <is>
          <t>Amount (₹)</t>
        </is>
      </c>
      <c r="C32" s="40">
        <f>IF($L$9="","",$L$9)</f>
        <v/>
      </c>
      <c r="D32" s="7" t="n"/>
      <c r="E32" s="41">
        <f>IF($L$11="","","Balance due on the invoice")</f>
        <v/>
      </c>
      <c r="G32" s="42">
        <f>IF($L$11="","",$L$11)</f>
        <v/>
      </c>
    </row>
    <row r="34">
      <c r="B34" s="43">
        <f>IF(LEFT($L$12,3)="Yes","₹1 revenue stamp: on the customer copy","")</f>
        <v/>
      </c>
      <c r="F34" s="44">
        <f>"For "&amp;IF('Receipt Register'!$E$6="","the business",'Receipt Register'!$E$6)</f>
        <v/>
      </c>
    </row>
    <row r="35" ht="40" customHeight="1"/>
    <row r="36">
      <c r="F36" s="35" t="inlineStr">
        <is>
          <t>Authorised signatory</t>
        </is>
      </c>
    </row>
    <row r="38">
      <c r="B38" s="16">
        <f>IF($D$4="","Pick a receipt number above.",IF($L$2="","No receipt with that number in the register.","Check for this receipt: "&amp;$L$13))</f>
        <v/>
      </c>
    </row>
    <row r="39">
      <c r="B39" s="11" t="inlineStr">
        <is>
          <t>This line sits below the print area, so it never prints on the receipt.</t>
        </is>
      </c>
    </row>
    <row r="41">
      <c r="B4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2">
    <mergeCell ref="F36:H36"/>
    <mergeCell ref="C15:D15"/>
    <mergeCell ref="G27:H27"/>
    <mergeCell ref="B17:D17"/>
    <mergeCell ref="B6:H6"/>
    <mergeCell ref="B24:H24"/>
    <mergeCell ref="C31:H31"/>
    <mergeCell ref="F17:H17"/>
    <mergeCell ref="C12:H12"/>
    <mergeCell ref="B34:D34"/>
    <mergeCell ref="C11:H11"/>
    <mergeCell ref="C10:D10"/>
    <mergeCell ref="B41:H41"/>
    <mergeCell ref="G10:H10"/>
    <mergeCell ref="B7:H7"/>
    <mergeCell ref="B25:H25"/>
    <mergeCell ref="B3:H3"/>
    <mergeCell ref="E15:F15"/>
    <mergeCell ref="C28:H28"/>
    <mergeCell ref="C13:H13"/>
    <mergeCell ref="G15:H15"/>
    <mergeCell ref="B21:H21"/>
    <mergeCell ref="C27:D27"/>
    <mergeCell ref="B39:H39"/>
    <mergeCell ref="B2:H2"/>
    <mergeCell ref="D4:E4"/>
    <mergeCell ref="B9:F9"/>
    <mergeCell ref="G26:H26"/>
    <mergeCell ref="C30:H30"/>
    <mergeCell ref="B23:H23"/>
    <mergeCell ref="F34:H34"/>
    <mergeCell ref="B8:H8"/>
    <mergeCell ref="C32:D32"/>
    <mergeCell ref="F19:H19"/>
    <mergeCell ref="C14:H14"/>
    <mergeCell ref="E32:F32"/>
    <mergeCell ref="G32:H32"/>
    <mergeCell ref="B38:H38"/>
    <mergeCell ref="C29:H29"/>
    <mergeCell ref="G9:H9"/>
    <mergeCell ref="B26:F26"/>
    <mergeCell ref="B4:C4"/>
  </mergeCells>
  <dataValidations count="1">
    <dataValidation sqref="D4" showDropDown="0" showInputMessage="0" showErrorMessage="0" allowBlank="1" type="list">
      <formula1>='Receipt Register'!$C$18:$C$317</formula1>
    </dataValidation>
  </dataValidations>
  <pageMargins left="0.4" right="0.4"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20"/>
  <sheetViews>
    <sheetView showGridLines="0" workbookViewId="0">
      <selection activeCell="A1" sqref="A1"/>
    </sheetView>
  </sheetViews>
  <sheetFormatPr baseColWidth="8" defaultRowHeight="15"/>
  <cols>
    <col width="2" customWidth="1" min="1" max="1"/>
    <col width="30" customWidth="1" min="2" max="2"/>
    <col width="64" customWidth="1" min="3" max="3"/>
    <col width="48" customWidth="1" min="4" max="4"/>
    <col width="2" customWidth="1" min="5" max="5"/>
  </cols>
  <sheetData>
    <row r="1"/>
    <row r="2" ht="26" customHeight="1">
      <c r="B2" s="1" t="inlineStr">
        <is>
          <t>RECEIPT RULES BEHIND THE CHECK COLUMN</t>
        </is>
      </c>
    </row>
    <row r="3" ht="28" customHeight="1">
      <c r="B3" s="43" t="inlineStr">
        <is>
          <t>Three Acts decide what a money receipt needs: the Indian Stamp Act for the stamp, the CGST Act for advances, and the Income-tax Act, 2025 for cash. Each provision is quoted or summarised, with what it means for your receipts.</t>
        </is>
      </c>
    </row>
    <row r="4"/>
    <row r="5" ht="19" customHeight="1">
      <c r="B5" s="20" t="inlineStr">
        <is>
          <t>Provision</t>
        </is>
      </c>
      <c r="C5" s="20" t="inlineStr">
        <is>
          <t>What it says</t>
        </is>
      </c>
      <c r="D5" s="20" t="inlineStr">
        <is>
          <t>What it means for your receipts</t>
        </is>
      </c>
    </row>
    <row r="6" ht="57" customHeight="1">
      <c r="B6" s="5" t="inlineStr">
        <is>
          <t>Indian Stamp Act, 1899, s.2(23)</t>
        </is>
      </c>
      <c r="C6" s="6" t="inlineStr">
        <is>
          <t>"'receipt' includes any note, memorandum or writing (a) whereby any money, or any bill of exchange, cheque or promissory note is acknowledged to have been received ... and whether the same is or is not signed with the name of any person".</t>
        </is>
      </c>
      <c r="D6" s="6" t="inlineStr">
        <is>
          <t>Any slip, note or printout saying you got the money is a receipt in law, signed or not, whatever it is called.</t>
        </is>
      </c>
    </row>
    <row r="7" ht="44" customHeight="1">
      <c r="B7" s="5" t="inlineStr">
        <is>
          <t>Indian Stamp Act, s.30</t>
        </is>
      </c>
      <c r="C7" s="6" t="inlineStr">
        <is>
          <t>"Any person receiving any money exceeding twenty rupees in amount ... shall, on demand by the person paying ... give a duly stamped receipt for the same."</t>
        </is>
      </c>
      <c r="D7" s="6" t="inlineStr">
        <is>
          <t>If a customer asks for a receipt, you must give one for anything over ₹20. Over ₹5,000 it must carry the stamp.</t>
        </is>
      </c>
    </row>
    <row r="8" ht="70" customHeight="1">
      <c r="B8" s="5" t="inlineStr">
        <is>
          <t>Indian Stamp Act, Schedule I, Article 53</t>
        </is>
      </c>
      <c r="C8" s="6" t="inlineStr">
        <is>
          <t>Receipt for any money or other property "the amount or value of which exceeds five thousand rupees": duty of one rupee. Exempt among others: (a) a receipt endorsed on a duly stamped instrument or on a cheque payable on demand; (b) a receipt "for any payment of money without consideration".</t>
        </is>
      </c>
      <c r="D8" s="6" t="inlineStr">
        <is>
          <t>Above ₹5,000, affix a ₹1 revenue stamp. The Stamp column says Yes or No. A gift or donation, where nothing is given in return, needs no stamp.</t>
        </is>
      </c>
    </row>
    <row r="9" ht="57" customHeight="1">
      <c r="B9" s="5" t="inlineStr">
        <is>
          <t>Indian Stamp Act, s.9(2)(a)</t>
        </is>
      </c>
      <c r="C9" s="6" t="inlineStr">
        <is>
          <t>In section 9, the power to reduce, remit or compound duties, "the Government" means the Central Government "in relation to stamp-duty in respect of bills of exchange, cheques, promissory notes ... proxies and receipts".</t>
        </is>
      </c>
      <c r="D9" s="6" t="inlineStr">
        <is>
          <t>Receipts are a central matter: only the Central Government can reduce or remit their duty, so the ₹1 under Article 53 is the same in every state, unlike duty on deeds.</t>
        </is>
      </c>
    </row>
    <row r="10" ht="57" customHeight="1">
      <c r="B10" s="5" t="inlineStr">
        <is>
          <t>Indian Stamp Act, s.12</t>
        </is>
      </c>
      <c r="C10" s="6" t="inlineStr">
        <is>
          <t>Whoever affixes an adhesive stamp shall cancel it "so that it cannot be used again"; an uncancelled stamp is deemed unstamped. It may be cancelled "by writing on or across the stamp his name or initials ... with the true date".</t>
        </is>
      </c>
      <c r="D10" s="6" t="inlineStr">
        <is>
          <t>Sign across the stamp, with the date. A stamp stuck on and left clean counts as no stamp.</t>
        </is>
      </c>
    </row>
    <row r="11" ht="57" customHeight="1">
      <c r="B11" s="5" t="inlineStr">
        <is>
          <t>Indian Stamp Act, s.35, proviso (b)</t>
        </is>
      </c>
      <c r="C11" s="6" t="inlineStr">
        <is>
          <t>Where a person from whom a stamped receipt could have been demanded has given an unstamped receipt, it "shall be admitted in evidence against him on payment of a penalty of one rupee by the person tendering it".</t>
        </is>
      </c>
      <c r="D11" s="6" t="inlineStr">
        <is>
          <t>A missing stamp does not let the person who gave the receipt deny it. The stamp still has to be there; this is about evidence, not permission.</t>
        </is>
      </c>
    </row>
    <row r="12" ht="70" customHeight="1">
      <c r="B12" s="5" t="inlineStr">
        <is>
          <t>Indian Stamp Act, s.65</t>
        </is>
      </c>
      <c r="C12" s="6" t="inlineStr">
        <is>
          <t>Whoever, required under s.30 to give a receipt, "refuses or neglects to give the same", or, with intent to defraud the Government of duty, gives a receipt for twenty rupees or less on a larger payment, or "separates or divides the money" paid, "shall be punishable with fine which may extend to one hundred rupees".</t>
        </is>
      </c>
      <c r="D12" s="6" t="inlineStr">
        <is>
          <t>Never split one payment into receipts of ₹5,000 or less to skip the stamp. The fine is small; the record it leaves is not.</t>
        </is>
      </c>
    </row>
    <row r="13" ht="84" customHeight="1">
      <c r="B13" s="5" t="inlineStr">
        <is>
          <t>CGST Act, 2017, s.31(3)(d) and Rule 50</t>
        </is>
      </c>
      <c r="C13" s="6" t="inlineStr">
        <is>
          <t>"a registered person shall, on receipt of advance payment with respect to any supply of goods or services or both, issue a receipt voucher or any other document, containing such particulars as may be prescribed". Rule 50 lists 11 particulars, including the supplier's GSTIN, the rate and amount of tax, and, for an inter-State supply, the place of supply.</t>
        </is>
      </c>
      <c r="D13" s="6" t="inlineStr">
        <is>
          <t>For an advance, a GST-registered seller gives a receipt voucher with those details. A plain money receipt does not carry them. Whether tax is due on the advance differs for goods and services; ask your accountant.</t>
        </is>
      </c>
    </row>
    <row r="14" ht="84" customHeight="1">
      <c r="B14" s="5" t="inlineStr">
        <is>
          <t>Income-tax Act, 2025, s.186 and s.451  (was 269ST and 271DA)</t>
        </is>
      </c>
      <c r="C14" s="6" t="inlineStr">
        <is>
          <t>"No person shall receive an amount of ₹ 200000 or more (a) in aggregate from a person in a day; or (b) in respect of a single transaction; or (c) in respect of transactions relating to one event or occasion from a person", except by account payee cheque, bank draft, electronic clearing system or other prescribed electronic mode. s.451: a penalty "equal to the sum received".</t>
        </is>
      </c>
      <c r="D14" s="6" t="inlineStr">
        <is>
          <t>The register adds up cash from one person in a day, and cash against one invoice, whatever the day. Before you accept cash that would take the total to ₹2,00,000 or more, ask for it by bank or UPI. Cash already taken still needs its receipt.</t>
        </is>
      </c>
    </row>
    <row r="15" ht="97" customHeight="1">
      <c r="B15" s="5" t="inlineStr">
        <is>
          <t>Income-tax Act, 2025, s.185 and s.450  (was 269SS and 271D)</t>
        </is>
      </c>
      <c r="C15" s="6" t="inlineStr">
        <is>
          <t>No person shall take or accept from another person any loan or deposit or specified sum except by account payee cheque, bank draft, electronic clearing system or other prescribed electronic mode, if the amount, or the aggregate with earlier unpaid loans from that person, "is ₹ 20000 or more." s.450: a penalty "equal to the amount of the loan or deposit or specified sum so taken or accepted."</t>
        </is>
      </c>
      <c r="D15" s="6" t="inlineStr">
        <is>
          <t>Never take a loan of ₹20,000 or more in cash. Whether a customer's security deposit counts as a deposit here depends on the facts, so the register asks you to check rather than calling it barred.</t>
        </is>
      </c>
    </row>
    <row r="16"/>
    <row r="17" ht="40" customHeight="1">
      <c r="B17" s="43" t="inlineStr">
        <is>
          <t>Sources: Indian Stamp Act, 1899, as published on India Code (indiacode.nic.in), with the Finance Act, 2019 amendments checked, which leave Article 53 unchanged; CGST Act, 2017 (cbic-gst.gov.in) and CGST Rules, 2017, Rule 50 (taxinformation.cbic.gov.in); Income-tax Act, 2025 (No. 30 of 2025), Gazette of India, egazette.gov.in/WriteReadData/2025/265620.pdf, checked against ICAI's text as amended by the Finance Act, 2026. Read 27-Oct-2026.</t>
        </is>
      </c>
    </row>
    <row r="18" ht="16" customHeight="1">
      <c r="B18" s="43" t="inlineStr">
        <is>
          <t>Quotes are shortened where marked. General guidance, not legal or tax advice.</t>
        </is>
      </c>
    </row>
    <row r="19"/>
    <row r="20" ht="16" customHeight="1">
      <c r="B2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17:D17"/>
    <mergeCell ref="B18:D18"/>
    <mergeCell ref="B2:D2"/>
    <mergeCell ref="B20:D20"/>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V323"/>
  <sheetViews>
    <sheetView workbookViewId="0">
      <pane xSplit="3" ySplit="17" topLeftCell="D18"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5" customWidth="1" min="3" max="3"/>
    <col width="28" customWidth="1" min="4" max="4"/>
    <col width="14" customWidth="1" min="5" max="5"/>
    <col width="13" customWidth="1" min="6" max="6"/>
    <col width="30" customWidth="1" min="7" max="7"/>
    <col width="22" customWidth="1" min="8" max="8"/>
    <col width="18" customWidth="1" min="9" max="9"/>
    <col width="13" customWidth="1" min="10" max="10"/>
    <col width="11" customWidth="1" min="11" max="11"/>
    <col width="13" customWidth="1" min="12" max="12"/>
    <col width="10" customWidth="1" min="13" max="13"/>
    <col width="50"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s>
  <sheetData>
    <row r="1"/>
    <row r="2" ht="26" customHeight="1">
      <c r="B2" s="1" t="inlineStr">
        <is>
          <t>RECEIPT REGISTER</t>
        </is>
      </c>
    </row>
    <row r="3" ht="16" customHeight="1">
      <c r="B3" s="11" t="inlineStr">
        <is>
          <t>EXAMPLE: two weeks of receipts at a made-up wholesale shop in Surat. Five receipts are flagged on purpose, under three rules, and one is cancelled; read the Check column.</t>
        </is>
      </c>
    </row>
    <row r="4"/>
    <row r="5" ht="19" customHeight="1">
      <c r="B5" s="3" t="inlineStr">
        <is>
          <t xml:space="preserve">  SET UP (name, address, phone and GSTIN print on every receipt)</t>
        </is>
      </c>
      <c r="C5" s="4" t="n"/>
      <c r="D5" s="4" t="n"/>
      <c r="E5" s="4" t="n"/>
      <c r="F5" s="4" t="n"/>
      <c r="G5" s="4" t="n"/>
      <c r="H5" s="4" t="n"/>
      <c r="I5" s="4" t="n"/>
      <c r="J5" s="4" t="n"/>
      <c r="K5" s="4" t="n"/>
      <c r="L5" s="4" t="n"/>
      <c r="M5" s="4" t="n"/>
      <c r="N5" s="4" t="n"/>
    </row>
    <row r="6" ht="18" customHeight="1">
      <c r="B6" s="12" t="inlineStr">
        <is>
          <t>Name of the business</t>
        </is>
      </c>
      <c r="C6" s="13" t="n"/>
      <c r="D6" s="13" t="n"/>
      <c r="E6" s="14" t="inlineStr">
        <is>
          <t>Sample Traders (example)</t>
        </is>
      </c>
      <c r="F6" s="15" t="n"/>
      <c r="G6" s="15" t="n"/>
      <c r="H6" s="15" t="n"/>
    </row>
    <row r="7" ht="18" customHeight="1">
      <c r="B7" s="12" t="inlineStr">
        <is>
          <t>Address</t>
        </is>
      </c>
      <c r="C7" s="13" t="n"/>
      <c r="D7" s="13" t="n"/>
      <c r="E7" s="14" t="inlineStr">
        <is>
          <t>Ring Road, Surat, Gujarat</t>
        </is>
      </c>
      <c r="F7" s="15" t="n"/>
      <c r="G7" s="15" t="n"/>
      <c r="H7" s="15" t="n"/>
    </row>
    <row r="8" ht="18" customHeight="1">
      <c r="B8" s="12" t="inlineStr">
        <is>
          <t>Phone</t>
        </is>
      </c>
      <c r="C8" s="13" t="n"/>
      <c r="D8" s="13" t="n"/>
      <c r="E8" s="14" t="inlineStr">
        <is>
          <t>+91-00000 00000</t>
        </is>
      </c>
      <c r="F8" s="15" t="n"/>
      <c r="G8" s="15" t="n"/>
      <c r="H8" s="15" t="n"/>
    </row>
    <row r="9" ht="18" customHeight="1">
      <c r="B9" s="12" t="inlineStr">
        <is>
          <t>GSTIN (leave blank if not registered)</t>
        </is>
      </c>
      <c r="C9" s="13" t="n"/>
      <c r="D9" s="13" t="n"/>
      <c r="E9" s="14" t="inlineStr">
        <is>
          <t>24AAAAA0000A1Z5 (example)</t>
        </is>
      </c>
      <c r="F9" s="15" t="n"/>
      <c r="G9" s="15" t="n"/>
      <c r="H9" s="15" t="n"/>
    </row>
    <row r="10" ht="18" customHeight="1">
      <c r="B10" s="12" t="inlineStr">
        <is>
          <t>Receipt number starts with</t>
        </is>
      </c>
      <c r="C10" s="13" t="n"/>
      <c r="D10" s="13" t="n"/>
      <c r="E10" s="14" t="inlineStr">
        <is>
          <t>MR/26-27/</t>
        </is>
      </c>
      <c r="F10" s="15" t="n"/>
      <c r="G10" s="15" t="n"/>
      <c r="H10" s="15" t="n"/>
      <c r="I10" s="16">
        <f>IF(LEN($E$10)+3&gt;16,"Keep it shorter: with the number it must stay within 16 characters","")</f>
        <v/>
      </c>
    </row>
    <row r="11" ht="18" customHeight="1">
      <c r="B11" s="12" t="inlineStr">
        <is>
          <t>First receipt number</t>
        </is>
      </c>
      <c r="C11" s="13" t="n"/>
      <c r="D11" s="13" t="n"/>
      <c r="E11" s="17" t="n">
        <v>1</v>
      </c>
      <c r="F11" s="15" t="n"/>
      <c r="G11" s="15" t="n"/>
      <c r="H11" s="15" t="n"/>
      <c r="I11" s="16">
        <f>IF(AND($E$11&lt;&gt;"",OR(NOT(ISNUMBER($E$11)),$E$11&lt;1)),"Enter a whole number, such as 1","")</f>
        <v/>
      </c>
    </row>
    <row r="12" ht="16" customHeight="1">
      <c r="B12" s="11" t="inlineStr">
        <is>
          <t>Set the receipt number fields once. Changing them later renumbers every receipt, including ones already handed over.</t>
        </is>
      </c>
    </row>
    <row r="13" ht="19" customHeight="1">
      <c r="B13" s="3" t="inlineStr">
        <is>
          <t xml:space="preserve">  WHERE YOU STAND</t>
        </is>
      </c>
      <c r="C13" s="4" t="n"/>
      <c r="D13" s="4" t="n"/>
      <c r="E13" s="4" t="n"/>
      <c r="F13" s="4" t="n"/>
      <c r="G13" s="4" t="n"/>
      <c r="H13" s="4" t="n"/>
      <c r="I13" s="4" t="n"/>
      <c r="J13" s="4" t="n"/>
      <c r="K13" s="4" t="n"/>
      <c r="L13" s="4" t="n"/>
      <c r="M13" s="4" t="n"/>
      <c r="N13" s="4" t="n"/>
    </row>
    <row r="14" ht="18" customHeight="1">
      <c r="B14" s="12" t="inlineStr">
        <is>
          <t>Received so far (₹)</t>
        </is>
      </c>
      <c r="C14" s="13" t="n"/>
      <c r="D14" s="18">
        <f>SUM($Q$18:$Q$317)</f>
        <v/>
      </c>
      <c r="E14" s="12" t="inlineStr">
        <is>
          <t>Of which in cash (₹)</t>
        </is>
      </c>
      <c r="F14" s="13" t="n"/>
      <c r="G14" s="18">
        <f>SUMIFS($Q$18:$Q$317,$H$18:$H$317,"Cash")</f>
        <v/>
      </c>
      <c r="H14" s="12" t="inlineStr">
        <is>
          <t>Receipts that need a ₹1 stamp</t>
        </is>
      </c>
      <c r="I14" s="13" t="n"/>
      <c r="J14" s="19">
        <f>COUNTIF($M$18:$M$317,"Yes*")</f>
        <v/>
      </c>
      <c r="K14" s="12" t="inlineStr">
        <is>
          <t>Receipts to look at</t>
        </is>
      </c>
      <c r="L14" s="13" t="n"/>
      <c r="M14" s="19">
        <f>SUM($V$18:$V$317)</f>
        <v/>
      </c>
    </row>
    <row r="15" ht="16" customHeight="1">
      <c r="B15" s="11" t="inlineStr">
        <is>
          <t>Anything other than OK in the Check column is something to look at before you hand the receipt over. The Receipt Rules sheet explains each message.</t>
        </is>
      </c>
    </row>
    <row r="16"/>
    <row r="17" ht="63" customHeight="1">
      <c r="B17" s="20" t="inlineStr">
        <is>
          <t>Date</t>
        </is>
      </c>
      <c r="C17" s="20" t="inlineStr">
        <is>
          <t>Receipt no.</t>
        </is>
      </c>
      <c r="D17" s="20" t="inlineStr">
        <is>
          <t>Received from</t>
        </is>
      </c>
      <c r="E17" s="20" t="inlineStr">
        <is>
          <t>Against invoice no. (optional)</t>
        </is>
      </c>
      <c r="F17" s="20" t="inlineStr">
        <is>
          <t>Invoice amount (first receipt only)</t>
        </is>
      </c>
      <c r="G17" s="20" t="inlineStr">
        <is>
          <t>Received for</t>
        </is>
      </c>
      <c r="H17" s="20" t="inlineStr">
        <is>
          <t>How it was paid</t>
        </is>
      </c>
      <c r="I17" s="20" t="inlineStr">
        <is>
          <t>Cheque no., UTR or UPI ref</t>
        </is>
      </c>
      <c r="J17" s="20" t="inlineStr">
        <is>
          <t>Amount</t>
        </is>
      </c>
      <c r="K17" s="20" t="inlineStr">
        <is>
          <t>Cancelled?</t>
        </is>
      </c>
      <c r="L17" s="20" t="inlineStr">
        <is>
          <t>Balance due on the invoice</t>
        </is>
      </c>
      <c r="M17" s="20" t="inlineStr">
        <is>
          <t>Stamp</t>
        </is>
      </c>
      <c r="N17" s="20" t="inlineStr">
        <is>
          <t>Check</t>
        </is>
      </c>
    </row>
    <row r="18" ht="18" customHeight="1">
      <c r="B18" s="21" t="n">
        <v>46113</v>
      </c>
      <c r="C18" s="22">
        <f>IF(B18="","",$E$10&amp;TEXT(N($E$11)+0,"000"))</f>
        <v/>
      </c>
      <c r="D18" s="14" t="inlineStr">
        <is>
          <t>Retailer A</t>
        </is>
      </c>
      <c r="E18" s="23" t="inlineStr">
        <is>
          <t>INV-101</t>
        </is>
      </c>
      <c r="F18" s="24" t="n">
        <v>18500</v>
      </c>
      <c r="G18" s="14" t="inlineStr">
        <is>
          <t>Payment against invoice</t>
        </is>
      </c>
      <c r="H18" s="14" t="inlineStr">
        <is>
          <t>Cheque</t>
        </is>
      </c>
      <c r="I18" s="23" t="inlineStr">
        <is>
          <t>004512</t>
        </is>
      </c>
      <c r="J18" s="24" t="n">
        <v>10000</v>
      </c>
      <c r="K18" s="23" t="n"/>
      <c r="L18" s="25">
        <f>IF(OR(E18="",N(U18)=0),"",U18-SUMIFS(Q$18:Q18,E$18:E18,E18))</f>
        <v/>
      </c>
      <c r="M18" s="26">
        <f>IF(OR(N(J18)=0,K18="Cancelled"),"",IF(AND(N(J18)&gt;5000,P18&lt;&gt;"G"),"Yes: ₹1","No"))</f>
        <v/>
      </c>
      <c r="N18" s="27">
        <f>IF(AND(B18="",D18="",N(J18)=0),"",IF(B18="","Enter the date",IF(FALSE,"Use the next empty row: a skipped row leaves a gap in the receipt numbers",IF(D18="","Enter who paid",IF(N(J18)=0,"Enter the amount",IF(G18="","Pick what the money was for",IF(P18="?","Pick what it was for from the list",IF(H18="","Pick how it was paid",IF(K18="Cancelled","Cancelled: keep this number unused and give a fresh receipt",IF(AND(H18&lt;&gt;"Cash",I18=""),"Enter the cheque no., UTR or UPI reference",IF(AND(L18&lt;&gt;"",N(L18)&lt;0),"More than the balance due on this invoice",IF(S18&gt;=200000,"₹2,00,000 or more in cash from this person today: barred, s.186",IF(T18&gt;=200000,"₹2,00,000 or more in cash against this invoice: barred, s.186",IF(AND(P18="T",H18="Cash",N(J18)&gt;=20000),"Loan of ₹20,000 or more in cash: barred, s.185",IF(AND(P18="D",H18="Cash",N(J18)&gt;=20000),"Cash deposit of ₹20,000 or more: ask your accountant whether s.185 applies",IF(AND(OR(P18="AG",P18="AS"),$E$9&lt;&gt;""),"Advance: also give a GST receipt voucher, s.31(3)(d) and Rule 50","OK"))))))))))))))))</f>
        <v/>
      </c>
      <c r="P18">
        <f>IF(G18="","",IFERROR(VLOOKUP(G18,Lists!$A$2:$B$9,2,FALSE),"?"))</f>
        <v/>
      </c>
      <c r="Q18">
        <f>IF(K18="Cancelled",0,N(J18))</f>
        <v/>
      </c>
      <c r="R18">
        <f>IF(OR(H18&lt;&gt;"Cash",P18="T",P18="D"),0,Q18)</f>
        <v/>
      </c>
      <c r="S18">
        <f>IF(R18=0,0,SUMIFS($R$18:$R$317,$B$18:$B$317,B18,$D$18:$D$317,D18))</f>
        <v/>
      </c>
      <c r="T18">
        <f>IF(OR(R18=0,E18=""),0,SUMIFS($R$18:$R$317,$E$18:$E$317,E18))</f>
        <v/>
      </c>
      <c r="U18">
        <f>IF(E18="","",IF(N(F18)&gt;0,F18,IFERROR(INDEX($F$18:$F$317,MATCH(E18,$E$18:$E$317,0)),"")))</f>
        <v/>
      </c>
      <c r="V18">
        <f>IF(OR(N18="",N18="OK",K18="Cancelled"),0,1)</f>
        <v/>
      </c>
    </row>
    <row r="19" ht="18" customHeight="1">
      <c r="B19" s="21" t="n">
        <v>46115</v>
      </c>
      <c r="C19" s="22">
        <f>IF(B19="","",$E$10&amp;TEXT(N($E$11)+1,"000"))</f>
        <v/>
      </c>
      <c r="D19" s="14" t="inlineStr">
        <is>
          <t>Retailer A</t>
        </is>
      </c>
      <c r="E19" s="23" t="inlineStr">
        <is>
          <t>INV-101</t>
        </is>
      </c>
      <c r="F19" s="24" t="n"/>
      <c r="G19" s="14" t="inlineStr">
        <is>
          <t>Payment against invoice</t>
        </is>
      </c>
      <c r="H19" s="14" t="inlineStr">
        <is>
          <t>UPI</t>
        </is>
      </c>
      <c r="I19" s="23" t="inlineStr">
        <is>
          <t>UPI 6128 4471</t>
        </is>
      </c>
      <c r="J19" s="24" t="n">
        <v>8500</v>
      </c>
      <c r="K19" s="23" t="n"/>
      <c r="L19" s="25">
        <f>IF(OR(E19="",N(U19)=0),"",U19-SUMIFS(Q$18:Q19,E$18:E19,E19))</f>
        <v/>
      </c>
      <c r="M19" s="26">
        <f>IF(OR(N(J19)=0,K19="Cancelled"),"",IF(AND(N(J19)&gt;5000,P19&lt;&gt;"G"),"Yes: ₹1","No"))</f>
        <v/>
      </c>
      <c r="N19" s="27">
        <f>IF(AND(B19="",D19="",N(J19)=0),"",IF(B19="","Enter the date",IF(AND(ROW()&gt;18,B18=""),"Use the next empty row: a skipped row leaves a gap in the receipt numbers",IF(D19="","Enter who paid",IF(N(J19)=0,"Enter the amount",IF(G19="","Pick what the money was for",IF(P19="?","Pick what it was for from the list",IF(H19="","Pick how it was paid",IF(K19="Cancelled","Cancelled: keep this number unused and give a fresh receipt",IF(AND(H19&lt;&gt;"Cash",I19=""),"Enter the cheque no., UTR or UPI reference",IF(AND(L19&lt;&gt;"",N(L19)&lt;0),"More than the balance due on this invoice",IF(S19&gt;=200000,"₹2,00,000 or more in cash from this person today: barred, s.186",IF(T19&gt;=200000,"₹2,00,000 or more in cash against this invoice: barred, s.186",IF(AND(P19="T",H19="Cash",N(J19)&gt;=20000),"Loan of ₹20,000 or more in cash: barred, s.185",IF(AND(P19="D",H19="Cash",N(J19)&gt;=20000),"Cash deposit of ₹20,000 or more: ask your accountant whether s.185 applies",IF(AND(OR(P19="AG",P19="AS"),$E$9&lt;&gt;""),"Advance: also give a GST receipt voucher, s.31(3)(d) and Rule 50","OK"))))))))))))))))</f>
        <v/>
      </c>
      <c r="P19">
        <f>IF(G19="","",IFERROR(VLOOKUP(G19,Lists!$A$2:$B$9,2,FALSE),"?"))</f>
        <v/>
      </c>
      <c r="Q19">
        <f>IF(K19="Cancelled",0,N(J19))</f>
        <v/>
      </c>
      <c r="R19">
        <f>IF(OR(H19&lt;&gt;"Cash",P19="T",P19="D"),0,Q19)</f>
        <v/>
      </c>
      <c r="S19">
        <f>IF(R19=0,0,SUMIFS($R$18:$R$317,$B$18:$B$317,B19,$D$18:$D$317,D19))</f>
        <v/>
      </c>
      <c r="T19">
        <f>IF(OR(R19=0,E19=""),0,SUMIFS($R$18:$R$317,$E$18:$E$317,E19))</f>
        <v/>
      </c>
      <c r="U19">
        <f>IF(E19="","",IF(N(F19)&gt;0,F19,IFERROR(INDEX($F$18:$F$317,MATCH(E19,$E$18:$E$317,0)),"")))</f>
        <v/>
      </c>
      <c r="V19">
        <f>IF(OR(N19="",N19="OK",K19="Cancelled"),0,1)</f>
        <v/>
      </c>
    </row>
    <row r="20" ht="18" customHeight="1">
      <c r="B20" s="21" t="n">
        <v>46116</v>
      </c>
      <c r="C20" s="22">
        <f>IF(B20="","",$E$10&amp;TEXT(N($E$11)+2,"000"))</f>
        <v/>
      </c>
      <c r="D20" s="14" t="inlineStr">
        <is>
          <t>Customer B</t>
        </is>
      </c>
      <c r="E20" s="23" t="inlineStr">
        <is>
          <t>INV-102</t>
        </is>
      </c>
      <c r="F20" s="24" t="n">
        <v>3800</v>
      </c>
      <c r="G20" s="14" t="inlineStr">
        <is>
          <t>Payment against invoice</t>
        </is>
      </c>
      <c r="H20" s="14" t="inlineStr">
        <is>
          <t>Cash</t>
        </is>
      </c>
      <c r="I20" s="23" t="n"/>
      <c r="J20" s="24" t="n">
        <v>3800</v>
      </c>
      <c r="K20" s="23" t="n"/>
      <c r="L20" s="25">
        <f>IF(OR(E20="",N(U20)=0),"",U20-SUMIFS(Q$18:Q20,E$18:E20,E20))</f>
        <v/>
      </c>
      <c r="M20" s="26">
        <f>IF(OR(N(J20)=0,K20="Cancelled"),"",IF(AND(N(J20)&gt;5000,P20&lt;&gt;"G"),"Yes: ₹1","No"))</f>
        <v/>
      </c>
      <c r="N20" s="27">
        <f>IF(AND(B20="",D20="",N(J20)=0),"",IF(B20="","Enter the date",IF(AND(ROW()&gt;18,B19=""),"Use the next empty row: a skipped row leaves a gap in the receipt numbers",IF(D20="","Enter who paid",IF(N(J20)=0,"Enter the amount",IF(G20="","Pick what the money was for",IF(P20="?","Pick what it was for from the list",IF(H20="","Pick how it was paid",IF(K20="Cancelled","Cancelled: keep this number unused and give a fresh receipt",IF(AND(H20&lt;&gt;"Cash",I20=""),"Enter the cheque no., UTR or UPI reference",IF(AND(L20&lt;&gt;"",N(L20)&lt;0),"More than the balance due on this invoice",IF(S20&gt;=200000,"₹2,00,000 or more in cash from this person today: barred, s.186",IF(T20&gt;=200000,"₹2,00,000 or more in cash against this invoice: barred, s.186",IF(AND(P20="T",H20="Cash",N(J20)&gt;=20000),"Loan of ₹20,000 or more in cash: barred, s.185",IF(AND(P20="D",H20="Cash",N(J20)&gt;=20000),"Cash deposit of ₹20,000 or more: ask your accountant whether s.185 applies",IF(AND(OR(P20="AG",P20="AS"),$E$9&lt;&gt;""),"Advance: also give a GST receipt voucher, s.31(3)(d) and Rule 50","OK"))))))))))))))))</f>
        <v/>
      </c>
      <c r="P20">
        <f>IF(G20="","",IFERROR(VLOOKUP(G20,Lists!$A$2:$B$9,2,FALSE),"?"))</f>
        <v/>
      </c>
      <c r="Q20">
        <f>IF(K20="Cancelled",0,N(J20))</f>
        <v/>
      </c>
      <c r="R20">
        <f>IF(OR(H20&lt;&gt;"Cash",P20="T",P20="D"),0,Q20)</f>
        <v/>
      </c>
      <c r="S20">
        <f>IF(R20=0,0,SUMIFS($R$18:$R$317,$B$18:$B$317,B20,$D$18:$D$317,D20))</f>
        <v/>
      </c>
      <c r="T20">
        <f>IF(OR(R20=0,E20=""),0,SUMIFS($R$18:$R$317,$E$18:$E$317,E20))</f>
        <v/>
      </c>
      <c r="U20">
        <f>IF(E20="","",IF(N(F20)&gt;0,F20,IFERROR(INDEX($F$18:$F$317,MATCH(E20,$E$18:$E$317,0)),"")))</f>
        <v/>
      </c>
      <c r="V20">
        <f>IF(OR(N20="",N20="OK",K20="Cancelled"),0,1)</f>
        <v/>
      </c>
    </row>
    <row r="21" ht="31" customHeight="1">
      <c r="B21" s="21" t="n">
        <v>46116</v>
      </c>
      <c r="C21" s="22">
        <f>IF(B21="","",$E$10&amp;TEXT(N($E$11)+3,"000"))</f>
        <v/>
      </c>
      <c r="D21" s="14" t="inlineStr">
        <is>
          <t>Retailer C</t>
        </is>
      </c>
      <c r="E21" s="23" t="n"/>
      <c r="F21" s="24" t="n"/>
      <c r="G21" s="14" t="inlineStr">
        <is>
          <t>Advance for goods</t>
        </is>
      </c>
      <c r="H21" s="14" t="inlineStr">
        <is>
          <t>Bank transfer (NEFT, RTGS, IMPS)</t>
        </is>
      </c>
      <c r="I21" s="23" t="inlineStr">
        <is>
          <t>UTR N0954 2201</t>
        </is>
      </c>
      <c r="J21" s="24" t="n">
        <v>25000</v>
      </c>
      <c r="K21" s="23" t="n"/>
      <c r="L21" s="25">
        <f>IF(OR(E21="",N(U21)=0),"",U21-SUMIFS(Q$18:Q21,E$18:E21,E21))</f>
        <v/>
      </c>
      <c r="M21" s="26">
        <f>IF(OR(N(J21)=0,K21="Cancelled"),"",IF(AND(N(J21)&gt;5000,P21&lt;&gt;"G"),"Yes: ₹1","No"))</f>
        <v/>
      </c>
      <c r="N21" s="27">
        <f>IF(AND(B21="",D21="",N(J21)=0),"",IF(B21="","Enter the date",IF(AND(ROW()&gt;18,B20=""),"Use the next empty row: a skipped row leaves a gap in the receipt numbers",IF(D21="","Enter who paid",IF(N(J21)=0,"Enter the amount",IF(G21="","Pick what the money was for",IF(P21="?","Pick what it was for from the list",IF(H21="","Pick how it was paid",IF(K21="Cancelled","Cancelled: keep this number unused and give a fresh receipt",IF(AND(H21&lt;&gt;"Cash",I21=""),"Enter the cheque no., UTR or UPI reference",IF(AND(L21&lt;&gt;"",N(L21)&lt;0),"More than the balance due on this invoice",IF(S21&gt;=200000,"₹2,00,000 or more in cash from this person today: barred, s.186",IF(T21&gt;=200000,"₹2,00,000 or more in cash against this invoice: barred, s.186",IF(AND(P21="T",H21="Cash",N(J21)&gt;=20000),"Loan of ₹20,000 or more in cash: barred, s.185",IF(AND(P21="D",H21="Cash",N(J21)&gt;=20000),"Cash deposit of ₹20,000 or more: ask your accountant whether s.185 applies",IF(AND(OR(P21="AG",P21="AS"),$E$9&lt;&gt;""),"Advance: also give a GST receipt voucher, s.31(3)(d) and Rule 50","OK"))))))))))))))))</f>
        <v/>
      </c>
      <c r="P21">
        <f>IF(G21="","",IFERROR(VLOOKUP(G21,Lists!$A$2:$B$9,2,FALSE),"?"))</f>
        <v/>
      </c>
      <c r="Q21">
        <f>IF(K21="Cancelled",0,N(J21))</f>
        <v/>
      </c>
      <c r="R21">
        <f>IF(OR(H21&lt;&gt;"Cash",P21="T",P21="D"),0,Q21)</f>
        <v/>
      </c>
      <c r="S21">
        <f>IF(R21=0,0,SUMIFS($R$18:$R$317,$B$18:$B$317,B21,$D$18:$D$317,D21))</f>
        <v/>
      </c>
      <c r="T21">
        <f>IF(OR(R21=0,E21=""),0,SUMIFS($R$18:$R$317,$E$18:$E$317,E21))</f>
        <v/>
      </c>
      <c r="U21">
        <f>IF(E21="","",IF(N(F21)&gt;0,F21,IFERROR(INDEX($F$18:$F$317,MATCH(E21,$E$18:$E$317,0)),"")))</f>
        <v/>
      </c>
      <c r="V21">
        <f>IF(OR(N21="",N21="OK",K21="Cancelled"),0,1)</f>
        <v/>
      </c>
    </row>
    <row r="22" ht="31" customHeight="1">
      <c r="B22" s="21" t="n">
        <v>46118</v>
      </c>
      <c r="C22" s="22">
        <f>IF(B22="","",$E$10&amp;TEXT(N($E$11)+4,"000"))</f>
        <v/>
      </c>
      <c r="D22" s="14" t="inlineStr">
        <is>
          <t>Tenant: first-floor office</t>
        </is>
      </c>
      <c r="E22" s="23" t="n"/>
      <c r="F22" s="24" t="n"/>
      <c r="G22" s="14" t="inlineStr">
        <is>
          <t>Rent received</t>
        </is>
      </c>
      <c r="H22" s="14" t="inlineStr">
        <is>
          <t>Bank transfer (NEFT, RTGS, IMPS)</t>
        </is>
      </c>
      <c r="I22" s="23" t="inlineStr">
        <is>
          <t>UTR N0981 1176</t>
        </is>
      </c>
      <c r="J22" s="24" t="n">
        <v>15000</v>
      </c>
      <c r="K22" s="23" t="n"/>
      <c r="L22" s="25">
        <f>IF(OR(E22="",N(U22)=0),"",U22-SUMIFS(Q$18:Q22,E$18:E22,E22))</f>
        <v/>
      </c>
      <c r="M22" s="26">
        <f>IF(OR(N(J22)=0,K22="Cancelled"),"",IF(AND(N(J22)&gt;5000,P22&lt;&gt;"G"),"Yes: ₹1","No"))</f>
        <v/>
      </c>
      <c r="N22" s="27">
        <f>IF(AND(B22="",D22="",N(J22)=0),"",IF(B22="","Enter the date",IF(AND(ROW()&gt;18,B21=""),"Use the next empty row: a skipped row leaves a gap in the receipt numbers",IF(D22="","Enter who paid",IF(N(J22)=0,"Enter the amount",IF(G22="","Pick what the money was for",IF(P22="?","Pick what it was for from the list",IF(H22="","Pick how it was paid",IF(K22="Cancelled","Cancelled: keep this number unused and give a fresh receipt",IF(AND(H22&lt;&gt;"Cash",I22=""),"Enter the cheque no., UTR or UPI reference",IF(AND(L22&lt;&gt;"",N(L22)&lt;0),"More than the balance due on this invoice",IF(S22&gt;=200000,"₹2,00,000 or more in cash from this person today: barred, s.186",IF(T22&gt;=200000,"₹2,00,000 or more in cash against this invoice: barred, s.186",IF(AND(P22="T",H22="Cash",N(J22)&gt;=20000),"Loan of ₹20,000 or more in cash: barred, s.185",IF(AND(P22="D",H22="Cash",N(J22)&gt;=20000),"Cash deposit of ₹20,000 or more: ask your accountant whether s.185 applies",IF(AND(OR(P22="AG",P22="AS"),$E$9&lt;&gt;""),"Advance: also give a GST receipt voucher, s.31(3)(d) and Rule 50","OK"))))))))))))))))</f>
        <v/>
      </c>
      <c r="P22">
        <f>IF(G22="","",IFERROR(VLOOKUP(G22,Lists!$A$2:$B$9,2,FALSE),"?"))</f>
        <v/>
      </c>
      <c r="Q22">
        <f>IF(K22="Cancelled",0,N(J22))</f>
        <v/>
      </c>
      <c r="R22">
        <f>IF(OR(H22&lt;&gt;"Cash",P22="T",P22="D"),0,Q22)</f>
        <v/>
      </c>
      <c r="S22">
        <f>IF(R22=0,0,SUMIFS($R$18:$R$317,$B$18:$B$317,B22,$D$18:$D$317,D22))</f>
        <v/>
      </c>
      <c r="T22">
        <f>IF(OR(R22=0,E22=""),0,SUMIFS($R$18:$R$317,$E$18:$E$317,E22))</f>
        <v/>
      </c>
      <c r="U22">
        <f>IF(E22="","",IF(N(F22)&gt;0,F22,IFERROR(INDEX($F$18:$F$317,MATCH(E22,$E$18:$E$317,0)),"")))</f>
        <v/>
      </c>
      <c r="V22">
        <f>IF(OR(N22="",N22="OK",K22="Cancelled"),0,1)</f>
        <v/>
      </c>
    </row>
    <row r="23" ht="18" customHeight="1">
      <c r="B23" s="21" t="n">
        <v>46119</v>
      </c>
      <c r="C23" s="22">
        <f>IF(B23="","",$E$10&amp;TEXT(N($E$11)+5,"000"))</f>
        <v/>
      </c>
      <c r="D23" s="14" t="inlineStr">
        <is>
          <t>Customer D</t>
        </is>
      </c>
      <c r="E23" s="23" t="inlineStr">
        <is>
          <t>INV-103</t>
        </is>
      </c>
      <c r="F23" s="24" t="n">
        <v>240000</v>
      </c>
      <c r="G23" s="14" t="inlineStr">
        <is>
          <t>Payment against invoice</t>
        </is>
      </c>
      <c r="H23" s="14" t="inlineStr">
        <is>
          <t>Cash</t>
        </is>
      </c>
      <c r="I23" s="23" t="n"/>
      <c r="J23" s="24" t="n">
        <v>150000</v>
      </c>
      <c r="K23" s="23" t="n"/>
      <c r="L23" s="25">
        <f>IF(OR(E23="",N(U23)=0),"",U23-SUMIFS(Q$18:Q23,E$18:E23,E23))</f>
        <v/>
      </c>
      <c r="M23" s="26">
        <f>IF(OR(N(J23)=0,K23="Cancelled"),"",IF(AND(N(J23)&gt;5000,P23&lt;&gt;"G"),"Yes: ₹1","No"))</f>
        <v/>
      </c>
      <c r="N23" s="27">
        <f>IF(AND(B23="",D23="",N(J23)=0),"",IF(B23="","Enter the date",IF(AND(ROW()&gt;18,B22=""),"Use the next empty row: a skipped row leaves a gap in the receipt numbers",IF(D23="","Enter who paid",IF(N(J23)=0,"Enter the amount",IF(G23="","Pick what the money was for",IF(P23="?","Pick what it was for from the list",IF(H23="","Pick how it was paid",IF(K23="Cancelled","Cancelled: keep this number unused and give a fresh receipt",IF(AND(H23&lt;&gt;"Cash",I23=""),"Enter the cheque no., UTR or UPI reference",IF(AND(L23&lt;&gt;"",N(L23)&lt;0),"More than the balance due on this invoice",IF(S23&gt;=200000,"₹2,00,000 or more in cash from this person today: barred, s.186",IF(T23&gt;=200000,"₹2,00,000 or more in cash against this invoice: barred, s.186",IF(AND(P23="T",H23="Cash",N(J23)&gt;=20000),"Loan of ₹20,000 or more in cash: barred, s.185",IF(AND(P23="D",H23="Cash",N(J23)&gt;=20000),"Cash deposit of ₹20,000 or more: ask your accountant whether s.185 applies",IF(AND(OR(P23="AG",P23="AS"),$E$9&lt;&gt;""),"Advance: also give a GST receipt voucher, s.31(3)(d) and Rule 50","OK"))))))))))))))))</f>
        <v/>
      </c>
      <c r="P23">
        <f>IF(G23="","",IFERROR(VLOOKUP(G23,Lists!$A$2:$B$9,2,FALSE),"?"))</f>
        <v/>
      </c>
      <c r="Q23">
        <f>IF(K23="Cancelled",0,N(J23))</f>
        <v/>
      </c>
      <c r="R23">
        <f>IF(OR(H23&lt;&gt;"Cash",P23="T",P23="D"),0,Q23)</f>
        <v/>
      </c>
      <c r="S23">
        <f>IF(R23=0,0,SUMIFS($R$18:$R$317,$B$18:$B$317,B23,$D$18:$D$317,D23))</f>
        <v/>
      </c>
      <c r="T23">
        <f>IF(OR(R23=0,E23=""),0,SUMIFS($R$18:$R$317,$E$18:$E$317,E23))</f>
        <v/>
      </c>
      <c r="U23">
        <f>IF(E23="","",IF(N(F23)&gt;0,F23,IFERROR(INDEX($F$18:$F$317,MATCH(E23,$E$18:$E$317,0)),"")))</f>
        <v/>
      </c>
      <c r="V23">
        <f>IF(OR(N23="",N23="OK",K23="Cancelled"),0,1)</f>
        <v/>
      </c>
    </row>
    <row r="24" ht="18" customHeight="1">
      <c r="B24" s="21" t="n">
        <v>46121</v>
      </c>
      <c r="C24" s="22">
        <f>IF(B24="","",$E$10&amp;TEXT(N($E$11)+6,"000"))</f>
        <v/>
      </c>
      <c r="D24" s="14" t="inlineStr">
        <is>
          <t>Customer D</t>
        </is>
      </c>
      <c r="E24" s="23" t="inlineStr">
        <is>
          <t>INV-103</t>
        </is>
      </c>
      <c r="F24" s="24" t="n"/>
      <c r="G24" s="14" t="inlineStr">
        <is>
          <t>Payment against invoice</t>
        </is>
      </c>
      <c r="H24" s="14" t="inlineStr">
        <is>
          <t>Cash</t>
        </is>
      </c>
      <c r="I24" s="23" t="n"/>
      <c r="J24" s="24" t="n">
        <v>90000</v>
      </c>
      <c r="K24" s="23" t="n"/>
      <c r="L24" s="25">
        <f>IF(OR(E24="",N(U24)=0),"",U24-SUMIFS(Q$18:Q24,E$18:E24,E24))</f>
        <v/>
      </c>
      <c r="M24" s="26">
        <f>IF(OR(N(J24)=0,K24="Cancelled"),"",IF(AND(N(J24)&gt;5000,P24&lt;&gt;"G"),"Yes: ₹1","No"))</f>
        <v/>
      </c>
      <c r="N24" s="27">
        <f>IF(AND(B24="",D24="",N(J24)=0),"",IF(B24="","Enter the date",IF(AND(ROW()&gt;18,B23=""),"Use the next empty row: a skipped row leaves a gap in the receipt numbers",IF(D24="","Enter who paid",IF(N(J24)=0,"Enter the amount",IF(G24="","Pick what the money was for",IF(P24="?","Pick what it was for from the list",IF(H24="","Pick how it was paid",IF(K24="Cancelled","Cancelled: keep this number unused and give a fresh receipt",IF(AND(H24&lt;&gt;"Cash",I24=""),"Enter the cheque no., UTR or UPI reference",IF(AND(L24&lt;&gt;"",N(L24)&lt;0),"More than the balance due on this invoice",IF(S24&gt;=200000,"₹2,00,000 or more in cash from this person today: barred, s.186",IF(T24&gt;=200000,"₹2,00,000 or more in cash against this invoice: barred, s.186",IF(AND(P24="T",H24="Cash",N(J24)&gt;=20000),"Loan of ₹20,000 or more in cash: barred, s.185",IF(AND(P24="D",H24="Cash",N(J24)&gt;=20000),"Cash deposit of ₹20,000 or more: ask your accountant whether s.185 applies",IF(AND(OR(P24="AG",P24="AS"),$E$9&lt;&gt;""),"Advance: also give a GST receipt voucher, s.31(3)(d) and Rule 50","OK"))))))))))))))))</f>
        <v/>
      </c>
      <c r="P24">
        <f>IF(G24="","",IFERROR(VLOOKUP(G24,Lists!$A$2:$B$9,2,FALSE),"?"))</f>
        <v/>
      </c>
      <c r="Q24">
        <f>IF(K24="Cancelled",0,N(J24))</f>
        <v/>
      </c>
      <c r="R24">
        <f>IF(OR(H24&lt;&gt;"Cash",P24="T",P24="D"),0,Q24)</f>
        <v/>
      </c>
      <c r="S24">
        <f>IF(R24=0,0,SUMIFS($R$18:$R$317,$B$18:$B$317,B24,$D$18:$D$317,D24))</f>
        <v/>
      </c>
      <c r="T24">
        <f>IF(OR(R24=0,E24=""),0,SUMIFS($R$18:$R$317,$E$18:$E$317,E24))</f>
        <v/>
      </c>
      <c r="U24">
        <f>IF(E24="","",IF(N(F24)&gt;0,F24,IFERROR(INDEX($F$18:$F$317,MATCH(E24,$E$18:$E$317,0)),"")))</f>
        <v/>
      </c>
      <c r="V24">
        <f>IF(OR(N24="",N24="OK",K24="Cancelled"),0,1)</f>
        <v/>
      </c>
    </row>
    <row r="25" ht="18" customHeight="1">
      <c r="B25" s="21" t="n">
        <v>46122</v>
      </c>
      <c r="C25" s="22">
        <f>IF(B25="","",$E$10&amp;TEXT(N($E$11)+7,"000"))</f>
        <v/>
      </c>
      <c r="D25" s="14" t="inlineStr">
        <is>
          <t>Relative: short-term loan</t>
        </is>
      </c>
      <c r="E25" s="23" t="n"/>
      <c r="F25" s="24" t="n"/>
      <c r="G25" s="14" t="inlineStr">
        <is>
          <t>Loan received</t>
        </is>
      </c>
      <c r="H25" s="14" t="inlineStr">
        <is>
          <t>Cash</t>
        </is>
      </c>
      <c r="I25" s="23" t="n"/>
      <c r="J25" s="24" t="n">
        <v>50000</v>
      </c>
      <c r="K25" s="23" t="n"/>
      <c r="L25" s="25">
        <f>IF(OR(E25="",N(U25)=0),"",U25-SUMIFS(Q$18:Q25,E$18:E25,E25))</f>
        <v/>
      </c>
      <c r="M25" s="26">
        <f>IF(OR(N(J25)=0,K25="Cancelled"),"",IF(AND(N(J25)&gt;5000,P25&lt;&gt;"G"),"Yes: ₹1","No"))</f>
        <v/>
      </c>
      <c r="N25" s="27">
        <f>IF(AND(B25="",D25="",N(J25)=0),"",IF(B25="","Enter the date",IF(AND(ROW()&gt;18,B24=""),"Use the next empty row: a skipped row leaves a gap in the receipt numbers",IF(D25="","Enter who paid",IF(N(J25)=0,"Enter the amount",IF(G25="","Pick what the money was for",IF(P25="?","Pick what it was for from the list",IF(H25="","Pick how it was paid",IF(K25="Cancelled","Cancelled: keep this number unused and give a fresh receipt",IF(AND(H25&lt;&gt;"Cash",I25=""),"Enter the cheque no., UTR or UPI reference",IF(AND(L25&lt;&gt;"",N(L25)&lt;0),"More than the balance due on this invoice",IF(S25&gt;=200000,"₹2,00,000 or more in cash from this person today: barred, s.186",IF(T25&gt;=200000,"₹2,00,000 or more in cash against this invoice: barred, s.186",IF(AND(P25="T",H25="Cash",N(J25)&gt;=20000),"Loan of ₹20,000 or more in cash: barred, s.185",IF(AND(P25="D",H25="Cash",N(J25)&gt;=20000),"Cash deposit of ₹20,000 or more: ask your accountant whether s.185 applies",IF(AND(OR(P25="AG",P25="AS"),$E$9&lt;&gt;""),"Advance: also give a GST receipt voucher, s.31(3)(d) and Rule 50","OK"))))))))))))))))</f>
        <v/>
      </c>
      <c r="P25">
        <f>IF(G25="","",IFERROR(VLOOKUP(G25,Lists!$A$2:$B$9,2,FALSE),"?"))</f>
        <v/>
      </c>
      <c r="Q25">
        <f>IF(K25="Cancelled",0,N(J25))</f>
        <v/>
      </c>
      <c r="R25">
        <f>IF(OR(H25&lt;&gt;"Cash",P25="T",P25="D"),0,Q25)</f>
        <v/>
      </c>
      <c r="S25">
        <f>IF(R25=0,0,SUMIFS($R$18:$R$317,$B$18:$B$317,B25,$D$18:$D$317,D25))</f>
        <v/>
      </c>
      <c r="T25">
        <f>IF(OR(R25=0,E25=""),0,SUMIFS($R$18:$R$317,$E$18:$E$317,E25))</f>
        <v/>
      </c>
      <c r="U25">
        <f>IF(E25="","",IF(N(F25)&gt;0,F25,IFERROR(INDEX($F$18:$F$317,MATCH(E25,$E$18:$E$317,0)),"")))</f>
        <v/>
      </c>
      <c r="V25">
        <f>IF(OR(N25="",N25="OK",K25="Cancelled"),0,1)</f>
        <v/>
      </c>
    </row>
    <row r="26" ht="18" customHeight="1">
      <c r="B26" s="21" t="n">
        <v>46122</v>
      </c>
      <c r="C26" s="22">
        <f>IF(B26="","",$E$10&amp;TEXT(N($E$11)+8,"000"))</f>
        <v/>
      </c>
      <c r="D26" s="14" t="inlineStr">
        <is>
          <t>Retailer A</t>
        </is>
      </c>
      <c r="E26" s="23" t="inlineStr">
        <is>
          <t>INV-104</t>
        </is>
      </c>
      <c r="F26" s="24" t="n">
        <v>6200</v>
      </c>
      <c r="G26" s="14" t="inlineStr">
        <is>
          <t>Payment against invoice</t>
        </is>
      </c>
      <c r="H26" s="14" t="inlineStr">
        <is>
          <t>UPI</t>
        </is>
      </c>
      <c r="I26" s="23" t="inlineStr">
        <is>
          <t>UPI 6133 0915</t>
        </is>
      </c>
      <c r="J26" s="24" t="n">
        <v>2600</v>
      </c>
      <c r="K26" s="23" t="inlineStr">
        <is>
          <t>Cancelled</t>
        </is>
      </c>
      <c r="L26" s="25">
        <f>IF(OR(E26="",N(U26)=0),"",U26-SUMIFS(Q$18:Q26,E$18:E26,E26))</f>
        <v/>
      </c>
      <c r="M26" s="26">
        <f>IF(OR(N(J26)=0,K26="Cancelled"),"",IF(AND(N(J26)&gt;5000,P26&lt;&gt;"G"),"Yes: ₹1","No"))</f>
        <v/>
      </c>
      <c r="N26" s="27">
        <f>IF(AND(B26="",D26="",N(J26)=0),"",IF(B26="","Enter the date",IF(AND(ROW()&gt;18,B25=""),"Use the next empty row: a skipped row leaves a gap in the receipt numbers",IF(D26="","Enter who paid",IF(N(J26)=0,"Enter the amount",IF(G26="","Pick what the money was for",IF(P26="?","Pick what it was for from the list",IF(H26="","Pick how it was paid",IF(K26="Cancelled","Cancelled: keep this number unused and give a fresh receipt",IF(AND(H26&lt;&gt;"Cash",I26=""),"Enter the cheque no., UTR or UPI reference",IF(AND(L26&lt;&gt;"",N(L26)&lt;0),"More than the balance due on this invoice",IF(S26&gt;=200000,"₹2,00,000 or more in cash from this person today: barred, s.186",IF(T26&gt;=200000,"₹2,00,000 or more in cash against this invoice: barred, s.186",IF(AND(P26="T",H26="Cash",N(J26)&gt;=20000),"Loan of ₹20,000 or more in cash: barred, s.185",IF(AND(P26="D",H26="Cash",N(J26)&gt;=20000),"Cash deposit of ₹20,000 or more: ask your accountant whether s.185 applies",IF(AND(OR(P26="AG",P26="AS"),$E$9&lt;&gt;""),"Advance: also give a GST receipt voucher, s.31(3)(d) and Rule 50","OK"))))))))))))))))</f>
        <v/>
      </c>
      <c r="P26">
        <f>IF(G26="","",IFERROR(VLOOKUP(G26,Lists!$A$2:$B$9,2,FALSE),"?"))</f>
        <v/>
      </c>
      <c r="Q26">
        <f>IF(K26="Cancelled",0,N(J26))</f>
        <v/>
      </c>
      <c r="R26">
        <f>IF(OR(H26&lt;&gt;"Cash",P26="T",P26="D"),0,Q26)</f>
        <v/>
      </c>
      <c r="S26">
        <f>IF(R26=0,0,SUMIFS($R$18:$R$317,$B$18:$B$317,B26,$D$18:$D$317,D26))</f>
        <v/>
      </c>
      <c r="T26">
        <f>IF(OR(R26=0,E26=""),0,SUMIFS($R$18:$R$317,$E$18:$E$317,E26))</f>
        <v/>
      </c>
      <c r="U26">
        <f>IF(E26="","",IF(N(F26)&gt;0,F26,IFERROR(INDEX($F$18:$F$317,MATCH(E26,$E$18:$E$317,0)),"")))</f>
        <v/>
      </c>
      <c r="V26">
        <f>IF(OR(N26="",N26="OK",K26="Cancelled"),0,1)</f>
        <v/>
      </c>
    </row>
    <row r="27" ht="18" customHeight="1">
      <c r="B27" s="21" t="n">
        <v>46122</v>
      </c>
      <c r="C27" s="22">
        <f>IF(B27="","",$E$10&amp;TEXT(N($E$11)+9,"000"))</f>
        <v/>
      </c>
      <c r="D27" s="14" t="inlineStr">
        <is>
          <t>Retailer A</t>
        </is>
      </c>
      <c r="E27" s="23" t="inlineStr">
        <is>
          <t>INV-104</t>
        </is>
      </c>
      <c r="F27" s="24" t="n"/>
      <c r="G27" s="14" t="inlineStr">
        <is>
          <t>Payment against invoice</t>
        </is>
      </c>
      <c r="H27" s="14" t="inlineStr">
        <is>
          <t>UPI</t>
        </is>
      </c>
      <c r="I27" s="23" t="inlineStr">
        <is>
          <t>UPI 6133 0915</t>
        </is>
      </c>
      <c r="J27" s="24" t="n">
        <v>6200</v>
      </c>
      <c r="K27" s="23" t="n"/>
      <c r="L27" s="25">
        <f>IF(OR(E27="",N(U27)=0),"",U27-SUMIFS(Q$18:Q27,E$18:E27,E27))</f>
        <v/>
      </c>
      <c r="M27" s="26">
        <f>IF(OR(N(J27)=0,K27="Cancelled"),"",IF(AND(N(J27)&gt;5000,P27&lt;&gt;"G"),"Yes: ₹1","No"))</f>
        <v/>
      </c>
      <c r="N27" s="27">
        <f>IF(AND(B27="",D27="",N(J27)=0),"",IF(B27="","Enter the date",IF(AND(ROW()&gt;18,B26=""),"Use the next empty row: a skipped row leaves a gap in the receipt numbers",IF(D27="","Enter who paid",IF(N(J27)=0,"Enter the amount",IF(G27="","Pick what the money was for",IF(P27="?","Pick what it was for from the list",IF(H27="","Pick how it was paid",IF(K27="Cancelled","Cancelled: keep this number unused and give a fresh receipt",IF(AND(H27&lt;&gt;"Cash",I27=""),"Enter the cheque no., UTR or UPI reference",IF(AND(L27&lt;&gt;"",N(L27)&lt;0),"More than the balance due on this invoice",IF(S27&gt;=200000,"₹2,00,000 or more in cash from this person today: barred, s.186",IF(T27&gt;=200000,"₹2,00,000 or more in cash against this invoice: barred, s.186",IF(AND(P27="T",H27="Cash",N(J27)&gt;=20000),"Loan of ₹20,000 or more in cash: barred, s.185",IF(AND(P27="D",H27="Cash",N(J27)&gt;=20000),"Cash deposit of ₹20,000 or more: ask your accountant whether s.185 applies",IF(AND(OR(P27="AG",P27="AS"),$E$9&lt;&gt;""),"Advance: also give a GST receipt voucher, s.31(3)(d) and Rule 50","OK"))))))))))))))))</f>
        <v/>
      </c>
      <c r="P27">
        <f>IF(G27="","",IFERROR(VLOOKUP(G27,Lists!$A$2:$B$9,2,FALSE),"?"))</f>
        <v/>
      </c>
      <c r="Q27">
        <f>IF(K27="Cancelled",0,N(J27))</f>
        <v/>
      </c>
      <c r="R27">
        <f>IF(OR(H27&lt;&gt;"Cash",P27="T",P27="D"),0,Q27)</f>
        <v/>
      </c>
      <c r="S27">
        <f>IF(R27=0,0,SUMIFS($R$18:$R$317,$B$18:$B$317,B27,$D$18:$D$317,D27))</f>
        <v/>
      </c>
      <c r="T27">
        <f>IF(OR(R27=0,E27=""),0,SUMIFS($R$18:$R$317,$E$18:$E$317,E27))</f>
        <v/>
      </c>
      <c r="U27">
        <f>IF(E27="","",IF(N(F27)&gt;0,F27,IFERROR(INDEX($F$18:$F$317,MATCH(E27,$E$18:$E$317,0)),"")))</f>
        <v/>
      </c>
      <c r="V27">
        <f>IF(OR(N27="",N27="OK",K27="Cancelled"),0,1)</f>
        <v/>
      </c>
    </row>
    <row r="28" ht="18" customHeight="1">
      <c r="B28" s="21" t="n">
        <v>46123</v>
      </c>
      <c r="C28" s="22">
        <f>IF(B28="","",$E$10&amp;TEXT(N($E$11)+10,"000"))</f>
        <v/>
      </c>
      <c r="D28" s="14" t="inlineStr">
        <is>
          <t>Customer E</t>
        </is>
      </c>
      <c r="E28" s="23" t="n"/>
      <c r="F28" s="24" t="n"/>
      <c r="G28" s="14" t="inlineStr">
        <is>
          <t>Security deposit received</t>
        </is>
      </c>
      <c r="H28" s="14" t="inlineStr">
        <is>
          <t>Cash</t>
        </is>
      </c>
      <c r="I28" s="23" t="n"/>
      <c r="J28" s="24" t="n">
        <v>25000</v>
      </c>
      <c r="K28" s="23" t="n"/>
      <c r="L28" s="25">
        <f>IF(OR(E28="",N(U28)=0),"",U28-SUMIFS(Q$18:Q28,E$18:E28,E28))</f>
        <v/>
      </c>
      <c r="M28" s="26">
        <f>IF(OR(N(J28)=0,K28="Cancelled"),"",IF(AND(N(J28)&gt;5000,P28&lt;&gt;"G"),"Yes: ₹1","No"))</f>
        <v/>
      </c>
      <c r="N28" s="27">
        <f>IF(AND(B28="",D28="",N(J28)=0),"",IF(B28="","Enter the date",IF(AND(ROW()&gt;18,B27=""),"Use the next empty row: a skipped row leaves a gap in the receipt numbers",IF(D28="","Enter who paid",IF(N(J28)=0,"Enter the amount",IF(G28="","Pick what the money was for",IF(P28="?","Pick what it was for from the list",IF(H28="","Pick how it was paid",IF(K28="Cancelled","Cancelled: keep this number unused and give a fresh receipt",IF(AND(H28&lt;&gt;"Cash",I28=""),"Enter the cheque no., UTR or UPI reference",IF(AND(L28&lt;&gt;"",N(L28)&lt;0),"More than the balance due on this invoice",IF(S28&gt;=200000,"₹2,00,000 or more in cash from this person today: barred, s.186",IF(T28&gt;=200000,"₹2,00,000 or more in cash against this invoice: barred, s.186",IF(AND(P28="T",H28="Cash",N(J28)&gt;=20000),"Loan of ₹20,000 or more in cash: barred, s.185",IF(AND(P28="D",H28="Cash",N(J28)&gt;=20000),"Cash deposit of ₹20,000 or more: ask your accountant whether s.185 applies",IF(AND(OR(P28="AG",P28="AS"),$E$9&lt;&gt;""),"Advance: also give a GST receipt voucher, s.31(3)(d) and Rule 50","OK"))))))))))))))))</f>
        <v/>
      </c>
      <c r="P28">
        <f>IF(G28="","",IFERROR(VLOOKUP(G28,Lists!$A$2:$B$9,2,FALSE),"?"))</f>
        <v/>
      </c>
      <c r="Q28">
        <f>IF(K28="Cancelled",0,N(J28))</f>
        <v/>
      </c>
      <c r="R28">
        <f>IF(OR(H28&lt;&gt;"Cash",P28="T",P28="D"),0,Q28)</f>
        <v/>
      </c>
      <c r="S28">
        <f>IF(R28=0,0,SUMIFS($R$18:$R$317,$B$18:$B$317,B28,$D$18:$D$317,D28))</f>
        <v/>
      </c>
      <c r="T28">
        <f>IF(OR(R28=0,E28=""),0,SUMIFS($R$18:$R$317,$E$18:$E$317,E28))</f>
        <v/>
      </c>
      <c r="U28">
        <f>IF(E28="","",IF(N(F28)&gt;0,F28,IFERROR(INDEX($F$18:$F$317,MATCH(E28,$E$18:$E$317,0)),"")))</f>
        <v/>
      </c>
      <c r="V28">
        <f>IF(OR(N28="",N28="OK",K28="Cancelled"),0,1)</f>
        <v/>
      </c>
    </row>
    <row r="29" ht="31" customHeight="1">
      <c r="B29" s="21" t="n">
        <v>46125</v>
      </c>
      <c r="C29" s="22">
        <f>IF(B29="","",$E$10&amp;TEXT(N($E$11)+11,"000"))</f>
        <v/>
      </c>
      <c r="D29" s="14" t="inlineStr">
        <is>
          <t>Customer B</t>
        </is>
      </c>
      <c r="E29" s="23" t="inlineStr">
        <is>
          <t>INV-105</t>
        </is>
      </c>
      <c r="F29" s="24" t="n">
        <v>2950</v>
      </c>
      <c r="G29" s="14" t="inlineStr">
        <is>
          <t>Payment against invoice</t>
        </is>
      </c>
      <c r="H29" s="14" t="inlineStr">
        <is>
          <t>Card</t>
        </is>
      </c>
      <c r="I29" s="23" t="inlineStr">
        <is>
          <t>Card approval 228341</t>
        </is>
      </c>
      <c r="J29" s="24" t="n">
        <v>2950</v>
      </c>
      <c r="K29" s="23" t="n"/>
      <c r="L29" s="25">
        <f>IF(OR(E29="",N(U29)=0),"",U29-SUMIFS(Q$18:Q29,E$18:E29,E29))</f>
        <v/>
      </c>
      <c r="M29" s="26">
        <f>IF(OR(N(J29)=0,K29="Cancelled"),"",IF(AND(N(J29)&gt;5000,P29&lt;&gt;"G"),"Yes: ₹1","No"))</f>
        <v/>
      </c>
      <c r="N29" s="27">
        <f>IF(AND(B29="",D29="",N(J29)=0),"",IF(B29="","Enter the date",IF(AND(ROW()&gt;18,B28=""),"Use the next empty row: a skipped row leaves a gap in the receipt numbers",IF(D29="","Enter who paid",IF(N(J29)=0,"Enter the amount",IF(G29="","Pick what the money was for",IF(P29="?","Pick what it was for from the list",IF(H29="","Pick how it was paid",IF(K29="Cancelled","Cancelled: keep this number unused and give a fresh receipt",IF(AND(H29&lt;&gt;"Cash",I29=""),"Enter the cheque no., UTR or UPI reference",IF(AND(L29&lt;&gt;"",N(L29)&lt;0),"More than the balance due on this invoice",IF(S29&gt;=200000,"₹2,00,000 or more in cash from this person today: barred, s.186",IF(T29&gt;=200000,"₹2,00,000 or more in cash against this invoice: barred, s.186",IF(AND(P29="T",H29="Cash",N(J29)&gt;=20000),"Loan of ₹20,000 or more in cash: barred, s.185",IF(AND(P29="D",H29="Cash",N(J29)&gt;=20000),"Cash deposit of ₹20,000 or more: ask your accountant whether s.185 applies",IF(AND(OR(P29="AG",P29="AS"),$E$9&lt;&gt;""),"Advance: also give a GST receipt voucher, s.31(3)(d) and Rule 50","OK"))))))))))))))))</f>
        <v/>
      </c>
      <c r="P29">
        <f>IF(G29="","",IFERROR(VLOOKUP(G29,Lists!$A$2:$B$9,2,FALSE),"?"))</f>
        <v/>
      </c>
      <c r="Q29">
        <f>IF(K29="Cancelled",0,N(J29))</f>
        <v/>
      </c>
      <c r="R29">
        <f>IF(OR(H29&lt;&gt;"Cash",P29="T",P29="D"),0,Q29)</f>
        <v/>
      </c>
      <c r="S29">
        <f>IF(R29=0,0,SUMIFS($R$18:$R$317,$B$18:$B$317,B29,$D$18:$D$317,D29))</f>
        <v/>
      </c>
      <c r="T29">
        <f>IF(OR(R29=0,E29=""),0,SUMIFS($R$18:$R$317,$E$18:$E$317,E29))</f>
        <v/>
      </c>
      <c r="U29">
        <f>IF(E29="","",IF(N(F29)&gt;0,F29,IFERROR(INDEX($F$18:$F$317,MATCH(E29,$E$18:$E$317,0)),"")))</f>
        <v/>
      </c>
      <c r="V29">
        <f>IF(OR(N29="",N29="OK",K29="Cancelled"),0,1)</f>
        <v/>
      </c>
    </row>
    <row r="30">
      <c r="B30" s="21" t="n"/>
      <c r="C30" s="22">
        <f>IF(B30="","",$E$10&amp;TEXT(N($E$11)+12,"000"))</f>
        <v/>
      </c>
      <c r="D30" s="14" t="n"/>
      <c r="E30" s="23" t="n"/>
      <c r="F30" s="24" t="n"/>
      <c r="G30" s="14" t="n"/>
      <c r="H30" s="14" t="n"/>
      <c r="I30" s="23" t="n"/>
      <c r="J30" s="24" t="n"/>
      <c r="K30" s="23" t="n"/>
      <c r="L30" s="25">
        <f>IF(OR(E30="",N(U30)=0),"",U30-SUMIFS(Q$18:Q30,E$18:E30,E30))</f>
        <v/>
      </c>
      <c r="M30" s="26">
        <f>IF(OR(N(J30)=0,K30="Cancelled"),"",IF(AND(N(J30)&gt;5000,P30&lt;&gt;"G"),"Yes: ₹1","No"))</f>
        <v/>
      </c>
      <c r="N30" s="27">
        <f>IF(AND(B30="",D30="",N(J30)=0),"",IF(B30="","Enter the date",IF(AND(ROW()&gt;18,B29=""),"Use the next empty row: a skipped row leaves a gap in the receipt numbers",IF(D30="","Enter who paid",IF(N(J30)=0,"Enter the amount",IF(G30="","Pick what the money was for",IF(P30="?","Pick what it was for from the list",IF(H30="","Pick how it was paid",IF(K30="Cancelled","Cancelled: keep this number unused and give a fresh receipt",IF(AND(H30&lt;&gt;"Cash",I30=""),"Enter the cheque no., UTR or UPI reference",IF(AND(L30&lt;&gt;"",N(L30)&lt;0),"More than the balance due on this invoice",IF(S30&gt;=200000,"₹2,00,000 or more in cash from this person today: barred, s.186",IF(T30&gt;=200000,"₹2,00,000 or more in cash against this invoice: barred, s.186",IF(AND(P30="T",H30="Cash",N(J30)&gt;=20000),"Loan of ₹20,000 or more in cash: barred, s.185",IF(AND(P30="D",H30="Cash",N(J30)&gt;=20000),"Cash deposit of ₹20,000 or more: ask your accountant whether s.185 applies",IF(AND(OR(P30="AG",P30="AS"),$E$9&lt;&gt;""),"Advance: also give a GST receipt voucher, s.31(3)(d) and Rule 50","OK"))))))))))))))))</f>
        <v/>
      </c>
      <c r="P30">
        <f>IF(G30="","",IFERROR(VLOOKUP(G30,Lists!$A$2:$B$9,2,FALSE),"?"))</f>
        <v/>
      </c>
      <c r="Q30">
        <f>IF(K30="Cancelled",0,N(J30))</f>
        <v/>
      </c>
      <c r="R30">
        <f>IF(OR(H30&lt;&gt;"Cash",P30="T",P30="D"),0,Q30)</f>
        <v/>
      </c>
      <c r="S30">
        <f>IF(R30=0,0,SUMIFS($R$18:$R$317,$B$18:$B$317,B30,$D$18:$D$317,D30))</f>
        <v/>
      </c>
      <c r="T30">
        <f>IF(OR(R30=0,E30=""),0,SUMIFS($R$18:$R$317,$E$18:$E$317,E30))</f>
        <v/>
      </c>
      <c r="U30">
        <f>IF(E30="","",IF(N(F30)&gt;0,F30,IFERROR(INDEX($F$18:$F$317,MATCH(E30,$E$18:$E$317,0)),"")))</f>
        <v/>
      </c>
      <c r="V30">
        <f>IF(OR(N30="",N30="OK",K30="Cancelled"),0,1)</f>
        <v/>
      </c>
    </row>
    <row r="31">
      <c r="B31" s="21" t="n"/>
      <c r="C31" s="22">
        <f>IF(B31="","",$E$10&amp;TEXT(N($E$11)+13,"000"))</f>
        <v/>
      </c>
      <c r="D31" s="14" t="n"/>
      <c r="E31" s="23" t="n"/>
      <c r="F31" s="24" t="n"/>
      <c r="G31" s="14" t="n"/>
      <c r="H31" s="14" t="n"/>
      <c r="I31" s="23" t="n"/>
      <c r="J31" s="24" t="n"/>
      <c r="K31" s="23" t="n"/>
      <c r="L31" s="25">
        <f>IF(OR(E31="",N(U31)=0),"",U31-SUMIFS(Q$18:Q31,E$18:E31,E31))</f>
        <v/>
      </c>
      <c r="M31" s="26">
        <f>IF(OR(N(J31)=0,K31="Cancelled"),"",IF(AND(N(J31)&gt;5000,P31&lt;&gt;"G"),"Yes: ₹1","No"))</f>
        <v/>
      </c>
      <c r="N31" s="27">
        <f>IF(AND(B31="",D31="",N(J31)=0),"",IF(B31="","Enter the date",IF(AND(ROW()&gt;18,B30=""),"Use the next empty row: a skipped row leaves a gap in the receipt numbers",IF(D31="","Enter who paid",IF(N(J31)=0,"Enter the amount",IF(G31="","Pick what the money was for",IF(P31="?","Pick what it was for from the list",IF(H31="","Pick how it was paid",IF(K31="Cancelled","Cancelled: keep this number unused and give a fresh receipt",IF(AND(H31&lt;&gt;"Cash",I31=""),"Enter the cheque no., UTR or UPI reference",IF(AND(L31&lt;&gt;"",N(L31)&lt;0),"More than the balance due on this invoice",IF(S31&gt;=200000,"₹2,00,000 or more in cash from this person today: barred, s.186",IF(T31&gt;=200000,"₹2,00,000 or more in cash against this invoice: barred, s.186",IF(AND(P31="T",H31="Cash",N(J31)&gt;=20000),"Loan of ₹20,000 or more in cash: barred, s.185",IF(AND(P31="D",H31="Cash",N(J31)&gt;=20000),"Cash deposit of ₹20,000 or more: ask your accountant whether s.185 applies",IF(AND(OR(P31="AG",P31="AS"),$E$9&lt;&gt;""),"Advance: also give a GST receipt voucher, s.31(3)(d) and Rule 50","OK"))))))))))))))))</f>
        <v/>
      </c>
      <c r="P31">
        <f>IF(G31="","",IFERROR(VLOOKUP(G31,Lists!$A$2:$B$9,2,FALSE),"?"))</f>
        <v/>
      </c>
      <c r="Q31">
        <f>IF(K31="Cancelled",0,N(J31))</f>
        <v/>
      </c>
      <c r="R31">
        <f>IF(OR(H31&lt;&gt;"Cash",P31="T",P31="D"),0,Q31)</f>
        <v/>
      </c>
      <c r="S31">
        <f>IF(R31=0,0,SUMIFS($R$18:$R$317,$B$18:$B$317,B31,$D$18:$D$317,D31))</f>
        <v/>
      </c>
      <c r="T31">
        <f>IF(OR(R31=0,E31=""),0,SUMIFS($R$18:$R$317,$E$18:$E$317,E31))</f>
        <v/>
      </c>
      <c r="U31">
        <f>IF(E31="","",IF(N(F31)&gt;0,F31,IFERROR(INDEX($F$18:$F$317,MATCH(E31,$E$18:$E$317,0)),"")))</f>
        <v/>
      </c>
      <c r="V31">
        <f>IF(OR(N31="",N31="OK",K31="Cancelled"),0,1)</f>
        <v/>
      </c>
    </row>
    <row r="32">
      <c r="B32" s="21" t="n"/>
      <c r="C32" s="22">
        <f>IF(B32="","",$E$10&amp;TEXT(N($E$11)+14,"000"))</f>
        <v/>
      </c>
      <c r="D32" s="14" t="n"/>
      <c r="E32" s="23" t="n"/>
      <c r="F32" s="24" t="n"/>
      <c r="G32" s="14" t="n"/>
      <c r="H32" s="14" t="n"/>
      <c r="I32" s="23" t="n"/>
      <c r="J32" s="24" t="n"/>
      <c r="K32" s="23" t="n"/>
      <c r="L32" s="25">
        <f>IF(OR(E32="",N(U32)=0),"",U32-SUMIFS(Q$18:Q32,E$18:E32,E32))</f>
        <v/>
      </c>
      <c r="M32" s="26">
        <f>IF(OR(N(J32)=0,K32="Cancelled"),"",IF(AND(N(J32)&gt;5000,P32&lt;&gt;"G"),"Yes: ₹1","No"))</f>
        <v/>
      </c>
      <c r="N32" s="27">
        <f>IF(AND(B32="",D32="",N(J32)=0),"",IF(B32="","Enter the date",IF(AND(ROW()&gt;18,B31=""),"Use the next empty row: a skipped row leaves a gap in the receipt numbers",IF(D32="","Enter who paid",IF(N(J32)=0,"Enter the amount",IF(G32="","Pick what the money was for",IF(P32="?","Pick what it was for from the list",IF(H32="","Pick how it was paid",IF(K32="Cancelled","Cancelled: keep this number unused and give a fresh receipt",IF(AND(H32&lt;&gt;"Cash",I32=""),"Enter the cheque no., UTR or UPI reference",IF(AND(L32&lt;&gt;"",N(L32)&lt;0),"More than the balance due on this invoice",IF(S32&gt;=200000,"₹2,00,000 or more in cash from this person today: barred, s.186",IF(T32&gt;=200000,"₹2,00,000 or more in cash against this invoice: barred, s.186",IF(AND(P32="T",H32="Cash",N(J32)&gt;=20000),"Loan of ₹20,000 or more in cash: barred, s.185",IF(AND(P32="D",H32="Cash",N(J32)&gt;=20000),"Cash deposit of ₹20,000 or more: ask your accountant whether s.185 applies",IF(AND(OR(P32="AG",P32="AS"),$E$9&lt;&gt;""),"Advance: also give a GST receipt voucher, s.31(3)(d) and Rule 50","OK"))))))))))))))))</f>
        <v/>
      </c>
      <c r="P32">
        <f>IF(G32="","",IFERROR(VLOOKUP(G32,Lists!$A$2:$B$9,2,FALSE),"?"))</f>
        <v/>
      </c>
      <c r="Q32">
        <f>IF(K32="Cancelled",0,N(J32))</f>
        <v/>
      </c>
      <c r="R32">
        <f>IF(OR(H32&lt;&gt;"Cash",P32="T",P32="D"),0,Q32)</f>
        <v/>
      </c>
      <c r="S32">
        <f>IF(R32=0,0,SUMIFS($R$18:$R$317,$B$18:$B$317,B32,$D$18:$D$317,D32))</f>
        <v/>
      </c>
      <c r="T32">
        <f>IF(OR(R32=0,E32=""),0,SUMIFS($R$18:$R$317,$E$18:$E$317,E32))</f>
        <v/>
      </c>
      <c r="U32">
        <f>IF(E32="","",IF(N(F32)&gt;0,F32,IFERROR(INDEX($F$18:$F$317,MATCH(E32,$E$18:$E$317,0)),"")))</f>
        <v/>
      </c>
      <c r="V32">
        <f>IF(OR(N32="",N32="OK",K32="Cancelled"),0,1)</f>
        <v/>
      </c>
    </row>
    <row r="33">
      <c r="B33" s="21" t="n"/>
      <c r="C33" s="22">
        <f>IF(B33="","",$E$10&amp;TEXT(N($E$11)+15,"000"))</f>
        <v/>
      </c>
      <c r="D33" s="14" t="n"/>
      <c r="E33" s="23" t="n"/>
      <c r="F33" s="24" t="n"/>
      <c r="G33" s="14" t="n"/>
      <c r="H33" s="14" t="n"/>
      <c r="I33" s="23" t="n"/>
      <c r="J33" s="24" t="n"/>
      <c r="K33" s="23" t="n"/>
      <c r="L33" s="25">
        <f>IF(OR(E33="",N(U33)=0),"",U33-SUMIFS(Q$18:Q33,E$18:E33,E33))</f>
        <v/>
      </c>
      <c r="M33" s="26">
        <f>IF(OR(N(J33)=0,K33="Cancelled"),"",IF(AND(N(J33)&gt;5000,P33&lt;&gt;"G"),"Yes: ₹1","No"))</f>
        <v/>
      </c>
      <c r="N33" s="27">
        <f>IF(AND(B33="",D33="",N(J33)=0),"",IF(B33="","Enter the date",IF(AND(ROW()&gt;18,B32=""),"Use the next empty row: a skipped row leaves a gap in the receipt numbers",IF(D33="","Enter who paid",IF(N(J33)=0,"Enter the amount",IF(G33="","Pick what the money was for",IF(P33="?","Pick what it was for from the list",IF(H33="","Pick how it was paid",IF(K33="Cancelled","Cancelled: keep this number unused and give a fresh receipt",IF(AND(H33&lt;&gt;"Cash",I33=""),"Enter the cheque no., UTR or UPI reference",IF(AND(L33&lt;&gt;"",N(L33)&lt;0),"More than the balance due on this invoice",IF(S33&gt;=200000,"₹2,00,000 or more in cash from this person today: barred, s.186",IF(T33&gt;=200000,"₹2,00,000 or more in cash against this invoice: barred, s.186",IF(AND(P33="T",H33="Cash",N(J33)&gt;=20000),"Loan of ₹20,000 or more in cash: barred, s.185",IF(AND(P33="D",H33="Cash",N(J33)&gt;=20000),"Cash deposit of ₹20,000 or more: ask your accountant whether s.185 applies",IF(AND(OR(P33="AG",P33="AS"),$E$9&lt;&gt;""),"Advance: also give a GST receipt voucher, s.31(3)(d) and Rule 50","OK"))))))))))))))))</f>
        <v/>
      </c>
      <c r="P33">
        <f>IF(G33="","",IFERROR(VLOOKUP(G33,Lists!$A$2:$B$9,2,FALSE),"?"))</f>
        <v/>
      </c>
      <c r="Q33">
        <f>IF(K33="Cancelled",0,N(J33))</f>
        <v/>
      </c>
      <c r="R33">
        <f>IF(OR(H33&lt;&gt;"Cash",P33="T",P33="D"),0,Q33)</f>
        <v/>
      </c>
      <c r="S33">
        <f>IF(R33=0,0,SUMIFS($R$18:$R$317,$B$18:$B$317,B33,$D$18:$D$317,D33))</f>
        <v/>
      </c>
      <c r="T33">
        <f>IF(OR(R33=0,E33=""),0,SUMIFS($R$18:$R$317,$E$18:$E$317,E33))</f>
        <v/>
      </c>
      <c r="U33">
        <f>IF(E33="","",IF(N(F33)&gt;0,F33,IFERROR(INDEX($F$18:$F$317,MATCH(E33,$E$18:$E$317,0)),"")))</f>
        <v/>
      </c>
      <c r="V33">
        <f>IF(OR(N33="",N33="OK",K33="Cancelled"),0,1)</f>
        <v/>
      </c>
    </row>
    <row r="34">
      <c r="B34" s="21" t="n"/>
      <c r="C34" s="22">
        <f>IF(B34="","",$E$10&amp;TEXT(N($E$11)+16,"000"))</f>
        <v/>
      </c>
      <c r="D34" s="14" t="n"/>
      <c r="E34" s="23" t="n"/>
      <c r="F34" s="24" t="n"/>
      <c r="G34" s="14" t="n"/>
      <c r="H34" s="14" t="n"/>
      <c r="I34" s="23" t="n"/>
      <c r="J34" s="24" t="n"/>
      <c r="K34" s="23" t="n"/>
      <c r="L34" s="25">
        <f>IF(OR(E34="",N(U34)=0),"",U34-SUMIFS(Q$18:Q34,E$18:E34,E34))</f>
        <v/>
      </c>
      <c r="M34" s="26">
        <f>IF(OR(N(J34)=0,K34="Cancelled"),"",IF(AND(N(J34)&gt;5000,P34&lt;&gt;"G"),"Yes: ₹1","No"))</f>
        <v/>
      </c>
      <c r="N34" s="27">
        <f>IF(AND(B34="",D34="",N(J34)=0),"",IF(B34="","Enter the date",IF(AND(ROW()&gt;18,B33=""),"Use the next empty row: a skipped row leaves a gap in the receipt numbers",IF(D34="","Enter who paid",IF(N(J34)=0,"Enter the amount",IF(G34="","Pick what the money was for",IF(P34="?","Pick what it was for from the list",IF(H34="","Pick how it was paid",IF(K34="Cancelled","Cancelled: keep this number unused and give a fresh receipt",IF(AND(H34&lt;&gt;"Cash",I34=""),"Enter the cheque no., UTR or UPI reference",IF(AND(L34&lt;&gt;"",N(L34)&lt;0),"More than the balance due on this invoice",IF(S34&gt;=200000,"₹2,00,000 or more in cash from this person today: barred, s.186",IF(T34&gt;=200000,"₹2,00,000 or more in cash against this invoice: barred, s.186",IF(AND(P34="T",H34="Cash",N(J34)&gt;=20000),"Loan of ₹20,000 or more in cash: barred, s.185",IF(AND(P34="D",H34="Cash",N(J34)&gt;=20000),"Cash deposit of ₹20,000 or more: ask your accountant whether s.185 applies",IF(AND(OR(P34="AG",P34="AS"),$E$9&lt;&gt;""),"Advance: also give a GST receipt voucher, s.31(3)(d) and Rule 50","OK"))))))))))))))))</f>
        <v/>
      </c>
      <c r="P34">
        <f>IF(G34="","",IFERROR(VLOOKUP(G34,Lists!$A$2:$B$9,2,FALSE),"?"))</f>
        <v/>
      </c>
      <c r="Q34">
        <f>IF(K34="Cancelled",0,N(J34))</f>
        <v/>
      </c>
      <c r="R34">
        <f>IF(OR(H34&lt;&gt;"Cash",P34="T",P34="D"),0,Q34)</f>
        <v/>
      </c>
      <c r="S34">
        <f>IF(R34=0,0,SUMIFS($R$18:$R$317,$B$18:$B$317,B34,$D$18:$D$317,D34))</f>
        <v/>
      </c>
      <c r="T34">
        <f>IF(OR(R34=0,E34=""),0,SUMIFS($R$18:$R$317,$E$18:$E$317,E34))</f>
        <v/>
      </c>
      <c r="U34">
        <f>IF(E34="","",IF(N(F34)&gt;0,F34,IFERROR(INDEX($F$18:$F$317,MATCH(E34,$E$18:$E$317,0)),"")))</f>
        <v/>
      </c>
      <c r="V34">
        <f>IF(OR(N34="",N34="OK",K34="Cancelled"),0,1)</f>
        <v/>
      </c>
    </row>
    <row r="35">
      <c r="B35" s="21" t="n"/>
      <c r="C35" s="22">
        <f>IF(B35="","",$E$10&amp;TEXT(N($E$11)+17,"000"))</f>
        <v/>
      </c>
      <c r="D35" s="14" t="n"/>
      <c r="E35" s="23" t="n"/>
      <c r="F35" s="24" t="n"/>
      <c r="G35" s="14" t="n"/>
      <c r="H35" s="14" t="n"/>
      <c r="I35" s="23" t="n"/>
      <c r="J35" s="24" t="n"/>
      <c r="K35" s="23" t="n"/>
      <c r="L35" s="25">
        <f>IF(OR(E35="",N(U35)=0),"",U35-SUMIFS(Q$18:Q35,E$18:E35,E35))</f>
        <v/>
      </c>
      <c r="M35" s="26">
        <f>IF(OR(N(J35)=0,K35="Cancelled"),"",IF(AND(N(J35)&gt;5000,P35&lt;&gt;"G"),"Yes: ₹1","No"))</f>
        <v/>
      </c>
      <c r="N35" s="27">
        <f>IF(AND(B35="",D35="",N(J35)=0),"",IF(B35="","Enter the date",IF(AND(ROW()&gt;18,B34=""),"Use the next empty row: a skipped row leaves a gap in the receipt numbers",IF(D35="","Enter who paid",IF(N(J35)=0,"Enter the amount",IF(G35="","Pick what the money was for",IF(P35="?","Pick what it was for from the list",IF(H35="","Pick how it was paid",IF(K35="Cancelled","Cancelled: keep this number unused and give a fresh receipt",IF(AND(H35&lt;&gt;"Cash",I35=""),"Enter the cheque no., UTR or UPI reference",IF(AND(L35&lt;&gt;"",N(L35)&lt;0),"More than the balance due on this invoice",IF(S35&gt;=200000,"₹2,00,000 or more in cash from this person today: barred, s.186",IF(T35&gt;=200000,"₹2,00,000 or more in cash against this invoice: barred, s.186",IF(AND(P35="T",H35="Cash",N(J35)&gt;=20000),"Loan of ₹20,000 or more in cash: barred, s.185",IF(AND(P35="D",H35="Cash",N(J35)&gt;=20000),"Cash deposit of ₹20,000 or more: ask your accountant whether s.185 applies",IF(AND(OR(P35="AG",P35="AS"),$E$9&lt;&gt;""),"Advance: also give a GST receipt voucher, s.31(3)(d) and Rule 50","OK"))))))))))))))))</f>
        <v/>
      </c>
      <c r="P35">
        <f>IF(G35="","",IFERROR(VLOOKUP(G35,Lists!$A$2:$B$9,2,FALSE),"?"))</f>
        <v/>
      </c>
      <c r="Q35">
        <f>IF(K35="Cancelled",0,N(J35))</f>
        <v/>
      </c>
      <c r="R35">
        <f>IF(OR(H35&lt;&gt;"Cash",P35="T",P35="D"),0,Q35)</f>
        <v/>
      </c>
      <c r="S35">
        <f>IF(R35=0,0,SUMIFS($R$18:$R$317,$B$18:$B$317,B35,$D$18:$D$317,D35))</f>
        <v/>
      </c>
      <c r="T35">
        <f>IF(OR(R35=0,E35=""),0,SUMIFS($R$18:$R$317,$E$18:$E$317,E35))</f>
        <v/>
      </c>
      <c r="U35">
        <f>IF(E35="","",IF(N(F35)&gt;0,F35,IFERROR(INDEX($F$18:$F$317,MATCH(E35,$E$18:$E$317,0)),"")))</f>
        <v/>
      </c>
      <c r="V35">
        <f>IF(OR(N35="",N35="OK",K35="Cancelled"),0,1)</f>
        <v/>
      </c>
    </row>
    <row r="36">
      <c r="B36" s="21" t="n"/>
      <c r="C36" s="22">
        <f>IF(B36="","",$E$10&amp;TEXT(N($E$11)+18,"000"))</f>
        <v/>
      </c>
      <c r="D36" s="14" t="n"/>
      <c r="E36" s="23" t="n"/>
      <c r="F36" s="24" t="n"/>
      <c r="G36" s="14" t="n"/>
      <c r="H36" s="14" t="n"/>
      <c r="I36" s="23" t="n"/>
      <c r="J36" s="24" t="n"/>
      <c r="K36" s="23" t="n"/>
      <c r="L36" s="25">
        <f>IF(OR(E36="",N(U36)=0),"",U36-SUMIFS(Q$18:Q36,E$18:E36,E36))</f>
        <v/>
      </c>
      <c r="M36" s="26">
        <f>IF(OR(N(J36)=0,K36="Cancelled"),"",IF(AND(N(J36)&gt;5000,P36&lt;&gt;"G"),"Yes: ₹1","No"))</f>
        <v/>
      </c>
      <c r="N36" s="27">
        <f>IF(AND(B36="",D36="",N(J36)=0),"",IF(B36="","Enter the date",IF(AND(ROW()&gt;18,B35=""),"Use the next empty row: a skipped row leaves a gap in the receipt numbers",IF(D36="","Enter who paid",IF(N(J36)=0,"Enter the amount",IF(G36="","Pick what the money was for",IF(P36="?","Pick what it was for from the list",IF(H36="","Pick how it was paid",IF(K36="Cancelled","Cancelled: keep this number unused and give a fresh receipt",IF(AND(H36&lt;&gt;"Cash",I36=""),"Enter the cheque no., UTR or UPI reference",IF(AND(L36&lt;&gt;"",N(L36)&lt;0),"More than the balance due on this invoice",IF(S36&gt;=200000,"₹2,00,000 or more in cash from this person today: barred, s.186",IF(T36&gt;=200000,"₹2,00,000 or more in cash against this invoice: barred, s.186",IF(AND(P36="T",H36="Cash",N(J36)&gt;=20000),"Loan of ₹20,000 or more in cash: barred, s.185",IF(AND(P36="D",H36="Cash",N(J36)&gt;=20000),"Cash deposit of ₹20,000 or more: ask your accountant whether s.185 applies",IF(AND(OR(P36="AG",P36="AS"),$E$9&lt;&gt;""),"Advance: also give a GST receipt voucher, s.31(3)(d) and Rule 50","OK"))))))))))))))))</f>
        <v/>
      </c>
      <c r="P36">
        <f>IF(G36="","",IFERROR(VLOOKUP(G36,Lists!$A$2:$B$9,2,FALSE),"?"))</f>
        <v/>
      </c>
      <c r="Q36">
        <f>IF(K36="Cancelled",0,N(J36))</f>
        <v/>
      </c>
      <c r="R36">
        <f>IF(OR(H36&lt;&gt;"Cash",P36="T",P36="D"),0,Q36)</f>
        <v/>
      </c>
      <c r="S36">
        <f>IF(R36=0,0,SUMIFS($R$18:$R$317,$B$18:$B$317,B36,$D$18:$D$317,D36))</f>
        <v/>
      </c>
      <c r="T36">
        <f>IF(OR(R36=0,E36=""),0,SUMIFS($R$18:$R$317,$E$18:$E$317,E36))</f>
        <v/>
      </c>
      <c r="U36">
        <f>IF(E36="","",IF(N(F36)&gt;0,F36,IFERROR(INDEX($F$18:$F$317,MATCH(E36,$E$18:$E$317,0)),"")))</f>
        <v/>
      </c>
      <c r="V36">
        <f>IF(OR(N36="",N36="OK",K36="Cancelled"),0,1)</f>
        <v/>
      </c>
    </row>
    <row r="37">
      <c r="B37" s="21" t="n"/>
      <c r="C37" s="22">
        <f>IF(B37="","",$E$10&amp;TEXT(N($E$11)+19,"000"))</f>
        <v/>
      </c>
      <c r="D37" s="14" t="n"/>
      <c r="E37" s="23" t="n"/>
      <c r="F37" s="24" t="n"/>
      <c r="G37" s="14" t="n"/>
      <c r="H37" s="14" t="n"/>
      <c r="I37" s="23" t="n"/>
      <c r="J37" s="24" t="n"/>
      <c r="K37" s="23" t="n"/>
      <c r="L37" s="25">
        <f>IF(OR(E37="",N(U37)=0),"",U37-SUMIFS(Q$18:Q37,E$18:E37,E37))</f>
        <v/>
      </c>
      <c r="M37" s="26">
        <f>IF(OR(N(J37)=0,K37="Cancelled"),"",IF(AND(N(J37)&gt;5000,P37&lt;&gt;"G"),"Yes: ₹1","No"))</f>
        <v/>
      </c>
      <c r="N37" s="27">
        <f>IF(AND(B37="",D37="",N(J37)=0),"",IF(B37="","Enter the date",IF(AND(ROW()&gt;18,B36=""),"Use the next empty row: a skipped row leaves a gap in the receipt numbers",IF(D37="","Enter who paid",IF(N(J37)=0,"Enter the amount",IF(G37="","Pick what the money was for",IF(P37="?","Pick what it was for from the list",IF(H37="","Pick how it was paid",IF(K37="Cancelled","Cancelled: keep this number unused and give a fresh receipt",IF(AND(H37&lt;&gt;"Cash",I37=""),"Enter the cheque no., UTR or UPI reference",IF(AND(L37&lt;&gt;"",N(L37)&lt;0),"More than the balance due on this invoice",IF(S37&gt;=200000,"₹2,00,000 or more in cash from this person today: barred, s.186",IF(T37&gt;=200000,"₹2,00,000 or more in cash against this invoice: barred, s.186",IF(AND(P37="T",H37="Cash",N(J37)&gt;=20000),"Loan of ₹20,000 or more in cash: barred, s.185",IF(AND(P37="D",H37="Cash",N(J37)&gt;=20000),"Cash deposit of ₹20,000 or more: ask your accountant whether s.185 applies",IF(AND(OR(P37="AG",P37="AS"),$E$9&lt;&gt;""),"Advance: also give a GST receipt voucher, s.31(3)(d) and Rule 50","OK"))))))))))))))))</f>
        <v/>
      </c>
      <c r="P37">
        <f>IF(G37="","",IFERROR(VLOOKUP(G37,Lists!$A$2:$B$9,2,FALSE),"?"))</f>
        <v/>
      </c>
      <c r="Q37">
        <f>IF(K37="Cancelled",0,N(J37))</f>
        <v/>
      </c>
      <c r="R37">
        <f>IF(OR(H37&lt;&gt;"Cash",P37="T",P37="D"),0,Q37)</f>
        <v/>
      </c>
      <c r="S37">
        <f>IF(R37=0,0,SUMIFS($R$18:$R$317,$B$18:$B$317,B37,$D$18:$D$317,D37))</f>
        <v/>
      </c>
      <c r="T37">
        <f>IF(OR(R37=0,E37=""),0,SUMIFS($R$18:$R$317,$E$18:$E$317,E37))</f>
        <v/>
      </c>
      <c r="U37">
        <f>IF(E37="","",IF(N(F37)&gt;0,F37,IFERROR(INDEX($F$18:$F$317,MATCH(E37,$E$18:$E$317,0)),"")))</f>
        <v/>
      </c>
      <c r="V37">
        <f>IF(OR(N37="",N37="OK",K37="Cancelled"),0,1)</f>
        <v/>
      </c>
    </row>
    <row r="38">
      <c r="B38" s="21" t="n"/>
      <c r="C38" s="22">
        <f>IF(B38="","",$E$10&amp;TEXT(N($E$11)+20,"000"))</f>
        <v/>
      </c>
      <c r="D38" s="14" t="n"/>
      <c r="E38" s="23" t="n"/>
      <c r="F38" s="24" t="n"/>
      <c r="G38" s="14" t="n"/>
      <c r="H38" s="14" t="n"/>
      <c r="I38" s="23" t="n"/>
      <c r="J38" s="24" t="n"/>
      <c r="K38" s="23" t="n"/>
      <c r="L38" s="25">
        <f>IF(OR(E38="",N(U38)=0),"",U38-SUMIFS(Q$18:Q38,E$18:E38,E38))</f>
        <v/>
      </c>
      <c r="M38" s="26">
        <f>IF(OR(N(J38)=0,K38="Cancelled"),"",IF(AND(N(J38)&gt;5000,P38&lt;&gt;"G"),"Yes: ₹1","No"))</f>
        <v/>
      </c>
      <c r="N38" s="27">
        <f>IF(AND(B38="",D38="",N(J38)=0),"",IF(B38="","Enter the date",IF(AND(ROW()&gt;18,B37=""),"Use the next empty row: a skipped row leaves a gap in the receipt numbers",IF(D38="","Enter who paid",IF(N(J38)=0,"Enter the amount",IF(G38="","Pick what the money was for",IF(P38="?","Pick what it was for from the list",IF(H38="","Pick how it was paid",IF(K38="Cancelled","Cancelled: keep this number unused and give a fresh receipt",IF(AND(H38&lt;&gt;"Cash",I38=""),"Enter the cheque no., UTR or UPI reference",IF(AND(L38&lt;&gt;"",N(L38)&lt;0),"More than the balance due on this invoice",IF(S38&gt;=200000,"₹2,00,000 or more in cash from this person today: barred, s.186",IF(T38&gt;=200000,"₹2,00,000 or more in cash against this invoice: barred, s.186",IF(AND(P38="T",H38="Cash",N(J38)&gt;=20000),"Loan of ₹20,000 or more in cash: barred, s.185",IF(AND(P38="D",H38="Cash",N(J38)&gt;=20000),"Cash deposit of ₹20,000 or more: ask your accountant whether s.185 applies",IF(AND(OR(P38="AG",P38="AS"),$E$9&lt;&gt;""),"Advance: also give a GST receipt voucher, s.31(3)(d) and Rule 50","OK"))))))))))))))))</f>
        <v/>
      </c>
      <c r="P38">
        <f>IF(G38="","",IFERROR(VLOOKUP(G38,Lists!$A$2:$B$9,2,FALSE),"?"))</f>
        <v/>
      </c>
      <c r="Q38">
        <f>IF(K38="Cancelled",0,N(J38))</f>
        <v/>
      </c>
      <c r="R38">
        <f>IF(OR(H38&lt;&gt;"Cash",P38="T",P38="D"),0,Q38)</f>
        <v/>
      </c>
      <c r="S38">
        <f>IF(R38=0,0,SUMIFS($R$18:$R$317,$B$18:$B$317,B38,$D$18:$D$317,D38))</f>
        <v/>
      </c>
      <c r="T38">
        <f>IF(OR(R38=0,E38=""),0,SUMIFS($R$18:$R$317,$E$18:$E$317,E38))</f>
        <v/>
      </c>
      <c r="U38">
        <f>IF(E38="","",IF(N(F38)&gt;0,F38,IFERROR(INDEX($F$18:$F$317,MATCH(E38,$E$18:$E$317,0)),"")))</f>
        <v/>
      </c>
      <c r="V38">
        <f>IF(OR(N38="",N38="OK",K38="Cancelled"),0,1)</f>
        <v/>
      </c>
    </row>
    <row r="39">
      <c r="B39" s="21" t="n"/>
      <c r="C39" s="22">
        <f>IF(B39="","",$E$10&amp;TEXT(N($E$11)+21,"000"))</f>
        <v/>
      </c>
      <c r="D39" s="14" t="n"/>
      <c r="E39" s="23" t="n"/>
      <c r="F39" s="24" t="n"/>
      <c r="G39" s="14" t="n"/>
      <c r="H39" s="14" t="n"/>
      <c r="I39" s="23" t="n"/>
      <c r="J39" s="24" t="n"/>
      <c r="K39" s="23" t="n"/>
      <c r="L39" s="25">
        <f>IF(OR(E39="",N(U39)=0),"",U39-SUMIFS(Q$18:Q39,E$18:E39,E39))</f>
        <v/>
      </c>
      <c r="M39" s="26">
        <f>IF(OR(N(J39)=0,K39="Cancelled"),"",IF(AND(N(J39)&gt;5000,P39&lt;&gt;"G"),"Yes: ₹1","No"))</f>
        <v/>
      </c>
      <c r="N39" s="27">
        <f>IF(AND(B39="",D39="",N(J39)=0),"",IF(B39="","Enter the date",IF(AND(ROW()&gt;18,B38=""),"Use the next empty row: a skipped row leaves a gap in the receipt numbers",IF(D39="","Enter who paid",IF(N(J39)=0,"Enter the amount",IF(G39="","Pick what the money was for",IF(P39="?","Pick what it was for from the list",IF(H39="","Pick how it was paid",IF(K39="Cancelled","Cancelled: keep this number unused and give a fresh receipt",IF(AND(H39&lt;&gt;"Cash",I39=""),"Enter the cheque no., UTR or UPI reference",IF(AND(L39&lt;&gt;"",N(L39)&lt;0),"More than the balance due on this invoice",IF(S39&gt;=200000,"₹2,00,000 or more in cash from this person today: barred, s.186",IF(T39&gt;=200000,"₹2,00,000 or more in cash against this invoice: barred, s.186",IF(AND(P39="T",H39="Cash",N(J39)&gt;=20000),"Loan of ₹20,000 or more in cash: barred, s.185",IF(AND(P39="D",H39="Cash",N(J39)&gt;=20000),"Cash deposit of ₹20,000 or more: ask your accountant whether s.185 applies",IF(AND(OR(P39="AG",P39="AS"),$E$9&lt;&gt;""),"Advance: also give a GST receipt voucher, s.31(3)(d) and Rule 50","OK"))))))))))))))))</f>
        <v/>
      </c>
      <c r="P39">
        <f>IF(G39="","",IFERROR(VLOOKUP(G39,Lists!$A$2:$B$9,2,FALSE),"?"))</f>
        <v/>
      </c>
      <c r="Q39">
        <f>IF(K39="Cancelled",0,N(J39))</f>
        <v/>
      </c>
      <c r="R39">
        <f>IF(OR(H39&lt;&gt;"Cash",P39="T",P39="D"),0,Q39)</f>
        <v/>
      </c>
      <c r="S39">
        <f>IF(R39=0,0,SUMIFS($R$18:$R$317,$B$18:$B$317,B39,$D$18:$D$317,D39))</f>
        <v/>
      </c>
      <c r="T39">
        <f>IF(OR(R39=0,E39=""),0,SUMIFS($R$18:$R$317,$E$18:$E$317,E39))</f>
        <v/>
      </c>
      <c r="U39">
        <f>IF(E39="","",IF(N(F39)&gt;0,F39,IFERROR(INDEX($F$18:$F$317,MATCH(E39,$E$18:$E$317,0)),"")))</f>
        <v/>
      </c>
      <c r="V39">
        <f>IF(OR(N39="",N39="OK",K39="Cancelled"),0,1)</f>
        <v/>
      </c>
    </row>
    <row r="40">
      <c r="B40" s="21" t="n"/>
      <c r="C40" s="22">
        <f>IF(B40="","",$E$10&amp;TEXT(N($E$11)+22,"000"))</f>
        <v/>
      </c>
      <c r="D40" s="14" t="n"/>
      <c r="E40" s="23" t="n"/>
      <c r="F40" s="24" t="n"/>
      <c r="G40" s="14" t="n"/>
      <c r="H40" s="14" t="n"/>
      <c r="I40" s="23" t="n"/>
      <c r="J40" s="24" t="n"/>
      <c r="K40" s="23" t="n"/>
      <c r="L40" s="25">
        <f>IF(OR(E40="",N(U40)=0),"",U40-SUMIFS(Q$18:Q40,E$18:E40,E40))</f>
        <v/>
      </c>
      <c r="M40" s="26">
        <f>IF(OR(N(J40)=0,K40="Cancelled"),"",IF(AND(N(J40)&gt;5000,P40&lt;&gt;"G"),"Yes: ₹1","No"))</f>
        <v/>
      </c>
      <c r="N40" s="27">
        <f>IF(AND(B40="",D40="",N(J40)=0),"",IF(B40="","Enter the date",IF(AND(ROW()&gt;18,B39=""),"Use the next empty row: a skipped row leaves a gap in the receipt numbers",IF(D40="","Enter who paid",IF(N(J40)=0,"Enter the amount",IF(G40="","Pick what the money was for",IF(P40="?","Pick what it was for from the list",IF(H40="","Pick how it was paid",IF(K40="Cancelled","Cancelled: keep this number unused and give a fresh receipt",IF(AND(H40&lt;&gt;"Cash",I40=""),"Enter the cheque no., UTR or UPI reference",IF(AND(L40&lt;&gt;"",N(L40)&lt;0),"More than the balance due on this invoice",IF(S40&gt;=200000,"₹2,00,000 or more in cash from this person today: barred, s.186",IF(T40&gt;=200000,"₹2,00,000 or more in cash against this invoice: barred, s.186",IF(AND(P40="T",H40="Cash",N(J40)&gt;=20000),"Loan of ₹20,000 or more in cash: barred, s.185",IF(AND(P40="D",H40="Cash",N(J40)&gt;=20000),"Cash deposit of ₹20,000 or more: ask your accountant whether s.185 applies",IF(AND(OR(P40="AG",P40="AS"),$E$9&lt;&gt;""),"Advance: also give a GST receipt voucher, s.31(3)(d) and Rule 50","OK"))))))))))))))))</f>
        <v/>
      </c>
      <c r="P40">
        <f>IF(G40="","",IFERROR(VLOOKUP(G40,Lists!$A$2:$B$9,2,FALSE),"?"))</f>
        <v/>
      </c>
      <c r="Q40">
        <f>IF(K40="Cancelled",0,N(J40))</f>
        <v/>
      </c>
      <c r="R40">
        <f>IF(OR(H40&lt;&gt;"Cash",P40="T",P40="D"),0,Q40)</f>
        <v/>
      </c>
      <c r="S40">
        <f>IF(R40=0,0,SUMIFS($R$18:$R$317,$B$18:$B$317,B40,$D$18:$D$317,D40))</f>
        <v/>
      </c>
      <c r="T40">
        <f>IF(OR(R40=0,E40=""),0,SUMIFS($R$18:$R$317,$E$18:$E$317,E40))</f>
        <v/>
      </c>
      <c r="U40">
        <f>IF(E40="","",IF(N(F40)&gt;0,F40,IFERROR(INDEX($F$18:$F$317,MATCH(E40,$E$18:$E$317,0)),"")))</f>
        <v/>
      </c>
      <c r="V40">
        <f>IF(OR(N40="",N40="OK",K40="Cancelled"),0,1)</f>
        <v/>
      </c>
    </row>
    <row r="41">
      <c r="B41" s="21" t="n"/>
      <c r="C41" s="22">
        <f>IF(B41="","",$E$10&amp;TEXT(N($E$11)+23,"000"))</f>
        <v/>
      </c>
      <c r="D41" s="14" t="n"/>
      <c r="E41" s="23" t="n"/>
      <c r="F41" s="24" t="n"/>
      <c r="G41" s="14" t="n"/>
      <c r="H41" s="14" t="n"/>
      <c r="I41" s="23" t="n"/>
      <c r="J41" s="24" t="n"/>
      <c r="K41" s="23" t="n"/>
      <c r="L41" s="25">
        <f>IF(OR(E41="",N(U41)=0),"",U41-SUMIFS(Q$18:Q41,E$18:E41,E41))</f>
        <v/>
      </c>
      <c r="M41" s="26">
        <f>IF(OR(N(J41)=0,K41="Cancelled"),"",IF(AND(N(J41)&gt;5000,P41&lt;&gt;"G"),"Yes: ₹1","No"))</f>
        <v/>
      </c>
      <c r="N41" s="27">
        <f>IF(AND(B41="",D41="",N(J41)=0),"",IF(B41="","Enter the date",IF(AND(ROW()&gt;18,B40=""),"Use the next empty row: a skipped row leaves a gap in the receipt numbers",IF(D41="","Enter who paid",IF(N(J41)=0,"Enter the amount",IF(G41="","Pick what the money was for",IF(P41="?","Pick what it was for from the list",IF(H41="","Pick how it was paid",IF(K41="Cancelled","Cancelled: keep this number unused and give a fresh receipt",IF(AND(H41&lt;&gt;"Cash",I41=""),"Enter the cheque no., UTR or UPI reference",IF(AND(L41&lt;&gt;"",N(L41)&lt;0),"More than the balance due on this invoice",IF(S41&gt;=200000,"₹2,00,000 or more in cash from this person today: barred, s.186",IF(T41&gt;=200000,"₹2,00,000 or more in cash against this invoice: barred, s.186",IF(AND(P41="T",H41="Cash",N(J41)&gt;=20000),"Loan of ₹20,000 or more in cash: barred, s.185",IF(AND(P41="D",H41="Cash",N(J41)&gt;=20000),"Cash deposit of ₹20,000 or more: ask your accountant whether s.185 applies",IF(AND(OR(P41="AG",P41="AS"),$E$9&lt;&gt;""),"Advance: also give a GST receipt voucher, s.31(3)(d) and Rule 50","OK"))))))))))))))))</f>
        <v/>
      </c>
      <c r="P41">
        <f>IF(G41="","",IFERROR(VLOOKUP(G41,Lists!$A$2:$B$9,2,FALSE),"?"))</f>
        <v/>
      </c>
      <c r="Q41">
        <f>IF(K41="Cancelled",0,N(J41))</f>
        <v/>
      </c>
      <c r="R41">
        <f>IF(OR(H41&lt;&gt;"Cash",P41="T",P41="D"),0,Q41)</f>
        <v/>
      </c>
      <c r="S41">
        <f>IF(R41=0,0,SUMIFS($R$18:$R$317,$B$18:$B$317,B41,$D$18:$D$317,D41))</f>
        <v/>
      </c>
      <c r="T41">
        <f>IF(OR(R41=0,E41=""),0,SUMIFS($R$18:$R$317,$E$18:$E$317,E41))</f>
        <v/>
      </c>
      <c r="U41">
        <f>IF(E41="","",IF(N(F41)&gt;0,F41,IFERROR(INDEX($F$18:$F$317,MATCH(E41,$E$18:$E$317,0)),"")))</f>
        <v/>
      </c>
      <c r="V41">
        <f>IF(OR(N41="",N41="OK",K41="Cancelled"),0,1)</f>
        <v/>
      </c>
    </row>
    <row r="42">
      <c r="B42" s="21" t="n"/>
      <c r="C42" s="22">
        <f>IF(B42="","",$E$10&amp;TEXT(N($E$11)+24,"000"))</f>
        <v/>
      </c>
      <c r="D42" s="14" t="n"/>
      <c r="E42" s="23" t="n"/>
      <c r="F42" s="24" t="n"/>
      <c r="G42" s="14" t="n"/>
      <c r="H42" s="14" t="n"/>
      <c r="I42" s="23" t="n"/>
      <c r="J42" s="24" t="n"/>
      <c r="K42" s="23" t="n"/>
      <c r="L42" s="25">
        <f>IF(OR(E42="",N(U42)=0),"",U42-SUMIFS(Q$18:Q42,E$18:E42,E42))</f>
        <v/>
      </c>
      <c r="M42" s="26">
        <f>IF(OR(N(J42)=0,K42="Cancelled"),"",IF(AND(N(J42)&gt;5000,P42&lt;&gt;"G"),"Yes: ₹1","No"))</f>
        <v/>
      </c>
      <c r="N42" s="27">
        <f>IF(AND(B42="",D42="",N(J42)=0),"",IF(B42="","Enter the date",IF(AND(ROW()&gt;18,B41=""),"Use the next empty row: a skipped row leaves a gap in the receipt numbers",IF(D42="","Enter who paid",IF(N(J42)=0,"Enter the amount",IF(G42="","Pick what the money was for",IF(P42="?","Pick what it was for from the list",IF(H42="","Pick how it was paid",IF(K42="Cancelled","Cancelled: keep this number unused and give a fresh receipt",IF(AND(H42&lt;&gt;"Cash",I42=""),"Enter the cheque no., UTR or UPI reference",IF(AND(L42&lt;&gt;"",N(L42)&lt;0),"More than the balance due on this invoice",IF(S42&gt;=200000,"₹2,00,000 or more in cash from this person today: barred, s.186",IF(T42&gt;=200000,"₹2,00,000 or more in cash against this invoice: barred, s.186",IF(AND(P42="T",H42="Cash",N(J42)&gt;=20000),"Loan of ₹20,000 or more in cash: barred, s.185",IF(AND(P42="D",H42="Cash",N(J42)&gt;=20000),"Cash deposit of ₹20,000 or more: ask your accountant whether s.185 applies",IF(AND(OR(P42="AG",P42="AS"),$E$9&lt;&gt;""),"Advance: also give a GST receipt voucher, s.31(3)(d) and Rule 50","OK"))))))))))))))))</f>
        <v/>
      </c>
      <c r="P42">
        <f>IF(G42="","",IFERROR(VLOOKUP(G42,Lists!$A$2:$B$9,2,FALSE),"?"))</f>
        <v/>
      </c>
      <c r="Q42">
        <f>IF(K42="Cancelled",0,N(J42))</f>
        <v/>
      </c>
      <c r="R42">
        <f>IF(OR(H42&lt;&gt;"Cash",P42="T",P42="D"),0,Q42)</f>
        <v/>
      </c>
      <c r="S42">
        <f>IF(R42=0,0,SUMIFS($R$18:$R$317,$B$18:$B$317,B42,$D$18:$D$317,D42))</f>
        <v/>
      </c>
      <c r="T42">
        <f>IF(OR(R42=0,E42=""),0,SUMIFS($R$18:$R$317,$E$18:$E$317,E42))</f>
        <v/>
      </c>
      <c r="U42">
        <f>IF(E42="","",IF(N(F42)&gt;0,F42,IFERROR(INDEX($F$18:$F$317,MATCH(E42,$E$18:$E$317,0)),"")))</f>
        <v/>
      </c>
      <c r="V42">
        <f>IF(OR(N42="",N42="OK",K42="Cancelled"),0,1)</f>
        <v/>
      </c>
    </row>
    <row r="43">
      <c r="B43" s="21" t="n"/>
      <c r="C43" s="22">
        <f>IF(B43="","",$E$10&amp;TEXT(N($E$11)+25,"000"))</f>
        <v/>
      </c>
      <c r="D43" s="14" t="n"/>
      <c r="E43" s="23" t="n"/>
      <c r="F43" s="24" t="n"/>
      <c r="G43" s="14" t="n"/>
      <c r="H43" s="14" t="n"/>
      <c r="I43" s="23" t="n"/>
      <c r="J43" s="24" t="n"/>
      <c r="K43" s="23" t="n"/>
      <c r="L43" s="25">
        <f>IF(OR(E43="",N(U43)=0),"",U43-SUMIFS(Q$18:Q43,E$18:E43,E43))</f>
        <v/>
      </c>
      <c r="M43" s="26">
        <f>IF(OR(N(J43)=0,K43="Cancelled"),"",IF(AND(N(J43)&gt;5000,P43&lt;&gt;"G"),"Yes: ₹1","No"))</f>
        <v/>
      </c>
      <c r="N43" s="27">
        <f>IF(AND(B43="",D43="",N(J43)=0),"",IF(B43="","Enter the date",IF(AND(ROW()&gt;18,B42=""),"Use the next empty row: a skipped row leaves a gap in the receipt numbers",IF(D43="","Enter who paid",IF(N(J43)=0,"Enter the amount",IF(G43="","Pick what the money was for",IF(P43="?","Pick what it was for from the list",IF(H43="","Pick how it was paid",IF(K43="Cancelled","Cancelled: keep this number unused and give a fresh receipt",IF(AND(H43&lt;&gt;"Cash",I43=""),"Enter the cheque no., UTR or UPI reference",IF(AND(L43&lt;&gt;"",N(L43)&lt;0),"More than the balance due on this invoice",IF(S43&gt;=200000,"₹2,00,000 or more in cash from this person today: barred, s.186",IF(T43&gt;=200000,"₹2,00,000 or more in cash against this invoice: barred, s.186",IF(AND(P43="T",H43="Cash",N(J43)&gt;=20000),"Loan of ₹20,000 or more in cash: barred, s.185",IF(AND(P43="D",H43="Cash",N(J43)&gt;=20000),"Cash deposit of ₹20,000 or more: ask your accountant whether s.185 applies",IF(AND(OR(P43="AG",P43="AS"),$E$9&lt;&gt;""),"Advance: also give a GST receipt voucher, s.31(3)(d) and Rule 50","OK"))))))))))))))))</f>
        <v/>
      </c>
      <c r="P43">
        <f>IF(G43="","",IFERROR(VLOOKUP(G43,Lists!$A$2:$B$9,2,FALSE),"?"))</f>
        <v/>
      </c>
      <c r="Q43">
        <f>IF(K43="Cancelled",0,N(J43))</f>
        <v/>
      </c>
      <c r="R43">
        <f>IF(OR(H43&lt;&gt;"Cash",P43="T",P43="D"),0,Q43)</f>
        <v/>
      </c>
      <c r="S43">
        <f>IF(R43=0,0,SUMIFS($R$18:$R$317,$B$18:$B$317,B43,$D$18:$D$317,D43))</f>
        <v/>
      </c>
      <c r="T43">
        <f>IF(OR(R43=0,E43=""),0,SUMIFS($R$18:$R$317,$E$18:$E$317,E43))</f>
        <v/>
      </c>
      <c r="U43">
        <f>IF(E43="","",IF(N(F43)&gt;0,F43,IFERROR(INDEX($F$18:$F$317,MATCH(E43,$E$18:$E$317,0)),"")))</f>
        <v/>
      </c>
      <c r="V43">
        <f>IF(OR(N43="",N43="OK",K43="Cancelled"),0,1)</f>
        <v/>
      </c>
    </row>
    <row r="44">
      <c r="B44" s="21" t="n"/>
      <c r="C44" s="22">
        <f>IF(B44="","",$E$10&amp;TEXT(N($E$11)+26,"000"))</f>
        <v/>
      </c>
      <c r="D44" s="14" t="n"/>
      <c r="E44" s="23" t="n"/>
      <c r="F44" s="24" t="n"/>
      <c r="G44" s="14" t="n"/>
      <c r="H44" s="14" t="n"/>
      <c r="I44" s="23" t="n"/>
      <c r="J44" s="24" t="n"/>
      <c r="K44" s="23" t="n"/>
      <c r="L44" s="25">
        <f>IF(OR(E44="",N(U44)=0),"",U44-SUMIFS(Q$18:Q44,E$18:E44,E44))</f>
        <v/>
      </c>
      <c r="M44" s="26">
        <f>IF(OR(N(J44)=0,K44="Cancelled"),"",IF(AND(N(J44)&gt;5000,P44&lt;&gt;"G"),"Yes: ₹1","No"))</f>
        <v/>
      </c>
      <c r="N44" s="27">
        <f>IF(AND(B44="",D44="",N(J44)=0),"",IF(B44="","Enter the date",IF(AND(ROW()&gt;18,B43=""),"Use the next empty row: a skipped row leaves a gap in the receipt numbers",IF(D44="","Enter who paid",IF(N(J44)=0,"Enter the amount",IF(G44="","Pick what the money was for",IF(P44="?","Pick what it was for from the list",IF(H44="","Pick how it was paid",IF(K44="Cancelled","Cancelled: keep this number unused and give a fresh receipt",IF(AND(H44&lt;&gt;"Cash",I44=""),"Enter the cheque no., UTR or UPI reference",IF(AND(L44&lt;&gt;"",N(L44)&lt;0),"More than the balance due on this invoice",IF(S44&gt;=200000,"₹2,00,000 or more in cash from this person today: barred, s.186",IF(T44&gt;=200000,"₹2,00,000 or more in cash against this invoice: barred, s.186",IF(AND(P44="T",H44="Cash",N(J44)&gt;=20000),"Loan of ₹20,000 or more in cash: barred, s.185",IF(AND(P44="D",H44="Cash",N(J44)&gt;=20000),"Cash deposit of ₹20,000 or more: ask your accountant whether s.185 applies",IF(AND(OR(P44="AG",P44="AS"),$E$9&lt;&gt;""),"Advance: also give a GST receipt voucher, s.31(3)(d) and Rule 50","OK"))))))))))))))))</f>
        <v/>
      </c>
      <c r="P44">
        <f>IF(G44="","",IFERROR(VLOOKUP(G44,Lists!$A$2:$B$9,2,FALSE),"?"))</f>
        <v/>
      </c>
      <c r="Q44">
        <f>IF(K44="Cancelled",0,N(J44))</f>
        <v/>
      </c>
      <c r="R44">
        <f>IF(OR(H44&lt;&gt;"Cash",P44="T",P44="D"),0,Q44)</f>
        <v/>
      </c>
      <c r="S44">
        <f>IF(R44=0,0,SUMIFS($R$18:$R$317,$B$18:$B$317,B44,$D$18:$D$317,D44))</f>
        <v/>
      </c>
      <c r="T44">
        <f>IF(OR(R44=0,E44=""),0,SUMIFS($R$18:$R$317,$E$18:$E$317,E44))</f>
        <v/>
      </c>
      <c r="U44">
        <f>IF(E44="","",IF(N(F44)&gt;0,F44,IFERROR(INDEX($F$18:$F$317,MATCH(E44,$E$18:$E$317,0)),"")))</f>
        <v/>
      </c>
      <c r="V44">
        <f>IF(OR(N44="",N44="OK",K44="Cancelled"),0,1)</f>
        <v/>
      </c>
    </row>
    <row r="45">
      <c r="B45" s="21" t="n"/>
      <c r="C45" s="22">
        <f>IF(B45="","",$E$10&amp;TEXT(N($E$11)+27,"000"))</f>
        <v/>
      </c>
      <c r="D45" s="14" t="n"/>
      <c r="E45" s="23" t="n"/>
      <c r="F45" s="24" t="n"/>
      <c r="G45" s="14" t="n"/>
      <c r="H45" s="14" t="n"/>
      <c r="I45" s="23" t="n"/>
      <c r="J45" s="24" t="n"/>
      <c r="K45" s="23" t="n"/>
      <c r="L45" s="25">
        <f>IF(OR(E45="",N(U45)=0),"",U45-SUMIFS(Q$18:Q45,E$18:E45,E45))</f>
        <v/>
      </c>
      <c r="M45" s="26">
        <f>IF(OR(N(J45)=0,K45="Cancelled"),"",IF(AND(N(J45)&gt;5000,P45&lt;&gt;"G"),"Yes: ₹1","No"))</f>
        <v/>
      </c>
      <c r="N45" s="27">
        <f>IF(AND(B45="",D45="",N(J45)=0),"",IF(B45="","Enter the date",IF(AND(ROW()&gt;18,B44=""),"Use the next empty row: a skipped row leaves a gap in the receipt numbers",IF(D45="","Enter who paid",IF(N(J45)=0,"Enter the amount",IF(G45="","Pick what the money was for",IF(P45="?","Pick what it was for from the list",IF(H45="","Pick how it was paid",IF(K45="Cancelled","Cancelled: keep this number unused and give a fresh receipt",IF(AND(H45&lt;&gt;"Cash",I45=""),"Enter the cheque no., UTR or UPI reference",IF(AND(L45&lt;&gt;"",N(L45)&lt;0),"More than the balance due on this invoice",IF(S45&gt;=200000,"₹2,00,000 or more in cash from this person today: barred, s.186",IF(T45&gt;=200000,"₹2,00,000 or more in cash against this invoice: barred, s.186",IF(AND(P45="T",H45="Cash",N(J45)&gt;=20000),"Loan of ₹20,000 or more in cash: barred, s.185",IF(AND(P45="D",H45="Cash",N(J45)&gt;=20000),"Cash deposit of ₹20,000 or more: ask your accountant whether s.185 applies",IF(AND(OR(P45="AG",P45="AS"),$E$9&lt;&gt;""),"Advance: also give a GST receipt voucher, s.31(3)(d) and Rule 50","OK"))))))))))))))))</f>
        <v/>
      </c>
      <c r="P45">
        <f>IF(G45="","",IFERROR(VLOOKUP(G45,Lists!$A$2:$B$9,2,FALSE),"?"))</f>
        <v/>
      </c>
      <c r="Q45">
        <f>IF(K45="Cancelled",0,N(J45))</f>
        <v/>
      </c>
      <c r="R45">
        <f>IF(OR(H45&lt;&gt;"Cash",P45="T",P45="D"),0,Q45)</f>
        <v/>
      </c>
      <c r="S45">
        <f>IF(R45=0,0,SUMIFS($R$18:$R$317,$B$18:$B$317,B45,$D$18:$D$317,D45))</f>
        <v/>
      </c>
      <c r="T45">
        <f>IF(OR(R45=0,E45=""),0,SUMIFS($R$18:$R$317,$E$18:$E$317,E45))</f>
        <v/>
      </c>
      <c r="U45">
        <f>IF(E45="","",IF(N(F45)&gt;0,F45,IFERROR(INDEX($F$18:$F$317,MATCH(E45,$E$18:$E$317,0)),"")))</f>
        <v/>
      </c>
      <c r="V45">
        <f>IF(OR(N45="",N45="OK",K45="Cancelled"),0,1)</f>
        <v/>
      </c>
    </row>
    <row r="46">
      <c r="B46" s="21" t="n"/>
      <c r="C46" s="22">
        <f>IF(B46="","",$E$10&amp;TEXT(N($E$11)+28,"000"))</f>
        <v/>
      </c>
      <c r="D46" s="14" t="n"/>
      <c r="E46" s="23" t="n"/>
      <c r="F46" s="24" t="n"/>
      <c r="G46" s="14" t="n"/>
      <c r="H46" s="14" t="n"/>
      <c r="I46" s="23" t="n"/>
      <c r="J46" s="24" t="n"/>
      <c r="K46" s="23" t="n"/>
      <c r="L46" s="25">
        <f>IF(OR(E46="",N(U46)=0),"",U46-SUMIFS(Q$18:Q46,E$18:E46,E46))</f>
        <v/>
      </c>
      <c r="M46" s="26">
        <f>IF(OR(N(J46)=0,K46="Cancelled"),"",IF(AND(N(J46)&gt;5000,P46&lt;&gt;"G"),"Yes: ₹1","No"))</f>
        <v/>
      </c>
      <c r="N46" s="27">
        <f>IF(AND(B46="",D46="",N(J46)=0),"",IF(B46="","Enter the date",IF(AND(ROW()&gt;18,B45=""),"Use the next empty row: a skipped row leaves a gap in the receipt numbers",IF(D46="","Enter who paid",IF(N(J46)=0,"Enter the amount",IF(G46="","Pick what the money was for",IF(P46="?","Pick what it was for from the list",IF(H46="","Pick how it was paid",IF(K46="Cancelled","Cancelled: keep this number unused and give a fresh receipt",IF(AND(H46&lt;&gt;"Cash",I46=""),"Enter the cheque no., UTR or UPI reference",IF(AND(L46&lt;&gt;"",N(L46)&lt;0),"More than the balance due on this invoice",IF(S46&gt;=200000,"₹2,00,000 or more in cash from this person today: barred, s.186",IF(T46&gt;=200000,"₹2,00,000 or more in cash against this invoice: barred, s.186",IF(AND(P46="T",H46="Cash",N(J46)&gt;=20000),"Loan of ₹20,000 or more in cash: barred, s.185",IF(AND(P46="D",H46="Cash",N(J46)&gt;=20000),"Cash deposit of ₹20,000 or more: ask your accountant whether s.185 applies",IF(AND(OR(P46="AG",P46="AS"),$E$9&lt;&gt;""),"Advance: also give a GST receipt voucher, s.31(3)(d) and Rule 50","OK"))))))))))))))))</f>
        <v/>
      </c>
      <c r="P46">
        <f>IF(G46="","",IFERROR(VLOOKUP(G46,Lists!$A$2:$B$9,2,FALSE),"?"))</f>
        <v/>
      </c>
      <c r="Q46">
        <f>IF(K46="Cancelled",0,N(J46))</f>
        <v/>
      </c>
      <c r="R46">
        <f>IF(OR(H46&lt;&gt;"Cash",P46="T",P46="D"),0,Q46)</f>
        <v/>
      </c>
      <c r="S46">
        <f>IF(R46=0,0,SUMIFS($R$18:$R$317,$B$18:$B$317,B46,$D$18:$D$317,D46))</f>
        <v/>
      </c>
      <c r="T46">
        <f>IF(OR(R46=0,E46=""),0,SUMIFS($R$18:$R$317,$E$18:$E$317,E46))</f>
        <v/>
      </c>
      <c r="U46">
        <f>IF(E46="","",IF(N(F46)&gt;0,F46,IFERROR(INDEX($F$18:$F$317,MATCH(E46,$E$18:$E$317,0)),"")))</f>
        <v/>
      </c>
      <c r="V46">
        <f>IF(OR(N46="",N46="OK",K46="Cancelled"),0,1)</f>
        <v/>
      </c>
    </row>
    <row r="47">
      <c r="B47" s="21" t="n"/>
      <c r="C47" s="22">
        <f>IF(B47="","",$E$10&amp;TEXT(N($E$11)+29,"000"))</f>
        <v/>
      </c>
      <c r="D47" s="14" t="n"/>
      <c r="E47" s="23" t="n"/>
      <c r="F47" s="24" t="n"/>
      <c r="G47" s="14" t="n"/>
      <c r="H47" s="14" t="n"/>
      <c r="I47" s="23" t="n"/>
      <c r="J47" s="24" t="n"/>
      <c r="K47" s="23" t="n"/>
      <c r="L47" s="25">
        <f>IF(OR(E47="",N(U47)=0),"",U47-SUMIFS(Q$18:Q47,E$18:E47,E47))</f>
        <v/>
      </c>
      <c r="M47" s="26">
        <f>IF(OR(N(J47)=0,K47="Cancelled"),"",IF(AND(N(J47)&gt;5000,P47&lt;&gt;"G"),"Yes: ₹1","No"))</f>
        <v/>
      </c>
      <c r="N47" s="27">
        <f>IF(AND(B47="",D47="",N(J47)=0),"",IF(B47="","Enter the date",IF(AND(ROW()&gt;18,B46=""),"Use the next empty row: a skipped row leaves a gap in the receipt numbers",IF(D47="","Enter who paid",IF(N(J47)=0,"Enter the amount",IF(G47="","Pick what the money was for",IF(P47="?","Pick what it was for from the list",IF(H47="","Pick how it was paid",IF(K47="Cancelled","Cancelled: keep this number unused and give a fresh receipt",IF(AND(H47&lt;&gt;"Cash",I47=""),"Enter the cheque no., UTR or UPI reference",IF(AND(L47&lt;&gt;"",N(L47)&lt;0),"More than the balance due on this invoice",IF(S47&gt;=200000,"₹2,00,000 or more in cash from this person today: barred, s.186",IF(T47&gt;=200000,"₹2,00,000 or more in cash against this invoice: barred, s.186",IF(AND(P47="T",H47="Cash",N(J47)&gt;=20000),"Loan of ₹20,000 or more in cash: barred, s.185",IF(AND(P47="D",H47="Cash",N(J47)&gt;=20000),"Cash deposit of ₹20,000 or more: ask your accountant whether s.185 applies",IF(AND(OR(P47="AG",P47="AS"),$E$9&lt;&gt;""),"Advance: also give a GST receipt voucher, s.31(3)(d) and Rule 50","OK"))))))))))))))))</f>
        <v/>
      </c>
      <c r="P47">
        <f>IF(G47="","",IFERROR(VLOOKUP(G47,Lists!$A$2:$B$9,2,FALSE),"?"))</f>
        <v/>
      </c>
      <c r="Q47">
        <f>IF(K47="Cancelled",0,N(J47))</f>
        <v/>
      </c>
      <c r="R47">
        <f>IF(OR(H47&lt;&gt;"Cash",P47="T",P47="D"),0,Q47)</f>
        <v/>
      </c>
      <c r="S47">
        <f>IF(R47=0,0,SUMIFS($R$18:$R$317,$B$18:$B$317,B47,$D$18:$D$317,D47))</f>
        <v/>
      </c>
      <c r="T47">
        <f>IF(OR(R47=0,E47=""),0,SUMIFS($R$18:$R$317,$E$18:$E$317,E47))</f>
        <v/>
      </c>
      <c r="U47">
        <f>IF(E47="","",IF(N(F47)&gt;0,F47,IFERROR(INDEX($F$18:$F$317,MATCH(E47,$E$18:$E$317,0)),"")))</f>
        <v/>
      </c>
      <c r="V47">
        <f>IF(OR(N47="",N47="OK",K47="Cancelled"),0,1)</f>
        <v/>
      </c>
    </row>
    <row r="48">
      <c r="B48" s="21" t="n"/>
      <c r="C48" s="22">
        <f>IF(B48="","",$E$10&amp;TEXT(N($E$11)+30,"000"))</f>
        <v/>
      </c>
      <c r="D48" s="14" t="n"/>
      <c r="E48" s="23" t="n"/>
      <c r="F48" s="24" t="n"/>
      <c r="G48" s="14" t="n"/>
      <c r="H48" s="14" t="n"/>
      <c r="I48" s="23" t="n"/>
      <c r="J48" s="24" t="n"/>
      <c r="K48" s="23" t="n"/>
      <c r="L48" s="25">
        <f>IF(OR(E48="",N(U48)=0),"",U48-SUMIFS(Q$18:Q48,E$18:E48,E48))</f>
        <v/>
      </c>
      <c r="M48" s="26">
        <f>IF(OR(N(J48)=0,K48="Cancelled"),"",IF(AND(N(J48)&gt;5000,P48&lt;&gt;"G"),"Yes: ₹1","No"))</f>
        <v/>
      </c>
      <c r="N48" s="27">
        <f>IF(AND(B48="",D48="",N(J48)=0),"",IF(B48="","Enter the date",IF(AND(ROW()&gt;18,B47=""),"Use the next empty row: a skipped row leaves a gap in the receipt numbers",IF(D48="","Enter who paid",IF(N(J48)=0,"Enter the amount",IF(G48="","Pick what the money was for",IF(P48="?","Pick what it was for from the list",IF(H48="","Pick how it was paid",IF(K48="Cancelled","Cancelled: keep this number unused and give a fresh receipt",IF(AND(H48&lt;&gt;"Cash",I48=""),"Enter the cheque no., UTR or UPI reference",IF(AND(L48&lt;&gt;"",N(L48)&lt;0),"More than the balance due on this invoice",IF(S48&gt;=200000,"₹2,00,000 or more in cash from this person today: barred, s.186",IF(T48&gt;=200000,"₹2,00,000 or more in cash against this invoice: barred, s.186",IF(AND(P48="T",H48="Cash",N(J48)&gt;=20000),"Loan of ₹20,000 or more in cash: barred, s.185",IF(AND(P48="D",H48="Cash",N(J48)&gt;=20000),"Cash deposit of ₹20,000 or more: ask your accountant whether s.185 applies",IF(AND(OR(P48="AG",P48="AS"),$E$9&lt;&gt;""),"Advance: also give a GST receipt voucher, s.31(3)(d) and Rule 50","OK"))))))))))))))))</f>
        <v/>
      </c>
      <c r="P48">
        <f>IF(G48="","",IFERROR(VLOOKUP(G48,Lists!$A$2:$B$9,2,FALSE),"?"))</f>
        <v/>
      </c>
      <c r="Q48">
        <f>IF(K48="Cancelled",0,N(J48))</f>
        <v/>
      </c>
      <c r="R48">
        <f>IF(OR(H48&lt;&gt;"Cash",P48="T",P48="D"),0,Q48)</f>
        <v/>
      </c>
      <c r="S48">
        <f>IF(R48=0,0,SUMIFS($R$18:$R$317,$B$18:$B$317,B48,$D$18:$D$317,D48))</f>
        <v/>
      </c>
      <c r="T48">
        <f>IF(OR(R48=0,E48=""),0,SUMIFS($R$18:$R$317,$E$18:$E$317,E48))</f>
        <v/>
      </c>
      <c r="U48">
        <f>IF(E48="","",IF(N(F48)&gt;0,F48,IFERROR(INDEX($F$18:$F$317,MATCH(E48,$E$18:$E$317,0)),"")))</f>
        <v/>
      </c>
      <c r="V48">
        <f>IF(OR(N48="",N48="OK",K48="Cancelled"),0,1)</f>
        <v/>
      </c>
    </row>
    <row r="49">
      <c r="B49" s="21" t="n"/>
      <c r="C49" s="22">
        <f>IF(B49="","",$E$10&amp;TEXT(N($E$11)+31,"000"))</f>
        <v/>
      </c>
      <c r="D49" s="14" t="n"/>
      <c r="E49" s="23" t="n"/>
      <c r="F49" s="24" t="n"/>
      <c r="G49" s="14" t="n"/>
      <c r="H49" s="14" t="n"/>
      <c r="I49" s="23" t="n"/>
      <c r="J49" s="24" t="n"/>
      <c r="K49" s="23" t="n"/>
      <c r="L49" s="25">
        <f>IF(OR(E49="",N(U49)=0),"",U49-SUMIFS(Q$18:Q49,E$18:E49,E49))</f>
        <v/>
      </c>
      <c r="M49" s="26">
        <f>IF(OR(N(J49)=0,K49="Cancelled"),"",IF(AND(N(J49)&gt;5000,P49&lt;&gt;"G"),"Yes: ₹1","No"))</f>
        <v/>
      </c>
      <c r="N49" s="27">
        <f>IF(AND(B49="",D49="",N(J49)=0),"",IF(B49="","Enter the date",IF(AND(ROW()&gt;18,B48=""),"Use the next empty row: a skipped row leaves a gap in the receipt numbers",IF(D49="","Enter who paid",IF(N(J49)=0,"Enter the amount",IF(G49="","Pick what the money was for",IF(P49="?","Pick what it was for from the list",IF(H49="","Pick how it was paid",IF(K49="Cancelled","Cancelled: keep this number unused and give a fresh receipt",IF(AND(H49&lt;&gt;"Cash",I49=""),"Enter the cheque no., UTR or UPI reference",IF(AND(L49&lt;&gt;"",N(L49)&lt;0),"More than the balance due on this invoice",IF(S49&gt;=200000,"₹2,00,000 or more in cash from this person today: barred, s.186",IF(T49&gt;=200000,"₹2,00,000 or more in cash against this invoice: barred, s.186",IF(AND(P49="T",H49="Cash",N(J49)&gt;=20000),"Loan of ₹20,000 or more in cash: barred, s.185",IF(AND(P49="D",H49="Cash",N(J49)&gt;=20000),"Cash deposit of ₹20,000 or more: ask your accountant whether s.185 applies",IF(AND(OR(P49="AG",P49="AS"),$E$9&lt;&gt;""),"Advance: also give a GST receipt voucher, s.31(3)(d) and Rule 50","OK"))))))))))))))))</f>
        <v/>
      </c>
      <c r="P49">
        <f>IF(G49="","",IFERROR(VLOOKUP(G49,Lists!$A$2:$B$9,2,FALSE),"?"))</f>
        <v/>
      </c>
      <c r="Q49">
        <f>IF(K49="Cancelled",0,N(J49))</f>
        <v/>
      </c>
      <c r="R49">
        <f>IF(OR(H49&lt;&gt;"Cash",P49="T",P49="D"),0,Q49)</f>
        <v/>
      </c>
      <c r="S49">
        <f>IF(R49=0,0,SUMIFS($R$18:$R$317,$B$18:$B$317,B49,$D$18:$D$317,D49))</f>
        <v/>
      </c>
      <c r="T49">
        <f>IF(OR(R49=0,E49=""),0,SUMIFS($R$18:$R$317,$E$18:$E$317,E49))</f>
        <v/>
      </c>
      <c r="U49">
        <f>IF(E49="","",IF(N(F49)&gt;0,F49,IFERROR(INDEX($F$18:$F$317,MATCH(E49,$E$18:$E$317,0)),"")))</f>
        <v/>
      </c>
      <c r="V49">
        <f>IF(OR(N49="",N49="OK",K49="Cancelled"),0,1)</f>
        <v/>
      </c>
    </row>
    <row r="50">
      <c r="B50" s="21" t="n"/>
      <c r="C50" s="22">
        <f>IF(B50="","",$E$10&amp;TEXT(N($E$11)+32,"000"))</f>
        <v/>
      </c>
      <c r="D50" s="14" t="n"/>
      <c r="E50" s="23" t="n"/>
      <c r="F50" s="24" t="n"/>
      <c r="G50" s="14" t="n"/>
      <c r="H50" s="14" t="n"/>
      <c r="I50" s="23" t="n"/>
      <c r="J50" s="24" t="n"/>
      <c r="K50" s="23" t="n"/>
      <c r="L50" s="25">
        <f>IF(OR(E50="",N(U50)=0),"",U50-SUMIFS(Q$18:Q50,E$18:E50,E50))</f>
        <v/>
      </c>
      <c r="M50" s="26">
        <f>IF(OR(N(J50)=0,K50="Cancelled"),"",IF(AND(N(J50)&gt;5000,P50&lt;&gt;"G"),"Yes: ₹1","No"))</f>
        <v/>
      </c>
      <c r="N50" s="27">
        <f>IF(AND(B50="",D50="",N(J50)=0),"",IF(B50="","Enter the date",IF(AND(ROW()&gt;18,B49=""),"Use the next empty row: a skipped row leaves a gap in the receipt numbers",IF(D50="","Enter who paid",IF(N(J50)=0,"Enter the amount",IF(G50="","Pick what the money was for",IF(P50="?","Pick what it was for from the list",IF(H50="","Pick how it was paid",IF(K50="Cancelled","Cancelled: keep this number unused and give a fresh receipt",IF(AND(H50&lt;&gt;"Cash",I50=""),"Enter the cheque no., UTR or UPI reference",IF(AND(L50&lt;&gt;"",N(L50)&lt;0),"More than the balance due on this invoice",IF(S50&gt;=200000,"₹2,00,000 or more in cash from this person today: barred, s.186",IF(T50&gt;=200000,"₹2,00,000 or more in cash against this invoice: barred, s.186",IF(AND(P50="T",H50="Cash",N(J50)&gt;=20000),"Loan of ₹20,000 or more in cash: barred, s.185",IF(AND(P50="D",H50="Cash",N(J50)&gt;=20000),"Cash deposit of ₹20,000 or more: ask your accountant whether s.185 applies",IF(AND(OR(P50="AG",P50="AS"),$E$9&lt;&gt;""),"Advance: also give a GST receipt voucher, s.31(3)(d) and Rule 50","OK"))))))))))))))))</f>
        <v/>
      </c>
      <c r="P50">
        <f>IF(G50="","",IFERROR(VLOOKUP(G50,Lists!$A$2:$B$9,2,FALSE),"?"))</f>
        <v/>
      </c>
      <c r="Q50">
        <f>IF(K50="Cancelled",0,N(J50))</f>
        <v/>
      </c>
      <c r="R50">
        <f>IF(OR(H50&lt;&gt;"Cash",P50="T",P50="D"),0,Q50)</f>
        <v/>
      </c>
      <c r="S50">
        <f>IF(R50=0,0,SUMIFS($R$18:$R$317,$B$18:$B$317,B50,$D$18:$D$317,D50))</f>
        <v/>
      </c>
      <c r="T50">
        <f>IF(OR(R50=0,E50=""),0,SUMIFS($R$18:$R$317,$E$18:$E$317,E50))</f>
        <v/>
      </c>
      <c r="U50">
        <f>IF(E50="","",IF(N(F50)&gt;0,F50,IFERROR(INDEX($F$18:$F$317,MATCH(E50,$E$18:$E$317,0)),"")))</f>
        <v/>
      </c>
      <c r="V50">
        <f>IF(OR(N50="",N50="OK",K50="Cancelled"),0,1)</f>
        <v/>
      </c>
    </row>
    <row r="51">
      <c r="B51" s="21" t="n"/>
      <c r="C51" s="22">
        <f>IF(B51="","",$E$10&amp;TEXT(N($E$11)+33,"000"))</f>
        <v/>
      </c>
      <c r="D51" s="14" t="n"/>
      <c r="E51" s="23" t="n"/>
      <c r="F51" s="24" t="n"/>
      <c r="G51" s="14" t="n"/>
      <c r="H51" s="14" t="n"/>
      <c r="I51" s="23" t="n"/>
      <c r="J51" s="24" t="n"/>
      <c r="K51" s="23" t="n"/>
      <c r="L51" s="25">
        <f>IF(OR(E51="",N(U51)=0),"",U51-SUMIFS(Q$18:Q51,E$18:E51,E51))</f>
        <v/>
      </c>
      <c r="M51" s="26">
        <f>IF(OR(N(J51)=0,K51="Cancelled"),"",IF(AND(N(J51)&gt;5000,P51&lt;&gt;"G"),"Yes: ₹1","No"))</f>
        <v/>
      </c>
      <c r="N51" s="27">
        <f>IF(AND(B51="",D51="",N(J51)=0),"",IF(B51="","Enter the date",IF(AND(ROW()&gt;18,B50=""),"Use the next empty row: a skipped row leaves a gap in the receipt numbers",IF(D51="","Enter who paid",IF(N(J51)=0,"Enter the amount",IF(G51="","Pick what the money was for",IF(P51="?","Pick what it was for from the list",IF(H51="","Pick how it was paid",IF(K51="Cancelled","Cancelled: keep this number unused and give a fresh receipt",IF(AND(H51&lt;&gt;"Cash",I51=""),"Enter the cheque no., UTR or UPI reference",IF(AND(L51&lt;&gt;"",N(L51)&lt;0),"More than the balance due on this invoice",IF(S51&gt;=200000,"₹2,00,000 or more in cash from this person today: barred, s.186",IF(T51&gt;=200000,"₹2,00,000 or more in cash against this invoice: barred, s.186",IF(AND(P51="T",H51="Cash",N(J51)&gt;=20000),"Loan of ₹20,000 or more in cash: barred, s.185",IF(AND(P51="D",H51="Cash",N(J51)&gt;=20000),"Cash deposit of ₹20,000 or more: ask your accountant whether s.185 applies",IF(AND(OR(P51="AG",P51="AS"),$E$9&lt;&gt;""),"Advance: also give a GST receipt voucher, s.31(3)(d) and Rule 50","OK"))))))))))))))))</f>
        <v/>
      </c>
      <c r="P51">
        <f>IF(G51="","",IFERROR(VLOOKUP(G51,Lists!$A$2:$B$9,2,FALSE),"?"))</f>
        <v/>
      </c>
      <c r="Q51">
        <f>IF(K51="Cancelled",0,N(J51))</f>
        <v/>
      </c>
      <c r="R51">
        <f>IF(OR(H51&lt;&gt;"Cash",P51="T",P51="D"),0,Q51)</f>
        <v/>
      </c>
      <c r="S51">
        <f>IF(R51=0,0,SUMIFS($R$18:$R$317,$B$18:$B$317,B51,$D$18:$D$317,D51))</f>
        <v/>
      </c>
      <c r="T51">
        <f>IF(OR(R51=0,E51=""),0,SUMIFS($R$18:$R$317,$E$18:$E$317,E51))</f>
        <v/>
      </c>
      <c r="U51">
        <f>IF(E51="","",IF(N(F51)&gt;0,F51,IFERROR(INDEX($F$18:$F$317,MATCH(E51,$E$18:$E$317,0)),"")))</f>
        <v/>
      </c>
      <c r="V51">
        <f>IF(OR(N51="",N51="OK",K51="Cancelled"),0,1)</f>
        <v/>
      </c>
    </row>
    <row r="52">
      <c r="B52" s="21" t="n"/>
      <c r="C52" s="22">
        <f>IF(B52="","",$E$10&amp;TEXT(N($E$11)+34,"000"))</f>
        <v/>
      </c>
      <c r="D52" s="14" t="n"/>
      <c r="E52" s="23" t="n"/>
      <c r="F52" s="24" t="n"/>
      <c r="G52" s="14" t="n"/>
      <c r="H52" s="14" t="n"/>
      <c r="I52" s="23" t="n"/>
      <c r="J52" s="24" t="n"/>
      <c r="K52" s="23" t="n"/>
      <c r="L52" s="25">
        <f>IF(OR(E52="",N(U52)=0),"",U52-SUMIFS(Q$18:Q52,E$18:E52,E52))</f>
        <v/>
      </c>
      <c r="M52" s="26">
        <f>IF(OR(N(J52)=0,K52="Cancelled"),"",IF(AND(N(J52)&gt;5000,P52&lt;&gt;"G"),"Yes: ₹1","No"))</f>
        <v/>
      </c>
      <c r="N52" s="27">
        <f>IF(AND(B52="",D52="",N(J52)=0),"",IF(B52="","Enter the date",IF(AND(ROW()&gt;18,B51=""),"Use the next empty row: a skipped row leaves a gap in the receipt numbers",IF(D52="","Enter who paid",IF(N(J52)=0,"Enter the amount",IF(G52="","Pick what the money was for",IF(P52="?","Pick what it was for from the list",IF(H52="","Pick how it was paid",IF(K52="Cancelled","Cancelled: keep this number unused and give a fresh receipt",IF(AND(H52&lt;&gt;"Cash",I52=""),"Enter the cheque no., UTR or UPI reference",IF(AND(L52&lt;&gt;"",N(L52)&lt;0),"More than the balance due on this invoice",IF(S52&gt;=200000,"₹2,00,000 or more in cash from this person today: barred, s.186",IF(T52&gt;=200000,"₹2,00,000 or more in cash against this invoice: barred, s.186",IF(AND(P52="T",H52="Cash",N(J52)&gt;=20000),"Loan of ₹20,000 or more in cash: barred, s.185",IF(AND(P52="D",H52="Cash",N(J52)&gt;=20000),"Cash deposit of ₹20,000 or more: ask your accountant whether s.185 applies",IF(AND(OR(P52="AG",P52="AS"),$E$9&lt;&gt;""),"Advance: also give a GST receipt voucher, s.31(3)(d) and Rule 50","OK"))))))))))))))))</f>
        <v/>
      </c>
      <c r="P52">
        <f>IF(G52="","",IFERROR(VLOOKUP(G52,Lists!$A$2:$B$9,2,FALSE),"?"))</f>
        <v/>
      </c>
      <c r="Q52">
        <f>IF(K52="Cancelled",0,N(J52))</f>
        <v/>
      </c>
      <c r="R52">
        <f>IF(OR(H52&lt;&gt;"Cash",P52="T",P52="D"),0,Q52)</f>
        <v/>
      </c>
      <c r="S52">
        <f>IF(R52=0,0,SUMIFS($R$18:$R$317,$B$18:$B$317,B52,$D$18:$D$317,D52))</f>
        <v/>
      </c>
      <c r="T52">
        <f>IF(OR(R52=0,E52=""),0,SUMIFS($R$18:$R$317,$E$18:$E$317,E52))</f>
        <v/>
      </c>
      <c r="U52">
        <f>IF(E52="","",IF(N(F52)&gt;0,F52,IFERROR(INDEX($F$18:$F$317,MATCH(E52,$E$18:$E$317,0)),"")))</f>
        <v/>
      </c>
      <c r="V52">
        <f>IF(OR(N52="",N52="OK",K52="Cancelled"),0,1)</f>
        <v/>
      </c>
    </row>
    <row r="53">
      <c r="B53" s="21" t="n"/>
      <c r="C53" s="22">
        <f>IF(B53="","",$E$10&amp;TEXT(N($E$11)+35,"000"))</f>
        <v/>
      </c>
      <c r="D53" s="14" t="n"/>
      <c r="E53" s="23" t="n"/>
      <c r="F53" s="24" t="n"/>
      <c r="G53" s="14" t="n"/>
      <c r="H53" s="14" t="n"/>
      <c r="I53" s="23" t="n"/>
      <c r="J53" s="24" t="n"/>
      <c r="K53" s="23" t="n"/>
      <c r="L53" s="25">
        <f>IF(OR(E53="",N(U53)=0),"",U53-SUMIFS(Q$18:Q53,E$18:E53,E53))</f>
        <v/>
      </c>
      <c r="M53" s="26">
        <f>IF(OR(N(J53)=0,K53="Cancelled"),"",IF(AND(N(J53)&gt;5000,P53&lt;&gt;"G"),"Yes: ₹1","No"))</f>
        <v/>
      </c>
      <c r="N53" s="27">
        <f>IF(AND(B53="",D53="",N(J53)=0),"",IF(B53="","Enter the date",IF(AND(ROW()&gt;18,B52=""),"Use the next empty row: a skipped row leaves a gap in the receipt numbers",IF(D53="","Enter who paid",IF(N(J53)=0,"Enter the amount",IF(G53="","Pick what the money was for",IF(P53="?","Pick what it was for from the list",IF(H53="","Pick how it was paid",IF(K53="Cancelled","Cancelled: keep this number unused and give a fresh receipt",IF(AND(H53&lt;&gt;"Cash",I53=""),"Enter the cheque no., UTR or UPI reference",IF(AND(L53&lt;&gt;"",N(L53)&lt;0),"More than the balance due on this invoice",IF(S53&gt;=200000,"₹2,00,000 or more in cash from this person today: barred, s.186",IF(T53&gt;=200000,"₹2,00,000 or more in cash against this invoice: barred, s.186",IF(AND(P53="T",H53="Cash",N(J53)&gt;=20000),"Loan of ₹20,000 or more in cash: barred, s.185",IF(AND(P53="D",H53="Cash",N(J53)&gt;=20000),"Cash deposit of ₹20,000 or more: ask your accountant whether s.185 applies",IF(AND(OR(P53="AG",P53="AS"),$E$9&lt;&gt;""),"Advance: also give a GST receipt voucher, s.31(3)(d) and Rule 50","OK"))))))))))))))))</f>
        <v/>
      </c>
      <c r="P53">
        <f>IF(G53="","",IFERROR(VLOOKUP(G53,Lists!$A$2:$B$9,2,FALSE),"?"))</f>
        <v/>
      </c>
      <c r="Q53">
        <f>IF(K53="Cancelled",0,N(J53))</f>
        <v/>
      </c>
      <c r="R53">
        <f>IF(OR(H53&lt;&gt;"Cash",P53="T",P53="D"),0,Q53)</f>
        <v/>
      </c>
      <c r="S53">
        <f>IF(R53=0,0,SUMIFS($R$18:$R$317,$B$18:$B$317,B53,$D$18:$D$317,D53))</f>
        <v/>
      </c>
      <c r="T53">
        <f>IF(OR(R53=0,E53=""),0,SUMIFS($R$18:$R$317,$E$18:$E$317,E53))</f>
        <v/>
      </c>
      <c r="U53">
        <f>IF(E53="","",IF(N(F53)&gt;0,F53,IFERROR(INDEX($F$18:$F$317,MATCH(E53,$E$18:$E$317,0)),"")))</f>
        <v/>
      </c>
      <c r="V53">
        <f>IF(OR(N53="",N53="OK",K53="Cancelled"),0,1)</f>
        <v/>
      </c>
    </row>
    <row r="54">
      <c r="B54" s="21" t="n"/>
      <c r="C54" s="22">
        <f>IF(B54="","",$E$10&amp;TEXT(N($E$11)+36,"000"))</f>
        <v/>
      </c>
      <c r="D54" s="14" t="n"/>
      <c r="E54" s="23" t="n"/>
      <c r="F54" s="24" t="n"/>
      <c r="G54" s="14" t="n"/>
      <c r="H54" s="14" t="n"/>
      <c r="I54" s="23" t="n"/>
      <c r="J54" s="24" t="n"/>
      <c r="K54" s="23" t="n"/>
      <c r="L54" s="25">
        <f>IF(OR(E54="",N(U54)=0),"",U54-SUMIFS(Q$18:Q54,E$18:E54,E54))</f>
        <v/>
      </c>
      <c r="M54" s="26">
        <f>IF(OR(N(J54)=0,K54="Cancelled"),"",IF(AND(N(J54)&gt;5000,P54&lt;&gt;"G"),"Yes: ₹1","No"))</f>
        <v/>
      </c>
      <c r="N54" s="27">
        <f>IF(AND(B54="",D54="",N(J54)=0),"",IF(B54="","Enter the date",IF(AND(ROW()&gt;18,B53=""),"Use the next empty row: a skipped row leaves a gap in the receipt numbers",IF(D54="","Enter who paid",IF(N(J54)=0,"Enter the amount",IF(G54="","Pick what the money was for",IF(P54="?","Pick what it was for from the list",IF(H54="","Pick how it was paid",IF(K54="Cancelled","Cancelled: keep this number unused and give a fresh receipt",IF(AND(H54&lt;&gt;"Cash",I54=""),"Enter the cheque no., UTR or UPI reference",IF(AND(L54&lt;&gt;"",N(L54)&lt;0),"More than the balance due on this invoice",IF(S54&gt;=200000,"₹2,00,000 or more in cash from this person today: barred, s.186",IF(T54&gt;=200000,"₹2,00,000 or more in cash against this invoice: barred, s.186",IF(AND(P54="T",H54="Cash",N(J54)&gt;=20000),"Loan of ₹20,000 or more in cash: barred, s.185",IF(AND(P54="D",H54="Cash",N(J54)&gt;=20000),"Cash deposit of ₹20,000 or more: ask your accountant whether s.185 applies",IF(AND(OR(P54="AG",P54="AS"),$E$9&lt;&gt;""),"Advance: also give a GST receipt voucher, s.31(3)(d) and Rule 50","OK"))))))))))))))))</f>
        <v/>
      </c>
      <c r="P54">
        <f>IF(G54="","",IFERROR(VLOOKUP(G54,Lists!$A$2:$B$9,2,FALSE),"?"))</f>
        <v/>
      </c>
      <c r="Q54">
        <f>IF(K54="Cancelled",0,N(J54))</f>
        <v/>
      </c>
      <c r="R54">
        <f>IF(OR(H54&lt;&gt;"Cash",P54="T",P54="D"),0,Q54)</f>
        <v/>
      </c>
      <c r="S54">
        <f>IF(R54=0,0,SUMIFS($R$18:$R$317,$B$18:$B$317,B54,$D$18:$D$317,D54))</f>
        <v/>
      </c>
      <c r="T54">
        <f>IF(OR(R54=0,E54=""),0,SUMIFS($R$18:$R$317,$E$18:$E$317,E54))</f>
        <v/>
      </c>
      <c r="U54">
        <f>IF(E54="","",IF(N(F54)&gt;0,F54,IFERROR(INDEX($F$18:$F$317,MATCH(E54,$E$18:$E$317,0)),"")))</f>
        <v/>
      </c>
      <c r="V54">
        <f>IF(OR(N54="",N54="OK",K54="Cancelled"),0,1)</f>
        <v/>
      </c>
    </row>
    <row r="55">
      <c r="B55" s="21" t="n"/>
      <c r="C55" s="22">
        <f>IF(B55="","",$E$10&amp;TEXT(N($E$11)+37,"000"))</f>
        <v/>
      </c>
      <c r="D55" s="14" t="n"/>
      <c r="E55" s="23" t="n"/>
      <c r="F55" s="24" t="n"/>
      <c r="G55" s="14" t="n"/>
      <c r="H55" s="14" t="n"/>
      <c r="I55" s="23" t="n"/>
      <c r="J55" s="24" t="n"/>
      <c r="K55" s="23" t="n"/>
      <c r="L55" s="25">
        <f>IF(OR(E55="",N(U55)=0),"",U55-SUMIFS(Q$18:Q55,E$18:E55,E55))</f>
        <v/>
      </c>
      <c r="M55" s="26">
        <f>IF(OR(N(J55)=0,K55="Cancelled"),"",IF(AND(N(J55)&gt;5000,P55&lt;&gt;"G"),"Yes: ₹1","No"))</f>
        <v/>
      </c>
      <c r="N55" s="27">
        <f>IF(AND(B55="",D55="",N(J55)=0),"",IF(B55="","Enter the date",IF(AND(ROW()&gt;18,B54=""),"Use the next empty row: a skipped row leaves a gap in the receipt numbers",IF(D55="","Enter who paid",IF(N(J55)=0,"Enter the amount",IF(G55="","Pick what the money was for",IF(P55="?","Pick what it was for from the list",IF(H55="","Pick how it was paid",IF(K55="Cancelled","Cancelled: keep this number unused and give a fresh receipt",IF(AND(H55&lt;&gt;"Cash",I55=""),"Enter the cheque no., UTR or UPI reference",IF(AND(L55&lt;&gt;"",N(L55)&lt;0),"More than the balance due on this invoice",IF(S55&gt;=200000,"₹2,00,000 or more in cash from this person today: barred, s.186",IF(T55&gt;=200000,"₹2,00,000 or more in cash against this invoice: barred, s.186",IF(AND(P55="T",H55="Cash",N(J55)&gt;=20000),"Loan of ₹20,000 or more in cash: barred, s.185",IF(AND(P55="D",H55="Cash",N(J55)&gt;=20000),"Cash deposit of ₹20,000 or more: ask your accountant whether s.185 applies",IF(AND(OR(P55="AG",P55="AS"),$E$9&lt;&gt;""),"Advance: also give a GST receipt voucher, s.31(3)(d) and Rule 50","OK"))))))))))))))))</f>
        <v/>
      </c>
      <c r="P55">
        <f>IF(G55="","",IFERROR(VLOOKUP(G55,Lists!$A$2:$B$9,2,FALSE),"?"))</f>
        <v/>
      </c>
      <c r="Q55">
        <f>IF(K55="Cancelled",0,N(J55))</f>
        <v/>
      </c>
      <c r="R55">
        <f>IF(OR(H55&lt;&gt;"Cash",P55="T",P55="D"),0,Q55)</f>
        <v/>
      </c>
      <c r="S55">
        <f>IF(R55=0,0,SUMIFS($R$18:$R$317,$B$18:$B$317,B55,$D$18:$D$317,D55))</f>
        <v/>
      </c>
      <c r="T55">
        <f>IF(OR(R55=0,E55=""),0,SUMIFS($R$18:$R$317,$E$18:$E$317,E55))</f>
        <v/>
      </c>
      <c r="U55">
        <f>IF(E55="","",IF(N(F55)&gt;0,F55,IFERROR(INDEX($F$18:$F$317,MATCH(E55,$E$18:$E$317,0)),"")))</f>
        <v/>
      </c>
      <c r="V55">
        <f>IF(OR(N55="",N55="OK",K55="Cancelled"),0,1)</f>
        <v/>
      </c>
    </row>
    <row r="56">
      <c r="B56" s="21" t="n"/>
      <c r="C56" s="22">
        <f>IF(B56="","",$E$10&amp;TEXT(N($E$11)+38,"000"))</f>
        <v/>
      </c>
      <c r="D56" s="14" t="n"/>
      <c r="E56" s="23" t="n"/>
      <c r="F56" s="24" t="n"/>
      <c r="G56" s="14" t="n"/>
      <c r="H56" s="14" t="n"/>
      <c r="I56" s="23" t="n"/>
      <c r="J56" s="24" t="n"/>
      <c r="K56" s="23" t="n"/>
      <c r="L56" s="25">
        <f>IF(OR(E56="",N(U56)=0),"",U56-SUMIFS(Q$18:Q56,E$18:E56,E56))</f>
        <v/>
      </c>
      <c r="M56" s="26">
        <f>IF(OR(N(J56)=0,K56="Cancelled"),"",IF(AND(N(J56)&gt;5000,P56&lt;&gt;"G"),"Yes: ₹1","No"))</f>
        <v/>
      </c>
      <c r="N56" s="27">
        <f>IF(AND(B56="",D56="",N(J56)=0),"",IF(B56="","Enter the date",IF(AND(ROW()&gt;18,B55=""),"Use the next empty row: a skipped row leaves a gap in the receipt numbers",IF(D56="","Enter who paid",IF(N(J56)=0,"Enter the amount",IF(G56="","Pick what the money was for",IF(P56="?","Pick what it was for from the list",IF(H56="","Pick how it was paid",IF(K56="Cancelled","Cancelled: keep this number unused and give a fresh receipt",IF(AND(H56&lt;&gt;"Cash",I56=""),"Enter the cheque no., UTR or UPI reference",IF(AND(L56&lt;&gt;"",N(L56)&lt;0),"More than the balance due on this invoice",IF(S56&gt;=200000,"₹2,00,000 or more in cash from this person today: barred, s.186",IF(T56&gt;=200000,"₹2,00,000 or more in cash against this invoice: barred, s.186",IF(AND(P56="T",H56="Cash",N(J56)&gt;=20000),"Loan of ₹20,000 or more in cash: barred, s.185",IF(AND(P56="D",H56="Cash",N(J56)&gt;=20000),"Cash deposit of ₹20,000 or more: ask your accountant whether s.185 applies",IF(AND(OR(P56="AG",P56="AS"),$E$9&lt;&gt;""),"Advance: also give a GST receipt voucher, s.31(3)(d) and Rule 50","OK"))))))))))))))))</f>
        <v/>
      </c>
      <c r="P56">
        <f>IF(G56="","",IFERROR(VLOOKUP(G56,Lists!$A$2:$B$9,2,FALSE),"?"))</f>
        <v/>
      </c>
      <c r="Q56">
        <f>IF(K56="Cancelled",0,N(J56))</f>
        <v/>
      </c>
      <c r="R56">
        <f>IF(OR(H56&lt;&gt;"Cash",P56="T",P56="D"),0,Q56)</f>
        <v/>
      </c>
      <c r="S56">
        <f>IF(R56=0,0,SUMIFS($R$18:$R$317,$B$18:$B$317,B56,$D$18:$D$317,D56))</f>
        <v/>
      </c>
      <c r="T56">
        <f>IF(OR(R56=0,E56=""),0,SUMIFS($R$18:$R$317,$E$18:$E$317,E56))</f>
        <v/>
      </c>
      <c r="U56">
        <f>IF(E56="","",IF(N(F56)&gt;0,F56,IFERROR(INDEX($F$18:$F$317,MATCH(E56,$E$18:$E$317,0)),"")))</f>
        <v/>
      </c>
      <c r="V56">
        <f>IF(OR(N56="",N56="OK",K56="Cancelled"),0,1)</f>
        <v/>
      </c>
    </row>
    <row r="57">
      <c r="B57" s="21" t="n"/>
      <c r="C57" s="22">
        <f>IF(B57="","",$E$10&amp;TEXT(N($E$11)+39,"000"))</f>
        <v/>
      </c>
      <c r="D57" s="14" t="n"/>
      <c r="E57" s="23" t="n"/>
      <c r="F57" s="24" t="n"/>
      <c r="G57" s="14" t="n"/>
      <c r="H57" s="14" t="n"/>
      <c r="I57" s="23" t="n"/>
      <c r="J57" s="24" t="n"/>
      <c r="K57" s="23" t="n"/>
      <c r="L57" s="25">
        <f>IF(OR(E57="",N(U57)=0),"",U57-SUMIFS(Q$18:Q57,E$18:E57,E57))</f>
        <v/>
      </c>
      <c r="M57" s="26">
        <f>IF(OR(N(J57)=0,K57="Cancelled"),"",IF(AND(N(J57)&gt;5000,P57&lt;&gt;"G"),"Yes: ₹1","No"))</f>
        <v/>
      </c>
      <c r="N57" s="27">
        <f>IF(AND(B57="",D57="",N(J57)=0),"",IF(B57="","Enter the date",IF(AND(ROW()&gt;18,B56=""),"Use the next empty row: a skipped row leaves a gap in the receipt numbers",IF(D57="","Enter who paid",IF(N(J57)=0,"Enter the amount",IF(G57="","Pick what the money was for",IF(P57="?","Pick what it was for from the list",IF(H57="","Pick how it was paid",IF(K57="Cancelled","Cancelled: keep this number unused and give a fresh receipt",IF(AND(H57&lt;&gt;"Cash",I57=""),"Enter the cheque no., UTR or UPI reference",IF(AND(L57&lt;&gt;"",N(L57)&lt;0),"More than the balance due on this invoice",IF(S57&gt;=200000,"₹2,00,000 or more in cash from this person today: barred, s.186",IF(T57&gt;=200000,"₹2,00,000 or more in cash against this invoice: barred, s.186",IF(AND(P57="T",H57="Cash",N(J57)&gt;=20000),"Loan of ₹20,000 or more in cash: barred, s.185",IF(AND(P57="D",H57="Cash",N(J57)&gt;=20000),"Cash deposit of ₹20,000 or more: ask your accountant whether s.185 applies",IF(AND(OR(P57="AG",P57="AS"),$E$9&lt;&gt;""),"Advance: also give a GST receipt voucher, s.31(3)(d) and Rule 50","OK"))))))))))))))))</f>
        <v/>
      </c>
      <c r="P57">
        <f>IF(G57="","",IFERROR(VLOOKUP(G57,Lists!$A$2:$B$9,2,FALSE),"?"))</f>
        <v/>
      </c>
      <c r="Q57">
        <f>IF(K57="Cancelled",0,N(J57))</f>
        <v/>
      </c>
      <c r="R57">
        <f>IF(OR(H57&lt;&gt;"Cash",P57="T",P57="D"),0,Q57)</f>
        <v/>
      </c>
      <c r="S57">
        <f>IF(R57=0,0,SUMIFS($R$18:$R$317,$B$18:$B$317,B57,$D$18:$D$317,D57))</f>
        <v/>
      </c>
      <c r="T57">
        <f>IF(OR(R57=0,E57=""),0,SUMIFS($R$18:$R$317,$E$18:$E$317,E57))</f>
        <v/>
      </c>
      <c r="U57">
        <f>IF(E57="","",IF(N(F57)&gt;0,F57,IFERROR(INDEX($F$18:$F$317,MATCH(E57,$E$18:$E$317,0)),"")))</f>
        <v/>
      </c>
      <c r="V57">
        <f>IF(OR(N57="",N57="OK",K57="Cancelled"),0,1)</f>
        <v/>
      </c>
    </row>
    <row r="58">
      <c r="B58" s="21" t="n"/>
      <c r="C58" s="22">
        <f>IF(B58="","",$E$10&amp;TEXT(N($E$11)+40,"000"))</f>
        <v/>
      </c>
      <c r="D58" s="14" t="n"/>
      <c r="E58" s="23" t="n"/>
      <c r="F58" s="24" t="n"/>
      <c r="G58" s="14" t="n"/>
      <c r="H58" s="14" t="n"/>
      <c r="I58" s="23" t="n"/>
      <c r="J58" s="24" t="n"/>
      <c r="K58" s="23" t="n"/>
      <c r="L58" s="25">
        <f>IF(OR(E58="",N(U58)=0),"",U58-SUMIFS(Q$18:Q58,E$18:E58,E58))</f>
        <v/>
      </c>
      <c r="M58" s="26">
        <f>IF(OR(N(J58)=0,K58="Cancelled"),"",IF(AND(N(J58)&gt;5000,P58&lt;&gt;"G"),"Yes: ₹1","No"))</f>
        <v/>
      </c>
      <c r="N58" s="27">
        <f>IF(AND(B58="",D58="",N(J58)=0),"",IF(B58="","Enter the date",IF(AND(ROW()&gt;18,B57=""),"Use the next empty row: a skipped row leaves a gap in the receipt numbers",IF(D58="","Enter who paid",IF(N(J58)=0,"Enter the amount",IF(G58="","Pick what the money was for",IF(P58="?","Pick what it was for from the list",IF(H58="","Pick how it was paid",IF(K58="Cancelled","Cancelled: keep this number unused and give a fresh receipt",IF(AND(H58&lt;&gt;"Cash",I58=""),"Enter the cheque no., UTR or UPI reference",IF(AND(L58&lt;&gt;"",N(L58)&lt;0),"More than the balance due on this invoice",IF(S58&gt;=200000,"₹2,00,000 or more in cash from this person today: barred, s.186",IF(T58&gt;=200000,"₹2,00,000 or more in cash against this invoice: barred, s.186",IF(AND(P58="T",H58="Cash",N(J58)&gt;=20000),"Loan of ₹20,000 or more in cash: barred, s.185",IF(AND(P58="D",H58="Cash",N(J58)&gt;=20000),"Cash deposit of ₹20,000 or more: ask your accountant whether s.185 applies",IF(AND(OR(P58="AG",P58="AS"),$E$9&lt;&gt;""),"Advance: also give a GST receipt voucher, s.31(3)(d) and Rule 50","OK"))))))))))))))))</f>
        <v/>
      </c>
      <c r="P58">
        <f>IF(G58="","",IFERROR(VLOOKUP(G58,Lists!$A$2:$B$9,2,FALSE),"?"))</f>
        <v/>
      </c>
      <c r="Q58">
        <f>IF(K58="Cancelled",0,N(J58))</f>
        <v/>
      </c>
      <c r="R58">
        <f>IF(OR(H58&lt;&gt;"Cash",P58="T",P58="D"),0,Q58)</f>
        <v/>
      </c>
      <c r="S58">
        <f>IF(R58=0,0,SUMIFS($R$18:$R$317,$B$18:$B$317,B58,$D$18:$D$317,D58))</f>
        <v/>
      </c>
      <c r="T58">
        <f>IF(OR(R58=0,E58=""),0,SUMIFS($R$18:$R$317,$E$18:$E$317,E58))</f>
        <v/>
      </c>
      <c r="U58">
        <f>IF(E58="","",IF(N(F58)&gt;0,F58,IFERROR(INDEX($F$18:$F$317,MATCH(E58,$E$18:$E$317,0)),"")))</f>
        <v/>
      </c>
      <c r="V58">
        <f>IF(OR(N58="",N58="OK",K58="Cancelled"),0,1)</f>
        <v/>
      </c>
    </row>
    <row r="59">
      <c r="B59" s="21" t="n"/>
      <c r="C59" s="22">
        <f>IF(B59="","",$E$10&amp;TEXT(N($E$11)+41,"000"))</f>
        <v/>
      </c>
      <c r="D59" s="14" t="n"/>
      <c r="E59" s="23" t="n"/>
      <c r="F59" s="24" t="n"/>
      <c r="G59" s="14" t="n"/>
      <c r="H59" s="14" t="n"/>
      <c r="I59" s="23" t="n"/>
      <c r="J59" s="24" t="n"/>
      <c r="K59" s="23" t="n"/>
      <c r="L59" s="25">
        <f>IF(OR(E59="",N(U59)=0),"",U59-SUMIFS(Q$18:Q59,E$18:E59,E59))</f>
        <v/>
      </c>
      <c r="M59" s="26">
        <f>IF(OR(N(J59)=0,K59="Cancelled"),"",IF(AND(N(J59)&gt;5000,P59&lt;&gt;"G"),"Yes: ₹1","No"))</f>
        <v/>
      </c>
      <c r="N59" s="27">
        <f>IF(AND(B59="",D59="",N(J59)=0),"",IF(B59="","Enter the date",IF(AND(ROW()&gt;18,B58=""),"Use the next empty row: a skipped row leaves a gap in the receipt numbers",IF(D59="","Enter who paid",IF(N(J59)=0,"Enter the amount",IF(G59="","Pick what the money was for",IF(P59="?","Pick what it was for from the list",IF(H59="","Pick how it was paid",IF(K59="Cancelled","Cancelled: keep this number unused and give a fresh receipt",IF(AND(H59&lt;&gt;"Cash",I59=""),"Enter the cheque no., UTR or UPI reference",IF(AND(L59&lt;&gt;"",N(L59)&lt;0),"More than the balance due on this invoice",IF(S59&gt;=200000,"₹2,00,000 or more in cash from this person today: barred, s.186",IF(T59&gt;=200000,"₹2,00,000 or more in cash against this invoice: barred, s.186",IF(AND(P59="T",H59="Cash",N(J59)&gt;=20000),"Loan of ₹20,000 or more in cash: barred, s.185",IF(AND(P59="D",H59="Cash",N(J59)&gt;=20000),"Cash deposit of ₹20,000 or more: ask your accountant whether s.185 applies",IF(AND(OR(P59="AG",P59="AS"),$E$9&lt;&gt;""),"Advance: also give a GST receipt voucher, s.31(3)(d) and Rule 50","OK"))))))))))))))))</f>
        <v/>
      </c>
      <c r="P59">
        <f>IF(G59="","",IFERROR(VLOOKUP(G59,Lists!$A$2:$B$9,2,FALSE),"?"))</f>
        <v/>
      </c>
      <c r="Q59">
        <f>IF(K59="Cancelled",0,N(J59))</f>
        <v/>
      </c>
      <c r="R59">
        <f>IF(OR(H59&lt;&gt;"Cash",P59="T",P59="D"),0,Q59)</f>
        <v/>
      </c>
      <c r="S59">
        <f>IF(R59=0,0,SUMIFS($R$18:$R$317,$B$18:$B$317,B59,$D$18:$D$317,D59))</f>
        <v/>
      </c>
      <c r="T59">
        <f>IF(OR(R59=0,E59=""),0,SUMIFS($R$18:$R$317,$E$18:$E$317,E59))</f>
        <v/>
      </c>
      <c r="U59">
        <f>IF(E59="","",IF(N(F59)&gt;0,F59,IFERROR(INDEX($F$18:$F$317,MATCH(E59,$E$18:$E$317,0)),"")))</f>
        <v/>
      </c>
      <c r="V59">
        <f>IF(OR(N59="",N59="OK",K59="Cancelled"),0,1)</f>
        <v/>
      </c>
    </row>
    <row r="60">
      <c r="B60" s="21" t="n"/>
      <c r="C60" s="22">
        <f>IF(B60="","",$E$10&amp;TEXT(N($E$11)+42,"000"))</f>
        <v/>
      </c>
      <c r="D60" s="14" t="n"/>
      <c r="E60" s="23" t="n"/>
      <c r="F60" s="24" t="n"/>
      <c r="G60" s="14" t="n"/>
      <c r="H60" s="14" t="n"/>
      <c r="I60" s="23" t="n"/>
      <c r="J60" s="24" t="n"/>
      <c r="K60" s="23" t="n"/>
      <c r="L60" s="25">
        <f>IF(OR(E60="",N(U60)=0),"",U60-SUMIFS(Q$18:Q60,E$18:E60,E60))</f>
        <v/>
      </c>
      <c r="M60" s="26">
        <f>IF(OR(N(J60)=0,K60="Cancelled"),"",IF(AND(N(J60)&gt;5000,P60&lt;&gt;"G"),"Yes: ₹1","No"))</f>
        <v/>
      </c>
      <c r="N60" s="27">
        <f>IF(AND(B60="",D60="",N(J60)=0),"",IF(B60="","Enter the date",IF(AND(ROW()&gt;18,B59=""),"Use the next empty row: a skipped row leaves a gap in the receipt numbers",IF(D60="","Enter who paid",IF(N(J60)=0,"Enter the amount",IF(G60="","Pick what the money was for",IF(P60="?","Pick what it was for from the list",IF(H60="","Pick how it was paid",IF(K60="Cancelled","Cancelled: keep this number unused and give a fresh receipt",IF(AND(H60&lt;&gt;"Cash",I60=""),"Enter the cheque no., UTR or UPI reference",IF(AND(L60&lt;&gt;"",N(L60)&lt;0),"More than the balance due on this invoice",IF(S60&gt;=200000,"₹2,00,000 or more in cash from this person today: barred, s.186",IF(T60&gt;=200000,"₹2,00,000 or more in cash against this invoice: barred, s.186",IF(AND(P60="T",H60="Cash",N(J60)&gt;=20000),"Loan of ₹20,000 or more in cash: barred, s.185",IF(AND(P60="D",H60="Cash",N(J60)&gt;=20000),"Cash deposit of ₹20,000 or more: ask your accountant whether s.185 applies",IF(AND(OR(P60="AG",P60="AS"),$E$9&lt;&gt;""),"Advance: also give a GST receipt voucher, s.31(3)(d) and Rule 50","OK"))))))))))))))))</f>
        <v/>
      </c>
      <c r="P60">
        <f>IF(G60="","",IFERROR(VLOOKUP(G60,Lists!$A$2:$B$9,2,FALSE),"?"))</f>
        <v/>
      </c>
      <c r="Q60">
        <f>IF(K60="Cancelled",0,N(J60))</f>
        <v/>
      </c>
      <c r="R60">
        <f>IF(OR(H60&lt;&gt;"Cash",P60="T",P60="D"),0,Q60)</f>
        <v/>
      </c>
      <c r="S60">
        <f>IF(R60=0,0,SUMIFS($R$18:$R$317,$B$18:$B$317,B60,$D$18:$D$317,D60))</f>
        <v/>
      </c>
      <c r="T60">
        <f>IF(OR(R60=0,E60=""),0,SUMIFS($R$18:$R$317,$E$18:$E$317,E60))</f>
        <v/>
      </c>
      <c r="U60">
        <f>IF(E60="","",IF(N(F60)&gt;0,F60,IFERROR(INDEX($F$18:$F$317,MATCH(E60,$E$18:$E$317,0)),"")))</f>
        <v/>
      </c>
      <c r="V60">
        <f>IF(OR(N60="",N60="OK",K60="Cancelled"),0,1)</f>
        <v/>
      </c>
    </row>
    <row r="61">
      <c r="B61" s="21" t="n"/>
      <c r="C61" s="22">
        <f>IF(B61="","",$E$10&amp;TEXT(N($E$11)+43,"000"))</f>
        <v/>
      </c>
      <c r="D61" s="14" t="n"/>
      <c r="E61" s="23" t="n"/>
      <c r="F61" s="24" t="n"/>
      <c r="G61" s="14" t="n"/>
      <c r="H61" s="14" t="n"/>
      <c r="I61" s="23" t="n"/>
      <c r="J61" s="24" t="n"/>
      <c r="K61" s="23" t="n"/>
      <c r="L61" s="25">
        <f>IF(OR(E61="",N(U61)=0),"",U61-SUMIFS(Q$18:Q61,E$18:E61,E61))</f>
        <v/>
      </c>
      <c r="M61" s="26">
        <f>IF(OR(N(J61)=0,K61="Cancelled"),"",IF(AND(N(J61)&gt;5000,P61&lt;&gt;"G"),"Yes: ₹1","No"))</f>
        <v/>
      </c>
      <c r="N61" s="27">
        <f>IF(AND(B61="",D61="",N(J61)=0),"",IF(B61="","Enter the date",IF(AND(ROW()&gt;18,B60=""),"Use the next empty row: a skipped row leaves a gap in the receipt numbers",IF(D61="","Enter who paid",IF(N(J61)=0,"Enter the amount",IF(G61="","Pick what the money was for",IF(P61="?","Pick what it was for from the list",IF(H61="","Pick how it was paid",IF(K61="Cancelled","Cancelled: keep this number unused and give a fresh receipt",IF(AND(H61&lt;&gt;"Cash",I61=""),"Enter the cheque no., UTR or UPI reference",IF(AND(L61&lt;&gt;"",N(L61)&lt;0),"More than the balance due on this invoice",IF(S61&gt;=200000,"₹2,00,000 or more in cash from this person today: barred, s.186",IF(T61&gt;=200000,"₹2,00,000 or more in cash against this invoice: barred, s.186",IF(AND(P61="T",H61="Cash",N(J61)&gt;=20000),"Loan of ₹20,000 or more in cash: barred, s.185",IF(AND(P61="D",H61="Cash",N(J61)&gt;=20000),"Cash deposit of ₹20,000 or more: ask your accountant whether s.185 applies",IF(AND(OR(P61="AG",P61="AS"),$E$9&lt;&gt;""),"Advance: also give a GST receipt voucher, s.31(3)(d) and Rule 50","OK"))))))))))))))))</f>
        <v/>
      </c>
      <c r="P61">
        <f>IF(G61="","",IFERROR(VLOOKUP(G61,Lists!$A$2:$B$9,2,FALSE),"?"))</f>
        <v/>
      </c>
      <c r="Q61">
        <f>IF(K61="Cancelled",0,N(J61))</f>
        <v/>
      </c>
      <c r="R61">
        <f>IF(OR(H61&lt;&gt;"Cash",P61="T",P61="D"),0,Q61)</f>
        <v/>
      </c>
      <c r="S61">
        <f>IF(R61=0,0,SUMIFS($R$18:$R$317,$B$18:$B$317,B61,$D$18:$D$317,D61))</f>
        <v/>
      </c>
      <c r="T61">
        <f>IF(OR(R61=0,E61=""),0,SUMIFS($R$18:$R$317,$E$18:$E$317,E61))</f>
        <v/>
      </c>
      <c r="U61">
        <f>IF(E61="","",IF(N(F61)&gt;0,F61,IFERROR(INDEX($F$18:$F$317,MATCH(E61,$E$18:$E$317,0)),"")))</f>
        <v/>
      </c>
      <c r="V61">
        <f>IF(OR(N61="",N61="OK",K61="Cancelled"),0,1)</f>
        <v/>
      </c>
    </row>
    <row r="62">
      <c r="B62" s="21" t="n"/>
      <c r="C62" s="22">
        <f>IF(B62="","",$E$10&amp;TEXT(N($E$11)+44,"000"))</f>
        <v/>
      </c>
      <c r="D62" s="14" t="n"/>
      <c r="E62" s="23" t="n"/>
      <c r="F62" s="24" t="n"/>
      <c r="G62" s="14" t="n"/>
      <c r="H62" s="14" t="n"/>
      <c r="I62" s="23" t="n"/>
      <c r="J62" s="24" t="n"/>
      <c r="K62" s="23" t="n"/>
      <c r="L62" s="25">
        <f>IF(OR(E62="",N(U62)=0),"",U62-SUMIFS(Q$18:Q62,E$18:E62,E62))</f>
        <v/>
      </c>
      <c r="M62" s="26">
        <f>IF(OR(N(J62)=0,K62="Cancelled"),"",IF(AND(N(J62)&gt;5000,P62&lt;&gt;"G"),"Yes: ₹1","No"))</f>
        <v/>
      </c>
      <c r="N62" s="27">
        <f>IF(AND(B62="",D62="",N(J62)=0),"",IF(B62="","Enter the date",IF(AND(ROW()&gt;18,B61=""),"Use the next empty row: a skipped row leaves a gap in the receipt numbers",IF(D62="","Enter who paid",IF(N(J62)=0,"Enter the amount",IF(G62="","Pick what the money was for",IF(P62="?","Pick what it was for from the list",IF(H62="","Pick how it was paid",IF(K62="Cancelled","Cancelled: keep this number unused and give a fresh receipt",IF(AND(H62&lt;&gt;"Cash",I62=""),"Enter the cheque no., UTR or UPI reference",IF(AND(L62&lt;&gt;"",N(L62)&lt;0),"More than the balance due on this invoice",IF(S62&gt;=200000,"₹2,00,000 or more in cash from this person today: barred, s.186",IF(T62&gt;=200000,"₹2,00,000 or more in cash against this invoice: barred, s.186",IF(AND(P62="T",H62="Cash",N(J62)&gt;=20000),"Loan of ₹20,000 or more in cash: barred, s.185",IF(AND(P62="D",H62="Cash",N(J62)&gt;=20000),"Cash deposit of ₹20,000 or more: ask your accountant whether s.185 applies",IF(AND(OR(P62="AG",P62="AS"),$E$9&lt;&gt;""),"Advance: also give a GST receipt voucher, s.31(3)(d) and Rule 50","OK"))))))))))))))))</f>
        <v/>
      </c>
      <c r="P62">
        <f>IF(G62="","",IFERROR(VLOOKUP(G62,Lists!$A$2:$B$9,2,FALSE),"?"))</f>
        <v/>
      </c>
      <c r="Q62">
        <f>IF(K62="Cancelled",0,N(J62))</f>
        <v/>
      </c>
      <c r="R62">
        <f>IF(OR(H62&lt;&gt;"Cash",P62="T",P62="D"),0,Q62)</f>
        <v/>
      </c>
      <c r="S62">
        <f>IF(R62=0,0,SUMIFS($R$18:$R$317,$B$18:$B$317,B62,$D$18:$D$317,D62))</f>
        <v/>
      </c>
      <c r="T62">
        <f>IF(OR(R62=0,E62=""),0,SUMIFS($R$18:$R$317,$E$18:$E$317,E62))</f>
        <v/>
      </c>
      <c r="U62">
        <f>IF(E62="","",IF(N(F62)&gt;0,F62,IFERROR(INDEX($F$18:$F$317,MATCH(E62,$E$18:$E$317,0)),"")))</f>
        <v/>
      </c>
      <c r="V62">
        <f>IF(OR(N62="",N62="OK",K62="Cancelled"),0,1)</f>
        <v/>
      </c>
    </row>
    <row r="63">
      <c r="B63" s="21" t="n"/>
      <c r="C63" s="22">
        <f>IF(B63="","",$E$10&amp;TEXT(N($E$11)+45,"000"))</f>
        <v/>
      </c>
      <c r="D63" s="14" t="n"/>
      <c r="E63" s="23" t="n"/>
      <c r="F63" s="24" t="n"/>
      <c r="G63" s="14" t="n"/>
      <c r="H63" s="14" t="n"/>
      <c r="I63" s="23" t="n"/>
      <c r="J63" s="24" t="n"/>
      <c r="K63" s="23" t="n"/>
      <c r="L63" s="25">
        <f>IF(OR(E63="",N(U63)=0),"",U63-SUMIFS(Q$18:Q63,E$18:E63,E63))</f>
        <v/>
      </c>
      <c r="M63" s="26">
        <f>IF(OR(N(J63)=0,K63="Cancelled"),"",IF(AND(N(J63)&gt;5000,P63&lt;&gt;"G"),"Yes: ₹1","No"))</f>
        <v/>
      </c>
      <c r="N63" s="27">
        <f>IF(AND(B63="",D63="",N(J63)=0),"",IF(B63="","Enter the date",IF(AND(ROW()&gt;18,B62=""),"Use the next empty row: a skipped row leaves a gap in the receipt numbers",IF(D63="","Enter who paid",IF(N(J63)=0,"Enter the amount",IF(G63="","Pick what the money was for",IF(P63="?","Pick what it was for from the list",IF(H63="","Pick how it was paid",IF(K63="Cancelled","Cancelled: keep this number unused and give a fresh receipt",IF(AND(H63&lt;&gt;"Cash",I63=""),"Enter the cheque no., UTR or UPI reference",IF(AND(L63&lt;&gt;"",N(L63)&lt;0),"More than the balance due on this invoice",IF(S63&gt;=200000,"₹2,00,000 or more in cash from this person today: barred, s.186",IF(T63&gt;=200000,"₹2,00,000 or more in cash against this invoice: barred, s.186",IF(AND(P63="T",H63="Cash",N(J63)&gt;=20000),"Loan of ₹20,000 or more in cash: barred, s.185",IF(AND(P63="D",H63="Cash",N(J63)&gt;=20000),"Cash deposit of ₹20,000 or more: ask your accountant whether s.185 applies",IF(AND(OR(P63="AG",P63="AS"),$E$9&lt;&gt;""),"Advance: also give a GST receipt voucher, s.31(3)(d) and Rule 50","OK"))))))))))))))))</f>
        <v/>
      </c>
      <c r="P63">
        <f>IF(G63="","",IFERROR(VLOOKUP(G63,Lists!$A$2:$B$9,2,FALSE),"?"))</f>
        <v/>
      </c>
      <c r="Q63">
        <f>IF(K63="Cancelled",0,N(J63))</f>
        <v/>
      </c>
      <c r="R63">
        <f>IF(OR(H63&lt;&gt;"Cash",P63="T",P63="D"),0,Q63)</f>
        <v/>
      </c>
      <c r="S63">
        <f>IF(R63=0,0,SUMIFS($R$18:$R$317,$B$18:$B$317,B63,$D$18:$D$317,D63))</f>
        <v/>
      </c>
      <c r="T63">
        <f>IF(OR(R63=0,E63=""),0,SUMIFS($R$18:$R$317,$E$18:$E$317,E63))</f>
        <v/>
      </c>
      <c r="U63">
        <f>IF(E63="","",IF(N(F63)&gt;0,F63,IFERROR(INDEX($F$18:$F$317,MATCH(E63,$E$18:$E$317,0)),"")))</f>
        <v/>
      </c>
      <c r="V63">
        <f>IF(OR(N63="",N63="OK",K63="Cancelled"),0,1)</f>
        <v/>
      </c>
    </row>
    <row r="64">
      <c r="B64" s="21" t="n"/>
      <c r="C64" s="22">
        <f>IF(B64="","",$E$10&amp;TEXT(N($E$11)+46,"000"))</f>
        <v/>
      </c>
      <c r="D64" s="14" t="n"/>
      <c r="E64" s="23" t="n"/>
      <c r="F64" s="24" t="n"/>
      <c r="G64" s="14" t="n"/>
      <c r="H64" s="14" t="n"/>
      <c r="I64" s="23" t="n"/>
      <c r="J64" s="24" t="n"/>
      <c r="K64" s="23" t="n"/>
      <c r="L64" s="25">
        <f>IF(OR(E64="",N(U64)=0),"",U64-SUMIFS(Q$18:Q64,E$18:E64,E64))</f>
        <v/>
      </c>
      <c r="M64" s="26">
        <f>IF(OR(N(J64)=0,K64="Cancelled"),"",IF(AND(N(J64)&gt;5000,P64&lt;&gt;"G"),"Yes: ₹1","No"))</f>
        <v/>
      </c>
      <c r="N64" s="27">
        <f>IF(AND(B64="",D64="",N(J64)=0),"",IF(B64="","Enter the date",IF(AND(ROW()&gt;18,B63=""),"Use the next empty row: a skipped row leaves a gap in the receipt numbers",IF(D64="","Enter who paid",IF(N(J64)=0,"Enter the amount",IF(G64="","Pick what the money was for",IF(P64="?","Pick what it was for from the list",IF(H64="","Pick how it was paid",IF(K64="Cancelled","Cancelled: keep this number unused and give a fresh receipt",IF(AND(H64&lt;&gt;"Cash",I64=""),"Enter the cheque no., UTR or UPI reference",IF(AND(L64&lt;&gt;"",N(L64)&lt;0),"More than the balance due on this invoice",IF(S64&gt;=200000,"₹2,00,000 or more in cash from this person today: barred, s.186",IF(T64&gt;=200000,"₹2,00,000 or more in cash against this invoice: barred, s.186",IF(AND(P64="T",H64="Cash",N(J64)&gt;=20000),"Loan of ₹20,000 or more in cash: barred, s.185",IF(AND(P64="D",H64="Cash",N(J64)&gt;=20000),"Cash deposit of ₹20,000 or more: ask your accountant whether s.185 applies",IF(AND(OR(P64="AG",P64="AS"),$E$9&lt;&gt;""),"Advance: also give a GST receipt voucher, s.31(3)(d) and Rule 50","OK"))))))))))))))))</f>
        <v/>
      </c>
      <c r="P64">
        <f>IF(G64="","",IFERROR(VLOOKUP(G64,Lists!$A$2:$B$9,2,FALSE),"?"))</f>
        <v/>
      </c>
      <c r="Q64">
        <f>IF(K64="Cancelled",0,N(J64))</f>
        <v/>
      </c>
      <c r="R64">
        <f>IF(OR(H64&lt;&gt;"Cash",P64="T",P64="D"),0,Q64)</f>
        <v/>
      </c>
      <c r="S64">
        <f>IF(R64=0,0,SUMIFS($R$18:$R$317,$B$18:$B$317,B64,$D$18:$D$317,D64))</f>
        <v/>
      </c>
      <c r="T64">
        <f>IF(OR(R64=0,E64=""),0,SUMIFS($R$18:$R$317,$E$18:$E$317,E64))</f>
        <v/>
      </c>
      <c r="U64">
        <f>IF(E64="","",IF(N(F64)&gt;0,F64,IFERROR(INDEX($F$18:$F$317,MATCH(E64,$E$18:$E$317,0)),"")))</f>
        <v/>
      </c>
      <c r="V64">
        <f>IF(OR(N64="",N64="OK",K64="Cancelled"),0,1)</f>
        <v/>
      </c>
    </row>
    <row r="65">
      <c r="B65" s="21" t="n"/>
      <c r="C65" s="22">
        <f>IF(B65="","",$E$10&amp;TEXT(N($E$11)+47,"000"))</f>
        <v/>
      </c>
      <c r="D65" s="14" t="n"/>
      <c r="E65" s="23" t="n"/>
      <c r="F65" s="24" t="n"/>
      <c r="G65" s="14" t="n"/>
      <c r="H65" s="14" t="n"/>
      <c r="I65" s="23" t="n"/>
      <c r="J65" s="24" t="n"/>
      <c r="K65" s="23" t="n"/>
      <c r="L65" s="25">
        <f>IF(OR(E65="",N(U65)=0),"",U65-SUMIFS(Q$18:Q65,E$18:E65,E65))</f>
        <v/>
      </c>
      <c r="M65" s="26">
        <f>IF(OR(N(J65)=0,K65="Cancelled"),"",IF(AND(N(J65)&gt;5000,P65&lt;&gt;"G"),"Yes: ₹1","No"))</f>
        <v/>
      </c>
      <c r="N65" s="27">
        <f>IF(AND(B65="",D65="",N(J65)=0),"",IF(B65="","Enter the date",IF(AND(ROW()&gt;18,B64=""),"Use the next empty row: a skipped row leaves a gap in the receipt numbers",IF(D65="","Enter who paid",IF(N(J65)=0,"Enter the amount",IF(G65="","Pick what the money was for",IF(P65="?","Pick what it was for from the list",IF(H65="","Pick how it was paid",IF(K65="Cancelled","Cancelled: keep this number unused and give a fresh receipt",IF(AND(H65&lt;&gt;"Cash",I65=""),"Enter the cheque no., UTR or UPI reference",IF(AND(L65&lt;&gt;"",N(L65)&lt;0),"More than the balance due on this invoice",IF(S65&gt;=200000,"₹2,00,000 or more in cash from this person today: barred, s.186",IF(T65&gt;=200000,"₹2,00,000 or more in cash against this invoice: barred, s.186",IF(AND(P65="T",H65="Cash",N(J65)&gt;=20000),"Loan of ₹20,000 or more in cash: barred, s.185",IF(AND(P65="D",H65="Cash",N(J65)&gt;=20000),"Cash deposit of ₹20,000 or more: ask your accountant whether s.185 applies",IF(AND(OR(P65="AG",P65="AS"),$E$9&lt;&gt;""),"Advance: also give a GST receipt voucher, s.31(3)(d) and Rule 50","OK"))))))))))))))))</f>
        <v/>
      </c>
      <c r="P65">
        <f>IF(G65="","",IFERROR(VLOOKUP(G65,Lists!$A$2:$B$9,2,FALSE),"?"))</f>
        <v/>
      </c>
      <c r="Q65">
        <f>IF(K65="Cancelled",0,N(J65))</f>
        <v/>
      </c>
      <c r="R65">
        <f>IF(OR(H65&lt;&gt;"Cash",P65="T",P65="D"),0,Q65)</f>
        <v/>
      </c>
      <c r="S65">
        <f>IF(R65=0,0,SUMIFS($R$18:$R$317,$B$18:$B$317,B65,$D$18:$D$317,D65))</f>
        <v/>
      </c>
      <c r="T65">
        <f>IF(OR(R65=0,E65=""),0,SUMIFS($R$18:$R$317,$E$18:$E$317,E65))</f>
        <v/>
      </c>
      <c r="U65">
        <f>IF(E65="","",IF(N(F65)&gt;0,F65,IFERROR(INDEX($F$18:$F$317,MATCH(E65,$E$18:$E$317,0)),"")))</f>
        <v/>
      </c>
      <c r="V65">
        <f>IF(OR(N65="",N65="OK",K65="Cancelled"),0,1)</f>
        <v/>
      </c>
    </row>
    <row r="66">
      <c r="B66" s="21" t="n"/>
      <c r="C66" s="22">
        <f>IF(B66="","",$E$10&amp;TEXT(N($E$11)+48,"000"))</f>
        <v/>
      </c>
      <c r="D66" s="14" t="n"/>
      <c r="E66" s="23" t="n"/>
      <c r="F66" s="24" t="n"/>
      <c r="G66" s="14" t="n"/>
      <c r="H66" s="14" t="n"/>
      <c r="I66" s="23" t="n"/>
      <c r="J66" s="24" t="n"/>
      <c r="K66" s="23" t="n"/>
      <c r="L66" s="25">
        <f>IF(OR(E66="",N(U66)=0),"",U66-SUMIFS(Q$18:Q66,E$18:E66,E66))</f>
        <v/>
      </c>
      <c r="M66" s="26">
        <f>IF(OR(N(J66)=0,K66="Cancelled"),"",IF(AND(N(J66)&gt;5000,P66&lt;&gt;"G"),"Yes: ₹1","No"))</f>
        <v/>
      </c>
      <c r="N66" s="27">
        <f>IF(AND(B66="",D66="",N(J66)=0),"",IF(B66="","Enter the date",IF(AND(ROW()&gt;18,B65=""),"Use the next empty row: a skipped row leaves a gap in the receipt numbers",IF(D66="","Enter who paid",IF(N(J66)=0,"Enter the amount",IF(G66="","Pick what the money was for",IF(P66="?","Pick what it was for from the list",IF(H66="","Pick how it was paid",IF(K66="Cancelled","Cancelled: keep this number unused and give a fresh receipt",IF(AND(H66&lt;&gt;"Cash",I66=""),"Enter the cheque no., UTR or UPI reference",IF(AND(L66&lt;&gt;"",N(L66)&lt;0),"More than the balance due on this invoice",IF(S66&gt;=200000,"₹2,00,000 or more in cash from this person today: barred, s.186",IF(T66&gt;=200000,"₹2,00,000 or more in cash against this invoice: barred, s.186",IF(AND(P66="T",H66="Cash",N(J66)&gt;=20000),"Loan of ₹20,000 or more in cash: barred, s.185",IF(AND(P66="D",H66="Cash",N(J66)&gt;=20000),"Cash deposit of ₹20,000 or more: ask your accountant whether s.185 applies",IF(AND(OR(P66="AG",P66="AS"),$E$9&lt;&gt;""),"Advance: also give a GST receipt voucher, s.31(3)(d) and Rule 50","OK"))))))))))))))))</f>
        <v/>
      </c>
      <c r="P66">
        <f>IF(G66="","",IFERROR(VLOOKUP(G66,Lists!$A$2:$B$9,2,FALSE),"?"))</f>
        <v/>
      </c>
      <c r="Q66">
        <f>IF(K66="Cancelled",0,N(J66))</f>
        <v/>
      </c>
      <c r="R66">
        <f>IF(OR(H66&lt;&gt;"Cash",P66="T",P66="D"),0,Q66)</f>
        <v/>
      </c>
      <c r="S66">
        <f>IF(R66=0,0,SUMIFS($R$18:$R$317,$B$18:$B$317,B66,$D$18:$D$317,D66))</f>
        <v/>
      </c>
      <c r="T66">
        <f>IF(OR(R66=0,E66=""),0,SUMIFS($R$18:$R$317,$E$18:$E$317,E66))</f>
        <v/>
      </c>
      <c r="U66">
        <f>IF(E66="","",IF(N(F66)&gt;0,F66,IFERROR(INDEX($F$18:$F$317,MATCH(E66,$E$18:$E$317,0)),"")))</f>
        <v/>
      </c>
      <c r="V66">
        <f>IF(OR(N66="",N66="OK",K66="Cancelled"),0,1)</f>
        <v/>
      </c>
    </row>
    <row r="67">
      <c r="B67" s="21" t="n"/>
      <c r="C67" s="22">
        <f>IF(B67="","",$E$10&amp;TEXT(N($E$11)+49,"000"))</f>
        <v/>
      </c>
      <c r="D67" s="14" t="n"/>
      <c r="E67" s="23" t="n"/>
      <c r="F67" s="24" t="n"/>
      <c r="G67" s="14" t="n"/>
      <c r="H67" s="14" t="n"/>
      <c r="I67" s="23" t="n"/>
      <c r="J67" s="24" t="n"/>
      <c r="K67" s="23" t="n"/>
      <c r="L67" s="25">
        <f>IF(OR(E67="",N(U67)=0),"",U67-SUMIFS(Q$18:Q67,E$18:E67,E67))</f>
        <v/>
      </c>
      <c r="M67" s="26">
        <f>IF(OR(N(J67)=0,K67="Cancelled"),"",IF(AND(N(J67)&gt;5000,P67&lt;&gt;"G"),"Yes: ₹1","No"))</f>
        <v/>
      </c>
      <c r="N67" s="27">
        <f>IF(AND(B67="",D67="",N(J67)=0),"",IF(B67="","Enter the date",IF(AND(ROW()&gt;18,B66=""),"Use the next empty row: a skipped row leaves a gap in the receipt numbers",IF(D67="","Enter who paid",IF(N(J67)=0,"Enter the amount",IF(G67="","Pick what the money was for",IF(P67="?","Pick what it was for from the list",IF(H67="","Pick how it was paid",IF(K67="Cancelled","Cancelled: keep this number unused and give a fresh receipt",IF(AND(H67&lt;&gt;"Cash",I67=""),"Enter the cheque no., UTR or UPI reference",IF(AND(L67&lt;&gt;"",N(L67)&lt;0),"More than the balance due on this invoice",IF(S67&gt;=200000,"₹2,00,000 or more in cash from this person today: barred, s.186",IF(T67&gt;=200000,"₹2,00,000 or more in cash against this invoice: barred, s.186",IF(AND(P67="T",H67="Cash",N(J67)&gt;=20000),"Loan of ₹20,000 or more in cash: barred, s.185",IF(AND(P67="D",H67="Cash",N(J67)&gt;=20000),"Cash deposit of ₹20,000 or more: ask your accountant whether s.185 applies",IF(AND(OR(P67="AG",P67="AS"),$E$9&lt;&gt;""),"Advance: also give a GST receipt voucher, s.31(3)(d) and Rule 50","OK"))))))))))))))))</f>
        <v/>
      </c>
      <c r="P67">
        <f>IF(G67="","",IFERROR(VLOOKUP(G67,Lists!$A$2:$B$9,2,FALSE),"?"))</f>
        <v/>
      </c>
      <c r="Q67">
        <f>IF(K67="Cancelled",0,N(J67))</f>
        <v/>
      </c>
      <c r="R67">
        <f>IF(OR(H67&lt;&gt;"Cash",P67="T",P67="D"),0,Q67)</f>
        <v/>
      </c>
      <c r="S67">
        <f>IF(R67=0,0,SUMIFS($R$18:$R$317,$B$18:$B$317,B67,$D$18:$D$317,D67))</f>
        <v/>
      </c>
      <c r="T67">
        <f>IF(OR(R67=0,E67=""),0,SUMIFS($R$18:$R$317,$E$18:$E$317,E67))</f>
        <v/>
      </c>
      <c r="U67">
        <f>IF(E67="","",IF(N(F67)&gt;0,F67,IFERROR(INDEX($F$18:$F$317,MATCH(E67,$E$18:$E$317,0)),"")))</f>
        <v/>
      </c>
      <c r="V67">
        <f>IF(OR(N67="",N67="OK",K67="Cancelled"),0,1)</f>
        <v/>
      </c>
    </row>
    <row r="68">
      <c r="B68" s="21" t="n"/>
      <c r="C68" s="22">
        <f>IF(B68="","",$E$10&amp;TEXT(N($E$11)+50,"000"))</f>
        <v/>
      </c>
      <c r="D68" s="14" t="n"/>
      <c r="E68" s="23" t="n"/>
      <c r="F68" s="24" t="n"/>
      <c r="G68" s="14" t="n"/>
      <c r="H68" s="14" t="n"/>
      <c r="I68" s="23" t="n"/>
      <c r="J68" s="24" t="n"/>
      <c r="K68" s="23" t="n"/>
      <c r="L68" s="25">
        <f>IF(OR(E68="",N(U68)=0),"",U68-SUMIFS(Q$18:Q68,E$18:E68,E68))</f>
        <v/>
      </c>
      <c r="M68" s="26">
        <f>IF(OR(N(J68)=0,K68="Cancelled"),"",IF(AND(N(J68)&gt;5000,P68&lt;&gt;"G"),"Yes: ₹1","No"))</f>
        <v/>
      </c>
      <c r="N68" s="27">
        <f>IF(AND(B68="",D68="",N(J68)=0),"",IF(B68="","Enter the date",IF(AND(ROW()&gt;18,B67=""),"Use the next empty row: a skipped row leaves a gap in the receipt numbers",IF(D68="","Enter who paid",IF(N(J68)=0,"Enter the amount",IF(G68="","Pick what the money was for",IF(P68="?","Pick what it was for from the list",IF(H68="","Pick how it was paid",IF(K68="Cancelled","Cancelled: keep this number unused and give a fresh receipt",IF(AND(H68&lt;&gt;"Cash",I68=""),"Enter the cheque no., UTR or UPI reference",IF(AND(L68&lt;&gt;"",N(L68)&lt;0),"More than the balance due on this invoice",IF(S68&gt;=200000,"₹2,00,000 or more in cash from this person today: barred, s.186",IF(T68&gt;=200000,"₹2,00,000 or more in cash against this invoice: barred, s.186",IF(AND(P68="T",H68="Cash",N(J68)&gt;=20000),"Loan of ₹20,000 or more in cash: barred, s.185",IF(AND(P68="D",H68="Cash",N(J68)&gt;=20000),"Cash deposit of ₹20,000 or more: ask your accountant whether s.185 applies",IF(AND(OR(P68="AG",P68="AS"),$E$9&lt;&gt;""),"Advance: also give a GST receipt voucher, s.31(3)(d) and Rule 50","OK"))))))))))))))))</f>
        <v/>
      </c>
      <c r="P68">
        <f>IF(G68="","",IFERROR(VLOOKUP(G68,Lists!$A$2:$B$9,2,FALSE),"?"))</f>
        <v/>
      </c>
      <c r="Q68">
        <f>IF(K68="Cancelled",0,N(J68))</f>
        <v/>
      </c>
      <c r="R68">
        <f>IF(OR(H68&lt;&gt;"Cash",P68="T",P68="D"),0,Q68)</f>
        <v/>
      </c>
      <c r="S68">
        <f>IF(R68=0,0,SUMIFS($R$18:$R$317,$B$18:$B$317,B68,$D$18:$D$317,D68))</f>
        <v/>
      </c>
      <c r="T68">
        <f>IF(OR(R68=0,E68=""),0,SUMIFS($R$18:$R$317,$E$18:$E$317,E68))</f>
        <v/>
      </c>
      <c r="U68">
        <f>IF(E68="","",IF(N(F68)&gt;0,F68,IFERROR(INDEX($F$18:$F$317,MATCH(E68,$E$18:$E$317,0)),"")))</f>
        <v/>
      </c>
      <c r="V68">
        <f>IF(OR(N68="",N68="OK",K68="Cancelled"),0,1)</f>
        <v/>
      </c>
    </row>
    <row r="69">
      <c r="B69" s="21" t="n"/>
      <c r="C69" s="22">
        <f>IF(B69="","",$E$10&amp;TEXT(N($E$11)+51,"000"))</f>
        <v/>
      </c>
      <c r="D69" s="14" t="n"/>
      <c r="E69" s="23" t="n"/>
      <c r="F69" s="24" t="n"/>
      <c r="G69" s="14" t="n"/>
      <c r="H69" s="14" t="n"/>
      <c r="I69" s="23" t="n"/>
      <c r="J69" s="24" t="n"/>
      <c r="K69" s="23" t="n"/>
      <c r="L69" s="25">
        <f>IF(OR(E69="",N(U69)=0),"",U69-SUMIFS(Q$18:Q69,E$18:E69,E69))</f>
        <v/>
      </c>
      <c r="M69" s="26">
        <f>IF(OR(N(J69)=0,K69="Cancelled"),"",IF(AND(N(J69)&gt;5000,P69&lt;&gt;"G"),"Yes: ₹1","No"))</f>
        <v/>
      </c>
      <c r="N69" s="27">
        <f>IF(AND(B69="",D69="",N(J69)=0),"",IF(B69="","Enter the date",IF(AND(ROW()&gt;18,B68=""),"Use the next empty row: a skipped row leaves a gap in the receipt numbers",IF(D69="","Enter who paid",IF(N(J69)=0,"Enter the amount",IF(G69="","Pick what the money was for",IF(P69="?","Pick what it was for from the list",IF(H69="","Pick how it was paid",IF(K69="Cancelled","Cancelled: keep this number unused and give a fresh receipt",IF(AND(H69&lt;&gt;"Cash",I69=""),"Enter the cheque no., UTR or UPI reference",IF(AND(L69&lt;&gt;"",N(L69)&lt;0),"More than the balance due on this invoice",IF(S69&gt;=200000,"₹2,00,000 or more in cash from this person today: barred, s.186",IF(T69&gt;=200000,"₹2,00,000 or more in cash against this invoice: barred, s.186",IF(AND(P69="T",H69="Cash",N(J69)&gt;=20000),"Loan of ₹20,000 or more in cash: barred, s.185",IF(AND(P69="D",H69="Cash",N(J69)&gt;=20000),"Cash deposit of ₹20,000 or more: ask your accountant whether s.185 applies",IF(AND(OR(P69="AG",P69="AS"),$E$9&lt;&gt;""),"Advance: also give a GST receipt voucher, s.31(3)(d) and Rule 50","OK"))))))))))))))))</f>
        <v/>
      </c>
      <c r="P69">
        <f>IF(G69="","",IFERROR(VLOOKUP(G69,Lists!$A$2:$B$9,2,FALSE),"?"))</f>
        <v/>
      </c>
      <c r="Q69">
        <f>IF(K69="Cancelled",0,N(J69))</f>
        <v/>
      </c>
      <c r="R69">
        <f>IF(OR(H69&lt;&gt;"Cash",P69="T",P69="D"),0,Q69)</f>
        <v/>
      </c>
      <c r="S69">
        <f>IF(R69=0,0,SUMIFS($R$18:$R$317,$B$18:$B$317,B69,$D$18:$D$317,D69))</f>
        <v/>
      </c>
      <c r="T69">
        <f>IF(OR(R69=0,E69=""),0,SUMIFS($R$18:$R$317,$E$18:$E$317,E69))</f>
        <v/>
      </c>
      <c r="U69">
        <f>IF(E69="","",IF(N(F69)&gt;0,F69,IFERROR(INDEX($F$18:$F$317,MATCH(E69,$E$18:$E$317,0)),"")))</f>
        <v/>
      </c>
      <c r="V69">
        <f>IF(OR(N69="",N69="OK",K69="Cancelled"),0,1)</f>
        <v/>
      </c>
    </row>
    <row r="70">
      <c r="B70" s="21" t="n"/>
      <c r="C70" s="22">
        <f>IF(B70="","",$E$10&amp;TEXT(N($E$11)+52,"000"))</f>
        <v/>
      </c>
      <c r="D70" s="14" t="n"/>
      <c r="E70" s="23" t="n"/>
      <c r="F70" s="24" t="n"/>
      <c r="G70" s="14" t="n"/>
      <c r="H70" s="14" t="n"/>
      <c r="I70" s="23" t="n"/>
      <c r="J70" s="24" t="n"/>
      <c r="K70" s="23" t="n"/>
      <c r="L70" s="25">
        <f>IF(OR(E70="",N(U70)=0),"",U70-SUMIFS(Q$18:Q70,E$18:E70,E70))</f>
        <v/>
      </c>
      <c r="M70" s="26">
        <f>IF(OR(N(J70)=0,K70="Cancelled"),"",IF(AND(N(J70)&gt;5000,P70&lt;&gt;"G"),"Yes: ₹1","No"))</f>
        <v/>
      </c>
      <c r="N70" s="27">
        <f>IF(AND(B70="",D70="",N(J70)=0),"",IF(B70="","Enter the date",IF(AND(ROW()&gt;18,B69=""),"Use the next empty row: a skipped row leaves a gap in the receipt numbers",IF(D70="","Enter who paid",IF(N(J70)=0,"Enter the amount",IF(G70="","Pick what the money was for",IF(P70="?","Pick what it was for from the list",IF(H70="","Pick how it was paid",IF(K70="Cancelled","Cancelled: keep this number unused and give a fresh receipt",IF(AND(H70&lt;&gt;"Cash",I70=""),"Enter the cheque no., UTR or UPI reference",IF(AND(L70&lt;&gt;"",N(L70)&lt;0),"More than the balance due on this invoice",IF(S70&gt;=200000,"₹2,00,000 or more in cash from this person today: barred, s.186",IF(T70&gt;=200000,"₹2,00,000 or more in cash against this invoice: barred, s.186",IF(AND(P70="T",H70="Cash",N(J70)&gt;=20000),"Loan of ₹20,000 or more in cash: barred, s.185",IF(AND(P70="D",H70="Cash",N(J70)&gt;=20000),"Cash deposit of ₹20,000 or more: ask your accountant whether s.185 applies",IF(AND(OR(P70="AG",P70="AS"),$E$9&lt;&gt;""),"Advance: also give a GST receipt voucher, s.31(3)(d) and Rule 50","OK"))))))))))))))))</f>
        <v/>
      </c>
      <c r="P70">
        <f>IF(G70="","",IFERROR(VLOOKUP(G70,Lists!$A$2:$B$9,2,FALSE),"?"))</f>
        <v/>
      </c>
      <c r="Q70">
        <f>IF(K70="Cancelled",0,N(J70))</f>
        <v/>
      </c>
      <c r="R70">
        <f>IF(OR(H70&lt;&gt;"Cash",P70="T",P70="D"),0,Q70)</f>
        <v/>
      </c>
      <c r="S70">
        <f>IF(R70=0,0,SUMIFS($R$18:$R$317,$B$18:$B$317,B70,$D$18:$D$317,D70))</f>
        <v/>
      </c>
      <c r="T70">
        <f>IF(OR(R70=0,E70=""),0,SUMIFS($R$18:$R$317,$E$18:$E$317,E70))</f>
        <v/>
      </c>
      <c r="U70">
        <f>IF(E70="","",IF(N(F70)&gt;0,F70,IFERROR(INDEX($F$18:$F$317,MATCH(E70,$E$18:$E$317,0)),"")))</f>
        <v/>
      </c>
      <c r="V70">
        <f>IF(OR(N70="",N70="OK",K70="Cancelled"),0,1)</f>
        <v/>
      </c>
    </row>
    <row r="71">
      <c r="B71" s="21" t="n"/>
      <c r="C71" s="22">
        <f>IF(B71="","",$E$10&amp;TEXT(N($E$11)+53,"000"))</f>
        <v/>
      </c>
      <c r="D71" s="14" t="n"/>
      <c r="E71" s="23" t="n"/>
      <c r="F71" s="24" t="n"/>
      <c r="G71" s="14" t="n"/>
      <c r="H71" s="14" t="n"/>
      <c r="I71" s="23" t="n"/>
      <c r="J71" s="24" t="n"/>
      <c r="K71" s="23" t="n"/>
      <c r="L71" s="25">
        <f>IF(OR(E71="",N(U71)=0),"",U71-SUMIFS(Q$18:Q71,E$18:E71,E71))</f>
        <v/>
      </c>
      <c r="M71" s="26">
        <f>IF(OR(N(J71)=0,K71="Cancelled"),"",IF(AND(N(J71)&gt;5000,P71&lt;&gt;"G"),"Yes: ₹1","No"))</f>
        <v/>
      </c>
      <c r="N71" s="27">
        <f>IF(AND(B71="",D71="",N(J71)=0),"",IF(B71="","Enter the date",IF(AND(ROW()&gt;18,B70=""),"Use the next empty row: a skipped row leaves a gap in the receipt numbers",IF(D71="","Enter who paid",IF(N(J71)=0,"Enter the amount",IF(G71="","Pick what the money was for",IF(P71="?","Pick what it was for from the list",IF(H71="","Pick how it was paid",IF(K71="Cancelled","Cancelled: keep this number unused and give a fresh receipt",IF(AND(H71&lt;&gt;"Cash",I71=""),"Enter the cheque no., UTR or UPI reference",IF(AND(L71&lt;&gt;"",N(L71)&lt;0),"More than the balance due on this invoice",IF(S71&gt;=200000,"₹2,00,000 or more in cash from this person today: barred, s.186",IF(T71&gt;=200000,"₹2,00,000 or more in cash against this invoice: barred, s.186",IF(AND(P71="T",H71="Cash",N(J71)&gt;=20000),"Loan of ₹20,000 or more in cash: barred, s.185",IF(AND(P71="D",H71="Cash",N(J71)&gt;=20000),"Cash deposit of ₹20,000 or more: ask your accountant whether s.185 applies",IF(AND(OR(P71="AG",P71="AS"),$E$9&lt;&gt;""),"Advance: also give a GST receipt voucher, s.31(3)(d) and Rule 50","OK"))))))))))))))))</f>
        <v/>
      </c>
      <c r="P71">
        <f>IF(G71="","",IFERROR(VLOOKUP(G71,Lists!$A$2:$B$9,2,FALSE),"?"))</f>
        <v/>
      </c>
      <c r="Q71">
        <f>IF(K71="Cancelled",0,N(J71))</f>
        <v/>
      </c>
      <c r="R71">
        <f>IF(OR(H71&lt;&gt;"Cash",P71="T",P71="D"),0,Q71)</f>
        <v/>
      </c>
      <c r="S71">
        <f>IF(R71=0,0,SUMIFS($R$18:$R$317,$B$18:$B$317,B71,$D$18:$D$317,D71))</f>
        <v/>
      </c>
      <c r="T71">
        <f>IF(OR(R71=0,E71=""),0,SUMIFS($R$18:$R$317,$E$18:$E$317,E71))</f>
        <v/>
      </c>
      <c r="U71">
        <f>IF(E71="","",IF(N(F71)&gt;0,F71,IFERROR(INDEX($F$18:$F$317,MATCH(E71,$E$18:$E$317,0)),"")))</f>
        <v/>
      </c>
      <c r="V71">
        <f>IF(OR(N71="",N71="OK",K71="Cancelled"),0,1)</f>
        <v/>
      </c>
    </row>
    <row r="72">
      <c r="B72" s="21" t="n"/>
      <c r="C72" s="22">
        <f>IF(B72="","",$E$10&amp;TEXT(N($E$11)+54,"000"))</f>
        <v/>
      </c>
      <c r="D72" s="14" t="n"/>
      <c r="E72" s="23" t="n"/>
      <c r="F72" s="24" t="n"/>
      <c r="G72" s="14" t="n"/>
      <c r="H72" s="14" t="n"/>
      <c r="I72" s="23" t="n"/>
      <c r="J72" s="24" t="n"/>
      <c r="K72" s="23" t="n"/>
      <c r="L72" s="25">
        <f>IF(OR(E72="",N(U72)=0),"",U72-SUMIFS(Q$18:Q72,E$18:E72,E72))</f>
        <v/>
      </c>
      <c r="M72" s="26">
        <f>IF(OR(N(J72)=0,K72="Cancelled"),"",IF(AND(N(J72)&gt;5000,P72&lt;&gt;"G"),"Yes: ₹1","No"))</f>
        <v/>
      </c>
      <c r="N72" s="27">
        <f>IF(AND(B72="",D72="",N(J72)=0),"",IF(B72="","Enter the date",IF(AND(ROW()&gt;18,B71=""),"Use the next empty row: a skipped row leaves a gap in the receipt numbers",IF(D72="","Enter who paid",IF(N(J72)=0,"Enter the amount",IF(G72="","Pick what the money was for",IF(P72="?","Pick what it was for from the list",IF(H72="","Pick how it was paid",IF(K72="Cancelled","Cancelled: keep this number unused and give a fresh receipt",IF(AND(H72&lt;&gt;"Cash",I72=""),"Enter the cheque no., UTR or UPI reference",IF(AND(L72&lt;&gt;"",N(L72)&lt;0),"More than the balance due on this invoice",IF(S72&gt;=200000,"₹2,00,000 or more in cash from this person today: barred, s.186",IF(T72&gt;=200000,"₹2,00,000 or more in cash against this invoice: barred, s.186",IF(AND(P72="T",H72="Cash",N(J72)&gt;=20000),"Loan of ₹20,000 or more in cash: barred, s.185",IF(AND(P72="D",H72="Cash",N(J72)&gt;=20000),"Cash deposit of ₹20,000 or more: ask your accountant whether s.185 applies",IF(AND(OR(P72="AG",P72="AS"),$E$9&lt;&gt;""),"Advance: also give a GST receipt voucher, s.31(3)(d) and Rule 50","OK"))))))))))))))))</f>
        <v/>
      </c>
      <c r="P72">
        <f>IF(G72="","",IFERROR(VLOOKUP(G72,Lists!$A$2:$B$9,2,FALSE),"?"))</f>
        <v/>
      </c>
      <c r="Q72">
        <f>IF(K72="Cancelled",0,N(J72))</f>
        <v/>
      </c>
      <c r="R72">
        <f>IF(OR(H72&lt;&gt;"Cash",P72="T",P72="D"),0,Q72)</f>
        <v/>
      </c>
      <c r="S72">
        <f>IF(R72=0,0,SUMIFS($R$18:$R$317,$B$18:$B$317,B72,$D$18:$D$317,D72))</f>
        <v/>
      </c>
      <c r="T72">
        <f>IF(OR(R72=0,E72=""),0,SUMIFS($R$18:$R$317,$E$18:$E$317,E72))</f>
        <v/>
      </c>
      <c r="U72">
        <f>IF(E72="","",IF(N(F72)&gt;0,F72,IFERROR(INDEX($F$18:$F$317,MATCH(E72,$E$18:$E$317,0)),"")))</f>
        <v/>
      </c>
      <c r="V72">
        <f>IF(OR(N72="",N72="OK",K72="Cancelled"),0,1)</f>
        <v/>
      </c>
    </row>
    <row r="73">
      <c r="B73" s="21" t="n"/>
      <c r="C73" s="22">
        <f>IF(B73="","",$E$10&amp;TEXT(N($E$11)+55,"000"))</f>
        <v/>
      </c>
      <c r="D73" s="14" t="n"/>
      <c r="E73" s="23" t="n"/>
      <c r="F73" s="24" t="n"/>
      <c r="G73" s="14" t="n"/>
      <c r="H73" s="14" t="n"/>
      <c r="I73" s="23" t="n"/>
      <c r="J73" s="24" t="n"/>
      <c r="K73" s="23" t="n"/>
      <c r="L73" s="25">
        <f>IF(OR(E73="",N(U73)=0),"",U73-SUMIFS(Q$18:Q73,E$18:E73,E73))</f>
        <v/>
      </c>
      <c r="M73" s="26">
        <f>IF(OR(N(J73)=0,K73="Cancelled"),"",IF(AND(N(J73)&gt;5000,P73&lt;&gt;"G"),"Yes: ₹1","No"))</f>
        <v/>
      </c>
      <c r="N73" s="27">
        <f>IF(AND(B73="",D73="",N(J73)=0),"",IF(B73="","Enter the date",IF(AND(ROW()&gt;18,B72=""),"Use the next empty row: a skipped row leaves a gap in the receipt numbers",IF(D73="","Enter who paid",IF(N(J73)=0,"Enter the amount",IF(G73="","Pick what the money was for",IF(P73="?","Pick what it was for from the list",IF(H73="","Pick how it was paid",IF(K73="Cancelled","Cancelled: keep this number unused and give a fresh receipt",IF(AND(H73&lt;&gt;"Cash",I73=""),"Enter the cheque no., UTR or UPI reference",IF(AND(L73&lt;&gt;"",N(L73)&lt;0),"More than the balance due on this invoice",IF(S73&gt;=200000,"₹2,00,000 or more in cash from this person today: barred, s.186",IF(T73&gt;=200000,"₹2,00,000 or more in cash against this invoice: barred, s.186",IF(AND(P73="T",H73="Cash",N(J73)&gt;=20000),"Loan of ₹20,000 or more in cash: barred, s.185",IF(AND(P73="D",H73="Cash",N(J73)&gt;=20000),"Cash deposit of ₹20,000 or more: ask your accountant whether s.185 applies",IF(AND(OR(P73="AG",P73="AS"),$E$9&lt;&gt;""),"Advance: also give a GST receipt voucher, s.31(3)(d) and Rule 50","OK"))))))))))))))))</f>
        <v/>
      </c>
      <c r="P73">
        <f>IF(G73="","",IFERROR(VLOOKUP(G73,Lists!$A$2:$B$9,2,FALSE),"?"))</f>
        <v/>
      </c>
      <c r="Q73">
        <f>IF(K73="Cancelled",0,N(J73))</f>
        <v/>
      </c>
      <c r="R73">
        <f>IF(OR(H73&lt;&gt;"Cash",P73="T",P73="D"),0,Q73)</f>
        <v/>
      </c>
      <c r="S73">
        <f>IF(R73=0,0,SUMIFS($R$18:$R$317,$B$18:$B$317,B73,$D$18:$D$317,D73))</f>
        <v/>
      </c>
      <c r="T73">
        <f>IF(OR(R73=0,E73=""),0,SUMIFS($R$18:$R$317,$E$18:$E$317,E73))</f>
        <v/>
      </c>
      <c r="U73">
        <f>IF(E73="","",IF(N(F73)&gt;0,F73,IFERROR(INDEX($F$18:$F$317,MATCH(E73,$E$18:$E$317,0)),"")))</f>
        <v/>
      </c>
      <c r="V73">
        <f>IF(OR(N73="",N73="OK",K73="Cancelled"),0,1)</f>
        <v/>
      </c>
    </row>
    <row r="74">
      <c r="B74" s="21" t="n"/>
      <c r="C74" s="22">
        <f>IF(B74="","",$E$10&amp;TEXT(N($E$11)+56,"000"))</f>
        <v/>
      </c>
      <c r="D74" s="14" t="n"/>
      <c r="E74" s="23" t="n"/>
      <c r="F74" s="24" t="n"/>
      <c r="G74" s="14" t="n"/>
      <c r="H74" s="14" t="n"/>
      <c r="I74" s="23" t="n"/>
      <c r="J74" s="24" t="n"/>
      <c r="K74" s="23" t="n"/>
      <c r="L74" s="25">
        <f>IF(OR(E74="",N(U74)=0),"",U74-SUMIFS(Q$18:Q74,E$18:E74,E74))</f>
        <v/>
      </c>
      <c r="M74" s="26">
        <f>IF(OR(N(J74)=0,K74="Cancelled"),"",IF(AND(N(J74)&gt;5000,P74&lt;&gt;"G"),"Yes: ₹1","No"))</f>
        <v/>
      </c>
      <c r="N74" s="27">
        <f>IF(AND(B74="",D74="",N(J74)=0),"",IF(B74="","Enter the date",IF(AND(ROW()&gt;18,B73=""),"Use the next empty row: a skipped row leaves a gap in the receipt numbers",IF(D74="","Enter who paid",IF(N(J74)=0,"Enter the amount",IF(G74="","Pick what the money was for",IF(P74="?","Pick what it was for from the list",IF(H74="","Pick how it was paid",IF(K74="Cancelled","Cancelled: keep this number unused and give a fresh receipt",IF(AND(H74&lt;&gt;"Cash",I74=""),"Enter the cheque no., UTR or UPI reference",IF(AND(L74&lt;&gt;"",N(L74)&lt;0),"More than the balance due on this invoice",IF(S74&gt;=200000,"₹2,00,000 or more in cash from this person today: barred, s.186",IF(T74&gt;=200000,"₹2,00,000 or more in cash against this invoice: barred, s.186",IF(AND(P74="T",H74="Cash",N(J74)&gt;=20000),"Loan of ₹20,000 or more in cash: barred, s.185",IF(AND(P74="D",H74="Cash",N(J74)&gt;=20000),"Cash deposit of ₹20,000 or more: ask your accountant whether s.185 applies",IF(AND(OR(P74="AG",P74="AS"),$E$9&lt;&gt;""),"Advance: also give a GST receipt voucher, s.31(3)(d) and Rule 50","OK"))))))))))))))))</f>
        <v/>
      </c>
      <c r="P74">
        <f>IF(G74="","",IFERROR(VLOOKUP(G74,Lists!$A$2:$B$9,2,FALSE),"?"))</f>
        <v/>
      </c>
      <c r="Q74">
        <f>IF(K74="Cancelled",0,N(J74))</f>
        <v/>
      </c>
      <c r="R74">
        <f>IF(OR(H74&lt;&gt;"Cash",P74="T",P74="D"),0,Q74)</f>
        <v/>
      </c>
      <c r="S74">
        <f>IF(R74=0,0,SUMIFS($R$18:$R$317,$B$18:$B$317,B74,$D$18:$D$317,D74))</f>
        <v/>
      </c>
      <c r="T74">
        <f>IF(OR(R74=0,E74=""),0,SUMIFS($R$18:$R$317,$E$18:$E$317,E74))</f>
        <v/>
      </c>
      <c r="U74">
        <f>IF(E74="","",IF(N(F74)&gt;0,F74,IFERROR(INDEX($F$18:$F$317,MATCH(E74,$E$18:$E$317,0)),"")))</f>
        <v/>
      </c>
      <c r="V74">
        <f>IF(OR(N74="",N74="OK",K74="Cancelled"),0,1)</f>
        <v/>
      </c>
    </row>
    <row r="75">
      <c r="B75" s="21" t="n"/>
      <c r="C75" s="22">
        <f>IF(B75="","",$E$10&amp;TEXT(N($E$11)+57,"000"))</f>
        <v/>
      </c>
      <c r="D75" s="14" t="n"/>
      <c r="E75" s="23" t="n"/>
      <c r="F75" s="24" t="n"/>
      <c r="G75" s="14" t="n"/>
      <c r="H75" s="14" t="n"/>
      <c r="I75" s="23" t="n"/>
      <c r="J75" s="24" t="n"/>
      <c r="K75" s="23" t="n"/>
      <c r="L75" s="25">
        <f>IF(OR(E75="",N(U75)=0),"",U75-SUMIFS(Q$18:Q75,E$18:E75,E75))</f>
        <v/>
      </c>
      <c r="M75" s="26">
        <f>IF(OR(N(J75)=0,K75="Cancelled"),"",IF(AND(N(J75)&gt;5000,P75&lt;&gt;"G"),"Yes: ₹1","No"))</f>
        <v/>
      </c>
      <c r="N75" s="27">
        <f>IF(AND(B75="",D75="",N(J75)=0),"",IF(B75="","Enter the date",IF(AND(ROW()&gt;18,B74=""),"Use the next empty row: a skipped row leaves a gap in the receipt numbers",IF(D75="","Enter who paid",IF(N(J75)=0,"Enter the amount",IF(G75="","Pick what the money was for",IF(P75="?","Pick what it was for from the list",IF(H75="","Pick how it was paid",IF(K75="Cancelled","Cancelled: keep this number unused and give a fresh receipt",IF(AND(H75&lt;&gt;"Cash",I75=""),"Enter the cheque no., UTR or UPI reference",IF(AND(L75&lt;&gt;"",N(L75)&lt;0),"More than the balance due on this invoice",IF(S75&gt;=200000,"₹2,00,000 or more in cash from this person today: barred, s.186",IF(T75&gt;=200000,"₹2,00,000 or more in cash against this invoice: barred, s.186",IF(AND(P75="T",H75="Cash",N(J75)&gt;=20000),"Loan of ₹20,000 or more in cash: barred, s.185",IF(AND(P75="D",H75="Cash",N(J75)&gt;=20000),"Cash deposit of ₹20,000 or more: ask your accountant whether s.185 applies",IF(AND(OR(P75="AG",P75="AS"),$E$9&lt;&gt;""),"Advance: also give a GST receipt voucher, s.31(3)(d) and Rule 50","OK"))))))))))))))))</f>
        <v/>
      </c>
      <c r="P75">
        <f>IF(G75="","",IFERROR(VLOOKUP(G75,Lists!$A$2:$B$9,2,FALSE),"?"))</f>
        <v/>
      </c>
      <c r="Q75">
        <f>IF(K75="Cancelled",0,N(J75))</f>
        <v/>
      </c>
      <c r="R75">
        <f>IF(OR(H75&lt;&gt;"Cash",P75="T",P75="D"),0,Q75)</f>
        <v/>
      </c>
      <c r="S75">
        <f>IF(R75=0,0,SUMIFS($R$18:$R$317,$B$18:$B$317,B75,$D$18:$D$317,D75))</f>
        <v/>
      </c>
      <c r="T75">
        <f>IF(OR(R75=0,E75=""),0,SUMIFS($R$18:$R$317,$E$18:$E$317,E75))</f>
        <v/>
      </c>
      <c r="U75">
        <f>IF(E75="","",IF(N(F75)&gt;0,F75,IFERROR(INDEX($F$18:$F$317,MATCH(E75,$E$18:$E$317,0)),"")))</f>
        <v/>
      </c>
      <c r="V75">
        <f>IF(OR(N75="",N75="OK",K75="Cancelled"),0,1)</f>
        <v/>
      </c>
    </row>
    <row r="76">
      <c r="B76" s="21" t="n"/>
      <c r="C76" s="22">
        <f>IF(B76="","",$E$10&amp;TEXT(N($E$11)+58,"000"))</f>
        <v/>
      </c>
      <c r="D76" s="14" t="n"/>
      <c r="E76" s="23" t="n"/>
      <c r="F76" s="24" t="n"/>
      <c r="G76" s="14" t="n"/>
      <c r="H76" s="14" t="n"/>
      <c r="I76" s="23" t="n"/>
      <c r="J76" s="24" t="n"/>
      <c r="K76" s="23" t="n"/>
      <c r="L76" s="25">
        <f>IF(OR(E76="",N(U76)=0),"",U76-SUMIFS(Q$18:Q76,E$18:E76,E76))</f>
        <v/>
      </c>
      <c r="M76" s="26">
        <f>IF(OR(N(J76)=0,K76="Cancelled"),"",IF(AND(N(J76)&gt;5000,P76&lt;&gt;"G"),"Yes: ₹1","No"))</f>
        <v/>
      </c>
      <c r="N76" s="27">
        <f>IF(AND(B76="",D76="",N(J76)=0),"",IF(B76="","Enter the date",IF(AND(ROW()&gt;18,B75=""),"Use the next empty row: a skipped row leaves a gap in the receipt numbers",IF(D76="","Enter who paid",IF(N(J76)=0,"Enter the amount",IF(G76="","Pick what the money was for",IF(P76="?","Pick what it was for from the list",IF(H76="","Pick how it was paid",IF(K76="Cancelled","Cancelled: keep this number unused and give a fresh receipt",IF(AND(H76&lt;&gt;"Cash",I76=""),"Enter the cheque no., UTR or UPI reference",IF(AND(L76&lt;&gt;"",N(L76)&lt;0),"More than the balance due on this invoice",IF(S76&gt;=200000,"₹2,00,000 or more in cash from this person today: barred, s.186",IF(T76&gt;=200000,"₹2,00,000 or more in cash against this invoice: barred, s.186",IF(AND(P76="T",H76="Cash",N(J76)&gt;=20000),"Loan of ₹20,000 or more in cash: barred, s.185",IF(AND(P76="D",H76="Cash",N(J76)&gt;=20000),"Cash deposit of ₹20,000 or more: ask your accountant whether s.185 applies",IF(AND(OR(P76="AG",P76="AS"),$E$9&lt;&gt;""),"Advance: also give a GST receipt voucher, s.31(3)(d) and Rule 50","OK"))))))))))))))))</f>
        <v/>
      </c>
      <c r="P76">
        <f>IF(G76="","",IFERROR(VLOOKUP(G76,Lists!$A$2:$B$9,2,FALSE),"?"))</f>
        <v/>
      </c>
      <c r="Q76">
        <f>IF(K76="Cancelled",0,N(J76))</f>
        <v/>
      </c>
      <c r="R76">
        <f>IF(OR(H76&lt;&gt;"Cash",P76="T",P76="D"),0,Q76)</f>
        <v/>
      </c>
      <c r="S76">
        <f>IF(R76=0,0,SUMIFS($R$18:$R$317,$B$18:$B$317,B76,$D$18:$D$317,D76))</f>
        <v/>
      </c>
      <c r="T76">
        <f>IF(OR(R76=0,E76=""),0,SUMIFS($R$18:$R$317,$E$18:$E$317,E76))</f>
        <v/>
      </c>
      <c r="U76">
        <f>IF(E76="","",IF(N(F76)&gt;0,F76,IFERROR(INDEX($F$18:$F$317,MATCH(E76,$E$18:$E$317,0)),"")))</f>
        <v/>
      </c>
      <c r="V76">
        <f>IF(OR(N76="",N76="OK",K76="Cancelled"),0,1)</f>
        <v/>
      </c>
    </row>
    <row r="77">
      <c r="B77" s="21" t="n"/>
      <c r="C77" s="22">
        <f>IF(B77="","",$E$10&amp;TEXT(N($E$11)+59,"000"))</f>
        <v/>
      </c>
      <c r="D77" s="14" t="n"/>
      <c r="E77" s="23" t="n"/>
      <c r="F77" s="24" t="n"/>
      <c r="G77" s="14" t="n"/>
      <c r="H77" s="14" t="n"/>
      <c r="I77" s="23" t="n"/>
      <c r="J77" s="24" t="n"/>
      <c r="K77" s="23" t="n"/>
      <c r="L77" s="25">
        <f>IF(OR(E77="",N(U77)=0),"",U77-SUMIFS(Q$18:Q77,E$18:E77,E77))</f>
        <v/>
      </c>
      <c r="M77" s="26">
        <f>IF(OR(N(J77)=0,K77="Cancelled"),"",IF(AND(N(J77)&gt;5000,P77&lt;&gt;"G"),"Yes: ₹1","No"))</f>
        <v/>
      </c>
      <c r="N77" s="27">
        <f>IF(AND(B77="",D77="",N(J77)=0),"",IF(B77="","Enter the date",IF(AND(ROW()&gt;18,B76=""),"Use the next empty row: a skipped row leaves a gap in the receipt numbers",IF(D77="","Enter who paid",IF(N(J77)=0,"Enter the amount",IF(G77="","Pick what the money was for",IF(P77="?","Pick what it was for from the list",IF(H77="","Pick how it was paid",IF(K77="Cancelled","Cancelled: keep this number unused and give a fresh receipt",IF(AND(H77&lt;&gt;"Cash",I77=""),"Enter the cheque no., UTR or UPI reference",IF(AND(L77&lt;&gt;"",N(L77)&lt;0),"More than the balance due on this invoice",IF(S77&gt;=200000,"₹2,00,000 or more in cash from this person today: barred, s.186",IF(T77&gt;=200000,"₹2,00,000 or more in cash against this invoice: barred, s.186",IF(AND(P77="T",H77="Cash",N(J77)&gt;=20000),"Loan of ₹20,000 or more in cash: barred, s.185",IF(AND(P77="D",H77="Cash",N(J77)&gt;=20000),"Cash deposit of ₹20,000 or more: ask your accountant whether s.185 applies",IF(AND(OR(P77="AG",P77="AS"),$E$9&lt;&gt;""),"Advance: also give a GST receipt voucher, s.31(3)(d) and Rule 50","OK"))))))))))))))))</f>
        <v/>
      </c>
      <c r="P77">
        <f>IF(G77="","",IFERROR(VLOOKUP(G77,Lists!$A$2:$B$9,2,FALSE),"?"))</f>
        <v/>
      </c>
      <c r="Q77">
        <f>IF(K77="Cancelled",0,N(J77))</f>
        <v/>
      </c>
      <c r="R77">
        <f>IF(OR(H77&lt;&gt;"Cash",P77="T",P77="D"),0,Q77)</f>
        <v/>
      </c>
      <c r="S77">
        <f>IF(R77=0,0,SUMIFS($R$18:$R$317,$B$18:$B$317,B77,$D$18:$D$317,D77))</f>
        <v/>
      </c>
      <c r="T77">
        <f>IF(OR(R77=0,E77=""),0,SUMIFS($R$18:$R$317,$E$18:$E$317,E77))</f>
        <v/>
      </c>
      <c r="U77">
        <f>IF(E77="","",IF(N(F77)&gt;0,F77,IFERROR(INDEX($F$18:$F$317,MATCH(E77,$E$18:$E$317,0)),"")))</f>
        <v/>
      </c>
      <c r="V77">
        <f>IF(OR(N77="",N77="OK",K77="Cancelled"),0,1)</f>
        <v/>
      </c>
    </row>
    <row r="78">
      <c r="B78" s="21" t="n"/>
      <c r="C78" s="22">
        <f>IF(B78="","",$E$10&amp;TEXT(N($E$11)+60,"000"))</f>
        <v/>
      </c>
      <c r="D78" s="14" t="n"/>
      <c r="E78" s="23" t="n"/>
      <c r="F78" s="24" t="n"/>
      <c r="G78" s="14" t="n"/>
      <c r="H78" s="14" t="n"/>
      <c r="I78" s="23" t="n"/>
      <c r="J78" s="24" t="n"/>
      <c r="K78" s="23" t="n"/>
      <c r="L78" s="25">
        <f>IF(OR(E78="",N(U78)=0),"",U78-SUMIFS(Q$18:Q78,E$18:E78,E78))</f>
        <v/>
      </c>
      <c r="M78" s="26">
        <f>IF(OR(N(J78)=0,K78="Cancelled"),"",IF(AND(N(J78)&gt;5000,P78&lt;&gt;"G"),"Yes: ₹1","No"))</f>
        <v/>
      </c>
      <c r="N78" s="27">
        <f>IF(AND(B78="",D78="",N(J78)=0),"",IF(B78="","Enter the date",IF(AND(ROW()&gt;18,B77=""),"Use the next empty row: a skipped row leaves a gap in the receipt numbers",IF(D78="","Enter who paid",IF(N(J78)=0,"Enter the amount",IF(G78="","Pick what the money was for",IF(P78="?","Pick what it was for from the list",IF(H78="","Pick how it was paid",IF(K78="Cancelled","Cancelled: keep this number unused and give a fresh receipt",IF(AND(H78&lt;&gt;"Cash",I78=""),"Enter the cheque no., UTR or UPI reference",IF(AND(L78&lt;&gt;"",N(L78)&lt;0),"More than the balance due on this invoice",IF(S78&gt;=200000,"₹2,00,000 or more in cash from this person today: barred, s.186",IF(T78&gt;=200000,"₹2,00,000 or more in cash against this invoice: barred, s.186",IF(AND(P78="T",H78="Cash",N(J78)&gt;=20000),"Loan of ₹20,000 or more in cash: barred, s.185",IF(AND(P78="D",H78="Cash",N(J78)&gt;=20000),"Cash deposit of ₹20,000 or more: ask your accountant whether s.185 applies",IF(AND(OR(P78="AG",P78="AS"),$E$9&lt;&gt;""),"Advance: also give a GST receipt voucher, s.31(3)(d) and Rule 50","OK"))))))))))))))))</f>
        <v/>
      </c>
      <c r="P78">
        <f>IF(G78="","",IFERROR(VLOOKUP(G78,Lists!$A$2:$B$9,2,FALSE),"?"))</f>
        <v/>
      </c>
      <c r="Q78">
        <f>IF(K78="Cancelled",0,N(J78))</f>
        <v/>
      </c>
      <c r="R78">
        <f>IF(OR(H78&lt;&gt;"Cash",P78="T",P78="D"),0,Q78)</f>
        <v/>
      </c>
      <c r="S78">
        <f>IF(R78=0,0,SUMIFS($R$18:$R$317,$B$18:$B$317,B78,$D$18:$D$317,D78))</f>
        <v/>
      </c>
      <c r="T78">
        <f>IF(OR(R78=0,E78=""),0,SUMIFS($R$18:$R$317,$E$18:$E$317,E78))</f>
        <v/>
      </c>
      <c r="U78">
        <f>IF(E78="","",IF(N(F78)&gt;0,F78,IFERROR(INDEX($F$18:$F$317,MATCH(E78,$E$18:$E$317,0)),"")))</f>
        <v/>
      </c>
      <c r="V78">
        <f>IF(OR(N78="",N78="OK",K78="Cancelled"),0,1)</f>
        <v/>
      </c>
    </row>
    <row r="79">
      <c r="B79" s="21" t="n"/>
      <c r="C79" s="22">
        <f>IF(B79="","",$E$10&amp;TEXT(N($E$11)+61,"000"))</f>
        <v/>
      </c>
      <c r="D79" s="14" t="n"/>
      <c r="E79" s="23" t="n"/>
      <c r="F79" s="24" t="n"/>
      <c r="G79" s="14" t="n"/>
      <c r="H79" s="14" t="n"/>
      <c r="I79" s="23" t="n"/>
      <c r="J79" s="24" t="n"/>
      <c r="K79" s="23" t="n"/>
      <c r="L79" s="25">
        <f>IF(OR(E79="",N(U79)=0),"",U79-SUMIFS(Q$18:Q79,E$18:E79,E79))</f>
        <v/>
      </c>
      <c r="M79" s="26">
        <f>IF(OR(N(J79)=0,K79="Cancelled"),"",IF(AND(N(J79)&gt;5000,P79&lt;&gt;"G"),"Yes: ₹1","No"))</f>
        <v/>
      </c>
      <c r="N79" s="27">
        <f>IF(AND(B79="",D79="",N(J79)=0),"",IF(B79="","Enter the date",IF(AND(ROW()&gt;18,B78=""),"Use the next empty row: a skipped row leaves a gap in the receipt numbers",IF(D79="","Enter who paid",IF(N(J79)=0,"Enter the amount",IF(G79="","Pick what the money was for",IF(P79="?","Pick what it was for from the list",IF(H79="","Pick how it was paid",IF(K79="Cancelled","Cancelled: keep this number unused and give a fresh receipt",IF(AND(H79&lt;&gt;"Cash",I79=""),"Enter the cheque no., UTR or UPI reference",IF(AND(L79&lt;&gt;"",N(L79)&lt;0),"More than the balance due on this invoice",IF(S79&gt;=200000,"₹2,00,000 or more in cash from this person today: barred, s.186",IF(T79&gt;=200000,"₹2,00,000 or more in cash against this invoice: barred, s.186",IF(AND(P79="T",H79="Cash",N(J79)&gt;=20000),"Loan of ₹20,000 or more in cash: barred, s.185",IF(AND(P79="D",H79="Cash",N(J79)&gt;=20000),"Cash deposit of ₹20,000 or more: ask your accountant whether s.185 applies",IF(AND(OR(P79="AG",P79="AS"),$E$9&lt;&gt;""),"Advance: also give a GST receipt voucher, s.31(3)(d) and Rule 50","OK"))))))))))))))))</f>
        <v/>
      </c>
      <c r="P79">
        <f>IF(G79="","",IFERROR(VLOOKUP(G79,Lists!$A$2:$B$9,2,FALSE),"?"))</f>
        <v/>
      </c>
      <c r="Q79">
        <f>IF(K79="Cancelled",0,N(J79))</f>
        <v/>
      </c>
      <c r="R79">
        <f>IF(OR(H79&lt;&gt;"Cash",P79="T",P79="D"),0,Q79)</f>
        <v/>
      </c>
      <c r="S79">
        <f>IF(R79=0,0,SUMIFS($R$18:$R$317,$B$18:$B$317,B79,$D$18:$D$317,D79))</f>
        <v/>
      </c>
      <c r="T79">
        <f>IF(OR(R79=0,E79=""),0,SUMIFS($R$18:$R$317,$E$18:$E$317,E79))</f>
        <v/>
      </c>
      <c r="U79">
        <f>IF(E79="","",IF(N(F79)&gt;0,F79,IFERROR(INDEX($F$18:$F$317,MATCH(E79,$E$18:$E$317,0)),"")))</f>
        <v/>
      </c>
      <c r="V79">
        <f>IF(OR(N79="",N79="OK",K79="Cancelled"),0,1)</f>
        <v/>
      </c>
    </row>
    <row r="80">
      <c r="B80" s="21" t="n"/>
      <c r="C80" s="22">
        <f>IF(B80="","",$E$10&amp;TEXT(N($E$11)+62,"000"))</f>
        <v/>
      </c>
      <c r="D80" s="14" t="n"/>
      <c r="E80" s="23" t="n"/>
      <c r="F80" s="24" t="n"/>
      <c r="G80" s="14" t="n"/>
      <c r="H80" s="14" t="n"/>
      <c r="I80" s="23" t="n"/>
      <c r="J80" s="24" t="n"/>
      <c r="K80" s="23" t="n"/>
      <c r="L80" s="25">
        <f>IF(OR(E80="",N(U80)=0),"",U80-SUMIFS(Q$18:Q80,E$18:E80,E80))</f>
        <v/>
      </c>
      <c r="M80" s="26">
        <f>IF(OR(N(J80)=0,K80="Cancelled"),"",IF(AND(N(J80)&gt;5000,P80&lt;&gt;"G"),"Yes: ₹1","No"))</f>
        <v/>
      </c>
      <c r="N80" s="27">
        <f>IF(AND(B80="",D80="",N(J80)=0),"",IF(B80="","Enter the date",IF(AND(ROW()&gt;18,B79=""),"Use the next empty row: a skipped row leaves a gap in the receipt numbers",IF(D80="","Enter who paid",IF(N(J80)=0,"Enter the amount",IF(G80="","Pick what the money was for",IF(P80="?","Pick what it was for from the list",IF(H80="","Pick how it was paid",IF(K80="Cancelled","Cancelled: keep this number unused and give a fresh receipt",IF(AND(H80&lt;&gt;"Cash",I80=""),"Enter the cheque no., UTR or UPI reference",IF(AND(L80&lt;&gt;"",N(L80)&lt;0),"More than the balance due on this invoice",IF(S80&gt;=200000,"₹2,00,000 or more in cash from this person today: barred, s.186",IF(T80&gt;=200000,"₹2,00,000 or more in cash against this invoice: barred, s.186",IF(AND(P80="T",H80="Cash",N(J80)&gt;=20000),"Loan of ₹20,000 or more in cash: barred, s.185",IF(AND(P80="D",H80="Cash",N(J80)&gt;=20000),"Cash deposit of ₹20,000 or more: ask your accountant whether s.185 applies",IF(AND(OR(P80="AG",P80="AS"),$E$9&lt;&gt;""),"Advance: also give a GST receipt voucher, s.31(3)(d) and Rule 50","OK"))))))))))))))))</f>
        <v/>
      </c>
      <c r="P80">
        <f>IF(G80="","",IFERROR(VLOOKUP(G80,Lists!$A$2:$B$9,2,FALSE),"?"))</f>
        <v/>
      </c>
      <c r="Q80">
        <f>IF(K80="Cancelled",0,N(J80))</f>
        <v/>
      </c>
      <c r="R80">
        <f>IF(OR(H80&lt;&gt;"Cash",P80="T",P80="D"),0,Q80)</f>
        <v/>
      </c>
      <c r="S80">
        <f>IF(R80=0,0,SUMIFS($R$18:$R$317,$B$18:$B$317,B80,$D$18:$D$317,D80))</f>
        <v/>
      </c>
      <c r="T80">
        <f>IF(OR(R80=0,E80=""),0,SUMIFS($R$18:$R$317,$E$18:$E$317,E80))</f>
        <v/>
      </c>
      <c r="U80">
        <f>IF(E80="","",IF(N(F80)&gt;0,F80,IFERROR(INDEX($F$18:$F$317,MATCH(E80,$E$18:$E$317,0)),"")))</f>
        <v/>
      </c>
      <c r="V80">
        <f>IF(OR(N80="",N80="OK",K80="Cancelled"),0,1)</f>
        <v/>
      </c>
    </row>
    <row r="81">
      <c r="B81" s="21" t="n"/>
      <c r="C81" s="22">
        <f>IF(B81="","",$E$10&amp;TEXT(N($E$11)+63,"000"))</f>
        <v/>
      </c>
      <c r="D81" s="14" t="n"/>
      <c r="E81" s="23" t="n"/>
      <c r="F81" s="24" t="n"/>
      <c r="G81" s="14" t="n"/>
      <c r="H81" s="14" t="n"/>
      <c r="I81" s="23" t="n"/>
      <c r="J81" s="24" t="n"/>
      <c r="K81" s="23" t="n"/>
      <c r="L81" s="25">
        <f>IF(OR(E81="",N(U81)=0),"",U81-SUMIFS(Q$18:Q81,E$18:E81,E81))</f>
        <v/>
      </c>
      <c r="M81" s="26">
        <f>IF(OR(N(J81)=0,K81="Cancelled"),"",IF(AND(N(J81)&gt;5000,P81&lt;&gt;"G"),"Yes: ₹1","No"))</f>
        <v/>
      </c>
      <c r="N81" s="27">
        <f>IF(AND(B81="",D81="",N(J81)=0),"",IF(B81="","Enter the date",IF(AND(ROW()&gt;18,B80=""),"Use the next empty row: a skipped row leaves a gap in the receipt numbers",IF(D81="","Enter who paid",IF(N(J81)=0,"Enter the amount",IF(G81="","Pick what the money was for",IF(P81="?","Pick what it was for from the list",IF(H81="","Pick how it was paid",IF(K81="Cancelled","Cancelled: keep this number unused and give a fresh receipt",IF(AND(H81&lt;&gt;"Cash",I81=""),"Enter the cheque no., UTR or UPI reference",IF(AND(L81&lt;&gt;"",N(L81)&lt;0),"More than the balance due on this invoice",IF(S81&gt;=200000,"₹2,00,000 or more in cash from this person today: barred, s.186",IF(T81&gt;=200000,"₹2,00,000 or more in cash against this invoice: barred, s.186",IF(AND(P81="T",H81="Cash",N(J81)&gt;=20000),"Loan of ₹20,000 or more in cash: barred, s.185",IF(AND(P81="D",H81="Cash",N(J81)&gt;=20000),"Cash deposit of ₹20,000 or more: ask your accountant whether s.185 applies",IF(AND(OR(P81="AG",P81="AS"),$E$9&lt;&gt;""),"Advance: also give a GST receipt voucher, s.31(3)(d) and Rule 50","OK"))))))))))))))))</f>
        <v/>
      </c>
      <c r="P81">
        <f>IF(G81="","",IFERROR(VLOOKUP(G81,Lists!$A$2:$B$9,2,FALSE),"?"))</f>
        <v/>
      </c>
      <c r="Q81">
        <f>IF(K81="Cancelled",0,N(J81))</f>
        <v/>
      </c>
      <c r="R81">
        <f>IF(OR(H81&lt;&gt;"Cash",P81="T",P81="D"),0,Q81)</f>
        <v/>
      </c>
      <c r="S81">
        <f>IF(R81=0,0,SUMIFS($R$18:$R$317,$B$18:$B$317,B81,$D$18:$D$317,D81))</f>
        <v/>
      </c>
      <c r="T81">
        <f>IF(OR(R81=0,E81=""),0,SUMIFS($R$18:$R$317,$E$18:$E$317,E81))</f>
        <v/>
      </c>
      <c r="U81">
        <f>IF(E81="","",IF(N(F81)&gt;0,F81,IFERROR(INDEX($F$18:$F$317,MATCH(E81,$E$18:$E$317,0)),"")))</f>
        <v/>
      </c>
      <c r="V81">
        <f>IF(OR(N81="",N81="OK",K81="Cancelled"),0,1)</f>
        <v/>
      </c>
    </row>
    <row r="82">
      <c r="B82" s="21" t="n"/>
      <c r="C82" s="22">
        <f>IF(B82="","",$E$10&amp;TEXT(N($E$11)+64,"000"))</f>
        <v/>
      </c>
      <c r="D82" s="14" t="n"/>
      <c r="E82" s="23" t="n"/>
      <c r="F82" s="24" t="n"/>
      <c r="G82" s="14" t="n"/>
      <c r="H82" s="14" t="n"/>
      <c r="I82" s="23" t="n"/>
      <c r="J82" s="24" t="n"/>
      <c r="K82" s="23" t="n"/>
      <c r="L82" s="25">
        <f>IF(OR(E82="",N(U82)=0),"",U82-SUMIFS(Q$18:Q82,E$18:E82,E82))</f>
        <v/>
      </c>
      <c r="M82" s="26">
        <f>IF(OR(N(J82)=0,K82="Cancelled"),"",IF(AND(N(J82)&gt;5000,P82&lt;&gt;"G"),"Yes: ₹1","No"))</f>
        <v/>
      </c>
      <c r="N82" s="27">
        <f>IF(AND(B82="",D82="",N(J82)=0),"",IF(B82="","Enter the date",IF(AND(ROW()&gt;18,B81=""),"Use the next empty row: a skipped row leaves a gap in the receipt numbers",IF(D82="","Enter who paid",IF(N(J82)=0,"Enter the amount",IF(G82="","Pick what the money was for",IF(P82="?","Pick what it was for from the list",IF(H82="","Pick how it was paid",IF(K82="Cancelled","Cancelled: keep this number unused and give a fresh receipt",IF(AND(H82&lt;&gt;"Cash",I82=""),"Enter the cheque no., UTR or UPI reference",IF(AND(L82&lt;&gt;"",N(L82)&lt;0),"More than the balance due on this invoice",IF(S82&gt;=200000,"₹2,00,000 or more in cash from this person today: barred, s.186",IF(T82&gt;=200000,"₹2,00,000 or more in cash against this invoice: barred, s.186",IF(AND(P82="T",H82="Cash",N(J82)&gt;=20000),"Loan of ₹20,000 or more in cash: barred, s.185",IF(AND(P82="D",H82="Cash",N(J82)&gt;=20000),"Cash deposit of ₹20,000 or more: ask your accountant whether s.185 applies",IF(AND(OR(P82="AG",P82="AS"),$E$9&lt;&gt;""),"Advance: also give a GST receipt voucher, s.31(3)(d) and Rule 50","OK"))))))))))))))))</f>
        <v/>
      </c>
      <c r="P82">
        <f>IF(G82="","",IFERROR(VLOOKUP(G82,Lists!$A$2:$B$9,2,FALSE),"?"))</f>
        <v/>
      </c>
      <c r="Q82">
        <f>IF(K82="Cancelled",0,N(J82))</f>
        <v/>
      </c>
      <c r="R82">
        <f>IF(OR(H82&lt;&gt;"Cash",P82="T",P82="D"),0,Q82)</f>
        <v/>
      </c>
      <c r="S82">
        <f>IF(R82=0,0,SUMIFS($R$18:$R$317,$B$18:$B$317,B82,$D$18:$D$317,D82))</f>
        <v/>
      </c>
      <c r="T82">
        <f>IF(OR(R82=0,E82=""),0,SUMIFS($R$18:$R$317,$E$18:$E$317,E82))</f>
        <v/>
      </c>
      <c r="U82">
        <f>IF(E82="","",IF(N(F82)&gt;0,F82,IFERROR(INDEX($F$18:$F$317,MATCH(E82,$E$18:$E$317,0)),"")))</f>
        <v/>
      </c>
      <c r="V82">
        <f>IF(OR(N82="",N82="OK",K82="Cancelled"),0,1)</f>
        <v/>
      </c>
    </row>
    <row r="83">
      <c r="B83" s="21" t="n"/>
      <c r="C83" s="22">
        <f>IF(B83="","",$E$10&amp;TEXT(N($E$11)+65,"000"))</f>
        <v/>
      </c>
      <c r="D83" s="14" t="n"/>
      <c r="E83" s="23" t="n"/>
      <c r="F83" s="24" t="n"/>
      <c r="G83" s="14" t="n"/>
      <c r="H83" s="14" t="n"/>
      <c r="I83" s="23" t="n"/>
      <c r="J83" s="24" t="n"/>
      <c r="K83" s="23" t="n"/>
      <c r="L83" s="25">
        <f>IF(OR(E83="",N(U83)=0),"",U83-SUMIFS(Q$18:Q83,E$18:E83,E83))</f>
        <v/>
      </c>
      <c r="M83" s="26">
        <f>IF(OR(N(J83)=0,K83="Cancelled"),"",IF(AND(N(J83)&gt;5000,P83&lt;&gt;"G"),"Yes: ₹1","No"))</f>
        <v/>
      </c>
      <c r="N83" s="27">
        <f>IF(AND(B83="",D83="",N(J83)=0),"",IF(B83="","Enter the date",IF(AND(ROW()&gt;18,B82=""),"Use the next empty row: a skipped row leaves a gap in the receipt numbers",IF(D83="","Enter who paid",IF(N(J83)=0,"Enter the amount",IF(G83="","Pick what the money was for",IF(P83="?","Pick what it was for from the list",IF(H83="","Pick how it was paid",IF(K83="Cancelled","Cancelled: keep this number unused and give a fresh receipt",IF(AND(H83&lt;&gt;"Cash",I83=""),"Enter the cheque no., UTR or UPI reference",IF(AND(L83&lt;&gt;"",N(L83)&lt;0),"More than the balance due on this invoice",IF(S83&gt;=200000,"₹2,00,000 or more in cash from this person today: barred, s.186",IF(T83&gt;=200000,"₹2,00,000 or more in cash against this invoice: barred, s.186",IF(AND(P83="T",H83="Cash",N(J83)&gt;=20000),"Loan of ₹20,000 or more in cash: barred, s.185",IF(AND(P83="D",H83="Cash",N(J83)&gt;=20000),"Cash deposit of ₹20,000 or more: ask your accountant whether s.185 applies",IF(AND(OR(P83="AG",P83="AS"),$E$9&lt;&gt;""),"Advance: also give a GST receipt voucher, s.31(3)(d) and Rule 50","OK"))))))))))))))))</f>
        <v/>
      </c>
      <c r="P83">
        <f>IF(G83="","",IFERROR(VLOOKUP(G83,Lists!$A$2:$B$9,2,FALSE),"?"))</f>
        <v/>
      </c>
      <c r="Q83">
        <f>IF(K83="Cancelled",0,N(J83))</f>
        <v/>
      </c>
      <c r="R83">
        <f>IF(OR(H83&lt;&gt;"Cash",P83="T",P83="D"),0,Q83)</f>
        <v/>
      </c>
      <c r="S83">
        <f>IF(R83=0,0,SUMIFS($R$18:$R$317,$B$18:$B$317,B83,$D$18:$D$317,D83))</f>
        <v/>
      </c>
      <c r="T83">
        <f>IF(OR(R83=0,E83=""),0,SUMIFS($R$18:$R$317,$E$18:$E$317,E83))</f>
        <v/>
      </c>
      <c r="U83">
        <f>IF(E83="","",IF(N(F83)&gt;0,F83,IFERROR(INDEX($F$18:$F$317,MATCH(E83,$E$18:$E$317,0)),"")))</f>
        <v/>
      </c>
      <c r="V83">
        <f>IF(OR(N83="",N83="OK",K83="Cancelled"),0,1)</f>
        <v/>
      </c>
    </row>
    <row r="84">
      <c r="B84" s="21" t="n"/>
      <c r="C84" s="22">
        <f>IF(B84="","",$E$10&amp;TEXT(N($E$11)+66,"000"))</f>
        <v/>
      </c>
      <c r="D84" s="14" t="n"/>
      <c r="E84" s="23" t="n"/>
      <c r="F84" s="24" t="n"/>
      <c r="G84" s="14" t="n"/>
      <c r="H84" s="14" t="n"/>
      <c r="I84" s="23" t="n"/>
      <c r="J84" s="24" t="n"/>
      <c r="K84" s="23" t="n"/>
      <c r="L84" s="25">
        <f>IF(OR(E84="",N(U84)=0),"",U84-SUMIFS(Q$18:Q84,E$18:E84,E84))</f>
        <v/>
      </c>
      <c r="M84" s="26">
        <f>IF(OR(N(J84)=0,K84="Cancelled"),"",IF(AND(N(J84)&gt;5000,P84&lt;&gt;"G"),"Yes: ₹1","No"))</f>
        <v/>
      </c>
      <c r="N84" s="27">
        <f>IF(AND(B84="",D84="",N(J84)=0),"",IF(B84="","Enter the date",IF(AND(ROW()&gt;18,B83=""),"Use the next empty row: a skipped row leaves a gap in the receipt numbers",IF(D84="","Enter who paid",IF(N(J84)=0,"Enter the amount",IF(G84="","Pick what the money was for",IF(P84="?","Pick what it was for from the list",IF(H84="","Pick how it was paid",IF(K84="Cancelled","Cancelled: keep this number unused and give a fresh receipt",IF(AND(H84&lt;&gt;"Cash",I84=""),"Enter the cheque no., UTR or UPI reference",IF(AND(L84&lt;&gt;"",N(L84)&lt;0),"More than the balance due on this invoice",IF(S84&gt;=200000,"₹2,00,000 or more in cash from this person today: barred, s.186",IF(T84&gt;=200000,"₹2,00,000 or more in cash against this invoice: barred, s.186",IF(AND(P84="T",H84="Cash",N(J84)&gt;=20000),"Loan of ₹20,000 or more in cash: barred, s.185",IF(AND(P84="D",H84="Cash",N(J84)&gt;=20000),"Cash deposit of ₹20,000 or more: ask your accountant whether s.185 applies",IF(AND(OR(P84="AG",P84="AS"),$E$9&lt;&gt;""),"Advance: also give a GST receipt voucher, s.31(3)(d) and Rule 50","OK"))))))))))))))))</f>
        <v/>
      </c>
      <c r="P84">
        <f>IF(G84="","",IFERROR(VLOOKUP(G84,Lists!$A$2:$B$9,2,FALSE),"?"))</f>
        <v/>
      </c>
      <c r="Q84">
        <f>IF(K84="Cancelled",0,N(J84))</f>
        <v/>
      </c>
      <c r="R84">
        <f>IF(OR(H84&lt;&gt;"Cash",P84="T",P84="D"),0,Q84)</f>
        <v/>
      </c>
      <c r="S84">
        <f>IF(R84=0,0,SUMIFS($R$18:$R$317,$B$18:$B$317,B84,$D$18:$D$317,D84))</f>
        <v/>
      </c>
      <c r="T84">
        <f>IF(OR(R84=0,E84=""),0,SUMIFS($R$18:$R$317,$E$18:$E$317,E84))</f>
        <v/>
      </c>
      <c r="U84">
        <f>IF(E84="","",IF(N(F84)&gt;0,F84,IFERROR(INDEX($F$18:$F$317,MATCH(E84,$E$18:$E$317,0)),"")))</f>
        <v/>
      </c>
      <c r="V84">
        <f>IF(OR(N84="",N84="OK",K84="Cancelled"),0,1)</f>
        <v/>
      </c>
    </row>
    <row r="85">
      <c r="B85" s="21" t="n"/>
      <c r="C85" s="22">
        <f>IF(B85="","",$E$10&amp;TEXT(N($E$11)+67,"000"))</f>
        <v/>
      </c>
      <c r="D85" s="14" t="n"/>
      <c r="E85" s="23" t="n"/>
      <c r="F85" s="24" t="n"/>
      <c r="G85" s="14" t="n"/>
      <c r="H85" s="14" t="n"/>
      <c r="I85" s="23" t="n"/>
      <c r="J85" s="24" t="n"/>
      <c r="K85" s="23" t="n"/>
      <c r="L85" s="25">
        <f>IF(OR(E85="",N(U85)=0),"",U85-SUMIFS(Q$18:Q85,E$18:E85,E85))</f>
        <v/>
      </c>
      <c r="M85" s="26">
        <f>IF(OR(N(J85)=0,K85="Cancelled"),"",IF(AND(N(J85)&gt;5000,P85&lt;&gt;"G"),"Yes: ₹1","No"))</f>
        <v/>
      </c>
      <c r="N85" s="27">
        <f>IF(AND(B85="",D85="",N(J85)=0),"",IF(B85="","Enter the date",IF(AND(ROW()&gt;18,B84=""),"Use the next empty row: a skipped row leaves a gap in the receipt numbers",IF(D85="","Enter who paid",IF(N(J85)=0,"Enter the amount",IF(G85="","Pick what the money was for",IF(P85="?","Pick what it was for from the list",IF(H85="","Pick how it was paid",IF(K85="Cancelled","Cancelled: keep this number unused and give a fresh receipt",IF(AND(H85&lt;&gt;"Cash",I85=""),"Enter the cheque no., UTR or UPI reference",IF(AND(L85&lt;&gt;"",N(L85)&lt;0),"More than the balance due on this invoice",IF(S85&gt;=200000,"₹2,00,000 or more in cash from this person today: barred, s.186",IF(T85&gt;=200000,"₹2,00,000 or more in cash against this invoice: barred, s.186",IF(AND(P85="T",H85="Cash",N(J85)&gt;=20000),"Loan of ₹20,000 or more in cash: barred, s.185",IF(AND(P85="D",H85="Cash",N(J85)&gt;=20000),"Cash deposit of ₹20,000 or more: ask your accountant whether s.185 applies",IF(AND(OR(P85="AG",P85="AS"),$E$9&lt;&gt;""),"Advance: also give a GST receipt voucher, s.31(3)(d) and Rule 50","OK"))))))))))))))))</f>
        <v/>
      </c>
      <c r="P85">
        <f>IF(G85="","",IFERROR(VLOOKUP(G85,Lists!$A$2:$B$9,2,FALSE),"?"))</f>
        <v/>
      </c>
      <c r="Q85">
        <f>IF(K85="Cancelled",0,N(J85))</f>
        <v/>
      </c>
      <c r="R85">
        <f>IF(OR(H85&lt;&gt;"Cash",P85="T",P85="D"),0,Q85)</f>
        <v/>
      </c>
      <c r="S85">
        <f>IF(R85=0,0,SUMIFS($R$18:$R$317,$B$18:$B$317,B85,$D$18:$D$317,D85))</f>
        <v/>
      </c>
      <c r="T85">
        <f>IF(OR(R85=0,E85=""),0,SUMIFS($R$18:$R$317,$E$18:$E$317,E85))</f>
        <v/>
      </c>
      <c r="U85">
        <f>IF(E85="","",IF(N(F85)&gt;0,F85,IFERROR(INDEX($F$18:$F$317,MATCH(E85,$E$18:$E$317,0)),"")))</f>
        <v/>
      </c>
      <c r="V85">
        <f>IF(OR(N85="",N85="OK",K85="Cancelled"),0,1)</f>
        <v/>
      </c>
    </row>
    <row r="86">
      <c r="B86" s="21" t="n"/>
      <c r="C86" s="22">
        <f>IF(B86="","",$E$10&amp;TEXT(N($E$11)+68,"000"))</f>
        <v/>
      </c>
      <c r="D86" s="14" t="n"/>
      <c r="E86" s="23" t="n"/>
      <c r="F86" s="24" t="n"/>
      <c r="G86" s="14" t="n"/>
      <c r="H86" s="14" t="n"/>
      <c r="I86" s="23" t="n"/>
      <c r="J86" s="24" t="n"/>
      <c r="K86" s="23" t="n"/>
      <c r="L86" s="25">
        <f>IF(OR(E86="",N(U86)=0),"",U86-SUMIFS(Q$18:Q86,E$18:E86,E86))</f>
        <v/>
      </c>
      <c r="M86" s="26">
        <f>IF(OR(N(J86)=0,K86="Cancelled"),"",IF(AND(N(J86)&gt;5000,P86&lt;&gt;"G"),"Yes: ₹1","No"))</f>
        <v/>
      </c>
      <c r="N86" s="27">
        <f>IF(AND(B86="",D86="",N(J86)=0),"",IF(B86="","Enter the date",IF(AND(ROW()&gt;18,B85=""),"Use the next empty row: a skipped row leaves a gap in the receipt numbers",IF(D86="","Enter who paid",IF(N(J86)=0,"Enter the amount",IF(G86="","Pick what the money was for",IF(P86="?","Pick what it was for from the list",IF(H86="","Pick how it was paid",IF(K86="Cancelled","Cancelled: keep this number unused and give a fresh receipt",IF(AND(H86&lt;&gt;"Cash",I86=""),"Enter the cheque no., UTR or UPI reference",IF(AND(L86&lt;&gt;"",N(L86)&lt;0),"More than the balance due on this invoice",IF(S86&gt;=200000,"₹2,00,000 or more in cash from this person today: barred, s.186",IF(T86&gt;=200000,"₹2,00,000 or more in cash against this invoice: barred, s.186",IF(AND(P86="T",H86="Cash",N(J86)&gt;=20000),"Loan of ₹20,000 or more in cash: barred, s.185",IF(AND(P86="D",H86="Cash",N(J86)&gt;=20000),"Cash deposit of ₹20,000 or more: ask your accountant whether s.185 applies",IF(AND(OR(P86="AG",P86="AS"),$E$9&lt;&gt;""),"Advance: also give a GST receipt voucher, s.31(3)(d) and Rule 50","OK"))))))))))))))))</f>
        <v/>
      </c>
      <c r="P86">
        <f>IF(G86="","",IFERROR(VLOOKUP(G86,Lists!$A$2:$B$9,2,FALSE),"?"))</f>
        <v/>
      </c>
      <c r="Q86">
        <f>IF(K86="Cancelled",0,N(J86))</f>
        <v/>
      </c>
      <c r="R86">
        <f>IF(OR(H86&lt;&gt;"Cash",P86="T",P86="D"),0,Q86)</f>
        <v/>
      </c>
      <c r="S86">
        <f>IF(R86=0,0,SUMIFS($R$18:$R$317,$B$18:$B$317,B86,$D$18:$D$317,D86))</f>
        <v/>
      </c>
      <c r="T86">
        <f>IF(OR(R86=0,E86=""),0,SUMIFS($R$18:$R$317,$E$18:$E$317,E86))</f>
        <v/>
      </c>
      <c r="U86">
        <f>IF(E86="","",IF(N(F86)&gt;0,F86,IFERROR(INDEX($F$18:$F$317,MATCH(E86,$E$18:$E$317,0)),"")))</f>
        <v/>
      </c>
      <c r="V86">
        <f>IF(OR(N86="",N86="OK",K86="Cancelled"),0,1)</f>
        <v/>
      </c>
    </row>
    <row r="87">
      <c r="B87" s="21" t="n"/>
      <c r="C87" s="22">
        <f>IF(B87="","",$E$10&amp;TEXT(N($E$11)+69,"000"))</f>
        <v/>
      </c>
      <c r="D87" s="14" t="n"/>
      <c r="E87" s="23" t="n"/>
      <c r="F87" s="24" t="n"/>
      <c r="G87" s="14" t="n"/>
      <c r="H87" s="14" t="n"/>
      <c r="I87" s="23" t="n"/>
      <c r="J87" s="24" t="n"/>
      <c r="K87" s="23" t="n"/>
      <c r="L87" s="25">
        <f>IF(OR(E87="",N(U87)=0),"",U87-SUMIFS(Q$18:Q87,E$18:E87,E87))</f>
        <v/>
      </c>
      <c r="M87" s="26">
        <f>IF(OR(N(J87)=0,K87="Cancelled"),"",IF(AND(N(J87)&gt;5000,P87&lt;&gt;"G"),"Yes: ₹1","No"))</f>
        <v/>
      </c>
      <c r="N87" s="27">
        <f>IF(AND(B87="",D87="",N(J87)=0),"",IF(B87="","Enter the date",IF(AND(ROW()&gt;18,B86=""),"Use the next empty row: a skipped row leaves a gap in the receipt numbers",IF(D87="","Enter who paid",IF(N(J87)=0,"Enter the amount",IF(G87="","Pick what the money was for",IF(P87="?","Pick what it was for from the list",IF(H87="","Pick how it was paid",IF(K87="Cancelled","Cancelled: keep this number unused and give a fresh receipt",IF(AND(H87&lt;&gt;"Cash",I87=""),"Enter the cheque no., UTR or UPI reference",IF(AND(L87&lt;&gt;"",N(L87)&lt;0),"More than the balance due on this invoice",IF(S87&gt;=200000,"₹2,00,000 or more in cash from this person today: barred, s.186",IF(T87&gt;=200000,"₹2,00,000 or more in cash against this invoice: barred, s.186",IF(AND(P87="T",H87="Cash",N(J87)&gt;=20000),"Loan of ₹20,000 or more in cash: barred, s.185",IF(AND(P87="D",H87="Cash",N(J87)&gt;=20000),"Cash deposit of ₹20,000 or more: ask your accountant whether s.185 applies",IF(AND(OR(P87="AG",P87="AS"),$E$9&lt;&gt;""),"Advance: also give a GST receipt voucher, s.31(3)(d) and Rule 50","OK"))))))))))))))))</f>
        <v/>
      </c>
      <c r="P87">
        <f>IF(G87="","",IFERROR(VLOOKUP(G87,Lists!$A$2:$B$9,2,FALSE),"?"))</f>
        <v/>
      </c>
      <c r="Q87">
        <f>IF(K87="Cancelled",0,N(J87))</f>
        <v/>
      </c>
      <c r="R87">
        <f>IF(OR(H87&lt;&gt;"Cash",P87="T",P87="D"),0,Q87)</f>
        <v/>
      </c>
      <c r="S87">
        <f>IF(R87=0,0,SUMIFS($R$18:$R$317,$B$18:$B$317,B87,$D$18:$D$317,D87))</f>
        <v/>
      </c>
      <c r="T87">
        <f>IF(OR(R87=0,E87=""),0,SUMIFS($R$18:$R$317,$E$18:$E$317,E87))</f>
        <v/>
      </c>
      <c r="U87">
        <f>IF(E87="","",IF(N(F87)&gt;0,F87,IFERROR(INDEX($F$18:$F$317,MATCH(E87,$E$18:$E$317,0)),"")))</f>
        <v/>
      </c>
      <c r="V87">
        <f>IF(OR(N87="",N87="OK",K87="Cancelled"),0,1)</f>
        <v/>
      </c>
    </row>
    <row r="88">
      <c r="B88" s="21" t="n"/>
      <c r="C88" s="22">
        <f>IF(B88="","",$E$10&amp;TEXT(N($E$11)+70,"000"))</f>
        <v/>
      </c>
      <c r="D88" s="14" t="n"/>
      <c r="E88" s="23" t="n"/>
      <c r="F88" s="24" t="n"/>
      <c r="G88" s="14" t="n"/>
      <c r="H88" s="14" t="n"/>
      <c r="I88" s="23" t="n"/>
      <c r="J88" s="24" t="n"/>
      <c r="K88" s="23" t="n"/>
      <c r="L88" s="25">
        <f>IF(OR(E88="",N(U88)=0),"",U88-SUMIFS(Q$18:Q88,E$18:E88,E88))</f>
        <v/>
      </c>
      <c r="M88" s="26">
        <f>IF(OR(N(J88)=0,K88="Cancelled"),"",IF(AND(N(J88)&gt;5000,P88&lt;&gt;"G"),"Yes: ₹1","No"))</f>
        <v/>
      </c>
      <c r="N88" s="27">
        <f>IF(AND(B88="",D88="",N(J88)=0),"",IF(B88="","Enter the date",IF(AND(ROW()&gt;18,B87=""),"Use the next empty row: a skipped row leaves a gap in the receipt numbers",IF(D88="","Enter who paid",IF(N(J88)=0,"Enter the amount",IF(G88="","Pick what the money was for",IF(P88="?","Pick what it was for from the list",IF(H88="","Pick how it was paid",IF(K88="Cancelled","Cancelled: keep this number unused and give a fresh receipt",IF(AND(H88&lt;&gt;"Cash",I88=""),"Enter the cheque no., UTR or UPI reference",IF(AND(L88&lt;&gt;"",N(L88)&lt;0),"More than the balance due on this invoice",IF(S88&gt;=200000,"₹2,00,000 or more in cash from this person today: barred, s.186",IF(T88&gt;=200000,"₹2,00,000 or more in cash against this invoice: barred, s.186",IF(AND(P88="T",H88="Cash",N(J88)&gt;=20000),"Loan of ₹20,000 or more in cash: barred, s.185",IF(AND(P88="D",H88="Cash",N(J88)&gt;=20000),"Cash deposit of ₹20,000 or more: ask your accountant whether s.185 applies",IF(AND(OR(P88="AG",P88="AS"),$E$9&lt;&gt;""),"Advance: also give a GST receipt voucher, s.31(3)(d) and Rule 50","OK"))))))))))))))))</f>
        <v/>
      </c>
      <c r="P88">
        <f>IF(G88="","",IFERROR(VLOOKUP(G88,Lists!$A$2:$B$9,2,FALSE),"?"))</f>
        <v/>
      </c>
      <c r="Q88">
        <f>IF(K88="Cancelled",0,N(J88))</f>
        <v/>
      </c>
      <c r="R88">
        <f>IF(OR(H88&lt;&gt;"Cash",P88="T",P88="D"),0,Q88)</f>
        <v/>
      </c>
      <c r="S88">
        <f>IF(R88=0,0,SUMIFS($R$18:$R$317,$B$18:$B$317,B88,$D$18:$D$317,D88))</f>
        <v/>
      </c>
      <c r="T88">
        <f>IF(OR(R88=0,E88=""),0,SUMIFS($R$18:$R$317,$E$18:$E$317,E88))</f>
        <v/>
      </c>
      <c r="U88">
        <f>IF(E88="","",IF(N(F88)&gt;0,F88,IFERROR(INDEX($F$18:$F$317,MATCH(E88,$E$18:$E$317,0)),"")))</f>
        <v/>
      </c>
      <c r="V88">
        <f>IF(OR(N88="",N88="OK",K88="Cancelled"),0,1)</f>
        <v/>
      </c>
    </row>
    <row r="89">
      <c r="B89" s="21" t="n"/>
      <c r="C89" s="22">
        <f>IF(B89="","",$E$10&amp;TEXT(N($E$11)+71,"000"))</f>
        <v/>
      </c>
      <c r="D89" s="14" t="n"/>
      <c r="E89" s="23" t="n"/>
      <c r="F89" s="24" t="n"/>
      <c r="G89" s="14" t="n"/>
      <c r="H89" s="14" t="n"/>
      <c r="I89" s="23" t="n"/>
      <c r="J89" s="24" t="n"/>
      <c r="K89" s="23" t="n"/>
      <c r="L89" s="25">
        <f>IF(OR(E89="",N(U89)=0),"",U89-SUMIFS(Q$18:Q89,E$18:E89,E89))</f>
        <v/>
      </c>
      <c r="M89" s="26">
        <f>IF(OR(N(J89)=0,K89="Cancelled"),"",IF(AND(N(J89)&gt;5000,P89&lt;&gt;"G"),"Yes: ₹1","No"))</f>
        <v/>
      </c>
      <c r="N89" s="27">
        <f>IF(AND(B89="",D89="",N(J89)=0),"",IF(B89="","Enter the date",IF(AND(ROW()&gt;18,B88=""),"Use the next empty row: a skipped row leaves a gap in the receipt numbers",IF(D89="","Enter who paid",IF(N(J89)=0,"Enter the amount",IF(G89="","Pick what the money was for",IF(P89="?","Pick what it was for from the list",IF(H89="","Pick how it was paid",IF(K89="Cancelled","Cancelled: keep this number unused and give a fresh receipt",IF(AND(H89&lt;&gt;"Cash",I89=""),"Enter the cheque no., UTR or UPI reference",IF(AND(L89&lt;&gt;"",N(L89)&lt;0),"More than the balance due on this invoice",IF(S89&gt;=200000,"₹2,00,000 or more in cash from this person today: barred, s.186",IF(T89&gt;=200000,"₹2,00,000 or more in cash against this invoice: barred, s.186",IF(AND(P89="T",H89="Cash",N(J89)&gt;=20000),"Loan of ₹20,000 or more in cash: barred, s.185",IF(AND(P89="D",H89="Cash",N(J89)&gt;=20000),"Cash deposit of ₹20,000 or more: ask your accountant whether s.185 applies",IF(AND(OR(P89="AG",P89="AS"),$E$9&lt;&gt;""),"Advance: also give a GST receipt voucher, s.31(3)(d) and Rule 50","OK"))))))))))))))))</f>
        <v/>
      </c>
      <c r="P89">
        <f>IF(G89="","",IFERROR(VLOOKUP(G89,Lists!$A$2:$B$9,2,FALSE),"?"))</f>
        <v/>
      </c>
      <c r="Q89">
        <f>IF(K89="Cancelled",0,N(J89))</f>
        <v/>
      </c>
      <c r="R89">
        <f>IF(OR(H89&lt;&gt;"Cash",P89="T",P89="D"),0,Q89)</f>
        <v/>
      </c>
      <c r="S89">
        <f>IF(R89=0,0,SUMIFS($R$18:$R$317,$B$18:$B$317,B89,$D$18:$D$317,D89))</f>
        <v/>
      </c>
      <c r="T89">
        <f>IF(OR(R89=0,E89=""),0,SUMIFS($R$18:$R$317,$E$18:$E$317,E89))</f>
        <v/>
      </c>
      <c r="U89">
        <f>IF(E89="","",IF(N(F89)&gt;0,F89,IFERROR(INDEX($F$18:$F$317,MATCH(E89,$E$18:$E$317,0)),"")))</f>
        <v/>
      </c>
      <c r="V89">
        <f>IF(OR(N89="",N89="OK",K89="Cancelled"),0,1)</f>
        <v/>
      </c>
    </row>
    <row r="90">
      <c r="B90" s="21" t="n"/>
      <c r="C90" s="22">
        <f>IF(B90="","",$E$10&amp;TEXT(N($E$11)+72,"000"))</f>
        <v/>
      </c>
      <c r="D90" s="14" t="n"/>
      <c r="E90" s="23" t="n"/>
      <c r="F90" s="24" t="n"/>
      <c r="G90" s="14" t="n"/>
      <c r="H90" s="14" t="n"/>
      <c r="I90" s="23" t="n"/>
      <c r="J90" s="24" t="n"/>
      <c r="K90" s="23" t="n"/>
      <c r="L90" s="25">
        <f>IF(OR(E90="",N(U90)=0),"",U90-SUMIFS(Q$18:Q90,E$18:E90,E90))</f>
        <v/>
      </c>
      <c r="M90" s="26">
        <f>IF(OR(N(J90)=0,K90="Cancelled"),"",IF(AND(N(J90)&gt;5000,P90&lt;&gt;"G"),"Yes: ₹1","No"))</f>
        <v/>
      </c>
      <c r="N90" s="27">
        <f>IF(AND(B90="",D90="",N(J90)=0),"",IF(B90="","Enter the date",IF(AND(ROW()&gt;18,B89=""),"Use the next empty row: a skipped row leaves a gap in the receipt numbers",IF(D90="","Enter who paid",IF(N(J90)=0,"Enter the amount",IF(G90="","Pick what the money was for",IF(P90="?","Pick what it was for from the list",IF(H90="","Pick how it was paid",IF(K90="Cancelled","Cancelled: keep this number unused and give a fresh receipt",IF(AND(H90&lt;&gt;"Cash",I90=""),"Enter the cheque no., UTR or UPI reference",IF(AND(L90&lt;&gt;"",N(L90)&lt;0),"More than the balance due on this invoice",IF(S90&gt;=200000,"₹2,00,000 or more in cash from this person today: barred, s.186",IF(T90&gt;=200000,"₹2,00,000 or more in cash against this invoice: barred, s.186",IF(AND(P90="T",H90="Cash",N(J90)&gt;=20000),"Loan of ₹20,000 or more in cash: barred, s.185",IF(AND(P90="D",H90="Cash",N(J90)&gt;=20000),"Cash deposit of ₹20,000 or more: ask your accountant whether s.185 applies",IF(AND(OR(P90="AG",P90="AS"),$E$9&lt;&gt;""),"Advance: also give a GST receipt voucher, s.31(3)(d) and Rule 50","OK"))))))))))))))))</f>
        <v/>
      </c>
      <c r="P90">
        <f>IF(G90="","",IFERROR(VLOOKUP(G90,Lists!$A$2:$B$9,2,FALSE),"?"))</f>
        <v/>
      </c>
      <c r="Q90">
        <f>IF(K90="Cancelled",0,N(J90))</f>
        <v/>
      </c>
      <c r="R90">
        <f>IF(OR(H90&lt;&gt;"Cash",P90="T",P90="D"),0,Q90)</f>
        <v/>
      </c>
      <c r="S90">
        <f>IF(R90=0,0,SUMIFS($R$18:$R$317,$B$18:$B$317,B90,$D$18:$D$317,D90))</f>
        <v/>
      </c>
      <c r="T90">
        <f>IF(OR(R90=0,E90=""),0,SUMIFS($R$18:$R$317,$E$18:$E$317,E90))</f>
        <v/>
      </c>
      <c r="U90">
        <f>IF(E90="","",IF(N(F90)&gt;0,F90,IFERROR(INDEX($F$18:$F$317,MATCH(E90,$E$18:$E$317,0)),"")))</f>
        <v/>
      </c>
      <c r="V90">
        <f>IF(OR(N90="",N90="OK",K90="Cancelled"),0,1)</f>
        <v/>
      </c>
    </row>
    <row r="91">
      <c r="B91" s="21" t="n"/>
      <c r="C91" s="22">
        <f>IF(B91="","",$E$10&amp;TEXT(N($E$11)+73,"000"))</f>
        <v/>
      </c>
      <c r="D91" s="14" t="n"/>
      <c r="E91" s="23" t="n"/>
      <c r="F91" s="24" t="n"/>
      <c r="G91" s="14" t="n"/>
      <c r="H91" s="14" t="n"/>
      <c r="I91" s="23" t="n"/>
      <c r="J91" s="24" t="n"/>
      <c r="K91" s="23" t="n"/>
      <c r="L91" s="25">
        <f>IF(OR(E91="",N(U91)=0),"",U91-SUMIFS(Q$18:Q91,E$18:E91,E91))</f>
        <v/>
      </c>
      <c r="M91" s="26">
        <f>IF(OR(N(J91)=0,K91="Cancelled"),"",IF(AND(N(J91)&gt;5000,P91&lt;&gt;"G"),"Yes: ₹1","No"))</f>
        <v/>
      </c>
      <c r="N91" s="27">
        <f>IF(AND(B91="",D91="",N(J91)=0),"",IF(B91="","Enter the date",IF(AND(ROW()&gt;18,B90=""),"Use the next empty row: a skipped row leaves a gap in the receipt numbers",IF(D91="","Enter who paid",IF(N(J91)=0,"Enter the amount",IF(G91="","Pick what the money was for",IF(P91="?","Pick what it was for from the list",IF(H91="","Pick how it was paid",IF(K91="Cancelled","Cancelled: keep this number unused and give a fresh receipt",IF(AND(H91&lt;&gt;"Cash",I91=""),"Enter the cheque no., UTR or UPI reference",IF(AND(L91&lt;&gt;"",N(L91)&lt;0),"More than the balance due on this invoice",IF(S91&gt;=200000,"₹2,00,000 or more in cash from this person today: barred, s.186",IF(T91&gt;=200000,"₹2,00,000 or more in cash against this invoice: barred, s.186",IF(AND(P91="T",H91="Cash",N(J91)&gt;=20000),"Loan of ₹20,000 or more in cash: barred, s.185",IF(AND(P91="D",H91="Cash",N(J91)&gt;=20000),"Cash deposit of ₹20,000 or more: ask your accountant whether s.185 applies",IF(AND(OR(P91="AG",P91="AS"),$E$9&lt;&gt;""),"Advance: also give a GST receipt voucher, s.31(3)(d) and Rule 50","OK"))))))))))))))))</f>
        <v/>
      </c>
      <c r="P91">
        <f>IF(G91="","",IFERROR(VLOOKUP(G91,Lists!$A$2:$B$9,2,FALSE),"?"))</f>
        <v/>
      </c>
      <c r="Q91">
        <f>IF(K91="Cancelled",0,N(J91))</f>
        <v/>
      </c>
      <c r="R91">
        <f>IF(OR(H91&lt;&gt;"Cash",P91="T",P91="D"),0,Q91)</f>
        <v/>
      </c>
      <c r="S91">
        <f>IF(R91=0,0,SUMIFS($R$18:$R$317,$B$18:$B$317,B91,$D$18:$D$317,D91))</f>
        <v/>
      </c>
      <c r="T91">
        <f>IF(OR(R91=0,E91=""),0,SUMIFS($R$18:$R$317,$E$18:$E$317,E91))</f>
        <v/>
      </c>
      <c r="U91">
        <f>IF(E91="","",IF(N(F91)&gt;0,F91,IFERROR(INDEX($F$18:$F$317,MATCH(E91,$E$18:$E$317,0)),"")))</f>
        <v/>
      </c>
      <c r="V91">
        <f>IF(OR(N91="",N91="OK",K91="Cancelled"),0,1)</f>
        <v/>
      </c>
    </row>
    <row r="92">
      <c r="B92" s="21" t="n"/>
      <c r="C92" s="22">
        <f>IF(B92="","",$E$10&amp;TEXT(N($E$11)+74,"000"))</f>
        <v/>
      </c>
      <c r="D92" s="14" t="n"/>
      <c r="E92" s="23" t="n"/>
      <c r="F92" s="24" t="n"/>
      <c r="G92" s="14" t="n"/>
      <c r="H92" s="14" t="n"/>
      <c r="I92" s="23" t="n"/>
      <c r="J92" s="24" t="n"/>
      <c r="K92" s="23" t="n"/>
      <c r="L92" s="25">
        <f>IF(OR(E92="",N(U92)=0),"",U92-SUMIFS(Q$18:Q92,E$18:E92,E92))</f>
        <v/>
      </c>
      <c r="M92" s="26">
        <f>IF(OR(N(J92)=0,K92="Cancelled"),"",IF(AND(N(J92)&gt;5000,P92&lt;&gt;"G"),"Yes: ₹1","No"))</f>
        <v/>
      </c>
      <c r="N92" s="27">
        <f>IF(AND(B92="",D92="",N(J92)=0),"",IF(B92="","Enter the date",IF(AND(ROW()&gt;18,B91=""),"Use the next empty row: a skipped row leaves a gap in the receipt numbers",IF(D92="","Enter who paid",IF(N(J92)=0,"Enter the amount",IF(G92="","Pick what the money was for",IF(P92="?","Pick what it was for from the list",IF(H92="","Pick how it was paid",IF(K92="Cancelled","Cancelled: keep this number unused and give a fresh receipt",IF(AND(H92&lt;&gt;"Cash",I92=""),"Enter the cheque no., UTR or UPI reference",IF(AND(L92&lt;&gt;"",N(L92)&lt;0),"More than the balance due on this invoice",IF(S92&gt;=200000,"₹2,00,000 or more in cash from this person today: barred, s.186",IF(T92&gt;=200000,"₹2,00,000 or more in cash against this invoice: barred, s.186",IF(AND(P92="T",H92="Cash",N(J92)&gt;=20000),"Loan of ₹20,000 or more in cash: barred, s.185",IF(AND(P92="D",H92="Cash",N(J92)&gt;=20000),"Cash deposit of ₹20,000 or more: ask your accountant whether s.185 applies",IF(AND(OR(P92="AG",P92="AS"),$E$9&lt;&gt;""),"Advance: also give a GST receipt voucher, s.31(3)(d) and Rule 50","OK"))))))))))))))))</f>
        <v/>
      </c>
      <c r="P92">
        <f>IF(G92="","",IFERROR(VLOOKUP(G92,Lists!$A$2:$B$9,2,FALSE),"?"))</f>
        <v/>
      </c>
      <c r="Q92">
        <f>IF(K92="Cancelled",0,N(J92))</f>
        <v/>
      </c>
      <c r="R92">
        <f>IF(OR(H92&lt;&gt;"Cash",P92="T",P92="D"),0,Q92)</f>
        <v/>
      </c>
      <c r="S92">
        <f>IF(R92=0,0,SUMIFS($R$18:$R$317,$B$18:$B$317,B92,$D$18:$D$317,D92))</f>
        <v/>
      </c>
      <c r="T92">
        <f>IF(OR(R92=0,E92=""),0,SUMIFS($R$18:$R$317,$E$18:$E$317,E92))</f>
        <v/>
      </c>
      <c r="U92">
        <f>IF(E92="","",IF(N(F92)&gt;0,F92,IFERROR(INDEX($F$18:$F$317,MATCH(E92,$E$18:$E$317,0)),"")))</f>
        <v/>
      </c>
      <c r="V92">
        <f>IF(OR(N92="",N92="OK",K92="Cancelled"),0,1)</f>
        <v/>
      </c>
    </row>
    <row r="93">
      <c r="B93" s="21" t="n"/>
      <c r="C93" s="22">
        <f>IF(B93="","",$E$10&amp;TEXT(N($E$11)+75,"000"))</f>
        <v/>
      </c>
      <c r="D93" s="14" t="n"/>
      <c r="E93" s="23" t="n"/>
      <c r="F93" s="24" t="n"/>
      <c r="G93" s="14" t="n"/>
      <c r="H93" s="14" t="n"/>
      <c r="I93" s="23" t="n"/>
      <c r="J93" s="24" t="n"/>
      <c r="K93" s="23" t="n"/>
      <c r="L93" s="25">
        <f>IF(OR(E93="",N(U93)=0),"",U93-SUMIFS(Q$18:Q93,E$18:E93,E93))</f>
        <v/>
      </c>
      <c r="M93" s="26">
        <f>IF(OR(N(J93)=0,K93="Cancelled"),"",IF(AND(N(J93)&gt;5000,P93&lt;&gt;"G"),"Yes: ₹1","No"))</f>
        <v/>
      </c>
      <c r="N93" s="27">
        <f>IF(AND(B93="",D93="",N(J93)=0),"",IF(B93="","Enter the date",IF(AND(ROW()&gt;18,B92=""),"Use the next empty row: a skipped row leaves a gap in the receipt numbers",IF(D93="","Enter who paid",IF(N(J93)=0,"Enter the amount",IF(G93="","Pick what the money was for",IF(P93="?","Pick what it was for from the list",IF(H93="","Pick how it was paid",IF(K93="Cancelled","Cancelled: keep this number unused and give a fresh receipt",IF(AND(H93&lt;&gt;"Cash",I93=""),"Enter the cheque no., UTR or UPI reference",IF(AND(L93&lt;&gt;"",N(L93)&lt;0),"More than the balance due on this invoice",IF(S93&gt;=200000,"₹2,00,000 or more in cash from this person today: barred, s.186",IF(T93&gt;=200000,"₹2,00,000 or more in cash against this invoice: barred, s.186",IF(AND(P93="T",H93="Cash",N(J93)&gt;=20000),"Loan of ₹20,000 or more in cash: barred, s.185",IF(AND(P93="D",H93="Cash",N(J93)&gt;=20000),"Cash deposit of ₹20,000 or more: ask your accountant whether s.185 applies",IF(AND(OR(P93="AG",P93="AS"),$E$9&lt;&gt;""),"Advance: also give a GST receipt voucher, s.31(3)(d) and Rule 50","OK"))))))))))))))))</f>
        <v/>
      </c>
      <c r="P93">
        <f>IF(G93="","",IFERROR(VLOOKUP(G93,Lists!$A$2:$B$9,2,FALSE),"?"))</f>
        <v/>
      </c>
      <c r="Q93">
        <f>IF(K93="Cancelled",0,N(J93))</f>
        <v/>
      </c>
      <c r="R93">
        <f>IF(OR(H93&lt;&gt;"Cash",P93="T",P93="D"),0,Q93)</f>
        <v/>
      </c>
      <c r="S93">
        <f>IF(R93=0,0,SUMIFS($R$18:$R$317,$B$18:$B$317,B93,$D$18:$D$317,D93))</f>
        <v/>
      </c>
      <c r="T93">
        <f>IF(OR(R93=0,E93=""),0,SUMIFS($R$18:$R$317,$E$18:$E$317,E93))</f>
        <v/>
      </c>
      <c r="U93">
        <f>IF(E93="","",IF(N(F93)&gt;0,F93,IFERROR(INDEX($F$18:$F$317,MATCH(E93,$E$18:$E$317,0)),"")))</f>
        <v/>
      </c>
      <c r="V93">
        <f>IF(OR(N93="",N93="OK",K93="Cancelled"),0,1)</f>
        <v/>
      </c>
    </row>
    <row r="94">
      <c r="B94" s="21" t="n"/>
      <c r="C94" s="22">
        <f>IF(B94="","",$E$10&amp;TEXT(N($E$11)+76,"000"))</f>
        <v/>
      </c>
      <c r="D94" s="14" t="n"/>
      <c r="E94" s="23" t="n"/>
      <c r="F94" s="24" t="n"/>
      <c r="G94" s="14" t="n"/>
      <c r="H94" s="14" t="n"/>
      <c r="I94" s="23" t="n"/>
      <c r="J94" s="24" t="n"/>
      <c r="K94" s="23" t="n"/>
      <c r="L94" s="25">
        <f>IF(OR(E94="",N(U94)=0),"",U94-SUMIFS(Q$18:Q94,E$18:E94,E94))</f>
        <v/>
      </c>
      <c r="M94" s="26">
        <f>IF(OR(N(J94)=0,K94="Cancelled"),"",IF(AND(N(J94)&gt;5000,P94&lt;&gt;"G"),"Yes: ₹1","No"))</f>
        <v/>
      </c>
      <c r="N94" s="27">
        <f>IF(AND(B94="",D94="",N(J94)=0),"",IF(B94="","Enter the date",IF(AND(ROW()&gt;18,B93=""),"Use the next empty row: a skipped row leaves a gap in the receipt numbers",IF(D94="","Enter who paid",IF(N(J94)=0,"Enter the amount",IF(G94="","Pick what the money was for",IF(P94="?","Pick what it was for from the list",IF(H94="","Pick how it was paid",IF(K94="Cancelled","Cancelled: keep this number unused and give a fresh receipt",IF(AND(H94&lt;&gt;"Cash",I94=""),"Enter the cheque no., UTR or UPI reference",IF(AND(L94&lt;&gt;"",N(L94)&lt;0),"More than the balance due on this invoice",IF(S94&gt;=200000,"₹2,00,000 or more in cash from this person today: barred, s.186",IF(T94&gt;=200000,"₹2,00,000 or more in cash against this invoice: barred, s.186",IF(AND(P94="T",H94="Cash",N(J94)&gt;=20000),"Loan of ₹20,000 or more in cash: barred, s.185",IF(AND(P94="D",H94="Cash",N(J94)&gt;=20000),"Cash deposit of ₹20,000 or more: ask your accountant whether s.185 applies",IF(AND(OR(P94="AG",P94="AS"),$E$9&lt;&gt;""),"Advance: also give a GST receipt voucher, s.31(3)(d) and Rule 50","OK"))))))))))))))))</f>
        <v/>
      </c>
      <c r="P94">
        <f>IF(G94="","",IFERROR(VLOOKUP(G94,Lists!$A$2:$B$9,2,FALSE),"?"))</f>
        <v/>
      </c>
      <c r="Q94">
        <f>IF(K94="Cancelled",0,N(J94))</f>
        <v/>
      </c>
      <c r="R94">
        <f>IF(OR(H94&lt;&gt;"Cash",P94="T",P94="D"),0,Q94)</f>
        <v/>
      </c>
      <c r="S94">
        <f>IF(R94=0,0,SUMIFS($R$18:$R$317,$B$18:$B$317,B94,$D$18:$D$317,D94))</f>
        <v/>
      </c>
      <c r="T94">
        <f>IF(OR(R94=0,E94=""),0,SUMIFS($R$18:$R$317,$E$18:$E$317,E94))</f>
        <v/>
      </c>
      <c r="U94">
        <f>IF(E94="","",IF(N(F94)&gt;0,F94,IFERROR(INDEX($F$18:$F$317,MATCH(E94,$E$18:$E$317,0)),"")))</f>
        <v/>
      </c>
      <c r="V94">
        <f>IF(OR(N94="",N94="OK",K94="Cancelled"),0,1)</f>
        <v/>
      </c>
    </row>
    <row r="95">
      <c r="B95" s="21" t="n"/>
      <c r="C95" s="22">
        <f>IF(B95="","",$E$10&amp;TEXT(N($E$11)+77,"000"))</f>
        <v/>
      </c>
      <c r="D95" s="14" t="n"/>
      <c r="E95" s="23" t="n"/>
      <c r="F95" s="24" t="n"/>
      <c r="G95" s="14" t="n"/>
      <c r="H95" s="14" t="n"/>
      <c r="I95" s="23" t="n"/>
      <c r="J95" s="24" t="n"/>
      <c r="K95" s="23" t="n"/>
      <c r="L95" s="25">
        <f>IF(OR(E95="",N(U95)=0),"",U95-SUMIFS(Q$18:Q95,E$18:E95,E95))</f>
        <v/>
      </c>
      <c r="M95" s="26">
        <f>IF(OR(N(J95)=0,K95="Cancelled"),"",IF(AND(N(J95)&gt;5000,P95&lt;&gt;"G"),"Yes: ₹1","No"))</f>
        <v/>
      </c>
      <c r="N95" s="27">
        <f>IF(AND(B95="",D95="",N(J95)=0),"",IF(B95="","Enter the date",IF(AND(ROW()&gt;18,B94=""),"Use the next empty row: a skipped row leaves a gap in the receipt numbers",IF(D95="","Enter who paid",IF(N(J95)=0,"Enter the amount",IF(G95="","Pick what the money was for",IF(P95="?","Pick what it was for from the list",IF(H95="","Pick how it was paid",IF(K95="Cancelled","Cancelled: keep this number unused and give a fresh receipt",IF(AND(H95&lt;&gt;"Cash",I95=""),"Enter the cheque no., UTR or UPI reference",IF(AND(L95&lt;&gt;"",N(L95)&lt;0),"More than the balance due on this invoice",IF(S95&gt;=200000,"₹2,00,000 or more in cash from this person today: barred, s.186",IF(T95&gt;=200000,"₹2,00,000 or more in cash against this invoice: barred, s.186",IF(AND(P95="T",H95="Cash",N(J95)&gt;=20000),"Loan of ₹20,000 or more in cash: barred, s.185",IF(AND(P95="D",H95="Cash",N(J95)&gt;=20000),"Cash deposit of ₹20,000 or more: ask your accountant whether s.185 applies",IF(AND(OR(P95="AG",P95="AS"),$E$9&lt;&gt;""),"Advance: also give a GST receipt voucher, s.31(3)(d) and Rule 50","OK"))))))))))))))))</f>
        <v/>
      </c>
      <c r="P95">
        <f>IF(G95="","",IFERROR(VLOOKUP(G95,Lists!$A$2:$B$9,2,FALSE),"?"))</f>
        <v/>
      </c>
      <c r="Q95">
        <f>IF(K95="Cancelled",0,N(J95))</f>
        <v/>
      </c>
      <c r="R95">
        <f>IF(OR(H95&lt;&gt;"Cash",P95="T",P95="D"),0,Q95)</f>
        <v/>
      </c>
      <c r="S95">
        <f>IF(R95=0,0,SUMIFS($R$18:$R$317,$B$18:$B$317,B95,$D$18:$D$317,D95))</f>
        <v/>
      </c>
      <c r="T95">
        <f>IF(OR(R95=0,E95=""),0,SUMIFS($R$18:$R$317,$E$18:$E$317,E95))</f>
        <v/>
      </c>
      <c r="U95">
        <f>IF(E95="","",IF(N(F95)&gt;0,F95,IFERROR(INDEX($F$18:$F$317,MATCH(E95,$E$18:$E$317,0)),"")))</f>
        <v/>
      </c>
      <c r="V95">
        <f>IF(OR(N95="",N95="OK",K95="Cancelled"),0,1)</f>
        <v/>
      </c>
    </row>
    <row r="96">
      <c r="B96" s="21" t="n"/>
      <c r="C96" s="22">
        <f>IF(B96="","",$E$10&amp;TEXT(N($E$11)+78,"000"))</f>
        <v/>
      </c>
      <c r="D96" s="14" t="n"/>
      <c r="E96" s="23" t="n"/>
      <c r="F96" s="24" t="n"/>
      <c r="G96" s="14" t="n"/>
      <c r="H96" s="14" t="n"/>
      <c r="I96" s="23" t="n"/>
      <c r="J96" s="24" t="n"/>
      <c r="K96" s="23" t="n"/>
      <c r="L96" s="25">
        <f>IF(OR(E96="",N(U96)=0),"",U96-SUMIFS(Q$18:Q96,E$18:E96,E96))</f>
        <v/>
      </c>
      <c r="M96" s="26">
        <f>IF(OR(N(J96)=0,K96="Cancelled"),"",IF(AND(N(J96)&gt;5000,P96&lt;&gt;"G"),"Yes: ₹1","No"))</f>
        <v/>
      </c>
      <c r="N96" s="27">
        <f>IF(AND(B96="",D96="",N(J96)=0),"",IF(B96="","Enter the date",IF(AND(ROW()&gt;18,B95=""),"Use the next empty row: a skipped row leaves a gap in the receipt numbers",IF(D96="","Enter who paid",IF(N(J96)=0,"Enter the amount",IF(G96="","Pick what the money was for",IF(P96="?","Pick what it was for from the list",IF(H96="","Pick how it was paid",IF(K96="Cancelled","Cancelled: keep this number unused and give a fresh receipt",IF(AND(H96&lt;&gt;"Cash",I96=""),"Enter the cheque no., UTR or UPI reference",IF(AND(L96&lt;&gt;"",N(L96)&lt;0),"More than the balance due on this invoice",IF(S96&gt;=200000,"₹2,00,000 or more in cash from this person today: barred, s.186",IF(T96&gt;=200000,"₹2,00,000 or more in cash against this invoice: barred, s.186",IF(AND(P96="T",H96="Cash",N(J96)&gt;=20000),"Loan of ₹20,000 or more in cash: barred, s.185",IF(AND(P96="D",H96="Cash",N(J96)&gt;=20000),"Cash deposit of ₹20,000 or more: ask your accountant whether s.185 applies",IF(AND(OR(P96="AG",P96="AS"),$E$9&lt;&gt;""),"Advance: also give a GST receipt voucher, s.31(3)(d) and Rule 50","OK"))))))))))))))))</f>
        <v/>
      </c>
      <c r="P96">
        <f>IF(G96="","",IFERROR(VLOOKUP(G96,Lists!$A$2:$B$9,2,FALSE),"?"))</f>
        <v/>
      </c>
      <c r="Q96">
        <f>IF(K96="Cancelled",0,N(J96))</f>
        <v/>
      </c>
      <c r="R96">
        <f>IF(OR(H96&lt;&gt;"Cash",P96="T",P96="D"),0,Q96)</f>
        <v/>
      </c>
      <c r="S96">
        <f>IF(R96=0,0,SUMIFS($R$18:$R$317,$B$18:$B$317,B96,$D$18:$D$317,D96))</f>
        <v/>
      </c>
      <c r="T96">
        <f>IF(OR(R96=0,E96=""),0,SUMIFS($R$18:$R$317,$E$18:$E$317,E96))</f>
        <v/>
      </c>
      <c r="U96">
        <f>IF(E96="","",IF(N(F96)&gt;0,F96,IFERROR(INDEX($F$18:$F$317,MATCH(E96,$E$18:$E$317,0)),"")))</f>
        <v/>
      </c>
      <c r="V96">
        <f>IF(OR(N96="",N96="OK",K96="Cancelled"),0,1)</f>
        <v/>
      </c>
    </row>
    <row r="97">
      <c r="B97" s="21" t="n"/>
      <c r="C97" s="22">
        <f>IF(B97="","",$E$10&amp;TEXT(N($E$11)+79,"000"))</f>
        <v/>
      </c>
      <c r="D97" s="14" t="n"/>
      <c r="E97" s="23" t="n"/>
      <c r="F97" s="24" t="n"/>
      <c r="G97" s="14" t="n"/>
      <c r="H97" s="14" t="n"/>
      <c r="I97" s="23" t="n"/>
      <c r="J97" s="24" t="n"/>
      <c r="K97" s="23" t="n"/>
      <c r="L97" s="25">
        <f>IF(OR(E97="",N(U97)=0),"",U97-SUMIFS(Q$18:Q97,E$18:E97,E97))</f>
        <v/>
      </c>
      <c r="M97" s="26">
        <f>IF(OR(N(J97)=0,K97="Cancelled"),"",IF(AND(N(J97)&gt;5000,P97&lt;&gt;"G"),"Yes: ₹1","No"))</f>
        <v/>
      </c>
      <c r="N97" s="27">
        <f>IF(AND(B97="",D97="",N(J97)=0),"",IF(B97="","Enter the date",IF(AND(ROW()&gt;18,B96=""),"Use the next empty row: a skipped row leaves a gap in the receipt numbers",IF(D97="","Enter who paid",IF(N(J97)=0,"Enter the amount",IF(G97="","Pick what the money was for",IF(P97="?","Pick what it was for from the list",IF(H97="","Pick how it was paid",IF(K97="Cancelled","Cancelled: keep this number unused and give a fresh receipt",IF(AND(H97&lt;&gt;"Cash",I97=""),"Enter the cheque no., UTR or UPI reference",IF(AND(L97&lt;&gt;"",N(L97)&lt;0),"More than the balance due on this invoice",IF(S97&gt;=200000,"₹2,00,000 or more in cash from this person today: barred, s.186",IF(T97&gt;=200000,"₹2,00,000 or more in cash against this invoice: barred, s.186",IF(AND(P97="T",H97="Cash",N(J97)&gt;=20000),"Loan of ₹20,000 or more in cash: barred, s.185",IF(AND(P97="D",H97="Cash",N(J97)&gt;=20000),"Cash deposit of ₹20,000 or more: ask your accountant whether s.185 applies",IF(AND(OR(P97="AG",P97="AS"),$E$9&lt;&gt;""),"Advance: also give a GST receipt voucher, s.31(3)(d) and Rule 50","OK"))))))))))))))))</f>
        <v/>
      </c>
      <c r="P97">
        <f>IF(G97="","",IFERROR(VLOOKUP(G97,Lists!$A$2:$B$9,2,FALSE),"?"))</f>
        <v/>
      </c>
      <c r="Q97">
        <f>IF(K97="Cancelled",0,N(J97))</f>
        <v/>
      </c>
      <c r="R97">
        <f>IF(OR(H97&lt;&gt;"Cash",P97="T",P97="D"),0,Q97)</f>
        <v/>
      </c>
      <c r="S97">
        <f>IF(R97=0,0,SUMIFS($R$18:$R$317,$B$18:$B$317,B97,$D$18:$D$317,D97))</f>
        <v/>
      </c>
      <c r="T97">
        <f>IF(OR(R97=0,E97=""),0,SUMIFS($R$18:$R$317,$E$18:$E$317,E97))</f>
        <v/>
      </c>
      <c r="U97">
        <f>IF(E97="","",IF(N(F97)&gt;0,F97,IFERROR(INDEX($F$18:$F$317,MATCH(E97,$E$18:$E$317,0)),"")))</f>
        <v/>
      </c>
      <c r="V97">
        <f>IF(OR(N97="",N97="OK",K97="Cancelled"),0,1)</f>
        <v/>
      </c>
    </row>
    <row r="98">
      <c r="B98" s="21" t="n"/>
      <c r="C98" s="22">
        <f>IF(B98="","",$E$10&amp;TEXT(N($E$11)+80,"000"))</f>
        <v/>
      </c>
      <c r="D98" s="14" t="n"/>
      <c r="E98" s="23" t="n"/>
      <c r="F98" s="24" t="n"/>
      <c r="G98" s="14" t="n"/>
      <c r="H98" s="14" t="n"/>
      <c r="I98" s="23" t="n"/>
      <c r="J98" s="24" t="n"/>
      <c r="K98" s="23" t="n"/>
      <c r="L98" s="25">
        <f>IF(OR(E98="",N(U98)=0),"",U98-SUMIFS(Q$18:Q98,E$18:E98,E98))</f>
        <v/>
      </c>
      <c r="M98" s="26">
        <f>IF(OR(N(J98)=0,K98="Cancelled"),"",IF(AND(N(J98)&gt;5000,P98&lt;&gt;"G"),"Yes: ₹1","No"))</f>
        <v/>
      </c>
      <c r="N98" s="27">
        <f>IF(AND(B98="",D98="",N(J98)=0),"",IF(B98="","Enter the date",IF(AND(ROW()&gt;18,B97=""),"Use the next empty row: a skipped row leaves a gap in the receipt numbers",IF(D98="","Enter who paid",IF(N(J98)=0,"Enter the amount",IF(G98="","Pick what the money was for",IF(P98="?","Pick what it was for from the list",IF(H98="","Pick how it was paid",IF(K98="Cancelled","Cancelled: keep this number unused and give a fresh receipt",IF(AND(H98&lt;&gt;"Cash",I98=""),"Enter the cheque no., UTR or UPI reference",IF(AND(L98&lt;&gt;"",N(L98)&lt;0),"More than the balance due on this invoice",IF(S98&gt;=200000,"₹2,00,000 or more in cash from this person today: barred, s.186",IF(T98&gt;=200000,"₹2,00,000 or more in cash against this invoice: barred, s.186",IF(AND(P98="T",H98="Cash",N(J98)&gt;=20000),"Loan of ₹20,000 or more in cash: barred, s.185",IF(AND(P98="D",H98="Cash",N(J98)&gt;=20000),"Cash deposit of ₹20,000 or more: ask your accountant whether s.185 applies",IF(AND(OR(P98="AG",P98="AS"),$E$9&lt;&gt;""),"Advance: also give a GST receipt voucher, s.31(3)(d) and Rule 50","OK"))))))))))))))))</f>
        <v/>
      </c>
      <c r="P98">
        <f>IF(G98="","",IFERROR(VLOOKUP(G98,Lists!$A$2:$B$9,2,FALSE),"?"))</f>
        <v/>
      </c>
      <c r="Q98">
        <f>IF(K98="Cancelled",0,N(J98))</f>
        <v/>
      </c>
      <c r="R98">
        <f>IF(OR(H98&lt;&gt;"Cash",P98="T",P98="D"),0,Q98)</f>
        <v/>
      </c>
      <c r="S98">
        <f>IF(R98=0,0,SUMIFS($R$18:$R$317,$B$18:$B$317,B98,$D$18:$D$317,D98))</f>
        <v/>
      </c>
      <c r="T98">
        <f>IF(OR(R98=0,E98=""),0,SUMIFS($R$18:$R$317,$E$18:$E$317,E98))</f>
        <v/>
      </c>
      <c r="U98">
        <f>IF(E98="","",IF(N(F98)&gt;0,F98,IFERROR(INDEX($F$18:$F$317,MATCH(E98,$E$18:$E$317,0)),"")))</f>
        <v/>
      </c>
      <c r="V98">
        <f>IF(OR(N98="",N98="OK",K98="Cancelled"),0,1)</f>
        <v/>
      </c>
    </row>
    <row r="99">
      <c r="B99" s="21" t="n"/>
      <c r="C99" s="22">
        <f>IF(B99="","",$E$10&amp;TEXT(N($E$11)+81,"000"))</f>
        <v/>
      </c>
      <c r="D99" s="14" t="n"/>
      <c r="E99" s="23" t="n"/>
      <c r="F99" s="24" t="n"/>
      <c r="G99" s="14" t="n"/>
      <c r="H99" s="14" t="n"/>
      <c r="I99" s="23" t="n"/>
      <c r="J99" s="24" t="n"/>
      <c r="K99" s="23" t="n"/>
      <c r="L99" s="25">
        <f>IF(OR(E99="",N(U99)=0),"",U99-SUMIFS(Q$18:Q99,E$18:E99,E99))</f>
        <v/>
      </c>
      <c r="M99" s="26">
        <f>IF(OR(N(J99)=0,K99="Cancelled"),"",IF(AND(N(J99)&gt;5000,P99&lt;&gt;"G"),"Yes: ₹1","No"))</f>
        <v/>
      </c>
      <c r="N99" s="27">
        <f>IF(AND(B99="",D99="",N(J99)=0),"",IF(B99="","Enter the date",IF(AND(ROW()&gt;18,B98=""),"Use the next empty row: a skipped row leaves a gap in the receipt numbers",IF(D99="","Enter who paid",IF(N(J99)=0,"Enter the amount",IF(G99="","Pick what the money was for",IF(P99="?","Pick what it was for from the list",IF(H99="","Pick how it was paid",IF(K99="Cancelled","Cancelled: keep this number unused and give a fresh receipt",IF(AND(H99&lt;&gt;"Cash",I99=""),"Enter the cheque no., UTR or UPI reference",IF(AND(L99&lt;&gt;"",N(L99)&lt;0),"More than the balance due on this invoice",IF(S99&gt;=200000,"₹2,00,000 or more in cash from this person today: barred, s.186",IF(T99&gt;=200000,"₹2,00,000 or more in cash against this invoice: barred, s.186",IF(AND(P99="T",H99="Cash",N(J99)&gt;=20000),"Loan of ₹20,000 or more in cash: barred, s.185",IF(AND(P99="D",H99="Cash",N(J99)&gt;=20000),"Cash deposit of ₹20,000 or more: ask your accountant whether s.185 applies",IF(AND(OR(P99="AG",P99="AS"),$E$9&lt;&gt;""),"Advance: also give a GST receipt voucher, s.31(3)(d) and Rule 50","OK"))))))))))))))))</f>
        <v/>
      </c>
      <c r="P99">
        <f>IF(G99="","",IFERROR(VLOOKUP(G99,Lists!$A$2:$B$9,2,FALSE),"?"))</f>
        <v/>
      </c>
      <c r="Q99">
        <f>IF(K99="Cancelled",0,N(J99))</f>
        <v/>
      </c>
      <c r="R99">
        <f>IF(OR(H99&lt;&gt;"Cash",P99="T",P99="D"),0,Q99)</f>
        <v/>
      </c>
      <c r="S99">
        <f>IF(R99=0,0,SUMIFS($R$18:$R$317,$B$18:$B$317,B99,$D$18:$D$317,D99))</f>
        <v/>
      </c>
      <c r="T99">
        <f>IF(OR(R99=0,E99=""),0,SUMIFS($R$18:$R$317,$E$18:$E$317,E99))</f>
        <v/>
      </c>
      <c r="U99">
        <f>IF(E99="","",IF(N(F99)&gt;0,F99,IFERROR(INDEX($F$18:$F$317,MATCH(E99,$E$18:$E$317,0)),"")))</f>
        <v/>
      </c>
      <c r="V99">
        <f>IF(OR(N99="",N99="OK",K99="Cancelled"),0,1)</f>
        <v/>
      </c>
    </row>
    <row r="100">
      <c r="B100" s="21" t="n"/>
      <c r="C100" s="22">
        <f>IF(B100="","",$E$10&amp;TEXT(N($E$11)+82,"000"))</f>
        <v/>
      </c>
      <c r="D100" s="14" t="n"/>
      <c r="E100" s="23" t="n"/>
      <c r="F100" s="24" t="n"/>
      <c r="G100" s="14" t="n"/>
      <c r="H100" s="14" t="n"/>
      <c r="I100" s="23" t="n"/>
      <c r="J100" s="24" t="n"/>
      <c r="K100" s="23" t="n"/>
      <c r="L100" s="25">
        <f>IF(OR(E100="",N(U100)=0),"",U100-SUMIFS(Q$18:Q100,E$18:E100,E100))</f>
        <v/>
      </c>
      <c r="M100" s="26">
        <f>IF(OR(N(J100)=0,K100="Cancelled"),"",IF(AND(N(J100)&gt;5000,P100&lt;&gt;"G"),"Yes: ₹1","No"))</f>
        <v/>
      </c>
      <c r="N100" s="27">
        <f>IF(AND(B100="",D100="",N(J100)=0),"",IF(B100="","Enter the date",IF(AND(ROW()&gt;18,B99=""),"Use the next empty row: a skipped row leaves a gap in the receipt numbers",IF(D100="","Enter who paid",IF(N(J100)=0,"Enter the amount",IF(G100="","Pick what the money was for",IF(P100="?","Pick what it was for from the list",IF(H100="","Pick how it was paid",IF(K100="Cancelled","Cancelled: keep this number unused and give a fresh receipt",IF(AND(H100&lt;&gt;"Cash",I100=""),"Enter the cheque no., UTR or UPI reference",IF(AND(L100&lt;&gt;"",N(L100)&lt;0),"More than the balance due on this invoice",IF(S100&gt;=200000,"₹2,00,000 or more in cash from this person today: barred, s.186",IF(T100&gt;=200000,"₹2,00,000 or more in cash against this invoice: barred, s.186",IF(AND(P100="T",H100="Cash",N(J100)&gt;=20000),"Loan of ₹20,000 or more in cash: barred, s.185",IF(AND(P100="D",H100="Cash",N(J100)&gt;=20000),"Cash deposit of ₹20,000 or more: ask your accountant whether s.185 applies",IF(AND(OR(P100="AG",P100="AS"),$E$9&lt;&gt;""),"Advance: also give a GST receipt voucher, s.31(3)(d) and Rule 50","OK"))))))))))))))))</f>
        <v/>
      </c>
      <c r="P100">
        <f>IF(G100="","",IFERROR(VLOOKUP(G100,Lists!$A$2:$B$9,2,FALSE),"?"))</f>
        <v/>
      </c>
      <c r="Q100">
        <f>IF(K100="Cancelled",0,N(J100))</f>
        <v/>
      </c>
      <c r="R100">
        <f>IF(OR(H100&lt;&gt;"Cash",P100="T",P100="D"),0,Q100)</f>
        <v/>
      </c>
      <c r="S100">
        <f>IF(R100=0,0,SUMIFS($R$18:$R$317,$B$18:$B$317,B100,$D$18:$D$317,D100))</f>
        <v/>
      </c>
      <c r="T100">
        <f>IF(OR(R100=0,E100=""),0,SUMIFS($R$18:$R$317,$E$18:$E$317,E100))</f>
        <v/>
      </c>
      <c r="U100">
        <f>IF(E100="","",IF(N(F100)&gt;0,F100,IFERROR(INDEX($F$18:$F$317,MATCH(E100,$E$18:$E$317,0)),"")))</f>
        <v/>
      </c>
      <c r="V100">
        <f>IF(OR(N100="",N100="OK",K100="Cancelled"),0,1)</f>
        <v/>
      </c>
    </row>
    <row r="101">
      <c r="B101" s="21" t="n"/>
      <c r="C101" s="22">
        <f>IF(B101="","",$E$10&amp;TEXT(N($E$11)+83,"000"))</f>
        <v/>
      </c>
      <c r="D101" s="14" t="n"/>
      <c r="E101" s="23" t="n"/>
      <c r="F101" s="24" t="n"/>
      <c r="G101" s="14" t="n"/>
      <c r="H101" s="14" t="n"/>
      <c r="I101" s="23" t="n"/>
      <c r="J101" s="24" t="n"/>
      <c r="K101" s="23" t="n"/>
      <c r="L101" s="25">
        <f>IF(OR(E101="",N(U101)=0),"",U101-SUMIFS(Q$18:Q101,E$18:E101,E101))</f>
        <v/>
      </c>
      <c r="M101" s="26">
        <f>IF(OR(N(J101)=0,K101="Cancelled"),"",IF(AND(N(J101)&gt;5000,P101&lt;&gt;"G"),"Yes: ₹1","No"))</f>
        <v/>
      </c>
      <c r="N101" s="27">
        <f>IF(AND(B101="",D101="",N(J101)=0),"",IF(B101="","Enter the date",IF(AND(ROW()&gt;18,B100=""),"Use the next empty row: a skipped row leaves a gap in the receipt numbers",IF(D101="","Enter who paid",IF(N(J101)=0,"Enter the amount",IF(G101="","Pick what the money was for",IF(P101="?","Pick what it was for from the list",IF(H101="","Pick how it was paid",IF(K101="Cancelled","Cancelled: keep this number unused and give a fresh receipt",IF(AND(H101&lt;&gt;"Cash",I101=""),"Enter the cheque no., UTR or UPI reference",IF(AND(L101&lt;&gt;"",N(L101)&lt;0),"More than the balance due on this invoice",IF(S101&gt;=200000,"₹2,00,000 or more in cash from this person today: barred, s.186",IF(T101&gt;=200000,"₹2,00,000 or more in cash against this invoice: barred, s.186",IF(AND(P101="T",H101="Cash",N(J101)&gt;=20000),"Loan of ₹20,000 or more in cash: barred, s.185",IF(AND(P101="D",H101="Cash",N(J101)&gt;=20000),"Cash deposit of ₹20,000 or more: ask your accountant whether s.185 applies",IF(AND(OR(P101="AG",P101="AS"),$E$9&lt;&gt;""),"Advance: also give a GST receipt voucher, s.31(3)(d) and Rule 50","OK"))))))))))))))))</f>
        <v/>
      </c>
      <c r="P101">
        <f>IF(G101="","",IFERROR(VLOOKUP(G101,Lists!$A$2:$B$9,2,FALSE),"?"))</f>
        <v/>
      </c>
      <c r="Q101">
        <f>IF(K101="Cancelled",0,N(J101))</f>
        <v/>
      </c>
      <c r="R101">
        <f>IF(OR(H101&lt;&gt;"Cash",P101="T",P101="D"),0,Q101)</f>
        <v/>
      </c>
      <c r="S101">
        <f>IF(R101=0,0,SUMIFS($R$18:$R$317,$B$18:$B$317,B101,$D$18:$D$317,D101))</f>
        <v/>
      </c>
      <c r="T101">
        <f>IF(OR(R101=0,E101=""),0,SUMIFS($R$18:$R$317,$E$18:$E$317,E101))</f>
        <v/>
      </c>
      <c r="U101">
        <f>IF(E101="","",IF(N(F101)&gt;0,F101,IFERROR(INDEX($F$18:$F$317,MATCH(E101,$E$18:$E$317,0)),"")))</f>
        <v/>
      </c>
      <c r="V101">
        <f>IF(OR(N101="",N101="OK",K101="Cancelled"),0,1)</f>
        <v/>
      </c>
    </row>
    <row r="102">
      <c r="B102" s="21" t="n"/>
      <c r="C102" s="22">
        <f>IF(B102="","",$E$10&amp;TEXT(N($E$11)+84,"000"))</f>
        <v/>
      </c>
      <c r="D102" s="14" t="n"/>
      <c r="E102" s="23" t="n"/>
      <c r="F102" s="24" t="n"/>
      <c r="G102" s="14" t="n"/>
      <c r="H102" s="14" t="n"/>
      <c r="I102" s="23" t="n"/>
      <c r="J102" s="24" t="n"/>
      <c r="K102" s="23" t="n"/>
      <c r="L102" s="25">
        <f>IF(OR(E102="",N(U102)=0),"",U102-SUMIFS(Q$18:Q102,E$18:E102,E102))</f>
        <v/>
      </c>
      <c r="M102" s="26">
        <f>IF(OR(N(J102)=0,K102="Cancelled"),"",IF(AND(N(J102)&gt;5000,P102&lt;&gt;"G"),"Yes: ₹1","No"))</f>
        <v/>
      </c>
      <c r="N102" s="27">
        <f>IF(AND(B102="",D102="",N(J102)=0),"",IF(B102="","Enter the date",IF(AND(ROW()&gt;18,B101=""),"Use the next empty row: a skipped row leaves a gap in the receipt numbers",IF(D102="","Enter who paid",IF(N(J102)=0,"Enter the amount",IF(G102="","Pick what the money was for",IF(P102="?","Pick what it was for from the list",IF(H102="","Pick how it was paid",IF(K102="Cancelled","Cancelled: keep this number unused and give a fresh receipt",IF(AND(H102&lt;&gt;"Cash",I102=""),"Enter the cheque no., UTR or UPI reference",IF(AND(L102&lt;&gt;"",N(L102)&lt;0),"More than the balance due on this invoice",IF(S102&gt;=200000,"₹2,00,000 or more in cash from this person today: barred, s.186",IF(T102&gt;=200000,"₹2,00,000 or more in cash against this invoice: barred, s.186",IF(AND(P102="T",H102="Cash",N(J102)&gt;=20000),"Loan of ₹20,000 or more in cash: barred, s.185",IF(AND(P102="D",H102="Cash",N(J102)&gt;=20000),"Cash deposit of ₹20,000 or more: ask your accountant whether s.185 applies",IF(AND(OR(P102="AG",P102="AS"),$E$9&lt;&gt;""),"Advance: also give a GST receipt voucher, s.31(3)(d) and Rule 50","OK"))))))))))))))))</f>
        <v/>
      </c>
      <c r="P102">
        <f>IF(G102="","",IFERROR(VLOOKUP(G102,Lists!$A$2:$B$9,2,FALSE),"?"))</f>
        <v/>
      </c>
      <c r="Q102">
        <f>IF(K102="Cancelled",0,N(J102))</f>
        <v/>
      </c>
      <c r="R102">
        <f>IF(OR(H102&lt;&gt;"Cash",P102="T",P102="D"),0,Q102)</f>
        <v/>
      </c>
      <c r="S102">
        <f>IF(R102=0,0,SUMIFS($R$18:$R$317,$B$18:$B$317,B102,$D$18:$D$317,D102))</f>
        <v/>
      </c>
      <c r="T102">
        <f>IF(OR(R102=0,E102=""),0,SUMIFS($R$18:$R$317,$E$18:$E$317,E102))</f>
        <v/>
      </c>
      <c r="U102">
        <f>IF(E102="","",IF(N(F102)&gt;0,F102,IFERROR(INDEX($F$18:$F$317,MATCH(E102,$E$18:$E$317,0)),"")))</f>
        <v/>
      </c>
      <c r="V102">
        <f>IF(OR(N102="",N102="OK",K102="Cancelled"),0,1)</f>
        <v/>
      </c>
    </row>
    <row r="103">
      <c r="B103" s="21" t="n"/>
      <c r="C103" s="22">
        <f>IF(B103="","",$E$10&amp;TEXT(N($E$11)+85,"000"))</f>
        <v/>
      </c>
      <c r="D103" s="14" t="n"/>
      <c r="E103" s="23" t="n"/>
      <c r="F103" s="24" t="n"/>
      <c r="G103" s="14" t="n"/>
      <c r="H103" s="14" t="n"/>
      <c r="I103" s="23" t="n"/>
      <c r="J103" s="24" t="n"/>
      <c r="K103" s="23" t="n"/>
      <c r="L103" s="25">
        <f>IF(OR(E103="",N(U103)=0),"",U103-SUMIFS(Q$18:Q103,E$18:E103,E103))</f>
        <v/>
      </c>
      <c r="M103" s="26">
        <f>IF(OR(N(J103)=0,K103="Cancelled"),"",IF(AND(N(J103)&gt;5000,P103&lt;&gt;"G"),"Yes: ₹1","No"))</f>
        <v/>
      </c>
      <c r="N103" s="27">
        <f>IF(AND(B103="",D103="",N(J103)=0),"",IF(B103="","Enter the date",IF(AND(ROW()&gt;18,B102=""),"Use the next empty row: a skipped row leaves a gap in the receipt numbers",IF(D103="","Enter who paid",IF(N(J103)=0,"Enter the amount",IF(G103="","Pick what the money was for",IF(P103="?","Pick what it was for from the list",IF(H103="","Pick how it was paid",IF(K103="Cancelled","Cancelled: keep this number unused and give a fresh receipt",IF(AND(H103&lt;&gt;"Cash",I103=""),"Enter the cheque no., UTR or UPI reference",IF(AND(L103&lt;&gt;"",N(L103)&lt;0),"More than the balance due on this invoice",IF(S103&gt;=200000,"₹2,00,000 or more in cash from this person today: barred, s.186",IF(T103&gt;=200000,"₹2,00,000 or more in cash against this invoice: barred, s.186",IF(AND(P103="T",H103="Cash",N(J103)&gt;=20000),"Loan of ₹20,000 or more in cash: barred, s.185",IF(AND(P103="D",H103="Cash",N(J103)&gt;=20000),"Cash deposit of ₹20,000 or more: ask your accountant whether s.185 applies",IF(AND(OR(P103="AG",P103="AS"),$E$9&lt;&gt;""),"Advance: also give a GST receipt voucher, s.31(3)(d) and Rule 50","OK"))))))))))))))))</f>
        <v/>
      </c>
      <c r="P103">
        <f>IF(G103="","",IFERROR(VLOOKUP(G103,Lists!$A$2:$B$9,2,FALSE),"?"))</f>
        <v/>
      </c>
      <c r="Q103">
        <f>IF(K103="Cancelled",0,N(J103))</f>
        <v/>
      </c>
      <c r="R103">
        <f>IF(OR(H103&lt;&gt;"Cash",P103="T",P103="D"),0,Q103)</f>
        <v/>
      </c>
      <c r="S103">
        <f>IF(R103=0,0,SUMIFS($R$18:$R$317,$B$18:$B$317,B103,$D$18:$D$317,D103))</f>
        <v/>
      </c>
      <c r="T103">
        <f>IF(OR(R103=0,E103=""),0,SUMIFS($R$18:$R$317,$E$18:$E$317,E103))</f>
        <v/>
      </c>
      <c r="U103">
        <f>IF(E103="","",IF(N(F103)&gt;0,F103,IFERROR(INDEX($F$18:$F$317,MATCH(E103,$E$18:$E$317,0)),"")))</f>
        <v/>
      </c>
      <c r="V103">
        <f>IF(OR(N103="",N103="OK",K103="Cancelled"),0,1)</f>
        <v/>
      </c>
    </row>
    <row r="104">
      <c r="B104" s="21" t="n"/>
      <c r="C104" s="22">
        <f>IF(B104="","",$E$10&amp;TEXT(N($E$11)+86,"000"))</f>
        <v/>
      </c>
      <c r="D104" s="14" t="n"/>
      <c r="E104" s="23" t="n"/>
      <c r="F104" s="24" t="n"/>
      <c r="G104" s="14" t="n"/>
      <c r="H104" s="14" t="n"/>
      <c r="I104" s="23" t="n"/>
      <c r="J104" s="24" t="n"/>
      <c r="K104" s="23" t="n"/>
      <c r="L104" s="25">
        <f>IF(OR(E104="",N(U104)=0),"",U104-SUMIFS(Q$18:Q104,E$18:E104,E104))</f>
        <v/>
      </c>
      <c r="M104" s="26">
        <f>IF(OR(N(J104)=0,K104="Cancelled"),"",IF(AND(N(J104)&gt;5000,P104&lt;&gt;"G"),"Yes: ₹1","No"))</f>
        <v/>
      </c>
      <c r="N104" s="27">
        <f>IF(AND(B104="",D104="",N(J104)=0),"",IF(B104="","Enter the date",IF(AND(ROW()&gt;18,B103=""),"Use the next empty row: a skipped row leaves a gap in the receipt numbers",IF(D104="","Enter who paid",IF(N(J104)=0,"Enter the amount",IF(G104="","Pick what the money was for",IF(P104="?","Pick what it was for from the list",IF(H104="","Pick how it was paid",IF(K104="Cancelled","Cancelled: keep this number unused and give a fresh receipt",IF(AND(H104&lt;&gt;"Cash",I104=""),"Enter the cheque no., UTR or UPI reference",IF(AND(L104&lt;&gt;"",N(L104)&lt;0),"More than the balance due on this invoice",IF(S104&gt;=200000,"₹2,00,000 or more in cash from this person today: barred, s.186",IF(T104&gt;=200000,"₹2,00,000 or more in cash against this invoice: barred, s.186",IF(AND(P104="T",H104="Cash",N(J104)&gt;=20000),"Loan of ₹20,000 or more in cash: barred, s.185",IF(AND(P104="D",H104="Cash",N(J104)&gt;=20000),"Cash deposit of ₹20,000 or more: ask your accountant whether s.185 applies",IF(AND(OR(P104="AG",P104="AS"),$E$9&lt;&gt;""),"Advance: also give a GST receipt voucher, s.31(3)(d) and Rule 50","OK"))))))))))))))))</f>
        <v/>
      </c>
      <c r="P104">
        <f>IF(G104="","",IFERROR(VLOOKUP(G104,Lists!$A$2:$B$9,2,FALSE),"?"))</f>
        <v/>
      </c>
      <c r="Q104">
        <f>IF(K104="Cancelled",0,N(J104))</f>
        <v/>
      </c>
      <c r="R104">
        <f>IF(OR(H104&lt;&gt;"Cash",P104="T",P104="D"),0,Q104)</f>
        <v/>
      </c>
      <c r="S104">
        <f>IF(R104=0,0,SUMIFS($R$18:$R$317,$B$18:$B$317,B104,$D$18:$D$317,D104))</f>
        <v/>
      </c>
      <c r="T104">
        <f>IF(OR(R104=0,E104=""),0,SUMIFS($R$18:$R$317,$E$18:$E$317,E104))</f>
        <v/>
      </c>
      <c r="U104">
        <f>IF(E104="","",IF(N(F104)&gt;0,F104,IFERROR(INDEX($F$18:$F$317,MATCH(E104,$E$18:$E$317,0)),"")))</f>
        <v/>
      </c>
      <c r="V104">
        <f>IF(OR(N104="",N104="OK",K104="Cancelled"),0,1)</f>
        <v/>
      </c>
    </row>
    <row r="105">
      <c r="B105" s="21" t="n"/>
      <c r="C105" s="22">
        <f>IF(B105="","",$E$10&amp;TEXT(N($E$11)+87,"000"))</f>
        <v/>
      </c>
      <c r="D105" s="14" t="n"/>
      <c r="E105" s="23" t="n"/>
      <c r="F105" s="24" t="n"/>
      <c r="G105" s="14" t="n"/>
      <c r="H105" s="14" t="n"/>
      <c r="I105" s="23" t="n"/>
      <c r="J105" s="24" t="n"/>
      <c r="K105" s="23" t="n"/>
      <c r="L105" s="25">
        <f>IF(OR(E105="",N(U105)=0),"",U105-SUMIFS(Q$18:Q105,E$18:E105,E105))</f>
        <v/>
      </c>
      <c r="M105" s="26">
        <f>IF(OR(N(J105)=0,K105="Cancelled"),"",IF(AND(N(J105)&gt;5000,P105&lt;&gt;"G"),"Yes: ₹1","No"))</f>
        <v/>
      </c>
      <c r="N105" s="27">
        <f>IF(AND(B105="",D105="",N(J105)=0),"",IF(B105="","Enter the date",IF(AND(ROW()&gt;18,B104=""),"Use the next empty row: a skipped row leaves a gap in the receipt numbers",IF(D105="","Enter who paid",IF(N(J105)=0,"Enter the amount",IF(G105="","Pick what the money was for",IF(P105="?","Pick what it was for from the list",IF(H105="","Pick how it was paid",IF(K105="Cancelled","Cancelled: keep this number unused and give a fresh receipt",IF(AND(H105&lt;&gt;"Cash",I105=""),"Enter the cheque no., UTR or UPI reference",IF(AND(L105&lt;&gt;"",N(L105)&lt;0),"More than the balance due on this invoice",IF(S105&gt;=200000,"₹2,00,000 or more in cash from this person today: barred, s.186",IF(T105&gt;=200000,"₹2,00,000 or more in cash against this invoice: barred, s.186",IF(AND(P105="T",H105="Cash",N(J105)&gt;=20000),"Loan of ₹20,000 or more in cash: barred, s.185",IF(AND(P105="D",H105="Cash",N(J105)&gt;=20000),"Cash deposit of ₹20,000 or more: ask your accountant whether s.185 applies",IF(AND(OR(P105="AG",P105="AS"),$E$9&lt;&gt;""),"Advance: also give a GST receipt voucher, s.31(3)(d) and Rule 50","OK"))))))))))))))))</f>
        <v/>
      </c>
      <c r="P105">
        <f>IF(G105="","",IFERROR(VLOOKUP(G105,Lists!$A$2:$B$9,2,FALSE),"?"))</f>
        <v/>
      </c>
      <c r="Q105">
        <f>IF(K105="Cancelled",0,N(J105))</f>
        <v/>
      </c>
      <c r="R105">
        <f>IF(OR(H105&lt;&gt;"Cash",P105="T",P105="D"),0,Q105)</f>
        <v/>
      </c>
      <c r="S105">
        <f>IF(R105=0,0,SUMIFS($R$18:$R$317,$B$18:$B$317,B105,$D$18:$D$317,D105))</f>
        <v/>
      </c>
      <c r="T105">
        <f>IF(OR(R105=0,E105=""),0,SUMIFS($R$18:$R$317,$E$18:$E$317,E105))</f>
        <v/>
      </c>
      <c r="U105">
        <f>IF(E105="","",IF(N(F105)&gt;0,F105,IFERROR(INDEX($F$18:$F$317,MATCH(E105,$E$18:$E$317,0)),"")))</f>
        <v/>
      </c>
      <c r="V105">
        <f>IF(OR(N105="",N105="OK",K105="Cancelled"),0,1)</f>
        <v/>
      </c>
    </row>
    <row r="106">
      <c r="B106" s="21" t="n"/>
      <c r="C106" s="22">
        <f>IF(B106="","",$E$10&amp;TEXT(N($E$11)+88,"000"))</f>
        <v/>
      </c>
      <c r="D106" s="14" t="n"/>
      <c r="E106" s="23" t="n"/>
      <c r="F106" s="24" t="n"/>
      <c r="G106" s="14" t="n"/>
      <c r="H106" s="14" t="n"/>
      <c r="I106" s="23" t="n"/>
      <c r="J106" s="24" t="n"/>
      <c r="K106" s="23" t="n"/>
      <c r="L106" s="25">
        <f>IF(OR(E106="",N(U106)=0),"",U106-SUMIFS(Q$18:Q106,E$18:E106,E106))</f>
        <v/>
      </c>
      <c r="M106" s="26">
        <f>IF(OR(N(J106)=0,K106="Cancelled"),"",IF(AND(N(J106)&gt;5000,P106&lt;&gt;"G"),"Yes: ₹1","No"))</f>
        <v/>
      </c>
      <c r="N106" s="27">
        <f>IF(AND(B106="",D106="",N(J106)=0),"",IF(B106="","Enter the date",IF(AND(ROW()&gt;18,B105=""),"Use the next empty row: a skipped row leaves a gap in the receipt numbers",IF(D106="","Enter who paid",IF(N(J106)=0,"Enter the amount",IF(G106="","Pick what the money was for",IF(P106="?","Pick what it was for from the list",IF(H106="","Pick how it was paid",IF(K106="Cancelled","Cancelled: keep this number unused and give a fresh receipt",IF(AND(H106&lt;&gt;"Cash",I106=""),"Enter the cheque no., UTR or UPI reference",IF(AND(L106&lt;&gt;"",N(L106)&lt;0),"More than the balance due on this invoice",IF(S106&gt;=200000,"₹2,00,000 or more in cash from this person today: barred, s.186",IF(T106&gt;=200000,"₹2,00,000 or more in cash against this invoice: barred, s.186",IF(AND(P106="T",H106="Cash",N(J106)&gt;=20000),"Loan of ₹20,000 or more in cash: barred, s.185",IF(AND(P106="D",H106="Cash",N(J106)&gt;=20000),"Cash deposit of ₹20,000 or more: ask your accountant whether s.185 applies",IF(AND(OR(P106="AG",P106="AS"),$E$9&lt;&gt;""),"Advance: also give a GST receipt voucher, s.31(3)(d) and Rule 50","OK"))))))))))))))))</f>
        <v/>
      </c>
      <c r="P106">
        <f>IF(G106="","",IFERROR(VLOOKUP(G106,Lists!$A$2:$B$9,2,FALSE),"?"))</f>
        <v/>
      </c>
      <c r="Q106">
        <f>IF(K106="Cancelled",0,N(J106))</f>
        <v/>
      </c>
      <c r="R106">
        <f>IF(OR(H106&lt;&gt;"Cash",P106="T",P106="D"),0,Q106)</f>
        <v/>
      </c>
      <c r="S106">
        <f>IF(R106=0,0,SUMIFS($R$18:$R$317,$B$18:$B$317,B106,$D$18:$D$317,D106))</f>
        <v/>
      </c>
      <c r="T106">
        <f>IF(OR(R106=0,E106=""),0,SUMIFS($R$18:$R$317,$E$18:$E$317,E106))</f>
        <v/>
      </c>
      <c r="U106">
        <f>IF(E106="","",IF(N(F106)&gt;0,F106,IFERROR(INDEX($F$18:$F$317,MATCH(E106,$E$18:$E$317,0)),"")))</f>
        <v/>
      </c>
      <c r="V106">
        <f>IF(OR(N106="",N106="OK",K106="Cancelled"),0,1)</f>
        <v/>
      </c>
    </row>
    <row r="107">
      <c r="B107" s="21" t="n"/>
      <c r="C107" s="22">
        <f>IF(B107="","",$E$10&amp;TEXT(N($E$11)+89,"000"))</f>
        <v/>
      </c>
      <c r="D107" s="14" t="n"/>
      <c r="E107" s="23" t="n"/>
      <c r="F107" s="24" t="n"/>
      <c r="G107" s="14" t="n"/>
      <c r="H107" s="14" t="n"/>
      <c r="I107" s="23" t="n"/>
      <c r="J107" s="24" t="n"/>
      <c r="K107" s="23" t="n"/>
      <c r="L107" s="25">
        <f>IF(OR(E107="",N(U107)=0),"",U107-SUMIFS(Q$18:Q107,E$18:E107,E107))</f>
        <v/>
      </c>
      <c r="M107" s="26">
        <f>IF(OR(N(J107)=0,K107="Cancelled"),"",IF(AND(N(J107)&gt;5000,P107&lt;&gt;"G"),"Yes: ₹1","No"))</f>
        <v/>
      </c>
      <c r="N107" s="27">
        <f>IF(AND(B107="",D107="",N(J107)=0),"",IF(B107="","Enter the date",IF(AND(ROW()&gt;18,B106=""),"Use the next empty row: a skipped row leaves a gap in the receipt numbers",IF(D107="","Enter who paid",IF(N(J107)=0,"Enter the amount",IF(G107="","Pick what the money was for",IF(P107="?","Pick what it was for from the list",IF(H107="","Pick how it was paid",IF(K107="Cancelled","Cancelled: keep this number unused and give a fresh receipt",IF(AND(H107&lt;&gt;"Cash",I107=""),"Enter the cheque no., UTR or UPI reference",IF(AND(L107&lt;&gt;"",N(L107)&lt;0),"More than the balance due on this invoice",IF(S107&gt;=200000,"₹2,00,000 or more in cash from this person today: barred, s.186",IF(T107&gt;=200000,"₹2,00,000 or more in cash against this invoice: barred, s.186",IF(AND(P107="T",H107="Cash",N(J107)&gt;=20000),"Loan of ₹20,000 or more in cash: barred, s.185",IF(AND(P107="D",H107="Cash",N(J107)&gt;=20000),"Cash deposit of ₹20,000 or more: ask your accountant whether s.185 applies",IF(AND(OR(P107="AG",P107="AS"),$E$9&lt;&gt;""),"Advance: also give a GST receipt voucher, s.31(3)(d) and Rule 50","OK"))))))))))))))))</f>
        <v/>
      </c>
      <c r="P107">
        <f>IF(G107="","",IFERROR(VLOOKUP(G107,Lists!$A$2:$B$9,2,FALSE),"?"))</f>
        <v/>
      </c>
      <c r="Q107">
        <f>IF(K107="Cancelled",0,N(J107))</f>
        <v/>
      </c>
      <c r="R107">
        <f>IF(OR(H107&lt;&gt;"Cash",P107="T",P107="D"),0,Q107)</f>
        <v/>
      </c>
      <c r="S107">
        <f>IF(R107=0,0,SUMIFS($R$18:$R$317,$B$18:$B$317,B107,$D$18:$D$317,D107))</f>
        <v/>
      </c>
      <c r="T107">
        <f>IF(OR(R107=0,E107=""),0,SUMIFS($R$18:$R$317,$E$18:$E$317,E107))</f>
        <v/>
      </c>
      <c r="U107">
        <f>IF(E107="","",IF(N(F107)&gt;0,F107,IFERROR(INDEX($F$18:$F$317,MATCH(E107,$E$18:$E$317,0)),"")))</f>
        <v/>
      </c>
      <c r="V107">
        <f>IF(OR(N107="",N107="OK",K107="Cancelled"),0,1)</f>
        <v/>
      </c>
    </row>
    <row r="108">
      <c r="B108" s="21" t="n"/>
      <c r="C108" s="22">
        <f>IF(B108="","",$E$10&amp;TEXT(N($E$11)+90,"000"))</f>
        <v/>
      </c>
      <c r="D108" s="14" t="n"/>
      <c r="E108" s="23" t="n"/>
      <c r="F108" s="24" t="n"/>
      <c r="G108" s="14" t="n"/>
      <c r="H108" s="14" t="n"/>
      <c r="I108" s="23" t="n"/>
      <c r="J108" s="24" t="n"/>
      <c r="K108" s="23" t="n"/>
      <c r="L108" s="25">
        <f>IF(OR(E108="",N(U108)=0),"",U108-SUMIFS(Q$18:Q108,E$18:E108,E108))</f>
        <v/>
      </c>
      <c r="M108" s="26">
        <f>IF(OR(N(J108)=0,K108="Cancelled"),"",IF(AND(N(J108)&gt;5000,P108&lt;&gt;"G"),"Yes: ₹1","No"))</f>
        <v/>
      </c>
      <c r="N108" s="27">
        <f>IF(AND(B108="",D108="",N(J108)=0),"",IF(B108="","Enter the date",IF(AND(ROW()&gt;18,B107=""),"Use the next empty row: a skipped row leaves a gap in the receipt numbers",IF(D108="","Enter who paid",IF(N(J108)=0,"Enter the amount",IF(G108="","Pick what the money was for",IF(P108="?","Pick what it was for from the list",IF(H108="","Pick how it was paid",IF(K108="Cancelled","Cancelled: keep this number unused and give a fresh receipt",IF(AND(H108&lt;&gt;"Cash",I108=""),"Enter the cheque no., UTR or UPI reference",IF(AND(L108&lt;&gt;"",N(L108)&lt;0),"More than the balance due on this invoice",IF(S108&gt;=200000,"₹2,00,000 or more in cash from this person today: barred, s.186",IF(T108&gt;=200000,"₹2,00,000 or more in cash against this invoice: barred, s.186",IF(AND(P108="T",H108="Cash",N(J108)&gt;=20000),"Loan of ₹20,000 or more in cash: barred, s.185",IF(AND(P108="D",H108="Cash",N(J108)&gt;=20000),"Cash deposit of ₹20,000 or more: ask your accountant whether s.185 applies",IF(AND(OR(P108="AG",P108="AS"),$E$9&lt;&gt;""),"Advance: also give a GST receipt voucher, s.31(3)(d) and Rule 50","OK"))))))))))))))))</f>
        <v/>
      </c>
      <c r="P108">
        <f>IF(G108="","",IFERROR(VLOOKUP(G108,Lists!$A$2:$B$9,2,FALSE),"?"))</f>
        <v/>
      </c>
      <c r="Q108">
        <f>IF(K108="Cancelled",0,N(J108))</f>
        <v/>
      </c>
      <c r="R108">
        <f>IF(OR(H108&lt;&gt;"Cash",P108="T",P108="D"),0,Q108)</f>
        <v/>
      </c>
      <c r="S108">
        <f>IF(R108=0,0,SUMIFS($R$18:$R$317,$B$18:$B$317,B108,$D$18:$D$317,D108))</f>
        <v/>
      </c>
      <c r="T108">
        <f>IF(OR(R108=0,E108=""),0,SUMIFS($R$18:$R$317,$E$18:$E$317,E108))</f>
        <v/>
      </c>
      <c r="U108">
        <f>IF(E108="","",IF(N(F108)&gt;0,F108,IFERROR(INDEX($F$18:$F$317,MATCH(E108,$E$18:$E$317,0)),"")))</f>
        <v/>
      </c>
      <c r="V108">
        <f>IF(OR(N108="",N108="OK",K108="Cancelled"),0,1)</f>
        <v/>
      </c>
    </row>
    <row r="109">
      <c r="B109" s="21" t="n"/>
      <c r="C109" s="22">
        <f>IF(B109="","",$E$10&amp;TEXT(N($E$11)+91,"000"))</f>
        <v/>
      </c>
      <c r="D109" s="14" t="n"/>
      <c r="E109" s="23" t="n"/>
      <c r="F109" s="24" t="n"/>
      <c r="G109" s="14" t="n"/>
      <c r="H109" s="14" t="n"/>
      <c r="I109" s="23" t="n"/>
      <c r="J109" s="24" t="n"/>
      <c r="K109" s="23" t="n"/>
      <c r="L109" s="25">
        <f>IF(OR(E109="",N(U109)=0),"",U109-SUMIFS(Q$18:Q109,E$18:E109,E109))</f>
        <v/>
      </c>
      <c r="M109" s="26">
        <f>IF(OR(N(J109)=0,K109="Cancelled"),"",IF(AND(N(J109)&gt;5000,P109&lt;&gt;"G"),"Yes: ₹1","No"))</f>
        <v/>
      </c>
      <c r="N109" s="27">
        <f>IF(AND(B109="",D109="",N(J109)=0),"",IF(B109="","Enter the date",IF(AND(ROW()&gt;18,B108=""),"Use the next empty row: a skipped row leaves a gap in the receipt numbers",IF(D109="","Enter who paid",IF(N(J109)=0,"Enter the amount",IF(G109="","Pick what the money was for",IF(P109="?","Pick what it was for from the list",IF(H109="","Pick how it was paid",IF(K109="Cancelled","Cancelled: keep this number unused and give a fresh receipt",IF(AND(H109&lt;&gt;"Cash",I109=""),"Enter the cheque no., UTR or UPI reference",IF(AND(L109&lt;&gt;"",N(L109)&lt;0),"More than the balance due on this invoice",IF(S109&gt;=200000,"₹2,00,000 or more in cash from this person today: barred, s.186",IF(T109&gt;=200000,"₹2,00,000 or more in cash against this invoice: barred, s.186",IF(AND(P109="T",H109="Cash",N(J109)&gt;=20000),"Loan of ₹20,000 or more in cash: barred, s.185",IF(AND(P109="D",H109="Cash",N(J109)&gt;=20000),"Cash deposit of ₹20,000 or more: ask your accountant whether s.185 applies",IF(AND(OR(P109="AG",P109="AS"),$E$9&lt;&gt;""),"Advance: also give a GST receipt voucher, s.31(3)(d) and Rule 50","OK"))))))))))))))))</f>
        <v/>
      </c>
      <c r="P109">
        <f>IF(G109="","",IFERROR(VLOOKUP(G109,Lists!$A$2:$B$9,2,FALSE),"?"))</f>
        <v/>
      </c>
      <c r="Q109">
        <f>IF(K109="Cancelled",0,N(J109))</f>
        <v/>
      </c>
      <c r="R109">
        <f>IF(OR(H109&lt;&gt;"Cash",P109="T",P109="D"),0,Q109)</f>
        <v/>
      </c>
      <c r="S109">
        <f>IF(R109=0,0,SUMIFS($R$18:$R$317,$B$18:$B$317,B109,$D$18:$D$317,D109))</f>
        <v/>
      </c>
      <c r="T109">
        <f>IF(OR(R109=0,E109=""),0,SUMIFS($R$18:$R$317,$E$18:$E$317,E109))</f>
        <v/>
      </c>
      <c r="U109">
        <f>IF(E109="","",IF(N(F109)&gt;0,F109,IFERROR(INDEX($F$18:$F$317,MATCH(E109,$E$18:$E$317,0)),"")))</f>
        <v/>
      </c>
      <c r="V109">
        <f>IF(OR(N109="",N109="OK",K109="Cancelled"),0,1)</f>
        <v/>
      </c>
    </row>
    <row r="110">
      <c r="B110" s="21" t="n"/>
      <c r="C110" s="22">
        <f>IF(B110="","",$E$10&amp;TEXT(N($E$11)+92,"000"))</f>
        <v/>
      </c>
      <c r="D110" s="14" t="n"/>
      <c r="E110" s="23" t="n"/>
      <c r="F110" s="24" t="n"/>
      <c r="G110" s="14" t="n"/>
      <c r="H110" s="14" t="n"/>
      <c r="I110" s="23" t="n"/>
      <c r="J110" s="24" t="n"/>
      <c r="K110" s="23" t="n"/>
      <c r="L110" s="25">
        <f>IF(OR(E110="",N(U110)=0),"",U110-SUMIFS(Q$18:Q110,E$18:E110,E110))</f>
        <v/>
      </c>
      <c r="M110" s="26">
        <f>IF(OR(N(J110)=0,K110="Cancelled"),"",IF(AND(N(J110)&gt;5000,P110&lt;&gt;"G"),"Yes: ₹1","No"))</f>
        <v/>
      </c>
      <c r="N110" s="27">
        <f>IF(AND(B110="",D110="",N(J110)=0),"",IF(B110="","Enter the date",IF(AND(ROW()&gt;18,B109=""),"Use the next empty row: a skipped row leaves a gap in the receipt numbers",IF(D110="","Enter who paid",IF(N(J110)=0,"Enter the amount",IF(G110="","Pick what the money was for",IF(P110="?","Pick what it was for from the list",IF(H110="","Pick how it was paid",IF(K110="Cancelled","Cancelled: keep this number unused and give a fresh receipt",IF(AND(H110&lt;&gt;"Cash",I110=""),"Enter the cheque no., UTR or UPI reference",IF(AND(L110&lt;&gt;"",N(L110)&lt;0),"More than the balance due on this invoice",IF(S110&gt;=200000,"₹2,00,000 or more in cash from this person today: barred, s.186",IF(T110&gt;=200000,"₹2,00,000 or more in cash against this invoice: barred, s.186",IF(AND(P110="T",H110="Cash",N(J110)&gt;=20000),"Loan of ₹20,000 or more in cash: barred, s.185",IF(AND(P110="D",H110="Cash",N(J110)&gt;=20000),"Cash deposit of ₹20,000 or more: ask your accountant whether s.185 applies",IF(AND(OR(P110="AG",P110="AS"),$E$9&lt;&gt;""),"Advance: also give a GST receipt voucher, s.31(3)(d) and Rule 50","OK"))))))))))))))))</f>
        <v/>
      </c>
      <c r="P110">
        <f>IF(G110="","",IFERROR(VLOOKUP(G110,Lists!$A$2:$B$9,2,FALSE),"?"))</f>
        <v/>
      </c>
      <c r="Q110">
        <f>IF(K110="Cancelled",0,N(J110))</f>
        <v/>
      </c>
      <c r="R110">
        <f>IF(OR(H110&lt;&gt;"Cash",P110="T",P110="D"),0,Q110)</f>
        <v/>
      </c>
      <c r="S110">
        <f>IF(R110=0,0,SUMIFS($R$18:$R$317,$B$18:$B$317,B110,$D$18:$D$317,D110))</f>
        <v/>
      </c>
      <c r="T110">
        <f>IF(OR(R110=0,E110=""),0,SUMIFS($R$18:$R$317,$E$18:$E$317,E110))</f>
        <v/>
      </c>
      <c r="U110">
        <f>IF(E110="","",IF(N(F110)&gt;0,F110,IFERROR(INDEX($F$18:$F$317,MATCH(E110,$E$18:$E$317,0)),"")))</f>
        <v/>
      </c>
      <c r="V110">
        <f>IF(OR(N110="",N110="OK",K110="Cancelled"),0,1)</f>
        <v/>
      </c>
    </row>
    <row r="111">
      <c r="B111" s="21" t="n"/>
      <c r="C111" s="22">
        <f>IF(B111="","",$E$10&amp;TEXT(N($E$11)+93,"000"))</f>
        <v/>
      </c>
      <c r="D111" s="14" t="n"/>
      <c r="E111" s="23" t="n"/>
      <c r="F111" s="24" t="n"/>
      <c r="G111" s="14" t="n"/>
      <c r="H111" s="14" t="n"/>
      <c r="I111" s="23" t="n"/>
      <c r="J111" s="24" t="n"/>
      <c r="K111" s="23" t="n"/>
      <c r="L111" s="25">
        <f>IF(OR(E111="",N(U111)=0),"",U111-SUMIFS(Q$18:Q111,E$18:E111,E111))</f>
        <v/>
      </c>
      <c r="M111" s="26">
        <f>IF(OR(N(J111)=0,K111="Cancelled"),"",IF(AND(N(J111)&gt;5000,P111&lt;&gt;"G"),"Yes: ₹1","No"))</f>
        <v/>
      </c>
      <c r="N111" s="27">
        <f>IF(AND(B111="",D111="",N(J111)=0),"",IF(B111="","Enter the date",IF(AND(ROW()&gt;18,B110=""),"Use the next empty row: a skipped row leaves a gap in the receipt numbers",IF(D111="","Enter who paid",IF(N(J111)=0,"Enter the amount",IF(G111="","Pick what the money was for",IF(P111="?","Pick what it was for from the list",IF(H111="","Pick how it was paid",IF(K111="Cancelled","Cancelled: keep this number unused and give a fresh receipt",IF(AND(H111&lt;&gt;"Cash",I111=""),"Enter the cheque no., UTR or UPI reference",IF(AND(L111&lt;&gt;"",N(L111)&lt;0),"More than the balance due on this invoice",IF(S111&gt;=200000,"₹2,00,000 or more in cash from this person today: barred, s.186",IF(T111&gt;=200000,"₹2,00,000 or more in cash against this invoice: barred, s.186",IF(AND(P111="T",H111="Cash",N(J111)&gt;=20000),"Loan of ₹20,000 or more in cash: barred, s.185",IF(AND(P111="D",H111="Cash",N(J111)&gt;=20000),"Cash deposit of ₹20,000 or more: ask your accountant whether s.185 applies",IF(AND(OR(P111="AG",P111="AS"),$E$9&lt;&gt;""),"Advance: also give a GST receipt voucher, s.31(3)(d) and Rule 50","OK"))))))))))))))))</f>
        <v/>
      </c>
      <c r="P111">
        <f>IF(G111="","",IFERROR(VLOOKUP(G111,Lists!$A$2:$B$9,2,FALSE),"?"))</f>
        <v/>
      </c>
      <c r="Q111">
        <f>IF(K111="Cancelled",0,N(J111))</f>
        <v/>
      </c>
      <c r="R111">
        <f>IF(OR(H111&lt;&gt;"Cash",P111="T",P111="D"),0,Q111)</f>
        <v/>
      </c>
      <c r="S111">
        <f>IF(R111=0,0,SUMIFS($R$18:$R$317,$B$18:$B$317,B111,$D$18:$D$317,D111))</f>
        <v/>
      </c>
      <c r="T111">
        <f>IF(OR(R111=0,E111=""),0,SUMIFS($R$18:$R$317,$E$18:$E$317,E111))</f>
        <v/>
      </c>
      <c r="U111">
        <f>IF(E111="","",IF(N(F111)&gt;0,F111,IFERROR(INDEX($F$18:$F$317,MATCH(E111,$E$18:$E$317,0)),"")))</f>
        <v/>
      </c>
      <c r="V111">
        <f>IF(OR(N111="",N111="OK",K111="Cancelled"),0,1)</f>
        <v/>
      </c>
    </row>
    <row r="112">
      <c r="B112" s="21" t="n"/>
      <c r="C112" s="22">
        <f>IF(B112="","",$E$10&amp;TEXT(N($E$11)+94,"000"))</f>
        <v/>
      </c>
      <c r="D112" s="14" t="n"/>
      <c r="E112" s="23" t="n"/>
      <c r="F112" s="24" t="n"/>
      <c r="G112" s="14" t="n"/>
      <c r="H112" s="14" t="n"/>
      <c r="I112" s="23" t="n"/>
      <c r="J112" s="24" t="n"/>
      <c r="K112" s="23" t="n"/>
      <c r="L112" s="25">
        <f>IF(OR(E112="",N(U112)=0),"",U112-SUMIFS(Q$18:Q112,E$18:E112,E112))</f>
        <v/>
      </c>
      <c r="M112" s="26">
        <f>IF(OR(N(J112)=0,K112="Cancelled"),"",IF(AND(N(J112)&gt;5000,P112&lt;&gt;"G"),"Yes: ₹1","No"))</f>
        <v/>
      </c>
      <c r="N112" s="27">
        <f>IF(AND(B112="",D112="",N(J112)=0),"",IF(B112="","Enter the date",IF(AND(ROW()&gt;18,B111=""),"Use the next empty row: a skipped row leaves a gap in the receipt numbers",IF(D112="","Enter who paid",IF(N(J112)=0,"Enter the amount",IF(G112="","Pick what the money was for",IF(P112="?","Pick what it was for from the list",IF(H112="","Pick how it was paid",IF(K112="Cancelled","Cancelled: keep this number unused and give a fresh receipt",IF(AND(H112&lt;&gt;"Cash",I112=""),"Enter the cheque no., UTR or UPI reference",IF(AND(L112&lt;&gt;"",N(L112)&lt;0),"More than the balance due on this invoice",IF(S112&gt;=200000,"₹2,00,000 or more in cash from this person today: barred, s.186",IF(T112&gt;=200000,"₹2,00,000 or more in cash against this invoice: barred, s.186",IF(AND(P112="T",H112="Cash",N(J112)&gt;=20000),"Loan of ₹20,000 or more in cash: barred, s.185",IF(AND(P112="D",H112="Cash",N(J112)&gt;=20000),"Cash deposit of ₹20,000 or more: ask your accountant whether s.185 applies",IF(AND(OR(P112="AG",P112="AS"),$E$9&lt;&gt;""),"Advance: also give a GST receipt voucher, s.31(3)(d) and Rule 50","OK"))))))))))))))))</f>
        <v/>
      </c>
      <c r="P112">
        <f>IF(G112="","",IFERROR(VLOOKUP(G112,Lists!$A$2:$B$9,2,FALSE),"?"))</f>
        <v/>
      </c>
      <c r="Q112">
        <f>IF(K112="Cancelled",0,N(J112))</f>
        <v/>
      </c>
      <c r="R112">
        <f>IF(OR(H112&lt;&gt;"Cash",P112="T",P112="D"),0,Q112)</f>
        <v/>
      </c>
      <c r="S112">
        <f>IF(R112=0,0,SUMIFS($R$18:$R$317,$B$18:$B$317,B112,$D$18:$D$317,D112))</f>
        <v/>
      </c>
      <c r="T112">
        <f>IF(OR(R112=0,E112=""),0,SUMIFS($R$18:$R$317,$E$18:$E$317,E112))</f>
        <v/>
      </c>
      <c r="U112">
        <f>IF(E112="","",IF(N(F112)&gt;0,F112,IFERROR(INDEX($F$18:$F$317,MATCH(E112,$E$18:$E$317,0)),"")))</f>
        <v/>
      </c>
      <c r="V112">
        <f>IF(OR(N112="",N112="OK",K112="Cancelled"),0,1)</f>
        <v/>
      </c>
    </row>
    <row r="113">
      <c r="B113" s="21" t="n"/>
      <c r="C113" s="22">
        <f>IF(B113="","",$E$10&amp;TEXT(N($E$11)+95,"000"))</f>
        <v/>
      </c>
      <c r="D113" s="14" t="n"/>
      <c r="E113" s="23" t="n"/>
      <c r="F113" s="24" t="n"/>
      <c r="G113" s="14" t="n"/>
      <c r="H113" s="14" t="n"/>
      <c r="I113" s="23" t="n"/>
      <c r="J113" s="24" t="n"/>
      <c r="K113" s="23" t="n"/>
      <c r="L113" s="25">
        <f>IF(OR(E113="",N(U113)=0),"",U113-SUMIFS(Q$18:Q113,E$18:E113,E113))</f>
        <v/>
      </c>
      <c r="M113" s="26">
        <f>IF(OR(N(J113)=0,K113="Cancelled"),"",IF(AND(N(J113)&gt;5000,P113&lt;&gt;"G"),"Yes: ₹1","No"))</f>
        <v/>
      </c>
      <c r="N113" s="27">
        <f>IF(AND(B113="",D113="",N(J113)=0),"",IF(B113="","Enter the date",IF(AND(ROW()&gt;18,B112=""),"Use the next empty row: a skipped row leaves a gap in the receipt numbers",IF(D113="","Enter who paid",IF(N(J113)=0,"Enter the amount",IF(G113="","Pick what the money was for",IF(P113="?","Pick what it was for from the list",IF(H113="","Pick how it was paid",IF(K113="Cancelled","Cancelled: keep this number unused and give a fresh receipt",IF(AND(H113&lt;&gt;"Cash",I113=""),"Enter the cheque no., UTR or UPI reference",IF(AND(L113&lt;&gt;"",N(L113)&lt;0),"More than the balance due on this invoice",IF(S113&gt;=200000,"₹2,00,000 or more in cash from this person today: barred, s.186",IF(T113&gt;=200000,"₹2,00,000 or more in cash against this invoice: barred, s.186",IF(AND(P113="T",H113="Cash",N(J113)&gt;=20000),"Loan of ₹20,000 or more in cash: barred, s.185",IF(AND(P113="D",H113="Cash",N(J113)&gt;=20000),"Cash deposit of ₹20,000 or more: ask your accountant whether s.185 applies",IF(AND(OR(P113="AG",P113="AS"),$E$9&lt;&gt;""),"Advance: also give a GST receipt voucher, s.31(3)(d) and Rule 50","OK"))))))))))))))))</f>
        <v/>
      </c>
      <c r="P113">
        <f>IF(G113="","",IFERROR(VLOOKUP(G113,Lists!$A$2:$B$9,2,FALSE),"?"))</f>
        <v/>
      </c>
      <c r="Q113">
        <f>IF(K113="Cancelled",0,N(J113))</f>
        <v/>
      </c>
      <c r="R113">
        <f>IF(OR(H113&lt;&gt;"Cash",P113="T",P113="D"),0,Q113)</f>
        <v/>
      </c>
      <c r="S113">
        <f>IF(R113=0,0,SUMIFS($R$18:$R$317,$B$18:$B$317,B113,$D$18:$D$317,D113))</f>
        <v/>
      </c>
      <c r="T113">
        <f>IF(OR(R113=0,E113=""),0,SUMIFS($R$18:$R$317,$E$18:$E$317,E113))</f>
        <v/>
      </c>
      <c r="U113">
        <f>IF(E113="","",IF(N(F113)&gt;0,F113,IFERROR(INDEX($F$18:$F$317,MATCH(E113,$E$18:$E$317,0)),"")))</f>
        <v/>
      </c>
      <c r="V113">
        <f>IF(OR(N113="",N113="OK",K113="Cancelled"),0,1)</f>
        <v/>
      </c>
    </row>
    <row r="114">
      <c r="B114" s="21" t="n"/>
      <c r="C114" s="22">
        <f>IF(B114="","",$E$10&amp;TEXT(N($E$11)+96,"000"))</f>
        <v/>
      </c>
      <c r="D114" s="14" t="n"/>
      <c r="E114" s="23" t="n"/>
      <c r="F114" s="24" t="n"/>
      <c r="G114" s="14" t="n"/>
      <c r="H114" s="14" t="n"/>
      <c r="I114" s="23" t="n"/>
      <c r="J114" s="24" t="n"/>
      <c r="K114" s="23" t="n"/>
      <c r="L114" s="25">
        <f>IF(OR(E114="",N(U114)=0),"",U114-SUMIFS(Q$18:Q114,E$18:E114,E114))</f>
        <v/>
      </c>
      <c r="M114" s="26">
        <f>IF(OR(N(J114)=0,K114="Cancelled"),"",IF(AND(N(J114)&gt;5000,P114&lt;&gt;"G"),"Yes: ₹1","No"))</f>
        <v/>
      </c>
      <c r="N114" s="27">
        <f>IF(AND(B114="",D114="",N(J114)=0),"",IF(B114="","Enter the date",IF(AND(ROW()&gt;18,B113=""),"Use the next empty row: a skipped row leaves a gap in the receipt numbers",IF(D114="","Enter who paid",IF(N(J114)=0,"Enter the amount",IF(G114="","Pick what the money was for",IF(P114="?","Pick what it was for from the list",IF(H114="","Pick how it was paid",IF(K114="Cancelled","Cancelled: keep this number unused and give a fresh receipt",IF(AND(H114&lt;&gt;"Cash",I114=""),"Enter the cheque no., UTR or UPI reference",IF(AND(L114&lt;&gt;"",N(L114)&lt;0),"More than the balance due on this invoice",IF(S114&gt;=200000,"₹2,00,000 or more in cash from this person today: barred, s.186",IF(T114&gt;=200000,"₹2,00,000 or more in cash against this invoice: barred, s.186",IF(AND(P114="T",H114="Cash",N(J114)&gt;=20000),"Loan of ₹20,000 or more in cash: barred, s.185",IF(AND(P114="D",H114="Cash",N(J114)&gt;=20000),"Cash deposit of ₹20,000 or more: ask your accountant whether s.185 applies",IF(AND(OR(P114="AG",P114="AS"),$E$9&lt;&gt;""),"Advance: also give a GST receipt voucher, s.31(3)(d) and Rule 50","OK"))))))))))))))))</f>
        <v/>
      </c>
      <c r="P114">
        <f>IF(G114="","",IFERROR(VLOOKUP(G114,Lists!$A$2:$B$9,2,FALSE),"?"))</f>
        <v/>
      </c>
      <c r="Q114">
        <f>IF(K114="Cancelled",0,N(J114))</f>
        <v/>
      </c>
      <c r="R114">
        <f>IF(OR(H114&lt;&gt;"Cash",P114="T",P114="D"),0,Q114)</f>
        <v/>
      </c>
      <c r="S114">
        <f>IF(R114=0,0,SUMIFS($R$18:$R$317,$B$18:$B$317,B114,$D$18:$D$317,D114))</f>
        <v/>
      </c>
      <c r="T114">
        <f>IF(OR(R114=0,E114=""),0,SUMIFS($R$18:$R$317,$E$18:$E$317,E114))</f>
        <v/>
      </c>
      <c r="U114">
        <f>IF(E114="","",IF(N(F114)&gt;0,F114,IFERROR(INDEX($F$18:$F$317,MATCH(E114,$E$18:$E$317,0)),"")))</f>
        <v/>
      </c>
      <c r="V114">
        <f>IF(OR(N114="",N114="OK",K114="Cancelled"),0,1)</f>
        <v/>
      </c>
    </row>
    <row r="115">
      <c r="B115" s="21" t="n"/>
      <c r="C115" s="22">
        <f>IF(B115="","",$E$10&amp;TEXT(N($E$11)+97,"000"))</f>
        <v/>
      </c>
      <c r="D115" s="14" t="n"/>
      <c r="E115" s="23" t="n"/>
      <c r="F115" s="24" t="n"/>
      <c r="G115" s="14" t="n"/>
      <c r="H115" s="14" t="n"/>
      <c r="I115" s="23" t="n"/>
      <c r="J115" s="24" t="n"/>
      <c r="K115" s="23" t="n"/>
      <c r="L115" s="25">
        <f>IF(OR(E115="",N(U115)=0),"",U115-SUMIFS(Q$18:Q115,E$18:E115,E115))</f>
        <v/>
      </c>
      <c r="M115" s="26">
        <f>IF(OR(N(J115)=0,K115="Cancelled"),"",IF(AND(N(J115)&gt;5000,P115&lt;&gt;"G"),"Yes: ₹1","No"))</f>
        <v/>
      </c>
      <c r="N115" s="27">
        <f>IF(AND(B115="",D115="",N(J115)=0),"",IF(B115="","Enter the date",IF(AND(ROW()&gt;18,B114=""),"Use the next empty row: a skipped row leaves a gap in the receipt numbers",IF(D115="","Enter who paid",IF(N(J115)=0,"Enter the amount",IF(G115="","Pick what the money was for",IF(P115="?","Pick what it was for from the list",IF(H115="","Pick how it was paid",IF(K115="Cancelled","Cancelled: keep this number unused and give a fresh receipt",IF(AND(H115&lt;&gt;"Cash",I115=""),"Enter the cheque no., UTR or UPI reference",IF(AND(L115&lt;&gt;"",N(L115)&lt;0),"More than the balance due on this invoice",IF(S115&gt;=200000,"₹2,00,000 or more in cash from this person today: barred, s.186",IF(T115&gt;=200000,"₹2,00,000 or more in cash against this invoice: barred, s.186",IF(AND(P115="T",H115="Cash",N(J115)&gt;=20000),"Loan of ₹20,000 or more in cash: barred, s.185",IF(AND(P115="D",H115="Cash",N(J115)&gt;=20000),"Cash deposit of ₹20,000 or more: ask your accountant whether s.185 applies",IF(AND(OR(P115="AG",P115="AS"),$E$9&lt;&gt;""),"Advance: also give a GST receipt voucher, s.31(3)(d) and Rule 50","OK"))))))))))))))))</f>
        <v/>
      </c>
      <c r="P115">
        <f>IF(G115="","",IFERROR(VLOOKUP(G115,Lists!$A$2:$B$9,2,FALSE),"?"))</f>
        <v/>
      </c>
      <c r="Q115">
        <f>IF(K115="Cancelled",0,N(J115))</f>
        <v/>
      </c>
      <c r="R115">
        <f>IF(OR(H115&lt;&gt;"Cash",P115="T",P115="D"),0,Q115)</f>
        <v/>
      </c>
      <c r="S115">
        <f>IF(R115=0,0,SUMIFS($R$18:$R$317,$B$18:$B$317,B115,$D$18:$D$317,D115))</f>
        <v/>
      </c>
      <c r="T115">
        <f>IF(OR(R115=0,E115=""),0,SUMIFS($R$18:$R$317,$E$18:$E$317,E115))</f>
        <v/>
      </c>
      <c r="U115">
        <f>IF(E115="","",IF(N(F115)&gt;0,F115,IFERROR(INDEX($F$18:$F$317,MATCH(E115,$E$18:$E$317,0)),"")))</f>
        <v/>
      </c>
      <c r="V115">
        <f>IF(OR(N115="",N115="OK",K115="Cancelled"),0,1)</f>
        <v/>
      </c>
    </row>
    <row r="116">
      <c r="B116" s="21" t="n"/>
      <c r="C116" s="22">
        <f>IF(B116="","",$E$10&amp;TEXT(N($E$11)+98,"000"))</f>
        <v/>
      </c>
      <c r="D116" s="14" t="n"/>
      <c r="E116" s="23" t="n"/>
      <c r="F116" s="24" t="n"/>
      <c r="G116" s="14" t="n"/>
      <c r="H116" s="14" t="n"/>
      <c r="I116" s="23" t="n"/>
      <c r="J116" s="24" t="n"/>
      <c r="K116" s="23" t="n"/>
      <c r="L116" s="25">
        <f>IF(OR(E116="",N(U116)=0),"",U116-SUMIFS(Q$18:Q116,E$18:E116,E116))</f>
        <v/>
      </c>
      <c r="M116" s="26">
        <f>IF(OR(N(J116)=0,K116="Cancelled"),"",IF(AND(N(J116)&gt;5000,P116&lt;&gt;"G"),"Yes: ₹1","No"))</f>
        <v/>
      </c>
      <c r="N116" s="27">
        <f>IF(AND(B116="",D116="",N(J116)=0),"",IF(B116="","Enter the date",IF(AND(ROW()&gt;18,B115=""),"Use the next empty row: a skipped row leaves a gap in the receipt numbers",IF(D116="","Enter who paid",IF(N(J116)=0,"Enter the amount",IF(G116="","Pick what the money was for",IF(P116="?","Pick what it was for from the list",IF(H116="","Pick how it was paid",IF(K116="Cancelled","Cancelled: keep this number unused and give a fresh receipt",IF(AND(H116&lt;&gt;"Cash",I116=""),"Enter the cheque no., UTR or UPI reference",IF(AND(L116&lt;&gt;"",N(L116)&lt;0),"More than the balance due on this invoice",IF(S116&gt;=200000,"₹2,00,000 or more in cash from this person today: barred, s.186",IF(T116&gt;=200000,"₹2,00,000 or more in cash against this invoice: barred, s.186",IF(AND(P116="T",H116="Cash",N(J116)&gt;=20000),"Loan of ₹20,000 or more in cash: barred, s.185",IF(AND(P116="D",H116="Cash",N(J116)&gt;=20000),"Cash deposit of ₹20,000 or more: ask your accountant whether s.185 applies",IF(AND(OR(P116="AG",P116="AS"),$E$9&lt;&gt;""),"Advance: also give a GST receipt voucher, s.31(3)(d) and Rule 50","OK"))))))))))))))))</f>
        <v/>
      </c>
      <c r="P116">
        <f>IF(G116="","",IFERROR(VLOOKUP(G116,Lists!$A$2:$B$9,2,FALSE),"?"))</f>
        <v/>
      </c>
      <c r="Q116">
        <f>IF(K116="Cancelled",0,N(J116))</f>
        <v/>
      </c>
      <c r="R116">
        <f>IF(OR(H116&lt;&gt;"Cash",P116="T",P116="D"),0,Q116)</f>
        <v/>
      </c>
      <c r="S116">
        <f>IF(R116=0,0,SUMIFS($R$18:$R$317,$B$18:$B$317,B116,$D$18:$D$317,D116))</f>
        <v/>
      </c>
      <c r="T116">
        <f>IF(OR(R116=0,E116=""),0,SUMIFS($R$18:$R$317,$E$18:$E$317,E116))</f>
        <v/>
      </c>
      <c r="U116">
        <f>IF(E116="","",IF(N(F116)&gt;0,F116,IFERROR(INDEX($F$18:$F$317,MATCH(E116,$E$18:$E$317,0)),"")))</f>
        <v/>
      </c>
      <c r="V116">
        <f>IF(OR(N116="",N116="OK",K116="Cancelled"),0,1)</f>
        <v/>
      </c>
    </row>
    <row r="117">
      <c r="B117" s="21" t="n"/>
      <c r="C117" s="22">
        <f>IF(B117="","",$E$10&amp;TEXT(N($E$11)+99,"000"))</f>
        <v/>
      </c>
      <c r="D117" s="14" t="n"/>
      <c r="E117" s="23" t="n"/>
      <c r="F117" s="24" t="n"/>
      <c r="G117" s="14" t="n"/>
      <c r="H117" s="14" t="n"/>
      <c r="I117" s="23" t="n"/>
      <c r="J117" s="24" t="n"/>
      <c r="K117" s="23" t="n"/>
      <c r="L117" s="25">
        <f>IF(OR(E117="",N(U117)=0),"",U117-SUMIFS(Q$18:Q117,E$18:E117,E117))</f>
        <v/>
      </c>
      <c r="M117" s="26">
        <f>IF(OR(N(J117)=0,K117="Cancelled"),"",IF(AND(N(J117)&gt;5000,P117&lt;&gt;"G"),"Yes: ₹1","No"))</f>
        <v/>
      </c>
      <c r="N117" s="27">
        <f>IF(AND(B117="",D117="",N(J117)=0),"",IF(B117="","Enter the date",IF(AND(ROW()&gt;18,B116=""),"Use the next empty row: a skipped row leaves a gap in the receipt numbers",IF(D117="","Enter who paid",IF(N(J117)=0,"Enter the amount",IF(G117="","Pick what the money was for",IF(P117="?","Pick what it was for from the list",IF(H117="","Pick how it was paid",IF(K117="Cancelled","Cancelled: keep this number unused and give a fresh receipt",IF(AND(H117&lt;&gt;"Cash",I117=""),"Enter the cheque no., UTR or UPI reference",IF(AND(L117&lt;&gt;"",N(L117)&lt;0),"More than the balance due on this invoice",IF(S117&gt;=200000,"₹2,00,000 or more in cash from this person today: barred, s.186",IF(T117&gt;=200000,"₹2,00,000 or more in cash against this invoice: barred, s.186",IF(AND(P117="T",H117="Cash",N(J117)&gt;=20000),"Loan of ₹20,000 or more in cash: barred, s.185",IF(AND(P117="D",H117="Cash",N(J117)&gt;=20000),"Cash deposit of ₹20,000 or more: ask your accountant whether s.185 applies",IF(AND(OR(P117="AG",P117="AS"),$E$9&lt;&gt;""),"Advance: also give a GST receipt voucher, s.31(3)(d) and Rule 50","OK"))))))))))))))))</f>
        <v/>
      </c>
      <c r="P117">
        <f>IF(G117="","",IFERROR(VLOOKUP(G117,Lists!$A$2:$B$9,2,FALSE),"?"))</f>
        <v/>
      </c>
      <c r="Q117">
        <f>IF(K117="Cancelled",0,N(J117))</f>
        <v/>
      </c>
      <c r="R117">
        <f>IF(OR(H117&lt;&gt;"Cash",P117="T",P117="D"),0,Q117)</f>
        <v/>
      </c>
      <c r="S117">
        <f>IF(R117=0,0,SUMIFS($R$18:$R$317,$B$18:$B$317,B117,$D$18:$D$317,D117))</f>
        <v/>
      </c>
      <c r="T117">
        <f>IF(OR(R117=0,E117=""),0,SUMIFS($R$18:$R$317,$E$18:$E$317,E117))</f>
        <v/>
      </c>
      <c r="U117">
        <f>IF(E117="","",IF(N(F117)&gt;0,F117,IFERROR(INDEX($F$18:$F$317,MATCH(E117,$E$18:$E$317,0)),"")))</f>
        <v/>
      </c>
      <c r="V117">
        <f>IF(OR(N117="",N117="OK",K117="Cancelled"),0,1)</f>
        <v/>
      </c>
    </row>
    <row r="118">
      <c r="B118" s="21" t="n"/>
      <c r="C118" s="22">
        <f>IF(B118="","",$E$10&amp;TEXT(N($E$11)+100,"000"))</f>
        <v/>
      </c>
      <c r="D118" s="14" t="n"/>
      <c r="E118" s="23" t="n"/>
      <c r="F118" s="24" t="n"/>
      <c r="G118" s="14" t="n"/>
      <c r="H118" s="14" t="n"/>
      <c r="I118" s="23" t="n"/>
      <c r="J118" s="24" t="n"/>
      <c r="K118" s="23" t="n"/>
      <c r="L118" s="25">
        <f>IF(OR(E118="",N(U118)=0),"",U118-SUMIFS(Q$18:Q118,E$18:E118,E118))</f>
        <v/>
      </c>
      <c r="M118" s="26">
        <f>IF(OR(N(J118)=0,K118="Cancelled"),"",IF(AND(N(J118)&gt;5000,P118&lt;&gt;"G"),"Yes: ₹1","No"))</f>
        <v/>
      </c>
      <c r="N118" s="27">
        <f>IF(AND(B118="",D118="",N(J118)=0),"",IF(B118="","Enter the date",IF(AND(ROW()&gt;18,B117=""),"Use the next empty row: a skipped row leaves a gap in the receipt numbers",IF(D118="","Enter who paid",IF(N(J118)=0,"Enter the amount",IF(G118="","Pick what the money was for",IF(P118="?","Pick what it was for from the list",IF(H118="","Pick how it was paid",IF(K118="Cancelled","Cancelled: keep this number unused and give a fresh receipt",IF(AND(H118&lt;&gt;"Cash",I118=""),"Enter the cheque no., UTR or UPI reference",IF(AND(L118&lt;&gt;"",N(L118)&lt;0),"More than the balance due on this invoice",IF(S118&gt;=200000,"₹2,00,000 or more in cash from this person today: barred, s.186",IF(T118&gt;=200000,"₹2,00,000 or more in cash against this invoice: barred, s.186",IF(AND(P118="T",H118="Cash",N(J118)&gt;=20000),"Loan of ₹20,000 or more in cash: barred, s.185",IF(AND(P118="D",H118="Cash",N(J118)&gt;=20000),"Cash deposit of ₹20,000 or more: ask your accountant whether s.185 applies",IF(AND(OR(P118="AG",P118="AS"),$E$9&lt;&gt;""),"Advance: also give a GST receipt voucher, s.31(3)(d) and Rule 50","OK"))))))))))))))))</f>
        <v/>
      </c>
      <c r="P118">
        <f>IF(G118="","",IFERROR(VLOOKUP(G118,Lists!$A$2:$B$9,2,FALSE),"?"))</f>
        <v/>
      </c>
      <c r="Q118">
        <f>IF(K118="Cancelled",0,N(J118))</f>
        <v/>
      </c>
      <c r="R118">
        <f>IF(OR(H118&lt;&gt;"Cash",P118="T",P118="D"),0,Q118)</f>
        <v/>
      </c>
      <c r="S118">
        <f>IF(R118=0,0,SUMIFS($R$18:$R$317,$B$18:$B$317,B118,$D$18:$D$317,D118))</f>
        <v/>
      </c>
      <c r="T118">
        <f>IF(OR(R118=0,E118=""),0,SUMIFS($R$18:$R$317,$E$18:$E$317,E118))</f>
        <v/>
      </c>
      <c r="U118">
        <f>IF(E118="","",IF(N(F118)&gt;0,F118,IFERROR(INDEX($F$18:$F$317,MATCH(E118,$E$18:$E$317,0)),"")))</f>
        <v/>
      </c>
      <c r="V118">
        <f>IF(OR(N118="",N118="OK",K118="Cancelled"),0,1)</f>
        <v/>
      </c>
    </row>
    <row r="119">
      <c r="B119" s="21" t="n"/>
      <c r="C119" s="22">
        <f>IF(B119="","",$E$10&amp;TEXT(N($E$11)+101,"000"))</f>
        <v/>
      </c>
      <c r="D119" s="14" t="n"/>
      <c r="E119" s="23" t="n"/>
      <c r="F119" s="24" t="n"/>
      <c r="G119" s="14" t="n"/>
      <c r="H119" s="14" t="n"/>
      <c r="I119" s="23" t="n"/>
      <c r="J119" s="24" t="n"/>
      <c r="K119" s="23" t="n"/>
      <c r="L119" s="25">
        <f>IF(OR(E119="",N(U119)=0),"",U119-SUMIFS(Q$18:Q119,E$18:E119,E119))</f>
        <v/>
      </c>
      <c r="M119" s="26">
        <f>IF(OR(N(J119)=0,K119="Cancelled"),"",IF(AND(N(J119)&gt;5000,P119&lt;&gt;"G"),"Yes: ₹1","No"))</f>
        <v/>
      </c>
      <c r="N119" s="27">
        <f>IF(AND(B119="",D119="",N(J119)=0),"",IF(B119="","Enter the date",IF(AND(ROW()&gt;18,B118=""),"Use the next empty row: a skipped row leaves a gap in the receipt numbers",IF(D119="","Enter who paid",IF(N(J119)=0,"Enter the amount",IF(G119="","Pick what the money was for",IF(P119="?","Pick what it was for from the list",IF(H119="","Pick how it was paid",IF(K119="Cancelled","Cancelled: keep this number unused and give a fresh receipt",IF(AND(H119&lt;&gt;"Cash",I119=""),"Enter the cheque no., UTR or UPI reference",IF(AND(L119&lt;&gt;"",N(L119)&lt;0),"More than the balance due on this invoice",IF(S119&gt;=200000,"₹2,00,000 or more in cash from this person today: barred, s.186",IF(T119&gt;=200000,"₹2,00,000 or more in cash against this invoice: barred, s.186",IF(AND(P119="T",H119="Cash",N(J119)&gt;=20000),"Loan of ₹20,000 or more in cash: barred, s.185",IF(AND(P119="D",H119="Cash",N(J119)&gt;=20000),"Cash deposit of ₹20,000 or more: ask your accountant whether s.185 applies",IF(AND(OR(P119="AG",P119="AS"),$E$9&lt;&gt;""),"Advance: also give a GST receipt voucher, s.31(3)(d) and Rule 50","OK"))))))))))))))))</f>
        <v/>
      </c>
      <c r="P119">
        <f>IF(G119="","",IFERROR(VLOOKUP(G119,Lists!$A$2:$B$9,2,FALSE),"?"))</f>
        <v/>
      </c>
      <c r="Q119">
        <f>IF(K119="Cancelled",0,N(J119))</f>
        <v/>
      </c>
      <c r="R119">
        <f>IF(OR(H119&lt;&gt;"Cash",P119="T",P119="D"),0,Q119)</f>
        <v/>
      </c>
      <c r="S119">
        <f>IF(R119=0,0,SUMIFS($R$18:$R$317,$B$18:$B$317,B119,$D$18:$D$317,D119))</f>
        <v/>
      </c>
      <c r="T119">
        <f>IF(OR(R119=0,E119=""),0,SUMIFS($R$18:$R$317,$E$18:$E$317,E119))</f>
        <v/>
      </c>
      <c r="U119">
        <f>IF(E119="","",IF(N(F119)&gt;0,F119,IFERROR(INDEX($F$18:$F$317,MATCH(E119,$E$18:$E$317,0)),"")))</f>
        <v/>
      </c>
      <c r="V119">
        <f>IF(OR(N119="",N119="OK",K119="Cancelled"),0,1)</f>
        <v/>
      </c>
    </row>
    <row r="120">
      <c r="B120" s="21" t="n"/>
      <c r="C120" s="22">
        <f>IF(B120="","",$E$10&amp;TEXT(N($E$11)+102,"000"))</f>
        <v/>
      </c>
      <c r="D120" s="14" t="n"/>
      <c r="E120" s="23" t="n"/>
      <c r="F120" s="24" t="n"/>
      <c r="G120" s="14" t="n"/>
      <c r="H120" s="14" t="n"/>
      <c r="I120" s="23" t="n"/>
      <c r="J120" s="24" t="n"/>
      <c r="K120" s="23" t="n"/>
      <c r="L120" s="25">
        <f>IF(OR(E120="",N(U120)=0),"",U120-SUMIFS(Q$18:Q120,E$18:E120,E120))</f>
        <v/>
      </c>
      <c r="M120" s="26">
        <f>IF(OR(N(J120)=0,K120="Cancelled"),"",IF(AND(N(J120)&gt;5000,P120&lt;&gt;"G"),"Yes: ₹1","No"))</f>
        <v/>
      </c>
      <c r="N120" s="27">
        <f>IF(AND(B120="",D120="",N(J120)=0),"",IF(B120="","Enter the date",IF(AND(ROW()&gt;18,B119=""),"Use the next empty row: a skipped row leaves a gap in the receipt numbers",IF(D120="","Enter who paid",IF(N(J120)=0,"Enter the amount",IF(G120="","Pick what the money was for",IF(P120="?","Pick what it was for from the list",IF(H120="","Pick how it was paid",IF(K120="Cancelled","Cancelled: keep this number unused and give a fresh receipt",IF(AND(H120&lt;&gt;"Cash",I120=""),"Enter the cheque no., UTR or UPI reference",IF(AND(L120&lt;&gt;"",N(L120)&lt;0),"More than the balance due on this invoice",IF(S120&gt;=200000,"₹2,00,000 or more in cash from this person today: barred, s.186",IF(T120&gt;=200000,"₹2,00,000 or more in cash against this invoice: barred, s.186",IF(AND(P120="T",H120="Cash",N(J120)&gt;=20000),"Loan of ₹20,000 or more in cash: barred, s.185",IF(AND(P120="D",H120="Cash",N(J120)&gt;=20000),"Cash deposit of ₹20,000 or more: ask your accountant whether s.185 applies",IF(AND(OR(P120="AG",P120="AS"),$E$9&lt;&gt;""),"Advance: also give a GST receipt voucher, s.31(3)(d) and Rule 50","OK"))))))))))))))))</f>
        <v/>
      </c>
      <c r="P120">
        <f>IF(G120="","",IFERROR(VLOOKUP(G120,Lists!$A$2:$B$9,2,FALSE),"?"))</f>
        <v/>
      </c>
      <c r="Q120">
        <f>IF(K120="Cancelled",0,N(J120))</f>
        <v/>
      </c>
      <c r="R120">
        <f>IF(OR(H120&lt;&gt;"Cash",P120="T",P120="D"),0,Q120)</f>
        <v/>
      </c>
      <c r="S120">
        <f>IF(R120=0,0,SUMIFS($R$18:$R$317,$B$18:$B$317,B120,$D$18:$D$317,D120))</f>
        <v/>
      </c>
      <c r="T120">
        <f>IF(OR(R120=0,E120=""),0,SUMIFS($R$18:$R$317,$E$18:$E$317,E120))</f>
        <v/>
      </c>
      <c r="U120">
        <f>IF(E120="","",IF(N(F120)&gt;0,F120,IFERROR(INDEX($F$18:$F$317,MATCH(E120,$E$18:$E$317,0)),"")))</f>
        <v/>
      </c>
      <c r="V120">
        <f>IF(OR(N120="",N120="OK",K120="Cancelled"),0,1)</f>
        <v/>
      </c>
    </row>
    <row r="121">
      <c r="B121" s="21" t="n"/>
      <c r="C121" s="22">
        <f>IF(B121="","",$E$10&amp;TEXT(N($E$11)+103,"000"))</f>
        <v/>
      </c>
      <c r="D121" s="14" t="n"/>
      <c r="E121" s="23" t="n"/>
      <c r="F121" s="24" t="n"/>
      <c r="G121" s="14" t="n"/>
      <c r="H121" s="14" t="n"/>
      <c r="I121" s="23" t="n"/>
      <c r="J121" s="24" t="n"/>
      <c r="K121" s="23" t="n"/>
      <c r="L121" s="25">
        <f>IF(OR(E121="",N(U121)=0),"",U121-SUMIFS(Q$18:Q121,E$18:E121,E121))</f>
        <v/>
      </c>
      <c r="M121" s="26">
        <f>IF(OR(N(J121)=0,K121="Cancelled"),"",IF(AND(N(J121)&gt;5000,P121&lt;&gt;"G"),"Yes: ₹1","No"))</f>
        <v/>
      </c>
      <c r="N121" s="27">
        <f>IF(AND(B121="",D121="",N(J121)=0),"",IF(B121="","Enter the date",IF(AND(ROW()&gt;18,B120=""),"Use the next empty row: a skipped row leaves a gap in the receipt numbers",IF(D121="","Enter who paid",IF(N(J121)=0,"Enter the amount",IF(G121="","Pick what the money was for",IF(P121="?","Pick what it was for from the list",IF(H121="","Pick how it was paid",IF(K121="Cancelled","Cancelled: keep this number unused and give a fresh receipt",IF(AND(H121&lt;&gt;"Cash",I121=""),"Enter the cheque no., UTR or UPI reference",IF(AND(L121&lt;&gt;"",N(L121)&lt;0),"More than the balance due on this invoice",IF(S121&gt;=200000,"₹2,00,000 or more in cash from this person today: barred, s.186",IF(T121&gt;=200000,"₹2,00,000 or more in cash against this invoice: barred, s.186",IF(AND(P121="T",H121="Cash",N(J121)&gt;=20000),"Loan of ₹20,000 or more in cash: barred, s.185",IF(AND(P121="D",H121="Cash",N(J121)&gt;=20000),"Cash deposit of ₹20,000 or more: ask your accountant whether s.185 applies",IF(AND(OR(P121="AG",P121="AS"),$E$9&lt;&gt;""),"Advance: also give a GST receipt voucher, s.31(3)(d) and Rule 50","OK"))))))))))))))))</f>
        <v/>
      </c>
      <c r="P121">
        <f>IF(G121="","",IFERROR(VLOOKUP(G121,Lists!$A$2:$B$9,2,FALSE),"?"))</f>
        <v/>
      </c>
      <c r="Q121">
        <f>IF(K121="Cancelled",0,N(J121))</f>
        <v/>
      </c>
      <c r="R121">
        <f>IF(OR(H121&lt;&gt;"Cash",P121="T",P121="D"),0,Q121)</f>
        <v/>
      </c>
      <c r="S121">
        <f>IF(R121=0,0,SUMIFS($R$18:$R$317,$B$18:$B$317,B121,$D$18:$D$317,D121))</f>
        <v/>
      </c>
      <c r="T121">
        <f>IF(OR(R121=0,E121=""),0,SUMIFS($R$18:$R$317,$E$18:$E$317,E121))</f>
        <v/>
      </c>
      <c r="U121">
        <f>IF(E121="","",IF(N(F121)&gt;0,F121,IFERROR(INDEX($F$18:$F$317,MATCH(E121,$E$18:$E$317,0)),"")))</f>
        <v/>
      </c>
      <c r="V121">
        <f>IF(OR(N121="",N121="OK",K121="Cancelled"),0,1)</f>
        <v/>
      </c>
    </row>
    <row r="122">
      <c r="B122" s="21" t="n"/>
      <c r="C122" s="22">
        <f>IF(B122="","",$E$10&amp;TEXT(N($E$11)+104,"000"))</f>
        <v/>
      </c>
      <c r="D122" s="14" t="n"/>
      <c r="E122" s="23" t="n"/>
      <c r="F122" s="24" t="n"/>
      <c r="G122" s="14" t="n"/>
      <c r="H122" s="14" t="n"/>
      <c r="I122" s="23" t="n"/>
      <c r="J122" s="24" t="n"/>
      <c r="K122" s="23" t="n"/>
      <c r="L122" s="25">
        <f>IF(OR(E122="",N(U122)=0),"",U122-SUMIFS(Q$18:Q122,E$18:E122,E122))</f>
        <v/>
      </c>
      <c r="M122" s="26">
        <f>IF(OR(N(J122)=0,K122="Cancelled"),"",IF(AND(N(J122)&gt;5000,P122&lt;&gt;"G"),"Yes: ₹1","No"))</f>
        <v/>
      </c>
      <c r="N122" s="27">
        <f>IF(AND(B122="",D122="",N(J122)=0),"",IF(B122="","Enter the date",IF(AND(ROW()&gt;18,B121=""),"Use the next empty row: a skipped row leaves a gap in the receipt numbers",IF(D122="","Enter who paid",IF(N(J122)=0,"Enter the amount",IF(G122="","Pick what the money was for",IF(P122="?","Pick what it was for from the list",IF(H122="","Pick how it was paid",IF(K122="Cancelled","Cancelled: keep this number unused and give a fresh receipt",IF(AND(H122&lt;&gt;"Cash",I122=""),"Enter the cheque no., UTR or UPI reference",IF(AND(L122&lt;&gt;"",N(L122)&lt;0),"More than the balance due on this invoice",IF(S122&gt;=200000,"₹2,00,000 or more in cash from this person today: barred, s.186",IF(T122&gt;=200000,"₹2,00,000 or more in cash against this invoice: barred, s.186",IF(AND(P122="T",H122="Cash",N(J122)&gt;=20000),"Loan of ₹20,000 or more in cash: barred, s.185",IF(AND(P122="D",H122="Cash",N(J122)&gt;=20000),"Cash deposit of ₹20,000 or more: ask your accountant whether s.185 applies",IF(AND(OR(P122="AG",P122="AS"),$E$9&lt;&gt;""),"Advance: also give a GST receipt voucher, s.31(3)(d) and Rule 50","OK"))))))))))))))))</f>
        <v/>
      </c>
      <c r="P122">
        <f>IF(G122="","",IFERROR(VLOOKUP(G122,Lists!$A$2:$B$9,2,FALSE),"?"))</f>
        <v/>
      </c>
      <c r="Q122">
        <f>IF(K122="Cancelled",0,N(J122))</f>
        <v/>
      </c>
      <c r="R122">
        <f>IF(OR(H122&lt;&gt;"Cash",P122="T",P122="D"),0,Q122)</f>
        <v/>
      </c>
      <c r="S122">
        <f>IF(R122=0,0,SUMIFS($R$18:$R$317,$B$18:$B$317,B122,$D$18:$D$317,D122))</f>
        <v/>
      </c>
      <c r="T122">
        <f>IF(OR(R122=0,E122=""),0,SUMIFS($R$18:$R$317,$E$18:$E$317,E122))</f>
        <v/>
      </c>
      <c r="U122">
        <f>IF(E122="","",IF(N(F122)&gt;0,F122,IFERROR(INDEX($F$18:$F$317,MATCH(E122,$E$18:$E$317,0)),"")))</f>
        <v/>
      </c>
      <c r="V122">
        <f>IF(OR(N122="",N122="OK",K122="Cancelled"),0,1)</f>
        <v/>
      </c>
    </row>
    <row r="123">
      <c r="B123" s="21" t="n"/>
      <c r="C123" s="22">
        <f>IF(B123="","",$E$10&amp;TEXT(N($E$11)+105,"000"))</f>
        <v/>
      </c>
      <c r="D123" s="14" t="n"/>
      <c r="E123" s="23" t="n"/>
      <c r="F123" s="24" t="n"/>
      <c r="G123" s="14" t="n"/>
      <c r="H123" s="14" t="n"/>
      <c r="I123" s="23" t="n"/>
      <c r="J123" s="24" t="n"/>
      <c r="K123" s="23" t="n"/>
      <c r="L123" s="25">
        <f>IF(OR(E123="",N(U123)=0),"",U123-SUMIFS(Q$18:Q123,E$18:E123,E123))</f>
        <v/>
      </c>
      <c r="M123" s="26">
        <f>IF(OR(N(J123)=0,K123="Cancelled"),"",IF(AND(N(J123)&gt;5000,P123&lt;&gt;"G"),"Yes: ₹1","No"))</f>
        <v/>
      </c>
      <c r="N123" s="27">
        <f>IF(AND(B123="",D123="",N(J123)=0),"",IF(B123="","Enter the date",IF(AND(ROW()&gt;18,B122=""),"Use the next empty row: a skipped row leaves a gap in the receipt numbers",IF(D123="","Enter who paid",IF(N(J123)=0,"Enter the amount",IF(G123="","Pick what the money was for",IF(P123="?","Pick what it was for from the list",IF(H123="","Pick how it was paid",IF(K123="Cancelled","Cancelled: keep this number unused and give a fresh receipt",IF(AND(H123&lt;&gt;"Cash",I123=""),"Enter the cheque no., UTR or UPI reference",IF(AND(L123&lt;&gt;"",N(L123)&lt;0),"More than the balance due on this invoice",IF(S123&gt;=200000,"₹2,00,000 or more in cash from this person today: barred, s.186",IF(T123&gt;=200000,"₹2,00,000 or more in cash against this invoice: barred, s.186",IF(AND(P123="T",H123="Cash",N(J123)&gt;=20000),"Loan of ₹20,000 or more in cash: barred, s.185",IF(AND(P123="D",H123="Cash",N(J123)&gt;=20000),"Cash deposit of ₹20,000 or more: ask your accountant whether s.185 applies",IF(AND(OR(P123="AG",P123="AS"),$E$9&lt;&gt;""),"Advance: also give a GST receipt voucher, s.31(3)(d) and Rule 50","OK"))))))))))))))))</f>
        <v/>
      </c>
      <c r="P123">
        <f>IF(G123="","",IFERROR(VLOOKUP(G123,Lists!$A$2:$B$9,2,FALSE),"?"))</f>
        <v/>
      </c>
      <c r="Q123">
        <f>IF(K123="Cancelled",0,N(J123))</f>
        <v/>
      </c>
      <c r="R123">
        <f>IF(OR(H123&lt;&gt;"Cash",P123="T",P123="D"),0,Q123)</f>
        <v/>
      </c>
      <c r="S123">
        <f>IF(R123=0,0,SUMIFS($R$18:$R$317,$B$18:$B$317,B123,$D$18:$D$317,D123))</f>
        <v/>
      </c>
      <c r="T123">
        <f>IF(OR(R123=0,E123=""),0,SUMIFS($R$18:$R$317,$E$18:$E$317,E123))</f>
        <v/>
      </c>
      <c r="U123">
        <f>IF(E123="","",IF(N(F123)&gt;0,F123,IFERROR(INDEX($F$18:$F$317,MATCH(E123,$E$18:$E$317,0)),"")))</f>
        <v/>
      </c>
      <c r="V123">
        <f>IF(OR(N123="",N123="OK",K123="Cancelled"),0,1)</f>
        <v/>
      </c>
    </row>
    <row r="124">
      <c r="B124" s="21" t="n"/>
      <c r="C124" s="22">
        <f>IF(B124="","",$E$10&amp;TEXT(N($E$11)+106,"000"))</f>
        <v/>
      </c>
      <c r="D124" s="14" t="n"/>
      <c r="E124" s="23" t="n"/>
      <c r="F124" s="24" t="n"/>
      <c r="G124" s="14" t="n"/>
      <c r="H124" s="14" t="n"/>
      <c r="I124" s="23" t="n"/>
      <c r="J124" s="24" t="n"/>
      <c r="K124" s="23" t="n"/>
      <c r="L124" s="25">
        <f>IF(OR(E124="",N(U124)=0),"",U124-SUMIFS(Q$18:Q124,E$18:E124,E124))</f>
        <v/>
      </c>
      <c r="M124" s="26">
        <f>IF(OR(N(J124)=0,K124="Cancelled"),"",IF(AND(N(J124)&gt;5000,P124&lt;&gt;"G"),"Yes: ₹1","No"))</f>
        <v/>
      </c>
      <c r="N124" s="27">
        <f>IF(AND(B124="",D124="",N(J124)=0),"",IF(B124="","Enter the date",IF(AND(ROW()&gt;18,B123=""),"Use the next empty row: a skipped row leaves a gap in the receipt numbers",IF(D124="","Enter who paid",IF(N(J124)=0,"Enter the amount",IF(G124="","Pick what the money was for",IF(P124="?","Pick what it was for from the list",IF(H124="","Pick how it was paid",IF(K124="Cancelled","Cancelled: keep this number unused and give a fresh receipt",IF(AND(H124&lt;&gt;"Cash",I124=""),"Enter the cheque no., UTR or UPI reference",IF(AND(L124&lt;&gt;"",N(L124)&lt;0),"More than the balance due on this invoice",IF(S124&gt;=200000,"₹2,00,000 or more in cash from this person today: barred, s.186",IF(T124&gt;=200000,"₹2,00,000 or more in cash against this invoice: barred, s.186",IF(AND(P124="T",H124="Cash",N(J124)&gt;=20000),"Loan of ₹20,000 or more in cash: barred, s.185",IF(AND(P124="D",H124="Cash",N(J124)&gt;=20000),"Cash deposit of ₹20,000 or more: ask your accountant whether s.185 applies",IF(AND(OR(P124="AG",P124="AS"),$E$9&lt;&gt;""),"Advance: also give a GST receipt voucher, s.31(3)(d) and Rule 50","OK"))))))))))))))))</f>
        <v/>
      </c>
      <c r="P124">
        <f>IF(G124="","",IFERROR(VLOOKUP(G124,Lists!$A$2:$B$9,2,FALSE),"?"))</f>
        <v/>
      </c>
      <c r="Q124">
        <f>IF(K124="Cancelled",0,N(J124))</f>
        <v/>
      </c>
      <c r="R124">
        <f>IF(OR(H124&lt;&gt;"Cash",P124="T",P124="D"),0,Q124)</f>
        <v/>
      </c>
      <c r="S124">
        <f>IF(R124=0,0,SUMIFS($R$18:$R$317,$B$18:$B$317,B124,$D$18:$D$317,D124))</f>
        <v/>
      </c>
      <c r="T124">
        <f>IF(OR(R124=0,E124=""),0,SUMIFS($R$18:$R$317,$E$18:$E$317,E124))</f>
        <v/>
      </c>
      <c r="U124">
        <f>IF(E124="","",IF(N(F124)&gt;0,F124,IFERROR(INDEX($F$18:$F$317,MATCH(E124,$E$18:$E$317,0)),"")))</f>
        <v/>
      </c>
      <c r="V124">
        <f>IF(OR(N124="",N124="OK",K124="Cancelled"),0,1)</f>
        <v/>
      </c>
    </row>
    <row r="125">
      <c r="B125" s="21" t="n"/>
      <c r="C125" s="22">
        <f>IF(B125="","",$E$10&amp;TEXT(N($E$11)+107,"000"))</f>
        <v/>
      </c>
      <c r="D125" s="14" t="n"/>
      <c r="E125" s="23" t="n"/>
      <c r="F125" s="24" t="n"/>
      <c r="G125" s="14" t="n"/>
      <c r="H125" s="14" t="n"/>
      <c r="I125" s="23" t="n"/>
      <c r="J125" s="24" t="n"/>
      <c r="K125" s="23" t="n"/>
      <c r="L125" s="25">
        <f>IF(OR(E125="",N(U125)=0),"",U125-SUMIFS(Q$18:Q125,E$18:E125,E125))</f>
        <v/>
      </c>
      <c r="M125" s="26">
        <f>IF(OR(N(J125)=0,K125="Cancelled"),"",IF(AND(N(J125)&gt;5000,P125&lt;&gt;"G"),"Yes: ₹1","No"))</f>
        <v/>
      </c>
      <c r="N125" s="27">
        <f>IF(AND(B125="",D125="",N(J125)=0),"",IF(B125="","Enter the date",IF(AND(ROW()&gt;18,B124=""),"Use the next empty row: a skipped row leaves a gap in the receipt numbers",IF(D125="","Enter who paid",IF(N(J125)=0,"Enter the amount",IF(G125="","Pick what the money was for",IF(P125="?","Pick what it was for from the list",IF(H125="","Pick how it was paid",IF(K125="Cancelled","Cancelled: keep this number unused and give a fresh receipt",IF(AND(H125&lt;&gt;"Cash",I125=""),"Enter the cheque no., UTR or UPI reference",IF(AND(L125&lt;&gt;"",N(L125)&lt;0),"More than the balance due on this invoice",IF(S125&gt;=200000,"₹2,00,000 or more in cash from this person today: barred, s.186",IF(T125&gt;=200000,"₹2,00,000 or more in cash against this invoice: barred, s.186",IF(AND(P125="T",H125="Cash",N(J125)&gt;=20000),"Loan of ₹20,000 or more in cash: barred, s.185",IF(AND(P125="D",H125="Cash",N(J125)&gt;=20000),"Cash deposit of ₹20,000 or more: ask your accountant whether s.185 applies",IF(AND(OR(P125="AG",P125="AS"),$E$9&lt;&gt;""),"Advance: also give a GST receipt voucher, s.31(3)(d) and Rule 50","OK"))))))))))))))))</f>
        <v/>
      </c>
      <c r="P125">
        <f>IF(G125="","",IFERROR(VLOOKUP(G125,Lists!$A$2:$B$9,2,FALSE),"?"))</f>
        <v/>
      </c>
      <c r="Q125">
        <f>IF(K125="Cancelled",0,N(J125))</f>
        <v/>
      </c>
      <c r="R125">
        <f>IF(OR(H125&lt;&gt;"Cash",P125="T",P125="D"),0,Q125)</f>
        <v/>
      </c>
      <c r="S125">
        <f>IF(R125=0,0,SUMIFS($R$18:$R$317,$B$18:$B$317,B125,$D$18:$D$317,D125))</f>
        <v/>
      </c>
      <c r="T125">
        <f>IF(OR(R125=0,E125=""),0,SUMIFS($R$18:$R$317,$E$18:$E$317,E125))</f>
        <v/>
      </c>
      <c r="U125">
        <f>IF(E125="","",IF(N(F125)&gt;0,F125,IFERROR(INDEX($F$18:$F$317,MATCH(E125,$E$18:$E$317,0)),"")))</f>
        <v/>
      </c>
      <c r="V125">
        <f>IF(OR(N125="",N125="OK",K125="Cancelled"),0,1)</f>
        <v/>
      </c>
    </row>
    <row r="126">
      <c r="B126" s="21" t="n"/>
      <c r="C126" s="22">
        <f>IF(B126="","",$E$10&amp;TEXT(N($E$11)+108,"000"))</f>
        <v/>
      </c>
      <c r="D126" s="14" t="n"/>
      <c r="E126" s="23" t="n"/>
      <c r="F126" s="24" t="n"/>
      <c r="G126" s="14" t="n"/>
      <c r="H126" s="14" t="n"/>
      <c r="I126" s="23" t="n"/>
      <c r="J126" s="24" t="n"/>
      <c r="K126" s="23" t="n"/>
      <c r="L126" s="25">
        <f>IF(OR(E126="",N(U126)=0),"",U126-SUMIFS(Q$18:Q126,E$18:E126,E126))</f>
        <v/>
      </c>
      <c r="M126" s="26">
        <f>IF(OR(N(J126)=0,K126="Cancelled"),"",IF(AND(N(J126)&gt;5000,P126&lt;&gt;"G"),"Yes: ₹1","No"))</f>
        <v/>
      </c>
      <c r="N126" s="27">
        <f>IF(AND(B126="",D126="",N(J126)=0),"",IF(B126="","Enter the date",IF(AND(ROW()&gt;18,B125=""),"Use the next empty row: a skipped row leaves a gap in the receipt numbers",IF(D126="","Enter who paid",IF(N(J126)=0,"Enter the amount",IF(G126="","Pick what the money was for",IF(P126="?","Pick what it was for from the list",IF(H126="","Pick how it was paid",IF(K126="Cancelled","Cancelled: keep this number unused and give a fresh receipt",IF(AND(H126&lt;&gt;"Cash",I126=""),"Enter the cheque no., UTR or UPI reference",IF(AND(L126&lt;&gt;"",N(L126)&lt;0),"More than the balance due on this invoice",IF(S126&gt;=200000,"₹2,00,000 or more in cash from this person today: barred, s.186",IF(T126&gt;=200000,"₹2,00,000 or more in cash against this invoice: barred, s.186",IF(AND(P126="T",H126="Cash",N(J126)&gt;=20000),"Loan of ₹20,000 or more in cash: barred, s.185",IF(AND(P126="D",H126="Cash",N(J126)&gt;=20000),"Cash deposit of ₹20,000 or more: ask your accountant whether s.185 applies",IF(AND(OR(P126="AG",P126="AS"),$E$9&lt;&gt;""),"Advance: also give a GST receipt voucher, s.31(3)(d) and Rule 50","OK"))))))))))))))))</f>
        <v/>
      </c>
      <c r="P126">
        <f>IF(G126="","",IFERROR(VLOOKUP(G126,Lists!$A$2:$B$9,2,FALSE),"?"))</f>
        <v/>
      </c>
      <c r="Q126">
        <f>IF(K126="Cancelled",0,N(J126))</f>
        <v/>
      </c>
      <c r="R126">
        <f>IF(OR(H126&lt;&gt;"Cash",P126="T",P126="D"),0,Q126)</f>
        <v/>
      </c>
      <c r="S126">
        <f>IF(R126=0,0,SUMIFS($R$18:$R$317,$B$18:$B$317,B126,$D$18:$D$317,D126))</f>
        <v/>
      </c>
      <c r="T126">
        <f>IF(OR(R126=0,E126=""),0,SUMIFS($R$18:$R$317,$E$18:$E$317,E126))</f>
        <v/>
      </c>
      <c r="U126">
        <f>IF(E126="","",IF(N(F126)&gt;0,F126,IFERROR(INDEX($F$18:$F$317,MATCH(E126,$E$18:$E$317,0)),"")))</f>
        <v/>
      </c>
      <c r="V126">
        <f>IF(OR(N126="",N126="OK",K126="Cancelled"),0,1)</f>
        <v/>
      </c>
    </row>
    <row r="127">
      <c r="B127" s="21" t="n"/>
      <c r="C127" s="22">
        <f>IF(B127="","",$E$10&amp;TEXT(N($E$11)+109,"000"))</f>
        <v/>
      </c>
      <c r="D127" s="14" t="n"/>
      <c r="E127" s="23" t="n"/>
      <c r="F127" s="24" t="n"/>
      <c r="G127" s="14" t="n"/>
      <c r="H127" s="14" t="n"/>
      <c r="I127" s="23" t="n"/>
      <c r="J127" s="24" t="n"/>
      <c r="K127" s="23" t="n"/>
      <c r="L127" s="25">
        <f>IF(OR(E127="",N(U127)=0),"",U127-SUMIFS(Q$18:Q127,E$18:E127,E127))</f>
        <v/>
      </c>
      <c r="M127" s="26">
        <f>IF(OR(N(J127)=0,K127="Cancelled"),"",IF(AND(N(J127)&gt;5000,P127&lt;&gt;"G"),"Yes: ₹1","No"))</f>
        <v/>
      </c>
      <c r="N127" s="27">
        <f>IF(AND(B127="",D127="",N(J127)=0),"",IF(B127="","Enter the date",IF(AND(ROW()&gt;18,B126=""),"Use the next empty row: a skipped row leaves a gap in the receipt numbers",IF(D127="","Enter who paid",IF(N(J127)=0,"Enter the amount",IF(G127="","Pick what the money was for",IF(P127="?","Pick what it was for from the list",IF(H127="","Pick how it was paid",IF(K127="Cancelled","Cancelled: keep this number unused and give a fresh receipt",IF(AND(H127&lt;&gt;"Cash",I127=""),"Enter the cheque no., UTR or UPI reference",IF(AND(L127&lt;&gt;"",N(L127)&lt;0),"More than the balance due on this invoice",IF(S127&gt;=200000,"₹2,00,000 or more in cash from this person today: barred, s.186",IF(T127&gt;=200000,"₹2,00,000 or more in cash against this invoice: barred, s.186",IF(AND(P127="T",H127="Cash",N(J127)&gt;=20000),"Loan of ₹20,000 or more in cash: barred, s.185",IF(AND(P127="D",H127="Cash",N(J127)&gt;=20000),"Cash deposit of ₹20,000 or more: ask your accountant whether s.185 applies",IF(AND(OR(P127="AG",P127="AS"),$E$9&lt;&gt;""),"Advance: also give a GST receipt voucher, s.31(3)(d) and Rule 50","OK"))))))))))))))))</f>
        <v/>
      </c>
      <c r="P127">
        <f>IF(G127="","",IFERROR(VLOOKUP(G127,Lists!$A$2:$B$9,2,FALSE),"?"))</f>
        <v/>
      </c>
      <c r="Q127">
        <f>IF(K127="Cancelled",0,N(J127))</f>
        <v/>
      </c>
      <c r="R127">
        <f>IF(OR(H127&lt;&gt;"Cash",P127="T",P127="D"),0,Q127)</f>
        <v/>
      </c>
      <c r="S127">
        <f>IF(R127=0,0,SUMIFS($R$18:$R$317,$B$18:$B$317,B127,$D$18:$D$317,D127))</f>
        <v/>
      </c>
      <c r="T127">
        <f>IF(OR(R127=0,E127=""),0,SUMIFS($R$18:$R$317,$E$18:$E$317,E127))</f>
        <v/>
      </c>
      <c r="U127">
        <f>IF(E127="","",IF(N(F127)&gt;0,F127,IFERROR(INDEX($F$18:$F$317,MATCH(E127,$E$18:$E$317,0)),"")))</f>
        <v/>
      </c>
      <c r="V127">
        <f>IF(OR(N127="",N127="OK",K127="Cancelled"),0,1)</f>
        <v/>
      </c>
    </row>
    <row r="128">
      <c r="B128" s="21" t="n"/>
      <c r="C128" s="22">
        <f>IF(B128="","",$E$10&amp;TEXT(N($E$11)+110,"000"))</f>
        <v/>
      </c>
      <c r="D128" s="14" t="n"/>
      <c r="E128" s="23" t="n"/>
      <c r="F128" s="24" t="n"/>
      <c r="G128" s="14" t="n"/>
      <c r="H128" s="14" t="n"/>
      <c r="I128" s="23" t="n"/>
      <c r="J128" s="24" t="n"/>
      <c r="K128" s="23" t="n"/>
      <c r="L128" s="25">
        <f>IF(OR(E128="",N(U128)=0),"",U128-SUMIFS(Q$18:Q128,E$18:E128,E128))</f>
        <v/>
      </c>
      <c r="M128" s="26">
        <f>IF(OR(N(J128)=0,K128="Cancelled"),"",IF(AND(N(J128)&gt;5000,P128&lt;&gt;"G"),"Yes: ₹1","No"))</f>
        <v/>
      </c>
      <c r="N128" s="27">
        <f>IF(AND(B128="",D128="",N(J128)=0),"",IF(B128="","Enter the date",IF(AND(ROW()&gt;18,B127=""),"Use the next empty row: a skipped row leaves a gap in the receipt numbers",IF(D128="","Enter who paid",IF(N(J128)=0,"Enter the amount",IF(G128="","Pick what the money was for",IF(P128="?","Pick what it was for from the list",IF(H128="","Pick how it was paid",IF(K128="Cancelled","Cancelled: keep this number unused and give a fresh receipt",IF(AND(H128&lt;&gt;"Cash",I128=""),"Enter the cheque no., UTR or UPI reference",IF(AND(L128&lt;&gt;"",N(L128)&lt;0),"More than the balance due on this invoice",IF(S128&gt;=200000,"₹2,00,000 or more in cash from this person today: barred, s.186",IF(T128&gt;=200000,"₹2,00,000 or more in cash against this invoice: barred, s.186",IF(AND(P128="T",H128="Cash",N(J128)&gt;=20000),"Loan of ₹20,000 or more in cash: barred, s.185",IF(AND(P128="D",H128="Cash",N(J128)&gt;=20000),"Cash deposit of ₹20,000 or more: ask your accountant whether s.185 applies",IF(AND(OR(P128="AG",P128="AS"),$E$9&lt;&gt;""),"Advance: also give a GST receipt voucher, s.31(3)(d) and Rule 50","OK"))))))))))))))))</f>
        <v/>
      </c>
      <c r="P128">
        <f>IF(G128="","",IFERROR(VLOOKUP(G128,Lists!$A$2:$B$9,2,FALSE),"?"))</f>
        <v/>
      </c>
      <c r="Q128">
        <f>IF(K128="Cancelled",0,N(J128))</f>
        <v/>
      </c>
      <c r="R128">
        <f>IF(OR(H128&lt;&gt;"Cash",P128="T",P128="D"),0,Q128)</f>
        <v/>
      </c>
      <c r="S128">
        <f>IF(R128=0,0,SUMIFS($R$18:$R$317,$B$18:$B$317,B128,$D$18:$D$317,D128))</f>
        <v/>
      </c>
      <c r="T128">
        <f>IF(OR(R128=0,E128=""),0,SUMIFS($R$18:$R$317,$E$18:$E$317,E128))</f>
        <v/>
      </c>
      <c r="U128">
        <f>IF(E128="","",IF(N(F128)&gt;0,F128,IFERROR(INDEX($F$18:$F$317,MATCH(E128,$E$18:$E$317,0)),"")))</f>
        <v/>
      </c>
      <c r="V128">
        <f>IF(OR(N128="",N128="OK",K128="Cancelled"),0,1)</f>
        <v/>
      </c>
    </row>
    <row r="129">
      <c r="B129" s="21" t="n"/>
      <c r="C129" s="22">
        <f>IF(B129="","",$E$10&amp;TEXT(N($E$11)+111,"000"))</f>
        <v/>
      </c>
      <c r="D129" s="14" t="n"/>
      <c r="E129" s="23" t="n"/>
      <c r="F129" s="24" t="n"/>
      <c r="G129" s="14" t="n"/>
      <c r="H129" s="14" t="n"/>
      <c r="I129" s="23" t="n"/>
      <c r="J129" s="24" t="n"/>
      <c r="K129" s="23" t="n"/>
      <c r="L129" s="25">
        <f>IF(OR(E129="",N(U129)=0),"",U129-SUMIFS(Q$18:Q129,E$18:E129,E129))</f>
        <v/>
      </c>
      <c r="M129" s="26">
        <f>IF(OR(N(J129)=0,K129="Cancelled"),"",IF(AND(N(J129)&gt;5000,P129&lt;&gt;"G"),"Yes: ₹1","No"))</f>
        <v/>
      </c>
      <c r="N129" s="27">
        <f>IF(AND(B129="",D129="",N(J129)=0),"",IF(B129="","Enter the date",IF(AND(ROW()&gt;18,B128=""),"Use the next empty row: a skipped row leaves a gap in the receipt numbers",IF(D129="","Enter who paid",IF(N(J129)=0,"Enter the amount",IF(G129="","Pick what the money was for",IF(P129="?","Pick what it was for from the list",IF(H129="","Pick how it was paid",IF(K129="Cancelled","Cancelled: keep this number unused and give a fresh receipt",IF(AND(H129&lt;&gt;"Cash",I129=""),"Enter the cheque no., UTR or UPI reference",IF(AND(L129&lt;&gt;"",N(L129)&lt;0),"More than the balance due on this invoice",IF(S129&gt;=200000,"₹2,00,000 or more in cash from this person today: barred, s.186",IF(T129&gt;=200000,"₹2,00,000 or more in cash against this invoice: barred, s.186",IF(AND(P129="T",H129="Cash",N(J129)&gt;=20000),"Loan of ₹20,000 or more in cash: barred, s.185",IF(AND(P129="D",H129="Cash",N(J129)&gt;=20000),"Cash deposit of ₹20,000 or more: ask your accountant whether s.185 applies",IF(AND(OR(P129="AG",P129="AS"),$E$9&lt;&gt;""),"Advance: also give a GST receipt voucher, s.31(3)(d) and Rule 50","OK"))))))))))))))))</f>
        <v/>
      </c>
      <c r="P129">
        <f>IF(G129="","",IFERROR(VLOOKUP(G129,Lists!$A$2:$B$9,2,FALSE),"?"))</f>
        <v/>
      </c>
      <c r="Q129">
        <f>IF(K129="Cancelled",0,N(J129))</f>
        <v/>
      </c>
      <c r="R129">
        <f>IF(OR(H129&lt;&gt;"Cash",P129="T",P129="D"),0,Q129)</f>
        <v/>
      </c>
      <c r="S129">
        <f>IF(R129=0,0,SUMIFS($R$18:$R$317,$B$18:$B$317,B129,$D$18:$D$317,D129))</f>
        <v/>
      </c>
      <c r="T129">
        <f>IF(OR(R129=0,E129=""),0,SUMIFS($R$18:$R$317,$E$18:$E$317,E129))</f>
        <v/>
      </c>
      <c r="U129">
        <f>IF(E129="","",IF(N(F129)&gt;0,F129,IFERROR(INDEX($F$18:$F$317,MATCH(E129,$E$18:$E$317,0)),"")))</f>
        <v/>
      </c>
      <c r="V129">
        <f>IF(OR(N129="",N129="OK",K129="Cancelled"),0,1)</f>
        <v/>
      </c>
    </row>
    <row r="130">
      <c r="B130" s="21" t="n"/>
      <c r="C130" s="22">
        <f>IF(B130="","",$E$10&amp;TEXT(N($E$11)+112,"000"))</f>
        <v/>
      </c>
      <c r="D130" s="14" t="n"/>
      <c r="E130" s="23" t="n"/>
      <c r="F130" s="24" t="n"/>
      <c r="G130" s="14" t="n"/>
      <c r="H130" s="14" t="n"/>
      <c r="I130" s="23" t="n"/>
      <c r="J130" s="24" t="n"/>
      <c r="K130" s="23" t="n"/>
      <c r="L130" s="25">
        <f>IF(OR(E130="",N(U130)=0),"",U130-SUMIFS(Q$18:Q130,E$18:E130,E130))</f>
        <v/>
      </c>
      <c r="M130" s="26">
        <f>IF(OR(N(J130)=0,K130="Cancelled"),"",IF(AND(N(J130)&gt;5000,P130&lt;&gt;"G"),"Yes: ₹1","No"))</f>
        <v/>
      </c>
      <c r="N130" s="27">
        <f>IF(AND(B130="",D130="",N(J130)=0),"",IF(B130="","Enter the date",IF(AND(ROW()&gt;18,B129=""),"Use the next empty row: a skipped row leaves a gap in the receipt numbers",IF(D130="","Enter who paid",IF(N(J130)=0,"Enter the amount",IF(G130="","Pick what the money was for",IF(P130="?","Pick what it was for from the list",IF(H130="","Pick how it was paid",IF(K130="Cancelled","Cancelled: keep this number unused and give a fresh receipt",IF(AND(H130&lt;&gt;"Cash",I130=""),"Enter the cheque no., UTR or UPI reference",IF(AND(L130&lt;&gt;"",N(L130)&lt;0),"More than the balance due on this invoice",IF(S130&gt;=200000,"₹2,00,000 or more in cash from this person today: barred, s.186",IF(T130&gt;=200000,"₹2,00,000 or more in cash against this invoice: barred, s.186",IF(AND(P130="T",H130="Cash",N(J130)&gt;=20000),"Loan of ₹20,000 or more in cash: barred, s.185",IF(AND(P130="D",H130="Cash",N(J130)&gt;=20000),"Cash deposit of ₹20,000 or more: ask your accountant whether s.185 applies",IF(AND(OR(P130="AG",P130="AS"),$E$9&lt;&gt;""),"Advance: also give a GST receipt voucher, s.31(3)(d) and Rule 50","OK"))))))))))))))))</f>
        <v/>
      </c>
      <c r="P130">
        <f>IF(G130="","",IFERROR(VLOOKUP(G130,Lists!$A$2:$B$9,2,FALSE),"?"))</f>
        <v/>
      </c>
      <c r="Q130">
        <f>IF(K130="Cancelled",0,N(J130))</f>
        <v/>
      </c>
      <c r="R130">
        <f>IF(OR(H130&lt;&gt;"Cash",P130="T",P130="D"),0,Q130)</f>
        <v/>
      </c>
      <c r="S130">
        <f>IF(R130=0,0,SUMIFS($R$18:$R$317,$B$18:$B$317,B130,$D$18:$D$317,D130))</f>
        <v/>
      </c>
      <c r="T130">
        <f>IF(OR(R130=0,E130=""),0,SUMIFS($R$18:$R$317,$E$18:$E$317,E130))</f>
        <v/>
      </c>
      <c r="U130">
        <f>IF(E130="","",IF(N(F130)&gt;0,F130,IFERROR(INDEX($F$18:$F$317,MATCH(E130,$E$18:$E$317,0)),"")))</f>
        <v/>
      </c>
      <c r="V130">
        <f>IF(OR(N130="",N130="OK",K130="Cancelled"),0,1)</f>
        <v/>
      </c>
    </row>
    <row r="131">
      <c r="B131" s="21" t="n"/>
      <c r="C131" s="22">
        <f>IF(B131="","",$E$10&amp;TEXT(N($E$11)+113,"000"))</f>
        <v/>
      </c>
      <c r="D131" s="14" t="n"/>
      <c r="E131" s="23" t="n"/>
      <c r="F131" s="24" t="n"/>
      <c r="G131" s="14" t="n"/>
      <c r="H131" s="14" t="n"/>
      <c r="I131" s="23" t="n"/>
      <c r="J131" s="24" t="n"/>
      <c r="K131" s="23" t="n"/>
      <c r="L131" s="25">
        <f>IF(OR(E131="",N(U131)=0),"",U131-SUMIFS(Q$18:Q131,E$18:E131,E131))</f>
        <v/>
      </c>
      <c r="M131" s="26">
        <f>IF(OR(N(J131)=0,K131="Cancelled"),"",IF(AND(N(J131)&gt;5000,P131&lt;&gt;"G"),"Yes: ₹1","No"))</f>
        <v/>
      </c>
      <c r="N131" s="27">
        <f>IF(AND(B131="",D131="",N(J131)=0),"",IF(B131="","Enter the date",IF(AND(ROW()&gt;18,B130=""),"Use the next empty row: a skipped row leaves a gap in the receipt numbers",IF(D131="","Enter who paid",IF(N(J131)=0,"Enter the amount",IF(G131="","Pick what the money was for",IF(P131="?","Pick what it was for from the list",IF(H131="","Pick how it was paid",IF(K131="Cancelled","Cancelled: keep this number unused and give a fresh receipt",IF(AND(H131&lt;&gt;"Cash",I131=""),"Enter the cheque no., UTR or UPI reference",IF(AND(L131&lt;&gt;"",N(L131)&lt;0),"More than the balance due on this invoice",IF(S131&gt;=200000,"₹2,00,000 or more in cash from this person today: barred, s.186",IF(T131&gt;=200000,"₹2,00,000 or more in cash against this invoice: barred, s.186",IF(AND(P131="T",H131="Cash",N(J131)&gt;=20000),"Loan of ₹20,000 or more in cash: barred, s.185",IF(AND(P131="D",H131="Cash",N(J131)&gt;=20000),"Cash deposit of ₹20,000 or more: ask your accountant whether s.185 applies",IF(AND(OR(P131="AG",P131="AS"),$E$9&lt;&gt;""),"Advance: also give a GST receipt voucher, s.31(3)(d) and Rule 50","OK"))))))))))))))))</f>
        <v/>
      </c>
      <c r="P131">
        <f>IF(G131="","",IFERROR(VLOOKUP(G131,Lists!$A$2:$B$9,2,FALSE),"?"))</f>
        <v/>
      </c>
      <c r="Q131">
        <f>IF(K131="Cancelled",0,N(J131))</f>
        <v/>
      </c>
      <c r="R131">
        <f>IF(OR(H131&lt;&gt;"Cash",P131="T",P131="D"),0,Q131)</f>
        <v/>
      </c>
      <c r="S131">
        <f>IF(R131=0,0,SUMIFS($R$18:$R$317,$B$18:$B$317,B131,$D$18:$D$317,D131))</f>
        <v/>
      </c>
      <c r="T131">
        <f>IF(OR(R131=0,E131=""),0,SUMIFS($R$18:$R$317,$E$18:$E$317,E131))</f>
        <v/>
      </c>
      <c r="U131">
        <f>IF(E131="","",IF(N(F131)&gt;0,F131,IFERROR(INDEX($F$18:$F$317,MATCH(E131,$E$18:$E$317,0)),"")))</f>
        <v/>
      </c>
      <c r="V131">
        <f>IF(OR(N131="",N131="OK",K131="Cancelled"),0,1)</f>
        <v/>
      </c>
    </row>
    <row r="132">
      <c r="B132" s="21" t="n"/>
      <c r="C132" s="22">
        <f>IF(B132="","",$E$10&amp;TEXT(N($E$11)+114,"000"))</f>
        <v/>
      </c>
      <c r="D132" s="14" t="n"/>
      <c r="E132" s="23" t="n"/>
      <c r="F132" s="24" t="n"/>
      <c r="G132" s="14" t="n"/>
      <c r="H132" s="14" t="n"/>
      <c r="I132" s="23" t="n"/>
      <c r="J132" s="24" t="n"/>
      <c r="K132" s="23" t="n"/>
      <c r="L132" s="25">
        <f>IF(OR(E132="",N(U132)=0),"",U132-SUMIFS(Q$18:Q132,E$18:E132,E132))</f>
        <v/>
      </c>
      <c r="M132" s="26">
        <f>IF(OR(N(J132)=0,K132="Cancelled"),"",IF(AND(N(J132)&gt;5000,P132&lt;&gt;"G"),"Yes: ₹1","No"))</f>
        <v/>
      </c>
      <c r="N132" s="27">
        <f>IF(AND(B132="",D132="",N(J132)=0),"",IF(B132="","Enter the date",IF(AND(ROW()&gt;18,B131=""),"Use the next empty row: a skipped row leaves a gap in the receipt numbers",IF(D132="","Enter who paid",IF(N(J132)=0,"Enter the amount",IF(G132="","Pick what the money was for",IF(P132="?","Pick what it was for from the list",IF(H132="","Pick how it was paid",IF(K132="Cancelled","Cancelled: keep this number unused and give a fresh receipt",IF(AND(H132&lt;&gt;"Cash",I132=""),"Enter the cheque no., UTR or UPI reference",IF(AND(L132&lt;&gt;"",N(L132)&lt;0),"More than the balance due on this invoice",IF(S132&gt;=200000,"₹2,00,000 or more in cash from this person today: barred, s.186",IF(T132&gt;=200000,"₹2,00,000 or more in cash against this invoice: barred, s.186",IF(AND(P132="T",H132="Cash",N(J132)&gt;=20000),"Loan of ₹20,000 or more in cash: barred, s.185",IF(AND(P132="D",H132="Cash",N(J132)&gt;=20000),"Cash deposit of ₹20,000 or more: ask your accountant whether s.185 applies",IF(AND(OR(P132="AG",P132="AS"),$E$9&lt;&gt;""),"Advance: also give a GST receipt voucher, s.31(3)(d) and Rule 50","OK"))))))))))))))))</f>
        <v/>
      </c>
      <c r="P132">
        <f>IF(G132="","",IFERROR(VLOOKUP(G132,Lists!$A$2:$B$9,2,FALSE),"?"))</f>
        <v/>
      </c>
      <c r="Q132">
        <f>IF(K132="Cancelled",0,N(J132))</f>
        <v/>
      </c>
      <c r="R132">
        <f>IF(OR(H132&lt;&gt;"Cash",P132="T",P132="D"),0,Q132)</f>
        <v/>
      </c>
      <c r="S132">
        <f>IF(R132=0,0,SUMIFS($R$18:$R$317,$B$18:$B$317,B132,$D$18:$D$317,D132))</f>
        <v/>
      </c>
      <c r="T132">
        <f>IF(OR(R132=0,E132=""),0,SUMIFS($R$18:$R$317,$E$18:$E$317,E132))</f>
        <v/>
      </c>
      <c r="U132">
        <f>IF(E132="","",IF(N(F132)&gt;0,F132,IFERROR(INDEX($F$18:$F$317,MATCH(E132,$E$18:$E$317,0)),"")))</f>
        <v/>
      </c>
      <c r="V132">
        <f>IF(OR(N132="",N132="OK",K132="Cancelled"),0,1)</f>
        <v/>
      </c>
    </row>
    <row r="133">
      <c r="B133" s="21" t="n"/>
      <c r="C133" s="22">
        <f>IF(B133="","",$E$10&amp;TEXT(N($E$11)+115,"000"))</f>
        <v/>
      </c>
      <c r="D133" s="14" t="n"/>
      <c r="E133" s="23" t="n"/>
      <c r="F133" s="24" t="n"/>
      <c r="G133" s="14" t="n"/>
      <c r="H133" s="14" t="n"/>
      <c r="I133" s="23" t="n"/>
      <c r="J133" s="24" t="n"/>
      <c r="K133" s="23" t="n"/>
      <c r="L133" s="25">
        <f>IF(OR(E133="",N(U133)=0),"",U133-SUMIFS(Q$18:Q133,E$18:E133,E133))</f>
        <v/>
      </c>
      <c r="M133" s="26">
        <f>IF(OR(N(J133)=0,K133="Cancelled"),"",IF(AND(N(J133)&gt;5000,P133&lt;&gt;"G"),"Yes: ₹1","No"))</f>
        <v/>
      </c>
      <c r="N133" s="27">
        <f>IF(AND(B133="",D133="",N(J133)=0),"",IF(B133="","Enter the date",IF(AND(ROW()&gt;18,B132=""),"Use the next empty row: a skipped row leaves a gap in the receipt numbers",IF(D133="","Enter who paid",IF(N(J133)=0,"Enter the amount",IF(G133="","Pick what the money was for",IF(P133="?","Pick what it was for from the list",IF(H133="","Pick how it was paid",IF(K133="Cancelled","Cancelled: keep this number unused and give a fresh receipt",IF(AND(H133&lt;&gt;"Cash",I133=""),"Enter the cheque no., UTR or UPI reference",IF(AND(L133&lt;&gt;"",N(L133)&lt;0),"More than the balance due on this invoice",IF(S133&gt;=200000,"₹2,00,000 or more in cash from this person today: barred, s.186",IF(T133&gt;=200000,"₹2,00,000 or more in cash against this invoice: barred, s.186",IF(AND(P133="T",H133="Cash",N(J133)&gt;=20000),"Loan of ₹20,000 or more in cash: barred, s.185",IF(AND(P133="D",H133="Cash",N(J133)&gt;=20000),"Cash deposit of ₹20,000 or more: ask your accountant whether s.185 applies",IF(AND(OR(P133="AG",P133="AS"),$E$9&lt;&gt;""),"Advance: also give a GST receipt voucher, s.31(3)(d) and Rule 50","OK"))))))))))))))))</f>
        <v/>
      </c>
      <c r="P133">
        <f>IF(G133="","",IFERROR(VLOOKUP(G133,Lists!$A$2:$B$9,2,FALSE),"?"))</f>
        <v/>
      </c>
      <c r="Q133">
        <f>IF(K133="Cancelled",0,N(J133))</f>
        <v/>
      </c>
      <c r="R133">
        <f>IF(OR(H133&lt;&gt;"Cash",P133="T",P133="D"),0,Q133)</f>
        <v/>
      </c>
      <c r="S133">
        <f>IF(R133=0,0,SUMIFS($R$18:$R$317,$B$18:$B$317,B133,$D$18:$D$317,D133))</f>
        <v/>
      </c>
      <c r="T133">
        <f>IF(OR(R133=0,E133=""),0,SUMIFS($R$18:$R$317,$E$18:$E$317,E133))</f>
        <v/>
      </c>
      <c r="U133">
        <f>IF(E133="","",IF(N(F133)&gt;0,F133,IFERROR(INDEX($F$18:$F$317,MATCH(E133,$E$18:$E$317,0)),"")))</f>
        <v/>
      </c>
      <c r="V133">
        <f>IF(OR(N133="",N133="OK",K133="Cancelled"),0,1)</f>
        <v/>
      </c>
    </row>
    <row r="134">
      <c r="B134" s="21" t="n"/>
      <c r="C134" s="22">
        <f>IF(B134="","",$E$10&amp;TEXT(N($E$11)+116,"000"))</f>
        <v/>
      </c>
      <c r="D134" s="14" t="n"/>
      <c r="E134" s="23" t="n"/>
      <c r="F134" s="24" t="n"/>
      <c r="G134" s="14" t="n"/>
      <c r="H134" s="14" t="n"/>
      <c r="I134" s="23" t="n"/>
      <c r="J134" s="24" t="n"/>
      <c r="K134" s="23" t="n"/>
      <c r="L134" s="25">
        <f>IF(OR(E134="",N(U134)=0),"",U134-SUMIFS(Q$18:Q134,E$18:E134,E134))</f>
        <v/>
      </c>
      <c r="M134" s="26">
        <f>IF(OR(N(J134)=0,K134="Cancelled"),"",IF(AND(N(J134)&gt;5000,P134&lt;&gt;"G"),"Yes: ₹1","No"))</f>
        <v/>
      </c>
      <c r="N134" s="27">
        <f>IF(AND(B134="",D134="",N(J134)=0),"",IF(B134="","Enter the date",IF(AND(ROW()&gt;18,B133=""),"Use the next empty row: a skipped row leaves a gap in the receipt numbers",IF(D134="","Enter who paid",IF(N(J134)=0,"Enter the amount",IF(G134="","Pick what the money was for",IF(P134="?","Pick what it was for from the list",IF(H134="","Pick how it was paid",IF(K134="Cancelled","Cancelled: keep this number unused and give a fresh receipt",IF(AND(H134&lt;&gt;"Cash",I134=""),"Enter the cheque no., UTR or UPI reference",IF(AND(L134&lt;&gt;"",N(L134)&lt;0),"More than the balance due on this invoice",IF(S134&gt;=200000,"₹2,00,000 or more in cash from this person today: barred, s.186",IF(T134&gt;=200000,"₹2,00,000 or more in cash against this invoice: barred, s.186",IF(AND(P134="T",H134="Cash",N(J134)&gt;=20000),"Loan of ₹20,000 or more in cash: barred, s.185",IF(AND(P134="D",H134="Cash",N(J134)&gt;=20000),"Cash deposit of ₹20,000 or more: ask your accountant whether s.185 applies",IF(AND(OR(P134="AG",P134="AS"),$E$9&lt;&gt;""),"Advance: also give a GST receipt voucher, s.31(3)(d) and Rule 50","OK"))))))))))))))))</f>
        <v/>
      </c>
      <c r="P134">
        <f>IF(G134="","",IFERROR(VLOOKUP(G134,Lists!$A$2:$B$9,2,FALSE),"?"))</f>
        <v/>
      </c>
      <c r="Q134">
        <f>IF(K134="Cancelled",0,N(J134))</f>
        <v/>
      </c>
      <c r="R134">
        <f>IF(OR(H134&lt;&gt;"Cash",P134="T",P134="D"),0,Q134)</f>
        <v/>
      </c>
      <c r="S134">
        <f>IF(R134=0,0,SUMIFS($R$18:$R$317,$B$18:$B$317,B134,$D$18:$D$317,D134))</f>
        <v/>
      </c>
      <c r="T134">
        <f>IF(OR(R134=0,E134=""),0,SUMIFS($R$18:$R$317,$E$18:$E$317,E134))</f>
        <v/>
      </c>
      <c r="U134">
        <f>IF(E134="","",IF(N(F134)&gt;0,F134,IFERROR(INDEX($F$18:$F$317,MATCH(E134,$E$18:$E$317,0)),"")))</f>
        <v/>
      </c>
      <c r="V134">
        <f>IF(OR(N134="",N134="OK",K134="Cancelled"),0,1)</f>
        <v/>
      </c>
    </row>
    <row r="135">
      <c r="B135" s="21" t="n"/>
      <c r="C135" s="22">
        <f>IF(B135="","",$E$10&amp;TEXT(N($E$11)+117,"000"))</f>
        <v/>
      </c>
      <c r="D135" s="14" t="n"/>
      <c r="E135" s="23" t="n"/>
      <c r="F135" s="24" t="n"/>
      <c r="G135" s="14" t="n"/>
      <c r="H135" s="14" t="n"/>
      <c r="I135" s="23" t="n"/>
      <c r="J135" s="24" t="n"/>
      <c r="K135" s="23" t="n"/>
      <c r="L135" s="25">
        <f>IF(OR(E135="",N(U135)=0),"",U135-SUMIFS(Q$18:Q135,E$18:E135,E135))</f>
        <v/>
      </c>
      <c r="M135" s="26">
        <f>IF(OR(N(J135)=0,K135="Cancelled"),"",IF(AND(N(J135)&gt;5000,P135&lt;&gt;"G"),"Yes: ₹1","No"))</f>
        <v/>
      </c>
      <c r="N135" s="27">
        <f>IF(AND(B135="",D135="",N(J135)=0),"",IF(B135="","Enter the date",IF(AND(ROW()&gt;18,B134=""),"Use the next empty row: a skipped row leaves a gap in the receipt numbers",IF(D135="","Enter who paid",IF(N(J135)=0,"Enter the amount",IF(G135="","Pick what the money was for",IF(P135="?","Pick what it was for from the list",IF(H135="","Pick how it was paid",IF(K135="Cancelled","Cancelled: keep this number unused and give a fresh receipt",IF(AND(H135&lt;&gt;"Cash",I135=""),"Enter the cheque no., UTR or UPI reference",IF(AND(L135&lt;&gt;"",N(L135)&lt;0),"More than the balance due on this invoice",IF(S135&gt;=200000,"₹2,00,000 or more in cash from this person today: barred, s.186",IF(T135&gt;=200000,"₹2,00,000 or more in cash against this invoice: barred, s.186",IF(AND(P135="T",H135="Cash",N(J135)&gt;=20000),"Loan of ₹20,000 or more in cash: barred, s.185",IF(AND(P135="D",H135="Cash",N(J135)&gt;=20000),"Cash deposit of ₹20,000 or more: ask your accountant whether s.185 applies",IF(AND(OR(P135="AG",P135="AS"),$E$9&lt;&gt;""),"Advance: also give a GST receipt voucher, s.31(3)(d) and Rule 50","OK"))))))))))))))))</f>
        <v/>
      </c>
      <c r="P135">
        <f>IF(G135="","",IFERROR(VLOOKUP(G135,Lists!$A$2:$B$9,2,FALSE),"?"))</f>
        <v/>
      </c>
      <c r="Q135">
        <f>IF(K135="Cancelled",0,N(J135))</f>
        <v/>
      </c>
      <c r="R135">
        <f>IF(OR(H135&lt;&gt;"Cash",P135="T",P135="D"),0,Q135)</f>
        <v/>
      </c>
      <c r="S135">
        <f>IF(R135=0,0,SUMIFS($R$18:$R$317,$B$18:$B$317,B135,$D$18:$D$317,D135))</f>
        <v/>
      </c>
      <c r="T135">
        <f>IF(OR(R135=0,E135=""),0,SUMIFS($R$18:$R$317,$E$18:$E$317,E135))</f>
        <v/>
      </c>
      <c r="U135">
        <f>IF(E135="","",IF(N(F135)&gt;0,F135,IFERROR(INDEX($F$18:$F$317,MATCH(E135,$E$18:$E$317,0)),"")))</f>
        <v/>
      </c>
      <c r="V135">
        <f>IF(OR(N135="",N135="OK",K135="Cancelled"),0,1)</f>
        <v/>
      </c>
    </row>
    <row r="136">
      <c r="B136" s="21" t="n"/>
      <c r="C136" s="22">
        <f>IF(B136="","",$E$10&amp;TEXT(N($E$11)+118,"000"))</f>
        <v/>
      </c>
      <c r="D136" s="14" t="n"/>
      <c r="E136" s="23" t="n"/>
      <c r="F136" s="24" t="n"/>
      <c r="G136" s="14" t="n"/>
      <c r="H136" s="14" t="n"/>
      <c r="I136" s="23" t="n"/>
      <c r="J136" s="24" t="n"/>
      <c r="K136" s="23" t="n"/>
      <c r="L136" s="25">
        <f>IF(OR(E136="",N(U136)=0),"",U136-SUMIFS(Q$18:Q136,E$18:E136,E136))</f>
        <v/>
      </c>
      <c r="M136" s="26">
        <f>IF(OR(N(J136)=0,K136="Cancelled"),"",IF(AND(N(J136)&gt;5000,P136&lt;&gt;"G"),"Yes: ₹1","No"))</f>
        <v/>
      </c>
      <c r="N136" s="27">
        <f>IF(AND(B136="",D136="",N(J136)=0),"",IF(B136="","Enter the date",IF(AND(ROW()&gt;18,B135=""),"Use the next empty row: a skipped row leaves a gap in the receipt numbers",IF(D136="","Enter who paid",IF(N(J136)=0,"Enter the amount",IF(G136="","Pick what the money was for",IF(P136="?","Pick what it was for from the list",IF(H136="","Pick how it was paid",IF(K136="Cancelled","Cancelled: keep this number unused and give a fresh receipt",IF(AND(H136&lt;&gt;"Cash",I136=""),"Enter the cheque no., UTR or UPI reference",IF(AND(L136&lt;&gt;"",N(L136)&lt;0),"More than the balance due on this invoice",IF(S136&gt;=200000,"₹2,00,000 or more in cash from this person today: barred, s.186",IF(T136&gt;=200000,"₹2,00,000 or more in cash against this invoice: barred, s.186",IF(AND(P136="T",H136="Cash",N(J136)&gt;=20000),"Loan of ₹20,000 or more in cash: barred, s.185",IF(AND(P136="D",H136="Cash",N(J136)&gt;=20000),"Cash deposit of ₹20,000 or more: ask your accountant whether s.185 applies",IF(AND(OR(P136="AG",P136="AS"),$E$9&lt;&gt;""),"Advance: also give a GST receipt voucher, s.31(3)(d) and Rule 50","OK"))))))))))))))))</f>
        <v/>
      </c>
      <c r="P136">
        <f>IF(G136="","",IFERROR(VLOOKUP(G136,Lists!$A$2:$B$9,2,FALSE),"?"))</f>
        <v/>
      </c>
      <c r="Q136">
        <f>IF(K136="Cancelled",0,N(J136))</f>
        <v/>
      </c>
      <c r="R136">
        <f>IF(OR(H136&lt;&gt;"Cash",P136="T",P136="D"),0,Q136)</f>
        <v/>
      </c>
      <c r="S136">
        <f>IF(R136=0,0,SUMIFS($R$18:$R$317,$B$18:$B$317,B136,$D$18:$D$317,D136))</f>
        <v/>
      </c>
      <c r="T136">
        <f>IF(OR(R136=0,E136=""),0,SUMIFS($R$18:$R$317,$E$18:$E$317,E136))</f>
        <v/>
      </c>
      <c r="U136">
        <f>IF(E136="","",IF(N(F136)&gt;0,F136,IFERROR(INDEX($F$18:$F$317,MATCH(E136,$E$18:$E$317,0)),"")))</f>
        <v/>
      </c>
      <c r="V136">
        <f>IF(OR(N136="",N136="OK",K136="Cancelled"),0,1)</f>
        <v/>
      </c>
    </row>
    <row r="137">
      <c r="B137" s="21" t="n"/>
      <c r="C137" s="22">
        <f>IF(B137="","",$E$10&amp;TEXT(N($E$11)+119,"000"))</f>
        <v/>
      </c>
      <c r="D137" s="14" t="n"/>
      <c r="E137" s="23" t="n"/>
      <c r="F137" s="24" t="n"/>
      <c r="G137" s="14" t="n"/>
      <c r="H137" s="14" t="n"/>
      <c r="I137" s="23" t="n"/>
      <c r="J137" s="24" t="n"/>
      <c r="K137" s="23" t="n"/>
      <c r="L137" s="25">
        <f>IF(OR(E137="",N(U137)=0),"",U137-SUMIFS(Q$18:Q137,E$18:E137,E137))</f>
        <v/>
      </c>
      <c r="M137" s="26">
        <f>IF(OR(N(J137)=0,K137="Cancelled"),"",IF(AND(N(J137)&gt;5000,P137&lt;&gt;"G"),"Yes: ₹1","No"))</f>
        <v/>
      </c>
      <c r="N137" s="27">
        <f>IF(AND(B137="",D137="",N(J137)=0),"",IF(B137="","Enter the date",IF(AND(ROW()&gt;18,B136=""),"Use the next empty row: a skipped row leaves a gap in the receipt numbers",IF(D137="","Enter who paid",IF(N(J137)=0,"Enter the amount",IF(G137="","Pick what the money was for",IF(P137="?","Pick what it was for from the list",IF(H137="","Pick how it was paid",IF(K137="Cancelled","Cancelled: keep this number unused and give a fresh receipt",IF(AND(H137&lt;&gt;"Cash",I137=""),"Enter the cheque no., UTR or UPI reference",IF(AND(L137&lt;&gt;"",N(L137)&lt;0),"More than the balance due on this invoice",IF(S137&gt;=200000,"₹2,00,000 or more in cash from this person today: barred, s.186",IF(T137&gt;=200000,"₹2,00,000 or more in cash against this invoice: barred, s.186",IF(AND(P137="T",H137="Cash",N(J137)&gt;=20000),"Loan of ₹20,000 or more in cash: barred, s.185",IF(AND(P137="D",H137="Cash",N(J137)&gt;=20000),"Cash deposit of ₹20,000 or more: ask your accountant whether s.185 applies",IF(AND(OR(P137="AG",P137="AS"),$E$9&lt;&gt;""),"Advance: also give a GST receipt voucher, s.31(3)(d) and Rule 50","OK"))))))))))))))))</f>
        <v/>
      </c>
      <c r="P137">
        <f>IF(G137="","",IFERROR(VLOOKUP(G137,Lists!$A$2:$B$9,2,FALSE),"?"))</f>
        <v/>
      </c>
      <c r="Q137">
        <f>IF(K137="Cancelled",0,N(J137))</f>
        <v/>
      </c>
      <c r="R137">
        <f>IF(OR(H137&lt;&gt;"Cash",P137="T",P137="D"),0,Q137)</f>
        <v/>
      </c>
      <c r="S137">
        <f>IF(R137=0,0,SUMIFS($R$18:$R$317,$B$18:$B$317,B137,$D$18:$D$317,D137))</f>
        <v/>
      </c>
      <c r="T137">
        <f>IF(OR(R137=0,E137=""),0,SUMIFS($R$18:$R$317,$E$18:$E$317,E137))</f>
        <v/>
      </c>
      <c r="U137">
        <f>IF(E137="","",IF(N(F137)&gt;0,F137,IFERROR(INDEX($F$18:$F$317,MATCH(E137,$E$18:$E$317,0)),"")))</f>
        <v/>
      </c>
      <c r="V137">
        <f>IF(OR(N137="",N137="OK",K137="Cancelled"),0,1)</f>
        <v/>
      </c>
    </row>
    <row r="138">
      <c r="B138" s="21" t="n"/>
      <c r="C138" s="22">
        <f>IF(B138="","",$E$10&amp;TEXT(N($E$11)+120,"000"))</f>
        <v/>
      </c>
      <c r="D138" s="14" t="n"/>
      <c r="E138" s="23" t="n"/>
      <c r="F138" s="24" t="n"/>
      <c r="G138" s="14" t="n"/>
      <c r="H138" s="14" t="n"/>
      <c r="I138" s="23" t="n"/>
      <c r="J138" s="24" t="n"/>
      <c r="K138" s="23" t="n"/>
      <c r="L138" s="25">
        <f>IF(OR(E138="",N(U138)=0),"",U138-SUMIFS(Q$18:Q138,E$18:E138,E138))</f>
        <v/>
      </c>
      <c r="M138" s="26">
        <f>IF(OR(N(J138)=0,K138="Cancelled"),"",IF(AND(N(J138)&gt;5000,P138&lt;&gt;"G"),"Yes: ₹1","No"))</f>
        <v/>
      </c>
      <c r="N138" s="27">
        <f>IF(AND(B138="",D138="",N(J138)=0),"",IF(B138="","Enter the date",IF(AND(ROW()&gt;18,B137=""),"Use the next empty row: a skipped row leaves a gap in the receipt numbers",IF(D138="","Enter who paid",IF(N(J138)=0,"Enter the amount",IF(G138="","Pick what the money was for",IF(P138="?","Pick what it was for from the list",IF(H138="","Pick how it was paid",IF(K138="Cancelled","Cancelled: keep this number unused and give a fresh receipt",IF(AND(H138&lt;&gt;"Cash",I138=""),"Enter the cheque no., UTR or UPI reference",IF(AND(L138&lt;&gt;"",N(L138)&lt;0),"More than the balance due on this invoice",IF(S138&gt;=200000,"₹2,00,000 or more in cash from this person today: barred, s.186",IF(T138&gt;=200000,"₹2,00,000 or more in cash against this invoice: barred, s.186",IF(AND(P138="T",H138="Cash",N(J138)&gt;=20000),"Loan of ₹20,000 or more in cash: barred, s.185",IF(AND(P138="D",H138="Cash",N(J138)&gt;=20000),"Cash deposit of ₹20,000 or more: ask your accountant whether s.185 applies",IF(AND(OR(P138="AG",P138="AS"),$E$9&lt;&gt;""),"Advance: also give a GST receipt voucher, s.31(3)(d) and Rule 50","OK"))))))))))))))))</f>
        <v/>
      </c>
      <c r="P138">
        <f>IF(G138="","",IFERROR(VLOOKUP(G138,Lists!$A$2:$B$9,2,FALSE),"?"))</f>
        <v/>
      </c>
      <c r="Q138">
        <f>IF(K138="Cancelled",0,N(J138))</f>
        <v/>
      </c>
      <c r="R138">
        <f>IF(OR(H138&lt;&gt;"Cash",P138="T",P138="D"),0,Q138)</f>
        <v/>
      </c>
      <c r="S138">
        <f>IF(R138=0,0,SUMIFS($R$18:$R$317,$B$18:$B$317,B138,$D$18:$D$317,D138))</f>
        <v/>
      </c>
      <c r="T138">
        <f>IF(OR(R138=0,E138=""),0,SUMIFS($R$18:$R$317,$E$18:$E$317,E138))</f>
        <v/>
      </c>
      <c r="U138">
        <f>IF(E138="","",IF(N(F138)&gt;0,F138,IFERROR(INDEX($F$18:$F$317,MATCH(E138,$E$18:$E$317,0)),"")))</f>
        <v/>
      </c>
      <c r="V138">
        <f>IF(OR(N138="",N138="OK",K138="Cancelled"),0,1)</f>
        <v/>
      </c>
    </row>
    <row r="139">
      <c r="B139" s="21" t="n"/>
      <c r="C139" s="22">
        <f>IF(B139="","",$E$10&amp;TEXT(N($E$11)+121,"000"))</f>
        <v/>
      </c>
      <c r="D139" s="14" t="n"/>
      <c r="E139" s="23" t="n"/>
      <c r="F139" s="24" t="n"/>
      <c r="G139" s="14" t="n"/>
      <c r="H139" s="14" t="n"/>
      <c r="I139" s="23" t="n"/>
      <c r="J139" s="24" t="n"/>
      <c r="K139" s="23" t="n"/>
      <c r="L139" s="25">
        <f>IF(OR(E139="",N(U139)=0),"",U139-SUMIFS(Q$18:Q139,E$18:E139,E139))</f>
        <v/>
      </c>
      <c r="M139" s="26">
        <f>IF(OR(N(J139)=0,K139="Cancelled"),"",IF(AND(N(J139)&gt;5000,P139&lt;&gt;"G"),"Yes: ₹1","No"))</f>
        <v/>
      </c>
      <c r="N139" s="27">
        <f>IF(AND(B139="",D139="",N(J139)=0),"",IF(B139="","Enter the date",IF(AND(ROW()&gt;18,B138=""),"Use the next empty row: a skipped row leaves a gap in the receipt numbers",IF(D139="","Enter who paid",IF(N(J139)=0,"Enter the amount",IF(G139="","Pick what the money was for",IF(P139="?","Pick what it was for from the list",IF(H139="","Pick how it was paid",IF(K139="Cancelled","Cancelled: keep this number unused and give a fresh receipt",IF(AND(H139&lt;&gt;"Cash",I139=""),"Enter the cheque no., UTR or UPI reference",IF(AND(L139&lt;&gt;"",N(L139)&lt;0),"More than the balance due on this invoice",IF(S139&gt;=200000,"₹2,00,000 or more in cash from this person today: barred, s.186",IF(T139&gt;=200000,"₹2,00,000 or more in cash against this invoice: barred, s.186",IF(AND(P139="T",H139="Cash",N(J139)&gt;=20000),"Loan of ₹20,000 or more in cash: barred, s.185",IF(AND(P139="D",H139="Cash",N(J139)&gt;=20000),"Cash deposit of ₹20,000 or more: ask your accountant whether s.185 applies",IF(AND(OR(P139="AG",P139="AS"),$E$9&lt;&gt;""),"Advance: also give a GST receipt voucher, s.31(3)(d) and Rule 50","OK"))))))))))))))))</f>
        <v/>
      </c>
      <c r="P139">
        <f>IF(G139="","",IFERROR(VLOOKUP(G139,Lists!$A$2:$B$9,2,FALSE),"?"))</f>
        <v/>
      </c>
      <c r="Q139">
        <f>IF(K139="Cancelled",0,N(J139))</f>
        <v/>
      </c>
      <c r="R139">
        <f>IF(OR(H139&lt;&gt;"Cash",P139="T",P139="D"),0,Q139)</f>
        <v/>
      </c>
      <c r="S139">
        <f>IF(R139=0,0,SUMIFS($R$18:$R$317,$B$18:$B$317,B139,$D$18:$D$317,D139))</f>
        <v/>
      </c>
      <c r="T139">
        <f>IF(OR(R139=0,E139=""),0,SUMIFS($R$18:$R$317,$E$18:$E$317,E139))</f>
        <v/>
      </c>
      <c r="U139">
        <f>IF(E139="","",IF(N(F139)&gt;0,F139,IFERROR(INDEX($F$18:$F$317,MATCH(E139,$E$18:$E$317,0)),"")))</f>
        <v/>
      </c>
      <c r="V139">
        <f>IF(OR(N139="",N139="OK",K139="Cancelled"),0,1)</f>
        <v/>
      </c>
    </row>
    <row r="140">
      <c r="B140" s="21" t="n"/>
      <c r="C140" s="22">
        <f>IF(B140="","",$E$10&amp;TEXT(N($E$11)+122,"000"))</f>
        <v/>
      </c>
      <c r="D140" s="14" t="n"/>
      <c r="E140" s="23" t="n"/>
      <c r="F140" s="24" t="n"/>
      <c r="G140" s="14" t="n"/>
      <c r="H140" s="14" t="n"/>
      <c r="I140" s="23" t="n"/>
      <c r="J140" s="24" t="n"/>
      <c r="K140" s="23" t="n"/>
      <c r="L140" s="25">
        <f>IF(OR(E140="",N(U140)=0),"",U140-SUMIFS(Q$18:Q140,E$18:E140,E140))</f>
        <v/>
      </c>
      <c r="M140" s="26">
        <f>IF(OR(N(J140)=0,K140="Cancelled"),"",IF(AND(N(J140)&gt;5000,P140&lt;&gt;"G"),"Yes: ₹1","No"))</f>
        <v/>
      </c>
      <c r="N140" s="27">
        <f>IF(AND(B140="",D140="",N(J140)=0),"",IF(B140="","Enter the date",IF(AND(ROW()&gt;18,B139=""),"Use the next empty row: a skipped row leaves a gap in the receipt numbers",IF(D140="","Enter who paid",IF(N(J140)=0,"Enter the amount",IF(G140="","Pick what the money was for",IF(P140="?","Pick what it was for from the list",IF(H140="","Pick how it was paid",IF(K140="Cancelled","Cancelled: keep this number unused and give a fresh receipt",IF(AND(H140&lt;&gt;"Cash",I140=""),"Enter the cheque no., UTR or UPI reference",IF(AND(L140&lt;&gt;"",N(L140)&lt;0),"More than the balance due on this invoice",IF(S140&gt;=200000,"₹2,00,000 or more in cash from this person today: barred, s.186",IF(T140&gt;=200000,"₹2,00,000 or more in cash against this invoice: barred, s.186",IF(AND(P140="T",H140="Cash",N(J140)&gt;=20000),"Loan of ₹20,000 or more in cash: barred, s.185",IF(AND(P140="D",H140="Cash",N(J140)&gt;=20000),"Cash deposit of ₹20,000 or more: ask your accountant whether s.185 applies",IF(AND(OR(P140="AG",P140="AS"),$E$9&lt;&gt;""),"Advance: also give a GST receipt voucher, s.31(3)(d) and Rule 50","OK"))))))))))))))))</f>
        <v/>
      </c>
      <c r="P140">
        <f>IF(G140="","",IFERROR(VLOOKUP(G140,Lists!$A$2:$B$9,2,FALSE),"?"))</f>
        <v/>
      </c>
      <c r="Q140">
        <f>IF(K140="Cancelled",0,N(J140))</f>
        <v/>
      </c>
      <c r="R140">
        <f>IF(OR(H140&lt;&gt;"Cash",P140="T",P140="D"),0,Q140)</f>
        <v/>
      </c>
      <c r="S140">
        <f>IF(R140=0,0,SUMIFS($R$18:$R$317,$B$18:$B$317,B140,$D$18:$D$317,D140))</f>
        <v/>
      </c>
      <c r="T140">
        <f>IF(OR(R140=0,E140=""),0,SUMIFS($R$18:$R$317,$E$18:$E$317,E140))</f>
        <v/>
      </c>
      <c r="U140">
        <f>IF(E140="","",IF(N(F140)&gt;0,F140,IFERROR(INDEX($F$18:$F$317,MATCH(E140,$E$18:$E$317,0)),"")))</f>
        <v/>
      </c>
      <c r="V140">
        <f>IF(OR(N140="",N140="OK",K140="Cancelled"),0,1)</f>
        <v/>
      </c>
    </row>
    <row r="141">
      <c r="B141" s="21" t="n"/>
      <c r="C141" s="22">
        <f>IF(B141="","",$E$10&amp;TEXT(N($E$11)+123,"000"))</f>
        <v/>
      </c>
      <c r="D141" s="14" t="n"/>
      <c r="E141" s="23" t="n"/>
      <c r="F141" s="24" t="n"/>
      <c r="G141" s="14" t="n"/>
      <c r="H141" s="14" t="n"/>
      <c r="I141" s="23" t="n"/>
      <c r="J141" s="24" t="n"/>
      <c r="K141" s="23" t="n"/>
      <c r="L141" s="25">
        <f>IF(OR(E141="",N(U141)=0),"",U141-SUMIFS(Q$18:Q141,E$18:E141,E141))</f>
        <v/>
      </c>
      <c r="M141" s="26">
        <f>IF(OR(N(J141)=0,K141="Cancelled"),"",IF(AND(N(J141)&gt;5000,P141&lt;&gt;"G"),"Yes: ₹1","No"))</f>
        <v/>
      </c>
      <c r="N141" s="27">
        <f>IF(AND(B141="",D141="",N(J141)=0),"",IF(B141="","Enter the date",IF(AND(ROW()&gt;18,B140=""),"Use the next empty row: a skipped row leaves a gap in the receipt numbers",IF(D141="","Enter who paid",IF(N(J141)=0,"Enter the amount",IF(G141="","Pick what the money was for",IF(P141="?","Pick what it was for from the list",IF(H141="","Pick how it was paid",IF(K141="Cancelled","Cancelled: keep this number unused and give a fresh receipt",IF(AND(H141&lt;&gt;"Cash",I141=""),"Enter the cheque no., UTR or UPI reference",IF(AND(L141&lt;&gt;"",N(L141)&lt;0),"More than the balance due on this invoice",IF(S141&gt;=200000,"₹2,00,000 or more in cash from this person today: barred, s.186",IF(T141&gt;=200000,"₹2,00,000 or more in cash against this invoice: barred, s.186",IF(AND(P141="T",H141="Cash",N(J141)&gt;=20000),"Loan of ₹20,000 or more in cash: barred, s.185",IF(AND(P141="D",H141="Cash",N(J141)&gt;=20000),"Cash deposit of ₹20,000 or more: ask your accountant whether s.185 applies",IF(AND(OR(P141="AG",P141="AS"),$E$9&lt;&gt;""),"Advance: also give a GST receipt voucher, s.31(3)(d) and Rule 50","OK"))))))))))))))))</f>
        <v/>
      </c>
      <c r="P141">
        <f>IF(G141="","",IFERROR(VLOOKUP(G141,Lists!$A$2:$B$9,2,FALSE),"?"))</f>
        <v/>
      </c>
      <c r="Q141">
        <f>IF(K141="Cancelled",0,N(J141))</f>
        <v/>
      </c>
      <c r="R141">
        <f>IF(OR(H141&lt;&gt;"Cash",P141="T",P141="D"),0,Q141)</f>
        <v/>
      </c>
      <c r="S141">
        <f>IF(R141=0,0,SUMIFS($R$18:$R$317,$B$18:$B$317,B141,$D$18:$D$317,D141))</f>
        <v/>
      </c>
      <c r="T141">
        <f>IF(OR(R141=0,E141=""),0,SUMIFS($R$18:$R$317,$E$18:$E$317,E141))</f>
        <v/>
      </c>
      <c r="U141">
        <f>IF(E141="","",IF(N(F141)&gt;0,F141,IFERROR(INDEX($F$18:$F$317,MATCH(E141,$E$18:$E$317,0)),"")))</f>
        <v/>
      </c>
      <c r="V141">
        <f>IF(OR(N141="",N141="OK",K141="Cancelled"),0,1)</f>
        <v/>
      </c>
    </row>
    <row r="142">
      <c r="B142" s="21" t="n"/>
      <c r="C142" s="22">
        <f>IF(B142="","",$E$10&amp;TEXT(N($E$11)+124,"000"))</f>
        <v/>
      </c>
      <c r="D142" s="14" t="n"/>
      <c r="E142" s="23" t="n"/>
      <c r="F142" s="24" t="n"/>
      <c r="G142" s="14" t="n"/>
      <c r="H142" s="14" t="n"/>
      <c r="I142" s="23" t="n"/>
      <c r="J142" s="24" t="n"/>
      <c r="K142" s="23" t="n"/>
      <c r="L142" s="25">
        <f>IF(OR(E142="",N(U142)=0),"",U142-SUMIFS(Q$18:Q142,E$18:E142,E142))</f>
        <v/>
      </c>
      <c r="M142" s="26">
        <f>IF(OR(N(J142)=0,K142="Cancelled"),"",IF(AND(N(J142)&gt;5000,P142&lt;&gt;"G"),"Yes: ₹1","No"))</f>
        <v/>
      </c>
      <c r="N142" s="27">
        <f>IF(AND(B142="",D142="",N(J142)=0),"",IF(B142="","Enter the date",IF(AND(ROW()&gt;18,B141=""),"Use the next empty row: a skipped row leaves a gap in the receipt numbers",IF(D142="","Enter who paid",IF(N(J142)=0,"Enter the amount",IF(G142="","Pick what the money was for",IF(P142="?","Pick what it was for from the list",IF(H142="","Pick how it was paid",IF(K142="Cancelled","Cancelled: keep this number unused and give a fresh receipt",IF(AND(H142&lt;&gt;"Cash",I142=""),"Enter the cheque no., UTR or UPI reference",IF(AND(L142&lt;&gt;"",N(L142)&lt;0),"More than the balance due on this invoice",IF(S142&gt;=200000,"₹2,00,000 or more in cash from this person today: barred, s.186",IF(T142&gt;=200000,"₹2,00,000 or more in cash against this invoice: barred, s.186",IF(AND(P142="T",H142="Cash",N(J142)&gt;=20000),"Loan of ₹20,000 or more in cash: barred, s.185",IF(AND(P142="D",H142="Cash",N(J142)&gt;=20000),"Cash deposit of ₹20,000 or more: ask your accountant whether s.185 applies",IF(AND(OR(P142="AG",P142="AS"),$E$9&lt;&gt;""),"Advance: also give a GST receipt voucher, s.31(3)(d) and Rule 50","OK"))))))))))))))))</f>
        <v/>
      </c>
      <c r="P142">
        <f>IF(G142="","",IFERROR(VLOOKUP(G142,Lists!$A$2:$B$9,2,FALSE),"?"))</f>
        <v/>
      </c>
      <c r="Q142">
        <f>IF(K142="Cancelled",0,N(J142))</f>
        <v/>
      </c>
      <c r="R142">
        <f>IF(OR(H142&lt;&gt;"Cash",P142="T",P142="D"),0,Q142)</f>
        <v/>
      </c>
      <c r="S142">
        <f>IF(R142=0,0,SUMIFS($R$18:$R$317,$B$18:$B$317,B142,$D$18:$D$317,D142))</f>
        <v/>
      </c>
      <c r="T142">
        <f>IF(OR(R142=0,E142=""),0,SUMIFS($R$18:$R$317,$E$18:$E$317,E142))</f>
        <v/>
      </c>
      <c r="U142">
        <f>IF(E142="","",IF(N(F142)&gt;0,F142,IFERROR(INDEX($F$18:$F$317,MATCH(E142,$E$18:$E$317,0)),"")))</f>
        <v/>
      </c>
      <c r="V142">
        <f>IF(OR(N142="",N142="OK",K142="Cancelled"),0,1)</f>
        <v/>
      </c>
    </row>
    <row r="143">
      <c r="B143" s="21" t="n"/>
      <c r="C143" s="22">
        <f>IF(B143="","",$E$10&amp;TEXT(N($E$11)+125,"000"))</f>
        <v/>
      </c>
      <c r="D143" s="14" t="n"/>
      <c r="E143" s="23" t="n"/>
      <c r="F143" s="24" t="n"/>
      <c r="G143" s="14" t="n"/>
      <c r="H143" s="14" t="n"/>
      <c r="I143" s="23" t="n"/>
      <c r="J143" s="24" t="n"/>
      <c r="K143" s="23" t="n"/>
      <c r="L143" s="25">
        <f>IF(OR(E143="",N(U143)=0),"",U143-SUMIFS(Q$18:Q143,E$18:E143,E143))</f>
        <v/>
      </c>
      <c r="M143" s="26">
        <f>IF(OR(N(J143)=0,K143="Cancelled"),"",IF(AND(N(J143)&gt;5000,P143&lt;&gt;"G"),"Yes: ₹1","No"))</f>
        <v/>
      </c>
      <c r="N143" s="27">
        <f>IF(AND(B143="",D143="",N(J143)=0),"",IF(B143="","Enter the date",IF(AND(ROW()&gt;18,B142=""),"Use the next empty row: a skipped row leaves a gap in the receipt numbers",IF(D143="","Enter who paid",IF(N(J143)=0,"Enter the amount",IF(G143="","Pick what the money was for",IF(P143="?","Pick what it was for from the list",IF(H143="","Pick how it was paid",IF(K143="Cancelled","Cancelled: keep this number unused and give a fresh receipt",IF(AND(H143&lt;&gt;"Cash",I143=""),"Enter the cheque no., UTR or UPI reference",IF(AND(L143&lt;&gt;"",N(L143)&lt;0),"More than the balance due on this invoice",IF(S143&gt;=200000,"₹2,00,000 or more in cash from this person today: barred, s.186",IF(T143&gt;=200000,"₹2,00,000 or more in cash against this invoice: barred, s.186",IF(AND(P143="T",H143="Cash",N(J143)&gt;=20000),"Loan of ₹20,000 or more in cash: barred, s.185",IF(AND(P143="D",H143="Cash",N(J143)&gt;=20000),"Cash deposit of ₹20,000 or more: ask your accountant whether s.185 applies",IF(AND(OR(P143="AG",P143="AS"),$E$9&lt;&gt;""),"Advance: also give a GST receipt voucher, s.31(3)(d) and Rule 50","OK"))))))))))))))))</f>
        <v/>
      </c>
      <c r="P143">
        <f>IF(G143="","",IFERROR(VLOOKUP(G143,Lists!$A$2:$B$9,2,FALSE),"?"))</f>
        <v/>
      </c>
      <c r="Q143">
        <f>IF(K143="Cancelled",0,N(J143))</f>
        <v/>
      </c>
      <c r="R143">
        <f>IF(OR(H143&lt;&gt;"Cash",P143="T",P143="D"),0,Q143)</f>
        <v/>
      </c>
      <c r="S143">
        <f>IF(R143=0,0,SUMIFS($R$18:$R$317,$B$18:$B$317,B143,$D$18:$D$317,D143))</f>
        <v/>
      </c>
      <c r="T143">
        <f>IF(OR(R143=0,E143=""),0,SUMIFS($R$18:$R$317,$E$18:$E$317,E143))</f>
        <v/>
      </c>
      <c r="U143">
        <f>IF(E143="","",IF(N(F143)&gt;0,F143,IFERROR(INDEX($F$18:$F$317,MATCH(E143,$E$18:$E$317,0)),"")))</f>
        <v/>
      </c>
      <c r="V143">
        <f>IF(OR(N143="",N143="OK",K143="Cancelled"),0,1)</f>
        <v/>
      </c>
    </row>
    <row r="144">
      <c r="B144" s="21" t="n"/>
      <c r="C144" s="22">
        <f>IF(B144="","",$E$10&amp;TEXT(N($E$11)+126,"000"))</f>
        <v/>
      </c>
      <c r="D144" s="14" t="n"/>
      <c r="E144" s="23" t="n"/>
      <c r="F144" s="24" t="n"/>
      <c r="G144" s="14" t="n"/>
      <c r="H144" s="14" t="n"/>
      <c r="I144" s="23" t="n"/>
      <c r="J144" s="24" t="n"/>
      <c r="K144" s="23" t="n"/>
      <c r="L144" s="25">
        <f>IF(OR(E144="",N(U144)=0),"",U144-SUMIFS(Q$18:Q144,E$18:E144,E144))</f>
        <v/>
      </c>
      <c r="M144" s="26">
        <f>IF(OR(N(J144)=0,K144="Cancelled"),"",IF(AND(N(J144)&gt;5000,P144&lt;&gt;"G"),"Yes: ₹1","No"))</f>
        <v/>
      </c>
      <c r="N144" s="27">
        <f>IF(AND(B144="",D144="",N(J144)=0),"",IF(B144="","Enter the date",IF(AND(ROW()&gt;18,B143=""),"Use the next empty row: a skipped row leaves a gap in the receipt numbers",IF(D144="","Enter who paid",IF(N(J144)=0,"Enter the amount",IF(G144="","Pick what the money was for",IF(P144="?","Pick what it was for from the list",IF(H144="","Pick how it was paid",IF(K144="Cancelled","Cancelled: keep this number unused and give a fresh receipt",IF(AND(H144&lt;&gt;"Cash",I144=""),"Enter the cheque no., UTR or UPI reference",IF(AND(L144&lt;&gt;"",N(L144)&lt;0),"More than the balance due on this invoice",IF(S144&gt;=200000,"₹2,00,000 or more in cash from this person today: barred, s.186",IF(T144&gt;=200000,"₹2,00,000 or more in cash against this invoice: barred, s.186",IF(AND(P144="T",H144="Cash",N(J144)&gt;=20000),"Loan of ₹20,000 or more in cash: barred, s.185",IF(AND(P144="D",H144="Cash",N(J144)&gt;=20000),"Cash deposit of ₹20,000 or more: ask your accountant whether s.185 applies",IF(AND(OR(P144="AG",P144="AS"),$E$9&lt;&gt;""),"Advance: also give a GST receipt voucher, s.31(3)(d) and Rule 50","OK"))))))))))))))))</f>
        <v/>
      </c>
      <c r="P144">
        <f>IF(G144="","",IFERROR(VLOOKUP(G144,Lists!$A$2:$B$9,2,FALSE),"?"))</f>
        <v/>
      </c>
      <c r="Q144">
        <f>IF(K144="Cancelled",0,N(J144))</f>
        <v/>
      </c>
      <c r="R144">
        <f>IF(OR(H144&lt;&gt;"Cash",P144="T",P144="D"),0,Q144)</f>
        <v/>
      </c>
      <c r="S144">
        <f>IF(R144=0,0,SUMIFS($R$18:$R$317,$B$18:$B$317,B144,$D$18:$D$317,D144))</f>
        <v/>
      </c>
      <c r="T144">
        <f>IF(OR(R144=0,E144=""),0,SUMIFS($R$18:$R$317,$E$18:$E$317,E144))</f>
        <v/>
      </c>
      <c r="U144">
        <f>IF(E144="","",IF(N(F144)&gt;0,F144,IFERROR(INDEX($F$18:$F$317,MATCH(E144,$E$18:$E$317,0)),"")))</f>
        <v/>
      </c>
      <c r="V144">
        <f>IF(OR(N144="",N144="OK",K144="Cancelled"),0,1)</f>
        <v/>
      </c>
    </row>
    <row r="145">
      <c r="B145" s="21" t="n"/>
      <c r="C145" s="22">
        <f>IF(B145="","",$E$10&amp;TEXT(N($E$11)+127,"000"))</f>
        <v/>
      </c>
      <c r="D145" s="14" t="n"/>
      <c r="E145" s="23" t="n"/>
      <c r="F145" s="24" t="n"/>
      <c r="G145" s="14" t="n"/>
      <c r="H145" s="14" t="n"/>
      <c r="I145" s="23" t="n"/>
      <c r="J145" s="24" t="n"/>
      <c r="K145" s="23" t="n"/>
      <c r="L145" s="25">
        <f>IF(OR(E145="",N(U145)=0),"",U145-SUMIFS(Q$18:Q145,E$18:E145,E145))</f>
        <v/>
      </c>
      <c r="M145" s="26">
        <f>IF(OR(N(J145)=0,K145="Cancelled"),"",IF(AND(N(J145)&gt;5000,P145&lt;&gt;"G"),"Yes: ₹1","No"))</f>
        <v/>
      </c>
      <c r="N145" s="27">
        <f>IF(AND(B145="",D145="",N(J145)=0),"",IF(B145="","Enter the date",IF(AND(ROW()&gt;18,B144=""),"Use the next empty row: a skipped row leaves a gap in the receipt numbers",IF(D145="","Enter who paid",IF(N(J145)=0,"Enter the amount",IF(G145="","Pick what the money was for",IF(P145="?","Pick what it was for from the list",IF(H145="","Pick how it was paid",IF(K145="Cancelled","Cancelled: keep this number unused and give a fresh receipt",IF(AND(H145&lt;&gt;"Cash",I145=""),"Enter the cheque no., UTR or UPI reference",IF(AND(L145&lt;&gt;"",N(L145)&lt;0),"More than the balance due on this invoice",IF(S145&gt;=200000,"₹2,00,000 or more in cash from this person today: barred, s.186",IF(T145&gt;=200000,"₹2,00,000 or more in cash against this invoice: barred, s.186",IF(AND(P145="T",H145="Cash",N(J145)&gt;=20000),"Loan of ₹20,000 or more in cash: barred, s.185",IF(AND(P145="D",H145="Cash",N(J145)&gt;=20000),"Cash deposit of ₹20,000 or more: ask your accountant whether s.185 applies",IF(AND(OR(P145="AG",P145="AS"),$E$9&lt;&gt;""),"Advance: also give a GST receipt voucher, s.31(3)(d) and Rule 50","OK"))))))))))))))))</f>
        <v/>
      </c>
      <c r="P145">
        <f>IF(G145="","",IFERROR(VLOOKUP(G145,Lists!$A$2:$B$9,2,FALSE),"?"))</f>
        <v/>
      </c>
      <c r="Q145">
        <f>IF(K145="Cancelled",0,N(J145))</f>
        <v/>
      </c>
      <c r="R145">
        <f>IF(OR(H145&lt;&gt;"Cash",P145="T",P145="D"),0,Q145)</f>
        <v/>
      </c>
      <c r="S145">
        <f>IF(R145=0,0,SUMIFS($R$18:$R$317,$B$18:$B$317,B145,$D$18:$D$317,D145))</f>
        <v/>
      </c>
      <c r="T145">
        <f>IF(OR(R145=0,E145=""),0,SUMIFS($R$18:$R$317,$E$18:$E$317,E145))</f>
        <v/>
      </c>
      <c r="U145">
        <f>IF(E145="","",IF(N(F145)&gt;0,F145,IFERROR(INDEX($F$18:$F$317,MATCH(E145,$E$18:$E$317,0)),"")))</f>
        <v/>
      </c>
      <c r="V145">
        <f>IF(OR(N145="",N145="OK",K145="Cancelled"),0,1)</f>
        <v/>
      </c>
    </row>
    <row r="146">
      <c r="B146" s="21" t="n"/>
      <c r="C146" s="22">
        <f>IF(B146="","",$E$10&amp;TEXT(N($E$11)+128,"000"))</f>
        <v/>
      </c>
      <c r="D146" s="14" t="n"/>
      <c r="E146" s="23" t="n"/>
      <c r="F146" s="24" t="n"/>
      <c r="G146" s="14" t="n"/>
      <c r="H146" s="14" t="n"/>
      <c r="I146" s="23" t="n"/>
      <c r="J146" s="24" t="n"/>
      <c r="K146" s="23" t="n"/>
      <c r="L146" s="25">
        <f>IF(OR(E146="",N(U146)=0),"",U146-SUMIFS(Q$18:Q146,E$18:E146,E146))</f>
        <v/>
      </c>
      <c r="M146" s="26">
        <f>IF(OR(N(J146)=0,K146="Cancelled"),"",IF(AND(N(J146)&gt;5000,P146&lt;&gt;"G"),"Yes: ₹1","No"))</f>
        <v/>
      </c>
      <c r="N146" s="27">
        <f>IF(AND(B146="",D146="",N(J146)=0),"",IF(B146="","Enter the date",IF(AND(ROW()&gt;18,B145=""),"Use the next empty row: a skipped row leaves a gap in the receipt numbers",IF(D146="","Enter who paid",IF(N(J146)=0,"Enter the amount",IF(G146="","Pick what the money was for",IF(P146="?","Pick what it was for from the list",IF(H146="","Pick how it was paid",IF(K146="Cancelled","Cancelled: keep this number unused and give a fresh receipt",IF(AND(H146&lt;&gt;"Cash",I146=""),"Enter the cheque no., UTR or UPI reference",IF(AND(L146&lt;&gt;"",N(L146)&lt;0),"More than the balance due on this invoice",IF(S146&gt;=200000,"₹2,00,000 or more in cash from this person today: barred, s.186",IF(T146&gt;=200000,"₹2,00,000 or more in cash against this invoice: barred, s.186",IF(AND(P146="T",H146="Cash",N(J146)&gt;=20000),"Loan of ₹20,000 or more in cash: barred, s.185",IF(AND(P146="D",H146="Cash",N(J146)&gt;=20000),"Cash deposit of ₹20,000 or more: ask your accountant whether s.185 applies",IF(AND(OR(P146="AG",P146="AS"),$E$9&lt;&gt;""),"Advance: also give a GST receipt voucher, s.31(3)(d) and Rule 50","OK"))))))))))))))))</f>
        <v/>
      </c>
      <c r="P146">
        <f>IF(G146="","",IFERROR(VLOOKUP(G146,Lists!$A$2:$B$9,2,FALSE),"?"))</f>
        <v/>
      </c>
      <c r="Q146">
        <f>IF(K146="Cancelled",0,N(J146))</f>
        <v/>
      </c>
      <c r="R146">
        <f>IF(OR(H146&lt;&gt;"Cash",P146="T",P146="D"),0,Q146)</f>
        <v/>
      </c>
      <c r="S146">
        <f>IF(R146=0,0,SUMIFS($R$18:$R$317,$B$18:$B$317,B146,$D$18:$D$317,D146))</f>
        <v/>
      </c>
      <c r="T146">
        <f>IF(OR(R146=0,E146=""),0,SUMIFS($R$18:$R$317,$E$18:$E$317,E146))</f>
        <v/>
      </c>
      <c r="U146">
        <f>IF(E146="","",IF(N(F146)&gt;0,F146,IFERROR(INDEX($F$18:$F$317,MATCH(E146,$E$18:$E$317,0)),"")))</f>
        <v/>
      </c>
      <c r="V146">
        <f>IF(OR(N146="",N146="OK",K146="Cancelled"),0,1)</f>
        <v/>
      </c>
    </row>
    <row r="147">
      <c r="B147" s="21" t="n"/>
      <c r="C147" s="22">
        <f>IF(B147="","",$E$10&amp;TEXT(N($E$11)+129,"000"))</f>
        <v/>
      </c>
      <c r="D147" s="14" t="n"/>
      <c r="E147" s="23" t="n"/>
      <c r="F147" s="24" t="n"/>
      <c r="G147" s="14" t="n"/>
      <c r="H147" s="14" t="n"/>
      <c r="I147" s="23" t="n"/>
      <c r="J147" s="24" t="n"/>
      <c r="K147" s="23" t="n"/>
      <c r="L147" s="25">
        <f>IF(OR(E147="",N(U147)=0),"",U147-SUMIFS(Q$18:Q147,E$18:E147,E147))</f>
        <v/>
      </c>
      <c r="M147" s="26">
        <f>IF(OR(N(J147)=0,K147="Cancelled"),"",IF(AND(N(J147)&gt;5000,P147&lt;&gt;"G"),"Yes: ₹1","No"))</f>
        <v/>
      </c>
      <c r="N147" s="27">
        <f>IF(AND(B147="",D147="",N(J147)=0),"",IF(B147="","Enter the date",IF(AND(ROW()&gt;18,B146=""),"Use the next empty row: a skipped row leaves a gap in the receipt numbers",IF(D147="","Enter who paid",IF(N(J147)=0,"Enter the amount",IF(G147="","Pick what the money was for",IF(P147="?","Pick what it was for from the list",IF(H147="","Pick how it was paid",IF(K147="Cancelled","Cancelled: keep this number unused and give a fresh receipt",IF(AND(H147&lt;&gt;"Cash",I147=""),"Enter the cheque no., UTR or UPI reference",IF(AND(L147&lt;&gt;"",N(L147)&lt;0),"More than the balance due on this invoice",IF(S147&gt;=200000,"₹2,00,000 or more in cash from this person today: barred, s.186",IF(T147&gt;=200000,"₹2,00,000 or more in cash against this invoice: barred, s.186",IF(AND(P147="T",H147="Cash",N(J147)&gt;=20000),"Loan of ₹20,000 or more in cash: barred, s.185",IF(AND(P147="D",H147="Cash",N(J147)&gt;=20000),"Cash deposit of ₹20,000 or more: ask your accountant whether s.185 applies",IF(AND(OR(P147="AG",P147="AS"),$E$9&lt;&gt;""),"Advance: also give a GST receipt voucher, s.31(3)(d) and Rule 50","OK"))))))))))))))))</f>
        <v/>
      </c>
      <c r="P147">
        <f>IF(G147="","",IFERROR(VLOOKUP(G147,Lists!$A$2:$B$9,2,FALSE),"?"))</f>
        <v/>
      </c>
      <c r="Q147">
        <f>IF(K147="Cancelled",0,N(J147))</f>
        <v/>
      </c>
      <c r="R147">
        <f>IF(OR(H147&lt;&gt;"Cash",P147="T",P147="D"),0,Q147)</f>
        <v/>
      </c>
      <c r="S147">
        <f>IF(R147=0,0,SUMIFS($R$18:$R$317,$B$18:$B$317,B147,$D$18:$D$317,D147))</f>
        <v/>
      </c>
      <c r="T147">
        <f>IF(OR(R147=0,E147=""),0,SUMIFS($R$18:$R$317,$E$18:$E$317,E147))</f>
        <v/>
      </c>
      <c r="U147">
        <f>IF(E147="","",IF(N(F147)&gt;0,F147,IFERROR(INDEX($F$18:$F$317,MATCH(E147,$E$18:$E$317,0)),"")))</f>
        <v/>
      </c>
      <c r="V147">
        <f>IF(OR(N147="",N147="OK",K147="Cancelled"),0,1)</f>
        <v/>
      </c>
    </row>
    <row r="148">
      <c r="B148" s="21" t="n"/>
      <c r="C148" s="22">
        <f>IF(B148="","",$E$10&amp;TEXT(N($E$11)+130,"000"))</f>
        <v/>
      </c>
      <c r="D148" s="14" t="n"/>
      <c r="E148" s="23" t="n"/>
      <c r="F148" s="24" t="n"/>
      <c r="G148" s="14" t="n"/>
      <c r="H148" s="14" t="n"/>
      <c r="I148" s="23" t="n"/>
      <c r="J148" s="24" t="n"/>
      <c r="K148" s="23" t="n"/>
      <c r="L148" s="25">
        <f>IF(OR(E148="",N(U148)=0),"",U148-SUMIFS(Q$18:Q148,E$18:E148,E148))</f>
        <v/>
      </c>
      <c r="M148" s="26">
        <f>IF(OR(N(J148)=0,K148="Cancelled"),"",IF(AND(N(J148)&gt;5000,P148&lt;&gt;"G"),"Yes: ₹1","No"))</f>
        <v/>
      </c>
      <c r="N148" s="27">
        <f>IF(AND(B148="",D148="",N(J148)=0),"",IF(B148="","Enter the date",IF(AND(ROW()&gt;18,B147=""),"Use the next empty row: a skipped row leaves a gap in the receipt numbers",IF(D148="","Enter who paid",IF(N(J148)=0,"Enter the amount",IF(G148="","Pick what the money was for",IF(P148="?","Pick what it was for from the list",IF(H148="","Pick how it was paid",IF(K148="Cancelled","Cancelled: keep this number unused and give a fresh receipt",IF(AND(H148&lt;&gt;"Cash",I148=""),"Enter the cheque no., UTR or UPI reference",IF(AND(L148&lt;&gt;"",N(L148)&lt;0),"More than the balance due on this invoice",IF(S148&gt;=200000,"₹2,00,000 or more in cash from this person today: barred, s.186",IF(T148&gt;=200000,"₹2,00,000 or more in cash against this invoice: barred, s.186",IF(AND(P148="T",H148="Cash",N(J148)&gt;=20000),"Loan of ₹20,000 or more in cash: barred, s.185",IF(AND(P148="D",H148="Cash",N(J148)&gt;=20000),"Cash deposit of ₹20,000 or more: ask your accountant whether s.185 applies",IF(AND(OR(P148="AG",P148="AS"),$E$9&lt;&gt;""),"Advance: also give a GST receipt voucher, s.31(3)(d) and Rule 50","OK"))))))))))))))))</f>
        <v/>
      </c>
      <c r="P148">
        <f>IF(G148="","",IFERROR(VLOOKUP(G148,Lists!$A$2:$B$9,2,FALSE),"?"))</f>
        <v/>
      </c>
      <c r="Q148">
        <f>IF(K148="Cancelled",0,N(J148))</f>
        <v/>
      </c>
      <c r="R148">
        <f>IF(OR(H148&lt;&gt;"Cash",P148="T",P148="D"),0,Q148)</f>
        <v/>
      </c>
      <c r="S148">
        <f>IF(R148=0,0,SUMIFS($R$18:$R$317,$B$18:$B$317,B148,$D$18:$D$317,D148))</f>
        <v/>
      </c>
      <c r="T148">
        <f>IF(OR(R148=0,E148=""),0,SUMIFS($R$18:$R$317,$E$18:$E$317,E148))</f>
        <v/>
      </c>
      <c r="U148">
        <f>IF(E148="","",IF(N(F148)&gt;0,F148,IFERROR(INDEX($F$18:$F$317,MATCH(E148,$E$18:$E$317,0)),"")))</f>
        <v/>
      </c>
      <c r="V148">
        <f>IF(OR(N148="",N148="OK",K148="Cancelled"),0,1)</f>
        <v/>
      </c>
    </row>
    <row r="149">
      <c r="B149" s="21" t="n"/>
      <c r="C149" s="22">
        <f>IF(B149="","",$E$10&amp;TEXT(N($E$11)+131,"000"))</f>
        <v/>
      </c>
      <c r="D149" s="14" t="n"/>
      <c r="E149" s="23" t="n"/>
      <c r="F149" s="24" t="n"/>
      <c r="G149" s="14" t="n"/>
      <c r="H149" s="14" t="n"/>
      <c r="I149" s="23" t="n"/>
      <c r="J149" s="24" t="n"/>
      <c r="K149" s="23" t="n"/>
      <c r="L149" s="25">
        <f>IF(OR(E149="",N(U149)=0),"",U149-SUMIFS(Q$18:Q149,E$18:E149,E149))</f>
        <v/>
      </c>
      <c r="M149" s="26">
        <f>IF(OR(N(J149)=0,K149="Cancelled"),"",IF(AND(N(J149)&gt;5000,P149&lt;&gt;"G"),"Yes: ₹1","No"))</f>
        <v/>
      </c>
      <c r="N149" s="27">
        <f>IF(AND(B149="",D149="",N(J149)=0),"",IF(B149="","Enter the date",IF(AND(ROW()&gt;18,B148=""),"Use the next empty row: a skipped row leaves a gap in the receipt numbers",IF(D149="","Enter who paid",IF(N(J149)=0,"Enter the amount",IF(G149="","Pick what the money was for",IF(P149="?","Pick what it was for from the list",IF(H149="","Pick how it was paid",IF(K149="Cancelled","Cancelled: keep this number unused and give a fresh receipt",IF(AND(H149&lt;&gt;"Cash",I149=""),"Enter the cheque no., UTR or UPI reference",IF(AND(L149&lt;&gt;"",N(L149)&lt;0),"More than the balance due on this invoice",IF(S149&gt;=200000,"₹2,00,000 or more in cash from this person today: barred, s.186",IF(T149&gt;=200000,"₹2,00,000 or more in cash against this invoice: barred, s.186",IF(AND(P149="T",H149="Cash",N(J149)&gt;=20000),"Loan of ₹20,000 or more in cash: barred, s.185",IF(AND(P149="D",H149="Cash",N(J149)&gt;=20000),"Cash deposit of ₹20,000 or more: ask your accountant whether s.185 applies",IF(AND(OR(P149="AG",P149="AS"),$E$9&lt;&gt;""),"Advance: also give a GST receipt voucher, s.31(3)(d) and Rule 50","OK"))))))))))))))))</f>
        <v/>
      </c>
      <c r="P149">
        <f>IF(G149="","",IFERROR(VLOOKUP(G149,Lists!$A$2:$B$9,2,FALSE),"?"))</f>
        <v/>
      </c>
      <c r="Q149">
        <f>IF(K149="Cancelled",0,N(J149))</f>
        <v/>
      </c>
      <c r="R149">
        <f>IF(OR(H149&lt;&gt;"Cash",P149="T",P149="D"),0,Q149)</f>
        <v/>
      </c>
      <c r="S149">
        <f>IF(R149=0,0,SUMIFS($R$18:$R$317,$B$18:$B$317,B149,$D$18:$D$317,D149))</f>
        <v/>
      </c>
      <c r="T149">
        <f>IF(OR(R149=0,E149=""),0,SUMIFS($R$18:$R$317,$E$18:$E$317,E149))</f>
        <v/>
      </c>
      <c r="U149">
        <f>IF(E149="","",IF(N(F149)&gt;0,F149,IFERROR(INDEX($F$18:$F$317,MATCH(E149,$E$18:$E$317,0)),"")))</f>
        <v/>
      </c>
      <c r="V149">
        <f>IF(OR(N149="",N149="OK",K149="Cancelled"),0,1)</f>
        <v/>
      </c>
    </row>
    <row r="150">
      <c r="B150" s="21" t="n"/>
      <c r="C150" s="22">
        <f>IF(B150="","",$E$10&amp;TEXT(N($E$11)+132,"000"))</f>
        <v/>
      </c>
      <c r="D150" s="14" t="n"/>
      <c r="E150" s="23" t="n"/>
      <c r="F150" s="24" t="n"/>
      <c r="G150" s="14" t="n"/>
      <c r="H150" s="14" t="n"/>
      <c r="I150" s="23" t="n"/>
      <c r="J150" s="24" t="n"/>
      <c r="K150" s="23" t="n"/>
      <c r="L150" s="25">
        <f>IF(OR(E150="",N(U150)=0),"",U150-SUMIFS(Q$18:Q150,E$18:E150,E150))</f>
        <v/>
      </c>
      <c r="M150" s="26">
        <f>IF(OR(N(J150)=0,K150="Cancelled"),"",IF(AND(N(J150)&gt;5000,P150&lt;&gt;"G"),"Yes: ₹1","No"))</f>
        <v/>
      </c>
      <c r="N150" s="27">
        <f>IF(AND(B150="",D150="",N(J150)=0),"",IF(B150="","Enter the date",IF(AND(ROW()&gt;18,B149=""),"Use the next empty row: a skipped row leaves a gap in the receipt numbers",IF(D150="","Enter who paid",IF(N(J150)=0,"Enter the amount",IF(G150="","Pick what the money was for",IF(P150="?","Pick what it was for from the list",IF(H150="","Pick how it was paid",IF(K150="Cancelled","Cancelled: keep this number unused and give a fresh receipt",IF(AND(H150&lt;&gt;"Cash",I150=""),"Enter the cheque no., UTR or UPI reference",IF(AND(L150&lt;&gt;"",N(L150)&lt;0),"More than the balance due on this invoice",IF(S150&gt;=200000,"₹2,00,000 or more in cash from this person today: barred, s.186",IF(T150&gt;=200000,"₹2,00,000 or more in cash against this invoice: barred, s.186",IF(AND(P150="T",H150="Cash",N(J150)&gt;=20000),"Loan of ₹20,000 or more in cash: barred, s.185",IF(AND(P150="D",H150="Cash",N(J150)&gt;=20000),"Cash deposit of ₹20,000 or more: ask your accountant whether s.185 applies",IF(AND(OR(P150="AG",P150="AS"),$E$9&lt;&gt;""),"Advance: also give a GST receipt voucher, s.31(3)(d) and Rule 50","OK"))))))))))))))))</f>
        <v/>
      </c>
      <c r="P150">
        <f>IF(G150="","",IFERROR(VLOOKUP(G150,Lists!$A$2:$B$9,2,FALSE),"?"))</f>
        <v/>
      </c>
      <c r="Q150">
        <f>IF(K150="Cancelled",0,N(J150))</f>
        <v/>
      </c>
      <c r="R150">
        <f>IF(OR(H150&lt;&gt;"Cash",P150="T",P150="D"),0,Q150)</f>
        <v/>
      </c>
      <c r="S150">
        <f>IF(R150=0,0,SUMIFS($R$18:$R$317,$B$18:$B$317,B150,$D$18:$D$317,D150))</f>
        <v/>
      </c>
      <c r="T150">
        <f>IF(OR(R150=0,E150=""),0,SUMIFS($R$18:$R$317,$E$18:$E$317,E150))</f>
        <v/>
      </c>
      <c r="U150">
        <f>IF(E150="","",IF(N(F150)&gt;0,F150,IFERROR(INDEX($F$18:$F$317,MATCH(E150,$E$18:$E$317,0)),"")))</f>
        <v/>
      </c>
      <c r="V150">
        <f>IF(OR(N150="",N150="OK",K150="Cancelled"),0,1)</f>
        <v/>
      </c>
    </row>
    <row r="151">
      <c r="B151" s="21" t="n"/>
      <c r="C151" s="22">
        <f>IF(B151="","",$E$10&amp;TEXT(N($E$11)+133,"000"))</f>
        <v/>
      </c>
      <c r="D151" s="14" t="n"/>
      <c r="E151" s="23" t="n"/>
      <c r="F151" s="24" t="n"/>
      <c r="G151" s="14" t="n"/>
      <c r="H151" s="14" t="n"/>
      <c r="I151" s="23" t="n"/>
      <c r="J151" s="24" t="n"/>
      <c r="K151" s="23" t="n"/>
      <c r="L151" s="25">
        <f>IF(OR(E151="",N(U151)=0),"",U151-SUMIFS(Q$18:Q151,E$18:E151,E151))</f>
        <v/>
      </c>
      <c r="M151" s="26">
        <f>IF(OR(N(J151)=0,K151="Cancelled"),"",IF(AND(N(J151)&gt;5000,P151&lt;&gt;"G"),"Yes: ₹1","No"))</f>
        <v/>
      </c>
      <c r="N151" s="27">
        <f>IF(AND(B151="",D151="",N(J151)=0),"",IF(B151="","Enter the date",IF(AND(ROW()&gt;18,B150=""),"Use the next empty row: a skipped row leaves a gap in the receipt numbers",IF(D151="","Enter who paid",IF(N(J151)=0,"Enter the amount",IF(G151="","Pick what the money was for",IF(P151="?","Pick what it was for from the list",IF(H151="","Pick how it was paid",IF(K151="Cancelled","Cancelled: keep this number unused and give a fresh receipt",IF(AND(H151&lt;&gt;"Cash",I151=""),"Enter the cheque no., UTR or UPI reference",IF(AND(L151&lt;&gt;"",N(L151)&lt;0),"More than the balance due on this invoice",IF(S151&gt;=200000,"₹2,00,000 or more in cash from this person today: barred, s.186",IF(T151&gt;=200000,"₹2,00,000 or more in cash against this invoice: barred, s.186",IF(AND(P151="T",H151="Cash",N(J151)&gt;=20000),"Loan of ₹20,000 or more in cash: barred, s.185",IF(AND(P151="D",H151="Cash",N(J151)&gt;=20000),"Cash deposit of ₹20,000 or more: ask your accountant whether s.185 applies",IF(AND(OR(P151="AG",P151="AS"),$E$9&lt;&gt;""),"Advance: also give a GST receipt voucher, s.31(3)(d) and Rule 50","OK"))))))))))))))))</f>
        <v/>
      </c>
      <c r="P151">
        <f>IF(G151="","",IFERROR(VLOOKUP(G151,Lists!$A$2:$B$9,2,FALSE),"?"))</f>
        <v/>
      </c>
      <c r="Q151">
        <f>IF(K151="Cancelled",0,N(J151))</f>
        <v/>
      </c>
      <c r="R151">
        <f>IF(OR(H151&lt;&gt;"Cash",P151="T",P151="D"),0,Q151)</f>
        <v/>
      </c>
      <c r="S151">
        <f>IF(R151=0,0,SUMIFS($R$18:$R$317,$B$18:$B$317,B151,$D$18:$D$317,D151))</f>
        <v/>
      </c>
      <c r="T151">
        <f>IF(OR(R151=0,E151=""),0,SUMIFS($R$18:$R$317,$E$18:$E$317,E151))</f>
        <v/>
      </c>
      <c r="U151">
        <f>IF(E151="","",IF(N(F151)&gt;0,F151,IFERROR(INDEX($F$18:$F$317,MATCH(E151,$E$18:$E$317,0)),"")))</f>
        <v/>
      </c>
      <c r="V151">
        <f>IF(OR(N151="",N151="OK",K151="Cancelled"),0,1)</f>
        <v/>
      </c>
    </row>
    <row r="152">
      <c r="B152" s="21" t="n"/>
      <c r="C152" s="22">
        <f>IF(B152="","",$E$10&amp;TEXT(N($E$11)+134,"000"))</f>
        <v/>
      </c>
      <c r="D152" s="14" t="n"/>
      <c r="E152" s="23" t="n"/>
      <c r="F152" s="24" t="n"/>
      <c r="G152" s="14" t="n"/>
      <c r="H152" s="14" t="n"/>
      <c r="I152" s="23" t="n"/>
      <c r="J152" s="24" t="n"/>
      <c r="K152" s="23" t="n"/>
      <c r="L152" s="25">
        <f>IF(OR(E152="",N(U152)=0),"",U152-SUMIFS(Q$18:Q152,E$18:E152,E152))</f>
        <v/>
      </c>
      <c r="M152" s="26">
        <f>IF(OR(N(J152)=0,K152="Cancelled"),"",IF(AND(N(J152)&gt;5000,P152&lt;&gt;"G"),"Yes: ₹1","No"))</f>
        <v/>
      </c>
      <c r="N152" s="27">
        <f>IF(AND(B152="",D152="",N(J152)=0),"",IF(B152="","Enter the date",IF(AND(ROW()&gt;18,B151=""),"Use the next empty row: a skipped row leaves a gap in the receipt numbers",IF(D152="","Enter who paid",IF(N(J152)=0,"Enter the amount",IF(G152="","Pick what the money was for",IF(P152="?","Pick what it was for from the list",IF(H152="","Pick how it was paid",IF(K152="Cancelled","Cancelled: keep this number unused and give a fresh receipt",IF(AND(H152&lt;&gt;"Cash",I152=""),"Enter the cheque no., UTR or UPI reference",IF(AND(L152&lt;&gt;"",N(L152)&lt;0),"More than the balance due on this invoice",IF(S152&gt;=200000,"₹2,00,000 or more in cash from this person today: barred, s.186",IF(T152&gt;=200000,"₹2,00,000 or more in cash against this invoice: barred, s.186",IF(AND(P152="T",H152="Cash",N(J152)&gt;=20000),"Loan of ₹20,000 or more in cash: barred, s.185",IF(AND(P152="D",H152="Cash",N(J152)&gt;=20000),"Cash deposit of ₹20,000 or more: ask your accountant whether s.185 applies",IF(AND(OR(P152="AG",P152="AS"),$E$9&lt;&gt;""),"Advance: also give a GST receipt voucher, s.31(3)(d) and Rule 50","OK"))))))))))))))))</f>
        <v/>
      </c>
      <c r="P152">
        <f>IF(G152="","",IFERROR(VLOOKUP(G152,Lists!$A$2:$B$9,2,FALSE),"?"))</f>
        <v/>
      </c>
      <c r="Q152">
        <f>IF(K152="Cancelled",0,N(J152))</f>
        <v/>
      </c>
      <c r="R152">
        <f>IF(OR(H152&lt;&gt;"Cash",P152="T",P152="D"),0,Q152)</f>
        <v/>
      </c>
      <c r="S152">
        <f>IF(R152=0,0,SUMIFS($R$18:$R$317,$B$18:$B$317,B152,$D$18:$D$317,D152))</f>
        <v/>
      </c>
      <c r="T152">
        <f>IF(OR(R152=0,E152=""),0,SUMIFS($R$18:$R$317,$E$18:$E$317,E152))</f>
        <v/>
      </c>
      <c r="U152">
        <f>IF(E152="","",IF(N(F152)&gt;0,F152,IFERROR(INDEX($F$18:$F$317,MATCH(E152,$E$18:$E$317,0)),"")))</f>
        <v/>
      </c>
      <c r="V152">
        <f>IF(OR(N152="",N152="OK",K152="Cancelled"),0,1)</f>
        <v/>
      </c>
    </row>
    <row r="153">
      <c r="B153" s="21" t="n"/>
      <c r="C153" s="22">
        <f>IF(B153="","",$E$10&amp;TEXT(N($E$11)+135,"000"))</f>
        <v/>
      </c>
      <c r="D153" s="14" t="n"/>
      <c r="E153" s="23" t="n"/>
      <c r="F153" s="24" t="n"/>
      <c r="G153" s="14" t="n"/>
      <c r="H153" s="14" t="n"/>
      <c r="I153" s="23" t="n"/>
      <c r="J153" s="24" t="n"/>
      <c r="K153" s="23" t="n"/>
      <c r="L153" s="25">
        <f>IF(OR(E153="",N(U153)=0),"",U153-SUMIFS(Q$18:Q153,E$18:E153,E153))</f>
        <v/>
      </c>
      <c r="M153" s="26">
        <f>IF(OR(N(J153)=0,K153="Cancelled"),"",IF(AND(N(J153)&gt;5000,P153&lt;&gt;"G"),"Yes: ₹1","No"))</f>
        <v/>
      </c>
      <c r="N153" s="27">
        <f>IF(AND(B153="",D153="",N(J153)=0),"",IF(B153="","Enter the date",IF(AND(ROW()&gt;18,B152=""),"Use the next empty row: a skipped row leaves a gap in the receipt numbers",IF(D153="","Enter who paid",IF(N(J153)=0,"Enter the amount",IF(G153="","Pick what the money was for",IF(P153="?","Pick what it was for from the list",IF(H153="","Pick how it was paid",IF(K153="Cancelled","Cancelled: keep this number unused and give a fresh receipt",IF(AND(H153&lt;&gt;"Cash",I153=""),"Enter the cheque no., UTR or UPI reference",IF(AND(L153&lt;&gt;"",N(L153)&lt;0),"More than the balance due on this invoice",IF(S153&gt;=200000,"₹2,00,000 or more in cash from this person today: barred, s.186",IF(T153&gt;=200000,"₹2,00,000 or more in cash against this invoice: barred, s.186",IF(AND(P153="T",H153="Cash",N(J153)&gt;=20000),"Loan of ₹20,000 or more in cash: barred, s.185",IF(AND(P153="D",H153="Cash",N(J153)&gt;=20000),"Cash deposit of ₹20,000 or more: ask your accountant whether s.185 applies",IF(AND(OR(P153="AG",P153="AS"),$E$9&lt;&gt;""),"Advance: also give a GST receipt voucher, s.31(3)(d) and Rule 50","OK"))))))))))))))))</f>
        <v/>
      </c>
      <c r="P153">
        <f>IF(G153="","",IFERROR(VLOOKUP(G153,Lists!$A$2:$B$9,2,FALSE),"?"))</f>
        <v/>
      </c>
      <c r="Q153">
        <f>IF(K153="Cancelled",0,N(J153))</f>
        <v/>
      </c>
      <c r="R153">
        <f>IF(OR(H153&lt;&gt;"Cash",P153="T",P153="D"),0,Q153)</f>
        <v/>
      </c>
      <c r="S153">
        <f>IF(R153=0,0,SUMIFS($R$18:$R$317,$B$18:$B$317,B153,$D$18:$D$317,D153))</f>
        <v/>
      </c>
      <c r="T153">
        <f>IF(OR(R153=0,E153=""),0,SUMIFS($R$18:$R$317,$E$18:$E$317,E153))</f>
        <v/>
      </c>
      <c r="U153">
        <f>IF(E153="","",IF(N(F153)&gt;0,F153,IFERROR(INDEX($F$18:$F$317,MATCH(E153,$E$18:$E$317,0)),"")))</f>
        <v/>
      </c>
      <c r="V153">
        <f>IF(OR(N153="",N153="OK",K153="Cancelled"),0,1)</f>
        <v/>
      </c>
    </row>
    <row r="154">
      <c r="B154" s="21" t="n"/>
      <c r="C154" s="22">
        <f>IF(B154="","",$E$10&amp;TEXT(N($E$11)+136,"000"))</f>
        <v/>
      </c>
      <c r="D154" s="14" t="n"/>
      <c r="E154" s="23" t="n"/>
      <c r="F154" s="24" t="n"/>
      <c r="G154" s="14" t="n"/>
      <c r="H154" s="14" t="n"/>
      <c r="I154" s="23" t="n"/>
      <c r="J154" s="24" t="n"/>
      <c r="K154" s="23" t="n"/>
      <c r="L154" s="25">
        <f>IF(OR(E154="",N(U154)=0),"",U154-SUMIFS(Q$18:Q154,E$18:E154,E154))</f>
        <v/>
      </c>
      <c r="M154" s="26">
        <f>IF(OR(N(J154)=0,K154="Cancelled"),"",IF(AND(N(J154)&gt;5000,P154&lt;&gt;"G"),"Yes: ₹1","No"))</f>
        <v/>
      </c>
      <c r="N154" s="27">
        <f>IF(AND(B154="",D154="",N(J154)=0),"",IF(B154="","Enter the date",IF(AND(ROW()&gt;18,B153=""),"Use the next empty row: a skipped row leaves a gap in the receipt numbers",IF(D154="","Enter who paid",IF(N(J154)=0,"Enter the amount",IF(G154="","Pick what the money was for",IF(P154="?","Pick what it was for from the list",IF(H154="","Pick how it was paid",IF(K154="Cancelled","Cancelled: keep this number unused and give a fresh receipt",IF(AND(H154&lt;&gt;"Cash",I154=""),"Enter the cheque no., UTR or UPI reference",IF(AND(L154&lt;&gt;"",N(L154)&lt;0),"More than the balance due on this invoice",IF(S154&gt;=200000,"₹2,00,000 or more in cash from this person today: barred, s.186",IF(T154&gt;=200000,"₹2,00,000 or more in cash against this invoice: barred, s.186",IF(AND(P154="T",H154="Cash",N(J154)&gt;=20000),"Loan of ₹20,000 or more in cash: barred, s.185",IF(AND(P154="D",H154="Cash",N(J154)&gt;=20000),"Cash deposit of ₹20,000 or more: ask your accountant whether s.185 applies",IF(AND(OR(P154="AG",P154="AS"),$E$9&lt;&gt;""),"Advance: also give a GST receipt voucher, s.31(3)(d) and Rule 50","OK"))))))))))))))))</f>
        <v/>
      </c>
      <c r="P154">
        <f>IF(G154="","",IFERROR(VLOOKUP(G154,Lists!$A$2:$B$9,2,FALSE),"?"))</f>
        <v/>
      </c>
      <c r="Q154">
        <f>IF(K154="Cancelled",0,N(J154))</f>
        <v/>
      </c>
      <c r="R154">
        <f>IF(OR(H154&lt;&gt;"Cash",P154="T",P154="D"),0,Q154)</f>
        <v/>
      </c>
      <c r="S154">
        <f>IF(R154=0,0,SUMIFS($R$18:$R$317,$B$18:$B$317,B154,$D$18:$D$317,D154))</f>
        <v/>
      </c>
      <c r="T154">
        <f>IF(OR(R154=0,E154=""),0,SUMIFS($R$18:$R$317,$E$18:$E$317,E154))</f>
        <v/>
      </c>
      <c r="U154">
        <f>IF(E154="","",IF(N(F154)&gt;0,F154,IFERROR(INDEX($F$18:$F$317,MATCH(E154,$E$18:$E$317,0)),"")))</f>
        <v/>
      </c>
      <c r="V154">
        <f>IF(OR(N154="",N154="OK",K154="Cancelled"),0,1)</f>
        <v/>
      </c>
    </row>
    <row r="155">
      <c r="B155" s="21" t="n"/>
      <c r="C155" s="22">
        <f>IF(B155="","",$E$10&amp;TEXT(N($E$11)+137,"000"))</f>
        <v/>
      </c>
      <c r="D155" s="14" t="n"/>
      <c r="E155" s="23" t="n"/>
      <c r="F155" s="24" t="n"/>
      <c r="G155" s="14" t="n"/>
      <c r="H155" s="14" t="n"/>
      <c r="I155" s="23" t="n"/>
      <c r="J155" s="24" t="n"/>
      <c r="K155" s="23" t="n"/>
      <c r="L155" s="25">
        <f>IF(OR(E155="",N(U155)=0),"",U155-SUMIFS(Q$18:Q155,E$18:E155,E155))</f>
        <v/>
      </c>
      <c r="M155" s="26">
        <f>IF(OR(N(J155)=0,K155="Cancelled"),"",IF(AND(N(J155)&gt;5000,P155&lt;&gt;"G"),"Yes: ₹1","No"))</f>
        <v/>
      </c>
      <c r="N155" s="27">
        <f>IF(AND(B155="",D155="",N(J155)=0),"",IF(B155="","Enter the date",IF(AND(ROW()&gt;18,B154=""),"Use the next empty row: a skipped row leaves a gap in the receipt numbers",IF(D155="","Enter who paid",IF(N(J155)=0,"Enter the amount",IF(G155="","Pick what the money was for",IF(P155="?","Pick what it was for from the list",IF(H155="","Pick how it was paid",IF(K155="Cancelled","Cancelled: keep this number unused and give a fresh receipt",IF(AND(H155&lt;&gt;"Cash",I155=""),"Enter the cheque no., UTR or UPI reference",IF(AND(L155&lt;&gt;"",N(L155)&lt;0),"More than the balance due on this invoice",IF(S155&gt;=200000,"₹2,00,000 or more in cash from this person today: barred, s.186",IF(T155&gt;=200000,"₹2,00,000 or more in cash against this invoice: barred, s.186",IF(AND(P155="T",H155="Cash",N(J155)&gt;=20000),"Loan of ₹20,000 or more in cash: barred, s.185",IF(AND(P155="D",H155="Cash",N(J155)&gt;=20000),"Cash deposit of ₹20,000 or more: ask your accountant whether s.185 applies",IF(AND(OR(P155="AG",P155="AS"),$E$9&lt;&gt;""),"Advance: also give a GST receipt voucher, s.31(3)(d) and Rule 50","OK"))))))))))))))))</f>
        <v/>
      </c>
      <c r="P155">
        <f>IF(G155="","",IFERROR(VLOOKUP(G155,Lists!$A$2:$B$9,2,FALSE),"?"))</f>
        <v/>
      </c>
      <c r="Q155">
        <f>IF(K155="Cancelled",0,N(J155))</f>
        <v/>
      </c>
      <c r="R155">
        <f>IF(OR(H155&lt;&gt;"Cash",P155="T",P155="D"),0,Q155)</f>
        <v/>
      </c>
      <c r="S155">
        <f>IF(R155=0,0,SUMIFS($R$18:$R$317,$B$18:$B$317,B155,$D$18:$D$317,D155))</f>
        <v/>
      </c>
      <c r="T155">
        <f>IF(OR(R155=0,E155=""),0,SUMIFS($R$18:$R$317,$E$18:$E$317,E155))</f>
        <v/>
      </c>
      <c r="U155">
        <f>IF(E155="","",IF(N(F155)&gt;0,F155,IFERROR(INDEX($F$18:$F$317,MATCH(E155,$E$18:$E$317,0)),"")))</f>
        <v/>
      </c>
      <c r="V155">
        <f>IF(OR(N155="",N155="OK",K155="Cancelled"),0,1)</f>
        <v/>
      </c>
    </row>
    <row r="156">
      <c r="B156" s="21" t="n"/>
      <c r="C156" s="22">
        <f>IF(B156="","",$E$10&amp;TEXT(N($E$11)+138,"000"))</f>
        <v/>
      </c>
      <c r="D156" s="14" t="n"/>
      <c r="E156" s="23" t="n"/>
      <c r="F156" s="24" t="n"/>
      <c r="G156" s="14" t="n"/>
      <c r="H156" s="14" t="n"/>
      <c r="I156" s="23" t="n"/>
      <c r="J156" s="24" t="n"/>
      <c r="K156" s="23" t="n"/>
      <c r="L156" s="25">
        <f>IF(OR(E156="",N(U156)=0),"",U156-SUMIFS(Q$18:Q156,E$18:E156,E156))</f>
        <v/>
      </c>
      <c r="M156" s="26">
        <f>IF(OR(N(J156)=0,K156="Cancelled"),"",IF(AND(N(J156)&gt;5000,P156&lt;&gt;"G"),"Yes: ₹1","No"))</f>
        <v/>
      </c>
      <c r="N156" s="27">
        <f>IF(AND(B156="",D156="",N(J156)=0),"",IF(B156="","Enter the date",IF(AND(ROW()&gt;18,B155=""),"Use the next empty row: a skipped row leaves a gap in the receipt numbers",IF(D156="","Enter who paid",IF(N(J156)=0,"Enter the amount",IF(G156="","Pick what the money was for",IF(P156="?","Pick what it was for from the list",IF(H156="","Pick how it was paid",IF(K156="Cancelled","Cancelled: keep this number unused and give a fresh receipt",IF(AND(H156&lt;&gt;"Cash",I156=""),"Enter the cheque no., UTR or UPI reference",IF(AND(L156&lt;&gt;"",N(L156)&lt;0),"More than the balance due on this invoice",IF(S156&gt;=200000,"₹2,00,000 or more in cash from this person today: barred, s.186",IF(T156&gt;=200000,"₹2,00,000 or more in cash against this invoice: barred, s.186",IF(AND(P156="T",H156="Cash",N(J156)&gt;=20000),"Loan of ₹20,000 or more in cash: barred, s.185",IF(AND(P156="D",H156="Cash",N(J156)&gt;=20000),"Cash deposit of ₹20,000 or more: ask your accountant whether s.185 applies",IF(AND(OR(P156="AG",P156="AS"),$E$9&lt;&gt;""),"Advance: also give a GST receipt voucher, s.31(3)(d) and Rule 50","OK"))))))))))))))))</f>
        <v/>
      </c>
      <c r="P156">
        <f>IF(G156="","",IFERROR(VLOOKUP(G156,Lists!$A$2:$B$9,2,FALSE),"?"))</f>
        <v/>
      </c>
      <c r="Q156">
        <f>IF(K156="Cancelled",0,N(J156))</f>
        <v/>
      </c>
      <c r="R156">
        <f>IF(OR(H156&lt;&gt;"Cash",P156="T",P156="D"),0,Q156)</f>
        <v/>
      </c>
      <c r="S156">
        <f>IF(R156=0,0,SUMIFS($R$18:$R$317,$B$18:$B$317,B156,$D$18:$D$317,D156))</f>
        <v/>
      </c>
      <c r="T156">
        <f>IF(OR(R156=0,E156=""),0,SUMIFS($R$18:$R$317,$E$18:$E$317,E156))</f>
        <v/>
      </c>
      <c r="U156">
        <f>IF(E156="","",IF(N(F156)&gt;0,F156,IFERROR(INDEX($F$18:$F$317,MATCH(E156,$E$18:$E$317,0)),"")))</f>
        <v/>
      </c>
      <c r="V156">
        <f>IF(OR(N156="",N156="OK",K156="Cancelled"),0,1)</f>
        <v/>
      </c>
    </row>
    <row r="157">
      <c r="B157" s="21" t="n"/>
      <c r="C157" s="22">
        <f>IF(B157="","",$E$10&amp;TEXT(N($E$11)+139,"000"))</f>
        <v/>
      </c>
      <c r="D157" s="14" t="n"/>
      <c r="E157" s="23" t="n"/>
      <c r="F157" s="24" t="n"/>
      <c r="G157" s="14" t="n"/>
      <c r="H157" s="14" t="n"/>
      <c r="I157" s="23" t="n"/>
      <c r="J157" s="24" t="n"/>
      <c r="K157" s="23" t="n"/>
      <c r="L157" s="25">
        <f>IF(OR(E157="",N(U157)=0),"",U157-SUMIFS(Q$18:Q157,E$18:E157,E157))</f>
        <v/>
      </c>
      <c r="M157" s="26">
        <f>IF(OR(N(J157)=0,K157="Cancelled"),"",IF(AND(N(J157)&gt;5000,P157&lt;&gt;"G"),"Yes: ₹1","No"))</f>
        <v/>
      </c>
      <c r="N157" s="27">
        <f>IF(AND(B157="",D157="",N(J157)=0),"",IF(B157="","Enter the date",IF(AND(ROW()&gt;18,B156=""),"Use the next empty row: a skipped row leaves a gap in the receipt numbers",IF(D157="","Enter who paid",IF(N(J157)=0,"Enter the amount",IF(G157="","Pick what the money was for",IF(P157="?","Pick what it was for from the list",IF(H157="","Pick how it was paid",IF(K157="Cancelled","Cancelled: keep this number unused and give a fresh receipt",IF(AND(H157&lt;&gt;"Cash",I157=""),"Enter the cheque no., UTR or UPI reference",IF(AND(L157&lt;&gt;"",N(L157)&lt;0),"More than the balance due on this invoice",IF(S157&gt;=200000,"₹2,00,000 or more in cash from this person today: barred, s.186",IF(T157&gt;=200000,"₹2,00,000 or more in cash against this invoice: barred, s.186",IF(AND(P157="T",H157="Cash",N(J157)&gt;=20000),"Loan of ₹20,000 or more in cash: barred, s.185",IF(AND(P157="D",H157="Cash",N(J157)&gt;=20000),"Cash deposit of ₹20,000 or more: ask your accountant whether s.185 applies",IF(AND(OR(P157="AG",P157="AS"),$E$9&lt;&gt;""),"Advance: also give a GST receipt voucher, s.31(3)(d) and Rule 50","OK"))))))))))))))))</f>
        <v/>
      </c>
      <c r="P157">
        <f>IF(G157="","",IFERROR(VLOOKUP(G157,Lists!$A$2:$B$9,2,FALSE),"?"))</f>
        <v/>
      </c>
      <c r="Q157">
        <f>IF(K157="Cancelled",0,N(J157))</f>
        <v/>
      </c>
      <c r="R157">
        <f>IF(OR(H157&lt;&gt;"Cash",P157="T",P157="D"),0,Q157)</f>
        <v/>
      </c>
      <c r="S157">
        <f>IF(R157=0,0,SUMIFS($R$18:$R$317,$B$18:$B$317,B157,$D$18:$D$317,D157))</f>
        <v/>
      </c>
      <c r="T157">
        <f>IF(OR(R157=0,E157=""),0,SUMIFS($R$18:$R$317,$E$18:$E$317,E157))</f>
        <v/>
      </c>
      <c r="U157">
        <f>IF(E157="","",IF(N(F157)&gt;0,F157,IFERROR(INDEX($F$18:$F$317,MATCH(E157,$E$18:$E$317,0)),"")))</f>
        <v/>
      </c>
      <c r="V157">
        <f>IF(OR(N157="",N157="OK",K157="Cancelled"),0,1)</f>
        <v/>
      </c>
    </row>
    <row r="158">
      <c r="B158" s="21" t="n"/>
      <c r="C158" s="22">
        <f>IF(B158="","",$E$10&amp;TEXT(N($E$11)+140,"000"))</f>
        <v/>
      </c>
      <c r="D158" s="14" t="n"/>
      <c r="E158" s="23" t="n"/>
      <c r="F158" s="24" t="n"/>
      <c r="G158" s="14" t="n"/>
      <c r="H158" s="14" t="n"/>
      <c r="I158" s="23" t="n"/>
      <c r="J158" s="24" t="n"/>
      <c r="K158" s="23" t="n"/>
      <c r="L158" s="25">
        <f>IF(OR(E158="",N(U158)=0),"",U158-SUMIFS(Q$18:Q158,E$18:E158,E158))</f>
        <v/>
      </c>
      <c r="M158" s="26">
        <f>IF(OR(N(J158)=0,K158="Cancelled"),"",IF(AND(N(J158)&gt;5000,P158&lt;&gt;"G"),"Yes: ₹1","No"))</f>
        <v/>
      </c>
      <c r="N158" s="27">
        <f>IF(AND(B158="",D158="",N(J158)=0),"",IF(B158="","Enter the date",IF(AND(ROW()&gt;18,B157=""),"Use the next empty row: a skipped row leaves a gap in the receipt numbers",IF(D158="","Enter who paid",IF(N(J158)=0,"Enter the amount",IF(G158="","Pick what the money was for",IF(P158="?","Pick what it was for from the list",IF(H158="","Pick how it was paid",IF(K158="Cancelled","Cancelled: keep this number unused and give a fresh receipt",IF(AND(H158&lt;&gt;"Cash",I158=""),"Enter the cheque no., UTR or UPI reference",IF(AND(L158&lt;&gt;"",N(L158)&lt;0),"More than the balance due on this invoice",IF(S158&gt;=200000,"₹2,00,000 or more in cash from this person today: barred, s.186",IF(T158&gt;=200000,"₹2,00,000 or more in cash against this invoice: barred, s.186",IF(AND(P158="T",H158="Cash",N(J158)&gt;=20000),"Loan of ₹20,000 or more in cash: barred, s.185",IF(AND(P158="D",H158="Cash",N(J158)&gt;=20000),"Cash deposit of ₹20,000 or more: ask your accountant whether s.185 applies",IF(AND(OR(P158="AG",P158="AS"),$E$9&lt;&gt;""),"Advance: also give a GST receipt voucher, s.31(3)(d) and Rule 50","OK"))))))))))))))))</f>
        <v/>
      </c>
      <c r="P158">
        <f>IF(G158="","",IFERROR(VLOOKUP(G158,Lists!$A$2:$B$9,2,FALSE),"?"))</f>
        <v/>
      </c>
      <c r="Q158">
        <f>IF(K158="Cancelled",0,N(J158))</f>
        <v/>
      </c>
      <c r="R158">
        <f>IF(OR(H158&lt;&gt;"Cash",P158="T",P158="D"),0,Q158)</f>
        <v/>
      </c>
      <c r="S158">
        <f>IF(R158=0,0,SUMIFS($R$18:$R$317,$B$18:$B$317,B158,$D$18:$D$317,D158))</f>
        <v/>
      </c>
      <c r="T158">
        <f>IF(OR(R158=0,E158=""),0,SUMIFS($R$18:$R$317,$E$18:$E$317,E158))</f>
        <v/>
      </c>
      <c r="U158">
        <f>IF(E158="","",IF(N(F158)&gt;0,F158,IFERROR(INDEX($F$18:$F$317,MATCH(E158,$E$18:$E$317,0)),"")))</f>
        <v/>
      </c>
      <c r="V158">
        <f>IF(OR(N158="",N158="OK",K158="Cancelled"),0,1)</f>
        <v/>
      </c>
    </row>
    <row r="159">
      <c r="B159" s="21" t="n"/>
      <c r="C159" s="22">
        <f>IF(B159="","",$E$10&amp;TEXT(N($E$11)+141,"000"))</f>
        <v/>
      </c>
      <c r="D159" s="14" t="n"/>
      <c r="E159" s="23" t="n"/>
      <c r="F159" s="24" t="n"/>
      <c r="G159" s="14" t="n"/>
      <c r="H159" s="14" t="n"/>
      <c r="I159" s="23" t="n"/>
      <c r="J159" s="24" t="n"/>
      <c r="K159" s="23" t="n"/>
      <c r="L159" s="25">
        <f>IF(OR(E159="",N(U159)=0),"",U159-SUMIFS(Q$18:Q159,E$18:E159,E159))</f>
        <v/>
      </c>
      <c r="M159" s="26">
        <f>IF(OR(N(J159)=0,K159="Cancelled"),"",IF(AND(N(J159)&gt;5000,P159&lt;&gt;"G"),"Yes: ₹1","No"))</f>
        <v/>
      </c>
      <c r="N159" s="27">
        <f>IF(AND(B159="",D159="",N(J159)=0),"",IF(B159="","Enter the date",IF(AND(ROW()&gt;18,B158=""),"Use the next empty row: a skipped row leaves a gap in the receipt numbers",IF(D159="","Enter who paid",IF(N(J159)=0,"Enter the amount",IF(G159="","Pick what the money was for",IF(P159="?","Pick what it was for from the list",IF(H159="","Pick how it was paid",IF(K159="Cancelled","Cancelled: keep this number unused and give a fresh receipt",IF(AND(H159&lt;&gt;"Cash",I159=""),"Enter the cheque no., UTR or UPI reference",IF(AND(L159&lt;&gt;"",N(L159)&lt;0),"More than the balance due on this invoice",IF(S159&gt;=200000,"₹2,00,000 or more in cash from this person today: barred, s.186",IF(T159&gt;=200000,"₹2,00,000 or more in cash against this invoice: barred, s.186",IF(AND(P159="T",H159="Cash",N(J159)&gt;=20000),"Loan of ₹20,000 or more in cash: barred, s.185",IF(AND(P159="D",H159="Cash",N(J159)&gt;=20000),"Cash deposit of ₹20,000 or more: ask your accountant whether s.185 applies",IF(AND(OR(P159="AG",P159="AS"),$E$9&lt;&gt;""),"Advance: also give a GST receipt voucher, s.31(3)(d) and Rule 50","OK"))))))))))))))))</f>
        <v/>
      </c>
      <c r="P159">
        <f>IF(G159="","",IFERROR(VLOOKUP(G159,Lists!$A$2:$B$9,2,FALSE),"?"))</f>
        <v/>
      </c>
      <c r="Q159">
        <f>IF(K159="Cancelled",0,N(J159))</f>
        <v/>
      </c>
      <c r="R159">
        <f>IF(OR(H159&lt;&gt;"Cash",P159="T",P159="D"),0,Q159)</f>
        <v/>
      </c>
      <c r="S159">
        <f>IF(R159=0,0,SUMIFS($R$18:$R$317,$B$18:$B$317,B159,$D$18:$D$317,D159))</f>
        <v/>
      </c>
      <c r="T159">
        <f>IF(OR(R159=0,E159=""),0,SUMIFS($R$18:$R$317,$E$18:$E$317,E159))</f>
        <v/>
      </c>
      <c r="U159">
        <f>IF(E159="","",IF(N(F159)&gt;0,F159,IFERROR(INDEX($F$18:$F$317,MATCH(E159,$E$18:$E$317,0)),"")))</f>
        <v/>
      </c>
      <c r="V159">
        <f>IF(OR(N159="",N159="OK",K159="Cancelled"),0,1)</f>
        <v/>
      </c>
    </row>
    <row r="160">
      <c r="B160" s="21" t="n"/>
      <c r="C160" s="22">
        <f>IF(B160="","",$E$10&amp;TEXT(N($E$11)+142,"000"))</f>
        <v/>
      </c>
      <c r="D160" s="14" t="n"/>
      <c r="E160" s="23" t="n"/>
      <c r="F160" s="24" t="n"/>
      <c r="G160" s="14" t="n"/>
      <c r="H160" s="14" t="n"/>
      <c r="I160" s="23" t="n"/>
      <c r="J160" s="24" t="n"/>
      <c r="K160" s="23" t="n"/>
      <c r="L160" s="25">
        <f>IF(OR(E160="",N(U160)=0),"",U160-SUMIFS(Q$18:Q160,E$18:E160,E160))</f>
        <v/>
      </c>
      <c r="M160" s="26">
        <f>IF(OR(N(J160)=0,K160="Cancelled"),"",IF(AND(N(J160)&gt;5000,P160&lt;&gt;"G"),"Yes: ₹1","No"))</f>
        <v/>
      </c>
      <c r="N160" s="27">
        <f>IF(AND(B160="",D160="",N(J160)=0),"",IF(B160="","Enter the date",IF(AND(ROW()&gt;18,B159=""),"Use the next empty row: a skipped row leaves a gap in the receipt numbers",IF(D160="","Enter who paid",IF(N(J160)=0,"Enter the amount",IF(G160="","Pick what the money was for",IF(P160="?","Pick what it was for from the list",IF(H160="","Pick how it was paid",IF(K160="Cancelled","Cancelled: keep this number unused and give a fresh receipt",IF(AND(H160&lt;&gt;"Cash",I160=""),"Enter the cheque no., UTR or UPI reference",IF(AND(L160&lt;&gt;"",N(L160)&lt;0),"More than the balance due on this invoice",IF(S160&gt;=200000,"₹2,00,000 or more in cash from this person today: barred, s.186",IF(T160&gt;=200000,"₹2,00,000 or more in cash against this invoice: barred, s.186",IF(AND(P160="T",H160="Cash",N(J160)&gt;=20000),"Loan of ₹20,000 or more in cash: barred, s.185",IF(AND(P160="D",H160="Cash",N(J160)&gt;=20000),"Cash deposit of ₹20,000 or more: ask your accountant whether s.185 applies",IF(AND(OR(P160="AG",P160="AS"),$E$9&lt;&gt;""),"Advance: also give a GST receipt voucher, s.31(3)(d) and Rule 50","OK"))))))))))))))))</f>
        <v/>
      </c>
      <c r="P160">
        <f>IF(G160="","",IFERROR(VLOOKUP(G160,Lists!$A$2:$B$9,2,FALSE),"?"))</f>
        <v/>
      </c>
      <c r="Q160">
        <f>IF(K160="Cancelled",0,N(J160))</f>
        <v/>
      </c>
      <c r="R160">
        <f>IF(OR(H160&lt;&gt;"Cash",P160="T",P160="D"),0,Q160)</f>
        <v/>
      </c>
      <c r="S160">
        <f>IF(R160=0,0,SUMIFS($R$18:$R$317,$B$18:$B$317,B160,$D$18:$D$317,D160))</f>
        <v/>
      </c>
      <c r="T160">
        <f>IF(OR(R160=0,E160=""),0,SUMIFS($R$18:$R$317,$E$18:$E$317,E160))</f>
        <v/>
      </c>
      <c r="U160">
        <f>IF(E160="","",IF(N(F160)&gt;0,F160,IFERROR(INDEX($F$18:$F$317,MATCH(E160,$E$18:$E$317,0)),"")))</f>
        <v/>
      </c>
      <c r="V160">
        <f>IF(OR(N160="",N160="OK",K160="Cancelled"),0,1)</f>
        <v/>
      </c>
    </row>
    <row r="161">
      <c r="B161" s="21" t="n"/>
      <c r="C161" s="22">
        <f>IF(B161="","",$E$10&amp;TEXT(N($E$11)+143,"000"))</f>
        <v/>
      </c>
      <c r="D161" s="14" t="n"/>
      <c r="E161" s="23" t="n"/>
      <c r="F161" s="24" t="n"/>
      <c r="G161" s="14" t="n"/>
      <c r="H161" s="14" t="n"/>
      <c r="I161" s="23" t="n"/>
      <c r="J161" s="24" t="n"/>
      <c r="K161" s="23" t="n"/>
      <c r="L161" s="25">
        <f>IF(OR(E161="",N(U161)=0),"",U161-SUMIFS(Q$18:Q161,E$18:E161,E161))</f>
        <v/>
      </c>
      <c r="M161" s="26">
        <f>IF(OR(N(J161)=0,K161="Cancelled"),"",IF(AND(N(J161)&gt;5000,P161&lt;&gt;"G"),"Yes: ₹1","No"))</f>
        <v/>
      </c>
      <c r="N161" s="27">
        <f>IF(AND(B161="",D161="",N(J161)=0),"",IF(B161="","Enter the date",IF(AND(ROW()&gt;18,B160=""),"Use the next empty row: a skipped row leaves a gap in the receipt numbers",IF(D161="","Enter who paid",IF(N(J161)=0,"Enter the amount",IF(G161="","Pick what the money was for",IF(P161="?","Pick what it was for from the list",IF(H161="","Pick how it was paid",IF(K161="Cancelled","Cancelled: keep this number unused and give a fresh receipt",IF(AND(H161&lt;&gt;"Cash",I161=""),"Enter the cheque no., UTR or UPI reference",IF(AND(L161&lt;&gt;"",N(L161)&lt;0),"More than the balance due on this invoice",IF(S161&gt;=200000,"₹2,00,000 or more in cash from this person today: barred, s.186",IF(T161&gt;=200000,"₹2,00,000 or more in cash against this invoice: barred, s.186",IF(AND(P161="T",H161="Cash",N(J161)&gt;=20000),"Loan of ₹20,000 or more in cash: barred, s.185",IF(AND(P161="D",H161="Cash",N(J161)&gt;=20000),"Cash deposit of ₹20,000 or more: ask your accountant whether s.185 applies",IF(AND(OR(P161="AG",P161="AS"),$E$9&lt;&gt;""),"Advance: also give a GST receipt voucher, s.31(3)(d) and Rule 50","OK"))))))))))))))))</f>
        <v/>
      </c>
      <c r="P161">
        <f>IF(G161="","",IFERROR(VLOOKUP(G161,Lists!$A$2:$B$9,2,FALSE),"?"))</f>
        <v/>
      </c>
      <c r="Q161">
        <f>IF(K161="Cancelled",0,N(J161))</f>
        <v/>
      </c>
      <c r="R161">
        <f>IF(OR(H161&lt;&gt;"Cash",P161="T",P161="D"),0,Q161)</f>
        <v/>
      </c>
      <c r="S161">
        <f>IF(R161=0,0,SUMIFS($R$18:$R$317,$B$18:$B$317,B161,$D$18:$D$317,D161))</f>
        <v/>
      </c>
      <c r="T161">
        <f>IF(OR(R161=0,E161=""),0,SUMIFS($R$18:$R$317,$E$18:$E$317,E161))</f>
        <v/>
      </c>
      <c r="U161">
        <f>IF(E161="","",IF(N(F161)&gt;0,F161,IFERROR(INDEX($F$18:$F$317,MATCH(E161,$E$18:$E$317,0)),"")))</f>
        <v/>
      </c>
      <c r="V161">
        <f>IF(OR(N161="",N161="OK",K161="Cancelled"),0,1)</f>
        <v/>
      </c>
    </row>
    <row r="162">
      <c r="B162" s="21" t="n"/>
      <c r="C162" s="22">
        <f>IF(B162="","",$E$10&amp;TEXT(N($E$11)+144,"000"))</f>
        <v/>
      </c>
      <c r="D162" s="14" t="n"/>
      <c r="E162" s="23" t="n"/>
      <c r="F162" s="24" t="n"/>
      <c r="G162" s="14" t="n"/>
      <c r="H162" s="14" t="n"/>
      <c r="I162" s="23" t="n"/>
      <c r="J162" s="24" t="n"/>
      <c r="K162" s="23" t="n"/>
      <c r="L162" s="25">
        <f>IF(OR(E162="",N(U162)=0),"",U162-SUMIFS(Q$18:Q162,E$18:E162,E162))</f>
        <v/>
      </c>
      <c r="M162" s="26">
        <f>IF(OR(N(J162)=0,K162="Cancelled"),"",IF(AND(N(J162)&gt;5000,P162&lt;&gt;"G"),"Yes: ₹1","No"))</f>
        <v/>
      </c>
      <c r="N162" s="27">
        <f>IF(AND(B162="",D162="",N(J162)=0),"",IF(B162="","Enter the date",IF(AND(ROW()&gt;18,B161=""),"Use the next empty row: a skipped row leaves a gap in the receipt numbers",IF(D162="","Enter who paid",IF(N(J162)=0,"Enter the amount",IF(G162="","Pick what the money was for",IF(P162="?","Pick what it was for from the list",IF(H162="","Pick how it was paid",IF(K162="Cancelled","Cancelled: keep this number unused and give a fresh receipt",IF(AND(H162&lt;&gt;"Cash",I162=""),"Enter the cheque no., UTR or UPI reference",IF(AND(L162&lt;&gt;"",N(L162)&lt;0),"More than the balance due on this invoice",IF(S162&gt;=200000,"₹2,00,000 or more in cash from this person today: barred, s.186",IF(T162&gt;=200000,"₹2,00,000 or more in cash against this invoice: barred, s.186",IF(AND(P162="T",H162="Cash",N(J162)&gt;=20000),"Loan of ₹20,000 or more in cash: barred, s.185",IF(AND(P162="D",H162="Cash",N(J162)&gt;=20000),"Cash deposit of ₹20,000 or more: ask your accountant whether s.185 applies",IF(AND(OR(P162="AG",P162="AS"),$E$9&lt;&gt;""),"Advance: also give a GST receipt voucher, s.31(3)(d) and Rule 50","OK"))))))))))))))))</f>
        <v/>
      </c>
      <c r="P162">
        <f>IF(G162="","",IFERROR(VLOOKUP(G162,Lists!$A$2:$B$9,2,FALSE),"?"))</f>
        <v/>
      </c>
      <c r="Q162">
        <f>IF(K162="Cancelled",0,N(J162))</f>
        <v/>
      </c>
      <c r="R162">
        <f>IF(OR(H162&lt;&gt;"Cash",P162="T",P162="D"),0,Q162)</f>
        <v/>
      </c>
      <c r="S162">
        <f>IF(R162=0,0,SUMIFS($R$18:$R$317,$B$18:$B$317,B162,$D$18:$D$317,D162))</f>
        <v/>
      </c>
      <c r="T162">
        <f>IF(OR(R162=0,E162=""),0,SUMIFS($R$18:$R$317,$E$18:$E$317,E162))</f>
        <v/>
      </c>
      <c r="U162">
        <f>IF(E162="","",IF(N(F162)&gt;0,F162,IFERROR(INDEX($F$18:$F$317,MATCH(E162,$E$18:$E$317,0)),"")))</f>
        <v/>
      </c>
      <c r="V162">
        <f>IF(OR(N162="",N162="OK",K162="Cancelled"),0,1)</f>
        <v/>
      </c>
    </row>
    <row r="163">
      <c r="B163" s="21" t="n"/>
      <c r="C163" s="22">
        <f>IF(B163="","",$E$10&amp;TEXT(N($E$11)+145,"000"))</f>
        <v/>
      </c>
      <c r="D163" s="14" t="n"/>
      <c r="E163" s="23" t="n"/>
      <c r="F163" s="24" t="n"/>
      <c r="G163" s="14" t="n"/>
      <c r="H163" s="14" t="n"/>
      <c r="I163" s="23" t="n"/>
      <c r="J163" s="24" t="n"/>
      <c r="K163" s="23" t="n"/>
      <c r="L163" s="25">
        <f>IF(OR(E163="",N(U163)=0),"",U163-SUMIFS(Q$18:Q163,E$18:E163,E163))</f>
        <v/>
      </c>
      <c r="M163" s="26">
        <f>IF(OR(N(J163)=0,K163="Cancelled"),"",IF(AND(N(J163)&gt;5000,P163&lt;&gt;"G"),"Yes: ₹1","No"))</f>
        <v/>
      </c>
      <c r="N163" s="27">
        <f>IF(AND(B163="",D163="",N(J163)=0),"",IF(B163="","Enter the date",IF(AND(ROW()&gt;18,B162=""),"Use the next empty row: a skipped row leaves a gap in the receipt numbers",IF(D163="","Enter who paid",IF(N(J163)=0,"Enter the amount",IF(G163="","Pick what the money was for",IF(P163="?","Pick what it was for from the list",IF(H163="","Pick how it was paid",IF(K163="Cancelled","Cancelled: keep this number unused and give a fresh receipt",IF(AND(H163&lt;&gt;"Cash",I163=""),"Enter the cheque no., UTR or UPI reference",IF(AND(L163&lt;&gt;"",N(L163)&lt;0),"More than the balance due on this invoice",IF(S163&gt;=200000,"₹2,00,000 or more in cash from this person today: barred, s.186",IF(T163&gt;=200000,"₹2,00,000 or more in cash against this invoice: barred, s.186",IF(AND(P163="T",H163="Cash",N(J163)&gt;=20000),"Loan of ₹20,000 or more in cash: barred, s.185",IF(AND(P163="D",H163="Cash",N(J163)&gt;=20000),"Cash deposit of ₹20,000 or more: ask your accountant whether s.185 applies",IF(AND(OR(P163="AG",P163="AS"),$E$9&lt;&gt;""),"Advance: also give a GST receipt voucher, s.31(3)(d) and Rule 50","OK"))))))))))))))))</f>
        <v/>
      </c>
      <c r="P163">
        <f>IF(G163="","",IFERROR(VLOOKUP(G163,Lists!$A$2:$B$9,2,FALSE),"?"))</f>
        <v/>
      </c>
      <c r="Q163">
        <f>IF(K163="Cancelled",0,N(J163))</f>
        <v/>
      </c>
      <c r="R163">
        <f>IF(OR(H163&lt;&gt;"Cash",P163="T",P163="D"),0,Q163)</f>
        <v/>
      </c>
      <c r="S163">
        <f>IF(R163=0,0,SUMIFS($R$18:$R$317,$B$18:$B$317,B163,$D$18:$D$317,D163))</f>
        <v/>
      </c>
      <c r="T163">
        <f>IF(OR(R163=0,E163=""),0,SUMIFS($R$18:$R$317,$E$18:$E$317,E163))</f>
        <v/>
      </c>
      <c r="U163">
        <f>IF(E163="","",IF(N(F163)&gt;0,F163,IFERROR(INDEX($F$18:$F$317,MATCH(E163,$E$18:$E$317,0)),"")))</f>
        <v/>
      </c>
      <c r="V163">
        <f>IF(OR(N163="",N163="OK",K163="Cancelled"),0,1)</f>
        <v/>
      </c>
    </row>
    <row r="164">
      <c r="B164" s="21" t="n"/>
      <c r="C164" s="22">
        <f>IF(B164="","",$E$10&amp;TEXT(N($E$11)+146,"000"))</f>
        <v/>
      </c>
      <c r="D164" s="14" t="n"/>
      <c r="E164" s="23" t="n"/>
      <c r="F164" s="24" t="n"/>
      <c r="G164" s="14" t="n"/>
      <c r="H164" s="14" t="n"/>
      <c r="I164" s="23" t="n"/>
      <c r="J164" s="24" t="n"/>
      <c r="K164" s="23" t="n"/>
      <c r="L164" s="25">
        <f>IF(OR(E164="",N(U164)=0),"",U164-SUMIFS(Q$18:Q164,E$18:E164,E164))</f>
        <v/>
      </c>
      <c r="M164" s="26">
        <f>IF(OR(N(J164)=0,K164="Cancelled"),"",IF(AND(N(J164)&gt;5000,P164&lt;&gt;"G"),"Yes: ₹1","No"))</f>
        <v/>
      </c>
      <c r="N164" s="27">
        <f>IF(AND(B164="",D164="",N(J164)=0),"",IF(B164="","Enter the date",IF(AND(ROW()&gt;18,B163=""),"Use the next empty row: a skipped row leaves a gap in the receipt numbers",IF(D164="","Enter who paid",IF(N(J164)=0,"Enter the amount",IF(G164="","Pick what the money was for",IF(P164="?","Pick what it was for from the list",IF(H164="","Pick how it was paid",IF(K164="Cancelled","Cancelled: keep this number unused and give a fresh receipt",IF(AND(H164&lt;&gt;"Cash",I164=""),"Enter the cheque no., UTR or UPI reference",IF(AND(L164&lt;&gt;"",N(L164)&lt;0),"More than the balance due on this invoice",IF(S164&gt;=200000,"₹2,00,000 or more in cash from this person today: barred, s.186",IF(T164&gt;=200000,"₹2,00,000 or more in cash against this invoice: barred, s.186",IF(AND(P164="T",H164="Cash",N(J164)&gt;=20000),"Loan of ₹20,000 or more in cash: barred, s.185",IF(AND(P164="D",H164="Cash",N(J164)&gt;=20000),"Cash deposit of ₹20,000 or more: ask your accountant whether s.185 applies",IF(AND(OR(P164="AG",P164="AS"),$E$9&lt;&gt;""),"Advance: also give a GST receipt voucher, s.31(3)(d) and Rule 50","OK"))))))))))))))))</f>
        <v/>
      </c>
      <c r="P164">
        <f>IF(G164="","",IFERROR(VLOOKUP(G164,Lists!$A$2:$B$9,2,FALSE),"?"))</f>
        <v/>
      </c>
      <c r="Q164">
        <f>IF(K164="Cancelled",0,N(J164))</f>
        <v/>
      </c>
      <c r="R164">
        <f>IF(OR(H164&lt;&gt;"Cash",P164="T",P164="D"),0,Q164)</f>
        <v/>
      </c>
      <c r="S164">
        <f>IF(R164=0,0,SUMIFS($R$18:$R$317,$B$18:$B$317,B164,$D$18:$D$317,D164))</f>
        <v/>
      </c>
      <c r="T164">
        <f>IF(OR(R164=0,E164=""),0,SUMIFS($R$18:$R$317,$E$18:$E$317,E164))</f>
        <v/>
      </c>
      <c r="U164">
        <f>IF(E164="","",IF(N(F164)&gt;0,F164,IFERROR(INDEX($F$18:$F$317,MATCH(E164,$E$18:$E$317,0)),"")))</f>
        <v/>
      </c>
      <c r="V164">
        <f>IF(OR(N164="",N164="OK",K164="Cancelled"),0,1)</f>
        <v/>
      </c>
    </row>
    <row r="165">
      <c r="B165" s="21" t="n"/>
      <c r="C165" s="22">
        <f>IF(B165="","",$E$10&amp;TEXT(N($E$11)+147,"000"))</f>
        <v/>
      </c>
      <c r="D165" s="14" t="n"/>
      <c r="E165" s="23" t="n"/>
      <c r="F165" s="24" t="n"/>
      <c r="G165" s="14" t="n"/>
      <c r="H165" s="14" t="n"/>
      <c r="I165" s="23" t="n"/>
      <c r="J165" s="24" t="n"/>
      <c r="K165" s="23" t="n"/>
      <c r="L165" s="25">
        <f>IF(OR(E165="",N(U165)=0),"",U165-SUMIFS(Q$18:Q165,E$18:E165,E165))</f>
        <v/>
      </c>
      <c r="M165" s="26">
        <f>IF(OR(N(J165)=0,K165="Cancelled"),"",IF(AND(N(J165)&gt;5000,P165&lt;&gt;"G"),"Yes: ₹1","No"))</f>
        <v/>
      </c>
      <c r="N165" s="27">
        <f>IF(AND(B165="",D165="",N(J165)=0),"",IF(B165="","Enter the date",IF(AND(ROW()&gt;18,B164=""),"Use the next empty row: a skipped row leaves a gap in the receipt numbers",IF(D165="","Enter who paid",IF(N(J165)=0,"Enter the amount",IF(G165="","Pick what the money was for",IF(P165="?","Pick what it was for from the list",IF(H165="","Pick how it was paid",IF(K165="Cancelled","Cancelled: keep this number unused and give a fresh receipt",IF(AND(H165&lt;&gt;"Cash",I165=""),"Enter the cheque no., UTR or UPI reference",IF(AND(L165&lt;&gt;"",N(L165)&lt;0),"More than the balance due on this invoice",IF(S165&gt;=200000,"₹2,00,000 or more in cash from this person today: barred, s.186",IF(T165&gt;=200000,"₹2,00,000 or more in cash against this invoice: barred, s.186",IF(AND(P165="T",H165="Cash",N(J165)&gt;=20000),"Loan of ₹20,000 or more in cash: barred, s.185",IF(AND(P165="D",H165="Cash",N(J165)&gt;=20000),"Cash deposit of ₹20,000 or more: ask your accountant whether s.185 applies",IF(AND(OR(P165="AG",P165="AS"),$E$9&lt;&gt;""),"Advance: also give a GST receipt voucher, s.31(3)(d) and Rule 50","OK"))))))))))))))))</f>
        <v/>
      </c>
      <c r="P165">
        <f>IF(G165="","",IFERROR(VLOOKUP(G165,Lists!$A$2:$B$9,2,FALSE),"?"))</f>
        <v/>
      </c>
      <c r="Q165">
        <f>IF(K165="Cancelled",0,N(J165))</f>
        <v/>
      </c>
      <c r="R165">
        <f>IF(OR(H165&lt;&gt;"Cash",P165="T",P165="D"),0,Q165)</f>
        <v/>
      </c>
      <c r="S165">
        <f>IF(R165=0,0,SUMIFS($R$18:$R$317,$B$18:$B$317,B165,$D$18:$D$317,D165))</f>
        <v/>
      </c>
      <c r="T165">
        <f>IF(OR(R165=0,E165=""),0,SUMIFS($R$18:$R$317,$E$18:$E$317,E165))</f>
        <v/>
      </c>
      <c r="U165">
        <f>IF(E165="","",IF(N(F165)&gt;0,F165,IFERROR(INDEX($F$18:$F$317,MATCH(E165,$E$18:$E$317,0)),"")))</f>
        <v/>
      </c>
      <c r="V165">
        <f>IF(OR(N165="",N165="OK",K165="Cancelled"),0,1)</f>
        <v/>
      </c>
    </row>
    <row r="166">
      <c r="B166" s="21" t="n"/>
      <c r="C166" s="22">
        <f>IF(B166="","",$E$10&amp;TEXT(N($E$11)+148,"000"))</f>
        <v/>
      </c>
      <c r="D166" s="14" t="n"/>
      <c r="E166" s="23" t="n"/>
      <c r="F166" s="24" t="n"/>
      <c r="G166" s="14" t="n"/>
      <c r="H166" s="14" t="n"/>
      <c r="I166" s="23" t="n"/>
      <c r="J166" s="24" t="n"/>
      <c r="K166" s="23" t="n"/>
      <c r="L166" s="25">
        <f>IF(OR(E166="",N(U166)=0),"",U166-SUMIFS(Q$18:Q166,E$18:E166,E166))</f>
        <v/>
      </c>
      <c r="M166" s="26">
        <f>IF(OR(N(J166)=0,K166="Cancelled"),"",IF(AND(N(J166)&gt;5000,P166&lt;&gt;"G"),"Yes: ₹1","No"))</f>
        <v/>
      </c>
      <c r="N166" s="27">
        <f>IF(AND(B166="",D166="",N(J166)=0),"",IF(B166="","Enter the date",IF(AND(ROW()&gt;18,B165=""),"Use the next empty row: a skipped row leaves a gap in the receipt numbers",IF(D166="","Enter who paid",IF(N(J166)=0,"Enter the amount",IF(G166="","Pick what the money was for",IF(P166="?","Pick what it was for from the list",IF(H166="","Pick how it was paid",IF(K166="Cancelled","Cancelled: keep this number unused and give a fresh receipt",IF(AND(H166&lt;&gt;"Cash",I166=""),"Enter the cheque no., UTR or UPI reference",IF(AND(L166&lt;&gt;"",N(L166)&lt;0),"More than the balance due on this invoice",IF(S166&gt;=200000,"₹2,00,000 or more in cash from this person today: barred, s.186",IF(T166&gt;=200000,"₹2,00,000 or more in cash against this invoice: barred, s.186",IF(AND(P166="T",H166="Cash",N(J166)&gt;=20000),"Loan of ₹20,000 or more in cash: barred, s.185",IF(AND(P166="D",H166="Cash",N(J166)&gt;=20000),"Cash deposit of ₹20,000 or more: ask your accountant whether s.185 applies",IF(AND(OR(P166="AG",P166="AS"),$E$9&lt;&gt;""),"Advance: also give a GST receipt voucher, s.31(3)(d) and Rule 50","OK"))))))))))))))))</f>
        <v/>
      </c>
      <c r="P166">
        <f>IF(G166="","",IFERROR(VLOOKUP(G166,Lists!$A$2:$B$9,2,FALSE),"?"))</f>
        <v/>
      </c>
      <c r="Q166">
        <f>IF(K166="Cancelled",0,N(J166))</f>
        <v/>
      </c>
      <c r="R166">
        <f>IF(OR(H166&lt;&gt;"Cash",P166="T",P166="D"),0,Q166)</f>
        <v/>
      </c>
      <c r="S166">
        <f>IF(R166=0,0,SUMIFS($R$18:$R$317,$B$18:$B$317,B166,$D$18:$D$317,D166))</f>
        <v/>
      </c>
      <c r="T166">
        <f>IF(OR(R166=0,E166=""),0,SUMIFS($R$18:$R$317,$E$18:$E$317,E166))</f>
        <v/>
      </c>
      <c r="U166">
        <f>IF(E166="","",IF(N(F166)&gt;0,F166,IFERROR(INDEX($F$18:$F$317,MATCH(E166,$E$18:$E$317,0)),"")))</f>
        <v/>
      </c>
      <c r="V166">
        <f>IF(OR(N166="",N166="OK",K166="Cancelled"),0,1)</f>
        <v/>
      </c>
    </row>
    <row r="167">
      <c r="B167" s="21" t="n"/>
      <c r="C167" s="22">
        <f>IF(B167="","",$E$10&amp;TEXT(N($E$11)+149,"000"))</f>
        <v/>
      </c>
      <c r="D167" s="14" t="n"/>
      <c r="E167" s="23" t="n"/>
      <c r="F167" s="24" t="n"/>
      <c r="G167" s="14" t="n"/>
      <c r="H167" s="14" t="n"/>
      <c r="I167" s="23" t="n"/>
      <c r="J167" s="24" t="n"/>
      <c r="K167" s="23" t="n"/>
      <c r="L167" s="25">
        <f>IF(OR(E167="",N(U167)=0),"",U167-SUMIFS(Q$18:Q167,E$18:E167,E167))</f>
        <v/>
      </c>
      <c r="M167" s="26">
        <f>IF(OR(N(J167)=0,K167="Cancelled"),"",IF(AND(N(J167)&gt;5000,P167&lt;&gt;"G"),"Yes: ₹1","No"))</f>
        <v/>
      </c>
      <c r="N167" s="27">
        <f>IF(AND(B167="",D167="",N(J167)=0),"",IF(B167="","Enter the date",IF(AND(ROW()&gt;18,B166=""),"Use the next empty row: a skipped row leaves a gap in the receipt numbers",IF(D167="","Enter who paid",IF(N(J167)=0,"Enter the amount",IF(G167="","Pick what the money was for",IF(P167="?","Pick what it was for from the list",IF(H167="","Pick how it was paid",IF(K167="Cancelled","Cancelled: keep this number unused and give a fresh receipt",IF(AND(H167&lt;&gt;"Cash",I167=""),"Enter the cheque no., UTR or UPI reference",IF(AND(L167&lt;&gt;"",N(L167)&lt;0),"More than the balance due on this invoice",IF(S167&gt;=200000,"₹2,00,000 or more in cash from this person today: barred, s.186",IF(T167&gt;=200000,"₹2,00,000 or more in cash against this invoice: barred, s.186",IF(AND(P167="T",H167="Cash",N(J167)&gt;=20000),"Loan of ₹20,000 or more in cash: barred, s.185",IF(AND(P167="D",H167="Cash",N(J167)&gt;=20000),"Cash deposit of ₹20,000 or more: ask your accountant whether s.185 applies",IF(AND(OR(P167="AG",P167="AS"),$E$9&lt;&gt;""),"Advance: also give a GST receipt voucher, s.31(3)(d) and Rule 50","OK"))))))))))))))))</f>
        <v/>
      </c>
      <c r="P167">
        <f>IF(G167="","",IFERROR(VLOOKUP(G167,Lists!$A$2:$B$9,2,FALSE),"?"))</f>
        <v/>
      </c>
      <c r="Q167">
        <f>IF(K167="Cancelled",0,N(J167))</f>
        <v/>
      </c>
      <c r="R167">
        <f>IF(OR(H167&lt;&gt;"Cash",P167="T",P167="D"),0,Q167)</f>
        <v/>
      </c>
      <c r="S167">
        <f>IF(R167=0,0,SUMIFS($R$18:$R$317,$B$18:$B$317,B167,$D$18:$D$317,D167))</f>
        <v/>
      </c>
      <c r="T167">
        <f>IF(OR(R167=0,E167=""),0,SUMIFS($R$18:$R$317,$E$18:$E$317,E167))</f>
        <v/>
      </c>
      <c r="U167">
        <f>IF(E167="","",IF(N(F167)&gt;0,F167,IFERROR(INDEX($F$18:$F$317,MATCH(E167,$E$18:$E$317,0)),"")))</f>
        <v/>
      </c>
      <c r="V167">
        <f>IF(OR(N167="",N167="OK",K167="Cancelled"),0,1)</f>
        <v/>
      </c>
    </row>
    <row r="168">
      <c r="B168" s="21" t="n"/>
      <c r="C168" s="22">
        <f>IF(B168="","",$E$10&amp;TEXT(N($E$11)+150,"000"))</f>
        <v/>
      </c>
      <c r="D168" s="14" t="n"/>
      <c r="E168" s="23" t="n"/>
      <c r="F168" s="24" t="n"/>
      <c r="G168" s="14" t="n"/>
      <c r="H168" s="14" t="n"/>
      <c r="I168" s="23" t="n"/>
      <c r="J168" s="24" t="n"/>
      <c r="K168" s="23" t="n"/>
      <c r="L168" s="25">
        <f>IF(OR(E168="",N(U168)=0),"",U168-SUMIFS(Q$18:Q168,E$18:E168,E168))</f>
        <v/>
      </c>
      <c r="M168" s="26">
        <f>IF(OR(N(J168)=0,K168="Cancelled"),"",IF(AND(N(J168)&gt;5000,P168&lt;&gt;"G"),"Yes: ₹1","No"))</f>
        <v/>
      </c>
      <c r="N168" s="27">
        <f>IF(AND(B168="",D168="",N(J168)=0),"",IF(B168="","Enter the date",IF(AND(ROW()&gt;18,B167=""),"Use the next empty row: a skipped row leaves a gap in the receipt numbers",IF(D168="","Enter who paid",IF(N(J168)=0,"Enter the amount",IF(G168="","Pick what the money was for",IF(P168="?","Pick what it was for from the list",IF(H168="","Pick how it was paid",IF(K168="Cancelled","Cancelled: keep this number unused and give a fresh receipt",IF(AND(H168&lt;&gt;"Cash",I168=""),"Enter the cheque no., UTR or UPI reference",IF(AND(L168&lt;&gt;"",N(L168)&lt;0),"More than the balance due on this invoice",IF(S168&gt;=200000,"₹2,00,000 or more in cash from this person today: barred, s.186",IF(T168&gt;=200000,"₹2,00,000 or more in cash against this invoice: barred, s.186",IF(AND(P168="T",H168="Cash",N(J168)&gt;=20000),"Loan of ₹20,000 or more in cash: barred, s.185",IF(AND(P168="D",H168="Cash",N(J168)&gt;=20000),"Cash deposit of ₹20,000 or more: ask your accountant whether s.185 applies",IF(AND(OR(P168="AG",P168="AS"),$E$9&lt;&gt;""),"Advance: also give a GST receipt voucher, s.31(3)(d) and Rule 50","OK"))))))))))))))))</f>
        <v/>
      </c>
      <c r="P168">
        <f>IF(G168="","",IFERROR(VLOOKUP(G168,Lists!$A$2:$B$9,2,FALSE),"?"))</f>
        <v/>
      </c>
      <c r="Q168">
        <f>IF(K168="Cancelled",0,N(J168))</f>
        <v/>
      </c>
      <c r="R168">
        <f>IF(OR(H168&lt;&gt;"Cash",P168="T",P168="D"),0,Q168)</f>
        <v/>
      </c>
      <c r="S168">
        <f>IF(R168=0,0,SUMIFS($R$18:$R$317,$B$18:$B$317,B168,$D$18:$D$317,D168))</f>
        <v/>
      </c>
      <c r="T168">
        <f>IF(OR(R168=0,E168=""),0,SUMIFS($R$18:$R$317,$E$18:$E$317,E168))</f>
        <v/>
      </c>
      <c r="U168">
        <f>IF(E168="","",IF(N(F168)&gt;0,F168,IFERROR(INDEX($F$18:$F$317,MATCH(E168,$E$18:$E$317,0)),"")))</f>
        <v/>
      </c>
      <c r="V168">
        <f>IF(OR(N168="",N168="OK",K168="Cancelled"),0,1)</f>
        <v/>
      </c>
    </row>
    <row r="169">
      <c r="B169" s="21" t="n"/>
      <c r="C169" s="22">
        <f>IF(B169="","",$E$10&amp;TEXT(N($E$11)+151,"000"))</f>
        <v/>
      </c>
      <c r="D169" s="14" t="n"/>
      <c r="E169" s="23" t="n"/>
      <c r="F169" s="24" t="n"/>
      <c r="G169" s="14" t="n"/>
      <c r="H169" s="14" t="n"/>
      <c r="I169" s="23" t="n"/>
      <c r="J169" s="24" t="n"/>
      <c r="K169" s="23" t="n"/>
      <c r="L169" s="25">
        <f>IF(OR(E169="",N(U169)=0),"",U169-SUMIFS(Q$18:Q169,E$18:E169,E169))</f>
        <v/>
      </c>
      <c r="M169" s="26">
        <f>IF(OR(N(J169)=0,K169="Cancelled"),"",IF(AND(N(J169)&gt;5000,P169&lt;&gt;"G"),"Yes: ₹1","No"))</f>
        <v/>
      </c>
      <c r="N169" s="27">
        <f>IF(AND(B169="",D169="",N(J169)=0),"",IF(B169="","Enter the date",IF(AND(ROW()&gt;18,B168=""),"Use the next empty row: a skipped row leaves a gap in the receipt numbers",IF(D169="","Enter who paid",IF(N(J169)=0,"Enter the amount",IF(G169="","Pick what the money was for",IF(P169="?","Pick what it was for from the list",IF(H169="","Pick how it was paid",IF(K169="Cancelled","Cancelled: keep this number unused and give a fresh receipt",IF(AND(H169&lt;&gt;"Cash",I169=""),"Enter the cheque no., UTR or UPI reference",IF(AND(L169&lt;&gt;"",N(L169)&lt;0),"More than the balance due on this invoice",IF(S169&gt;=200000,"₹2,00,000 or more in cash from this person today: barred, s.186",IF(T169&gt;=200000,"₹2,00,000 or more in cash against this invoice: barred, s.186",IF(AND(P169="T",H169="Cash",N(J169)&gt;=20000),"Loan of ₹20,000 or more in cash: barred, s.185",IF(AND(P169="D",H169="Cash",N(J169)&gt;=20000),"Cash deposit of ₹20,000 or more: ask your accountant whether s.185 applies",IF(AND(OR(P169="AG",P169="AS"),$E$9&lt;&gt;""),"Advance: also give a GST receipt voucher, s.31(3)(d) and Rule 50","OK"))))))))))))))))</f>
        <v/>
      </c>
      <c r="P169">
        <f>IF(G169="","",IFERROR(VLOOKUP(G169,Lists!$A$2:$B$9,2,FALSE),"?"))</f>
        <v/>
      </c>
      <c r="Q169">
        <f>IF(K169="Cancelled",0,N(J169))</f>
        <v/>
      </c>
      <c r="R169">
        <f>IF(OR(H169&lt;&gt;"Cash",P169="T",P169="D"),0,Q169)</f>
        <v/>
      </c>
      <c r="S169">
        <f>IF(R169=0,0,SUMIFS($R$18:$R$317,$B$18:$B$317,B169,$D$18:$D$317,D169))</f>
        <v/>
      </c>
      <c r="T169">
        <f>IF(OR(R169=0,E169=""),0,SUMIFS($R$18:$R$317,$E$18:$E$317,E169))</f>
        <v/>
      </c>
      <c r="U169">
        <f>IF(E169="","",IF(N(F169)&gt;0,F169,IFERROR(INDEX($F$18:$F$317,MATCH(E169,$E$18:$E$317,0)),"")))</f>
        <v/>
      </c>
      <c r="V169">
        <f>IF(OR(N169="",N169="OK",K169="Cancelled"),0,1)</f>
        <v/>
      </c>
    </row>
    <row r="170">
      <c r="B170" s="21" t="n"/>
      <c r="C170" s="22">
        <f>IF(B170="","",$E$10&amp;TEXT(N($E$11)+152,"000"))</f>
        <v/>
      </c>
      <c r="D170" s="14" t="n"/>
      <c r="E170" s="23" t="n"/>
      <c r="F170" s="24" t="n"/>
      <c r="G170" s="14" t="n"/>
      <c r="H170" s="14" t="n"/>
      <c r="I170" s="23" t="n"/>
      <c r="J170" s="24" t="n"/>
      <c r="K170" s="23" t="n"/>
      <c r="L170" s="25">
        <f>IF(OR(E170="",N(U170)=0),"",U170-SUMIFS(Q$18:Q170,E$18:E170,E170))</f>
        <v/>
      </c>
      <c r="M170" s="26">
        <f>IF(OR(N(J170)=0,K170="Cancelled"),"",IF(AND(N(J170)&gt;5000,P170&lt;&gt;"G"),"Yes: ₹1","No"))</f>
        <v/>
      </c>
      <c r="N170" s="27">
        <f>IF(AND(B170="",D170="",N(J170)=0),"",IF(B170="","Enter the date",IF(AND(ROW()&gt;18,B169=""),"Use the next empty row: a skipped row leaves a gap in the receipt numbers",IF(D170="","Enter who paid",IF(N(J170)=0,"Enter the amount",IF(G170="","Pick what the money was for",IF(P170="?","Pick what it was for from the list",IF(H170="","Pick how it was paid",IF(K170="Cancelled","Cancelled: keep this number unused and give a fresh receipt",IF(AND(H170&lt;&gt;"Cash",I170=""),"Enter the cheque no., UTR or UPI reference",IF(AND(L170&lt;&gt;"",N(L170)&lt;0),"More than the balance due on this invoice",IF(S170&gt;=200000,"₹2,00,000 or more in cash from this person today: barred, s.186",IF(T170&gt;=200000,"₹2,00,000 or more in cash against this invoice: barred, s.186",IF(AND(P170="T",H170="Cash",N(J170)&gt;=20000),"Loan of ₹20,000 or more in cash: barred, s.185",IF(AND(P170="D",H170="Cash",N(J170)&gt;=20000),"Cash deposit of ₹20,000 or more: ask your accountant whether s.185 applies",IF(AND(OR(P170="AG",P170="AS"),$E$9&lt;&gt;""),"Advance: also give a GST receipt voucher, s.31(3)(d) and Rule 50","OK"))))))))))))))))</f>
        <v/>
      </c>
      <c r="P170">
        <f>IF(G170="","",IFERROR(VLOOKUP(G170,Lists!$A$2:$B$9,2,FALSE),"?"))</f>
        <v/>
      </c>
      <c r="Q170">
        <f>IF(K170="Cancelled",0,N(J170))</f>
        <v/>
      </c>
      <c r="R170">
        <f>IF(OR(H170&lt;&gt;"Cash",P170="T",P170="D"),0,Q170)</f>
        <v/>
      </c>
      <c r="S170">
        <f>IF(R170=0,0,SUMIFS($R$18:$R$317,$B$18:$B$317,B170,$D$18:$D$317,D170))</f>
        <v/>
      </c>
      <c r="T170">
        <f>IF(OR(R170=0,E170=""),0,SUMIFS($R$18:$R$317,$E$18:$E$317,E170))</f>
        <v/>
      </c>
      <c r="U170">
        <f>IF(E170="","",IF(N(F170)&gt;0,F170,IFERROR(INDEX($F$18:$F$317,MATCH(E170,$E$18:$E$317,0)),"")))</f>
        <v/>
      </c>
      <c r="V170">
        <f>IF(OR(N170="",N170="OK",K170="Cancelled"),0,1)</f>
        <v/>
      </c>
    </row>
    <row r="171">
      <c r="B171" s="21" t="n"/>
      <c r="C171" s="22">
        <f>IF(B171="","",$E$10&amp;TEXT(N($E$11)+153,"000"))</f>
        <v/>
      </c>
      <c r="D171" s="14" t="n"/>
      <c r="E171" s="23" t="n"/>
      <c r="F171" s="24" t="n"/>
      <c r="G171" s="14" t="n"/>
      <c r="H171" s="14" t="n"/>
      <c r="I171" s="23" t="n"/>
      <c r="J171" s="24" t="n"/>
      <c r="K171" s="23" t="n"/>
      <c r="L171" s="25">
        <f>IF(OR(E171="",N(U171)=0),"",U171-SUMIFS(Q$18:Q171,E$18:E171,E171))</f>
        <v/>
      </c>
      <c r="M171" s="26">
        <f>IF(OR(N(J171)=0,K171="Cancelled"),"",IF(AND(N(J171)&gt;5000,P171&lt;&gt;"G"),"Yes: ₹1","No"))</f>
        <v/>
      </c>
      <c r="N171" s="27">
        <f>IF(AND(B171="",D171="",N(J171)=0),"",IF(B171="","Enter the date",IF(AND(ROW()&gt;18,B170=""),"Use the next empty row: a skipped row leaves a gap in the receipt numbers",IF(D171="","Enter who paid",IF(N(J171)=0,"Enter the amount",IF(G171="","Pick what the money was for",IF(P171="?","Pick what it was for from the list",IF(H171="","Pick how it was paid",IF(K171="Cancelled","Cancelled: keep this number unused and give a fresh receipt",IF(AND(H171&lt;&gt;"Cash",I171=""),"Enter the cheque no., UTR or UPI reference",IF(AND(L171&lt;&gt;"",N(L171)&lt;0),"More than the balance due on this invoice",IF(S171&gt;=200000,"₹2,00,000 or more in cash from this person today: barred, s.186",IF(T171&gt;=200000,"₹2,00,000 or more in cash against this invoice: barred, s.186",IF(AND(P171="T",H171="Cash",N(J171)&gt;=20000),"Loan of ₹20,000 or more in cash: barred, s.185",IF(AND(P171="D",H171="Cash",N(J171)&gt;=20000),"Cash deposit of ₹20,000 or more: ask your accountant whether s.185 applies",IF(AND(OR(P171="AG",P171="AS"),$E$9&lt;&gt;""),"Advance: also give a GST receipt voucher, s.31(3)(d) and Rule 50","OK"))))))))))))))))</f>
        <v/>
      </c>
      <c r="P171">
        <f>IF(G171="","",IFERROR(VLOOKUP(G171,Lists!$A$2:$B$9,2,FALSE),"?"))</f>
        <v/>
      </c>
      <c r="Q171">
        <f>IF(K171="Cancelled",0,N(J171))</f>
        <v/>
      </c>
      <c r="R171">
        <f>IF(OR(H171&lt;&gt;"Cash",P171="T",P171="D"),0,Q171)</f>
        <v/>
      </c>
      <c r="S171">
        <f>IF(R171=0,0,SUMIFS($R$18:$R$317,$B$18:$B$317,B171,$D$18:$D$317,D171))</f>
        <v/>
      </c>
      <c r="T171">
        <f>IF(OR(R171=0,E171=""),0,SUMIFS($R$18:$R$317,$E$18:$E$317,E171))</f>
        <v/>
      </c>
      <c r="U171">
        <f>IF(E171="","",IF(N(F171)&gt;0,F171,IFERROR(INDEX($F$18:$F$317,MATCH(E171,$E$18:$E$317,0)),"")))</f>
        <v/>
      </c>
      <c r="V171">
        <f>IF(OR(N171="",N171="OK",K171="Cancelled"),0,1)</f>
        <v/>
      </c>
    </row>
    <row r="172">
      <c r="B172" s="21" t="n"/>
      <c r="C172" s="22">
        <f>IF(B172="","",$E$10&amp;TEXT(N($E$11)+154,"000"))</f>
        <v/>
      </c>
      <c r="D172" s="14" t="n"/>
      <c r="E172" s="23" t="n"/>
      <c r="F172" s="24" t="n"/>
      <c r="G172" s="14" t="n"/>
      <c r="H172" s="14" t="n"/>
      <c r="I172" s="23" t="n"/>
      <c r="J172" s="24" t="n"/>
      <c r="K172" s="23" t="n"/>
      <c r="L172" s="25">
        <f>IF(OR(E172="",N(U172)=0),"",U172-SUMIFS(Q$18:Q172,E$18:E172,E172))</f>
        <v/>
      </c>
      <c r="M172" s="26">
        <f>IF(OR(N(J172)=0,K172="Cancelled"),"",IF(AND(N(J172)&gt;5000,P172&lt;&gt;"G"),"Yes: ₹1","No"))</f>
        <v/>
      </c>
      <c r="N172" s="27">
        <f>IF(AND(B172="",D172="",N(J172)=0),"",IF(B172="","Enter the date",IF(AND(ROW()&gt;18,B171=""),"Use the next empty row: a skipped row leaves a gap in the receipt numbers",IF(D172="","Enter who paid",IF(N(J172)=0,"Enter the amount",IF(G172="","Pick what the money was for",IF(P172="?","Pick what it was for from the list",IF(H172="","Pick how it was paid",IF(K172="Cancelled","Cancelled: keep this number unused and give a fresh receipt",IF(AND(H172&lt;&gt;"Cash",I172=""),"Enter the cheque no., UTR or UPI reference",IF(AND(L172&lt;&gt;"",N(L172)&lt;0),"More than the balance due on this invoice",IF(S172&gt;=200000,"₹2,00,000 or more in cash from this person today: barred, s.186",IF(T172&gt;=200000,"₹2,00,000 or more in cash against this invoice: barred, s.186",IF(AND(P172="T",H172="Cash",N(J172)&gt;=20000),"Loan of ₹20,000 or more in cash: barred, s.185",IF(AND(P172="D",H172="Cash",N(J172)&gt;=20000),"Cash deposit of ₹20,000 or more: ask your accountant whether s.185 applies",IF(AND(OR(P172="AG",P172="AS"),$E$9&lt;&gt;""),"Advance: also give a GST receipt voucher, s.31(3)(d) and Rule 50","OK"))))))))))))))))</f>
        <v/>
      </c>
      <c r="P172">
        <f>IF(G172="","",IFERROR(VLOOKUP(G172,Lists!$A$2:$B$9,2,FALSE),"?"))</f>
        <v/>
      </c>
      <c r="Q172">
        <f>IF(K172="Cancelled",0,N(J172))</f>
        <v/>
      </c>
      <c r="R172">
        <f>IF(OR(H172&lt;&gt;"Cash",P172="T",P172="D"),0,Q172)</f>
        <v/>
      </c>
      <c r="S172">
        <f>IF(R172=0,0,SUMIFS($R$18:$R$317,$B$18:$B$317,B172,$D$18:$D$317,D172))</f>
        <v/>
      </c>
      <c r="T172">
        <f>IF(OR(R172=0,E172=""),0,SUMIFS($R$18:$R$317,$E$18:$E$317,E172))</f>
        <v/>
      </c>
      <c r="U172">
        <f>IF(E172="","",IF(N(F172)&gt;0,F172,IFERROR(INDEX($F$18:$F$317,MATCH(E172,$E$18:$E$317,0)),"")))</f>
        <v/>
      </c>
      <c r="V172">
        <f>IF(OR(N172="",N172="OK",K172="Cancelled"),0,1)</f>
        <v/>
      </c>
    </row>
    <row r="173">
      <c r="B173" s="21" t="n"/>
      <c r="C173" s="22">
        <f>IF(B173="","",$E$10&amp;TEXT(N($E$11)+155,"000"))</f>
        <v/>
      </c>
      <c r="D173" s="14" t="n"/>
      <c r="E173" s="23" t="n"/>
      <c r="F173" s="24" t="n"/>
      <c r="G173" s="14" t="n"/>
      <c r="H173" s="14" t="n"/>
      <c r="I173" s="23" t="n"/>
      <c r="J173" s="24" t="n"/>
      <c r="K173" s="23" t="n"/>
      <c r="L173" s="25">
        <f>IF(OR(E173="",N(U173)=0),"",U173-SUMIFS(Q$18:Q173,E$18:E173,E173))</f>
        <v/>
      </c>
      <c r="M173" s="26">
        <f>IF(OR(N(J173)=0,K173="Cancelled"),"",IF(AND(N(J173)&gt;5000,P173&lt;&gt;"G"),"Yes: ₹1","No"))</f>
        <v/>
      </c>
      <c r="N173" s="27">
        <f>IF(AND(B173="",D173="",N(J173)=0),"",IF(B173="","Enter the date",IF(AND(ROW()&gt;18,B172=""),"Use the next empty row: a skipped row leaves a gap in the receipt numbers",IF(D173="","Enter who paid",IF(N(J173)=0,"Enter the amount",IF(G173="","Pick what the money was for",IF(P173="?","Pick what it was for from the list",IF(H173="","Pick how it was paid",IF(K173="Cancelled","Cancelled: keep this number unused and give a fresh receipt",IF(AND(H173&lt;&gt;"Cash",I173=""),"Enter the cheque no., UTR or UPI reference",IF(AND(L173&lt;&gt;"",N(L173)&lt;0),"More than the balance due on this invoice",IF(S173&gt;=200000,"₹2,00,000 or more in cash from this person today: barred, s.186",IF(T173&gt;=200000,"₹2,00,000 or more in cash against this invoice: barred, s.186",IF(AND(P173="T",H173="Cash",N(J173)&gt;=20000),"Loan of ₹20,000 or more in cash: barred, s.185",IF(AND(P173="D",H173="Cash",N(J173)&gt;=20000),"Cash deposit of ₹20,000 or more: ask your accountant whether s.185 applies",IF(AND(OR(P173="AG",P173="AS"),$E$9&lt;&gt;""),"Advance: also give a GST receipt voucher, s.31(3)(d) and Rule 50","OK"))))))))))))))))</f>
        <v/>
      </c>
      <c r="P173">
        <f>IF(G173="","",IFERROR(VLOOKUP(G173,Lists!$A$2:$B$9,2,FALSE),"?"))</f>
        <v/>
      </c>
      <c r="Q173">
        <f>IF(K173="Cancelled",0,N(J173))</f>
        <v/>
      </c>
      <c r="R173">
        <f>IF(OR(H173&lt;&gt;"Cash",P173="T",P173="D"),0,Q173)</f>
        <v/>
      </c>
      <c r="S173">
        <f>IF(R173=0,0,SUMIFS($R$18:$R$317,$B$18:$B$317,B173,$D$18:$D$317,D173))</f>
        <v/>
      </c>
      <c r="T173">
        <f>IF(OR(R173=0,E173=""),0,SUMIFS($R$18:$R$317,$E$18:$E$317,E173))</f>
        <v/>
      </c>
      <c r="U173">
        <f>IF(E173="","",IF(N(F173)&gt;0,F173,IFERROR(INDEX($F$18:$F$317,MATCH(E173,$E$18:$E$317,0)),"")))</f>
        <v/>
      </c>
      <c r="V173">
        <f>IF(OR(N173="",N173="OK",K173="Cancelled"),0,1)</f>
        <v/>
      </c>
    </row>
    <row r="174">
      <c r="B174" s="21" t="n"/>
      <c r="C174" s="22">
        <f>IF(B174="","",$E$10&amp;TEXT(N($E$11)+156,"000"))</f>
        <v/>
      </c>
      <c r="D174" s="14" t="n"/>
      <c r="E174" s="23" t="n"/>
      <c r="F174" s="24" t="n"/>
      <c r="G174" s="14" t="n"/>
      <c r="H174" s="14" t="n"/>
      <c r="I174" s="23" t="n"/>
      <c r="J174" s="24" t="n"/>
      <c r="K174" s="23" t="n"/>
      <c r="L174" s="25">
        <f>IF(OR(E174="",N(U174)=0),"",U174-SUMIFS(Q$18:Q174,E$18:E174,E174))</f>
        <v/>
      </c>
      <c r="M174" s="26">
        <f>IF(OR(N(J174)=0,K174="Cancelled"),"",IF(AND(N(J174)&gt;5000,P174&lt;&gt;"G"),"Yes: ₹1","No"))</f>
        <v/>
      </c>
      <c r="N174" s="27">
        <f>IF(AND(B174="",D174="",N(J174)=0),"",IF(B174="","Enter the date",IF(AND(ROW()&gt;18,B173=""),"Use the next empty row: a skipped row leaves a gap in the receipt numbers",IF(D174="","Enter who paid",IF(N(J174)=0,"Enter the amount",IF(G174="","Pick what the money was for",IF(P174="?","Pick what it was for from the list",IF(H174="","Pick how it was paid",IF(K174="Cancelled","Cancelled: keep this number unused and give a fresh receipt",IF(AND(H174&lt;&gt;"Cash",I174=""),"Enter the cheque no., UTR or UPI reference",IF(AND(L174&lt;&gt;"",N(L174)&lt;0),"More than the balance due on this invoice",IF(S174&gt;=200000,"₹2,00,000 or more in cash from this person today: barred, s.186",IF(T174&gt;=200000,"₹2,00,000 or more in cash against this invoice: barred, s.186",IF(AND(P174="T",H174="Cash",N(J174)&gt;=20000),"Loan of ₹20,000 or more in cash: barred, s.185",IF(AND(P174="D",H174="Cash",N(J174)&gt;=20000),"Cash deposit of ₹20,000 or more: ask your accountant whether s.185 applies",IF(AND(OR(P174="AG",P174="AS"),$E$9&lt;&gt;""),"Advance: also give a GST receipt voucher, s.31(3)(d) and Rule 50","OK"))))))))))))))))</f>
        <v/>
      </c>
      <c r="P174">
        <f>IF(G174="","",IFERROR(VLOOKUP(G174,Lists!$A$2:$B$9,2,FALSE),"?"))</f>
        <v/>
      </c>
      <c r="Q174">
        <f>IF(K174="Cancelled",0,N(J174))</f>
        <v/>
      </c>
      <c r="R174">
        <f>IF(OR(H174&lt;&gt;"Cash",P174="T",P174="D"),0,Q174)</f>
        <v/>
      </c>
      <c r="S174">
        <f>IF(R174=0,0,SUMIFS($R$18:$R$317,$B$18:$B$317,B174,$D$18:$D$317,D174))</f>
        <v/>
      </c>
      <c r="T174">
        <f>IF(OR(R174=0,E174=""),0,SUMIFS($R$18:$R$317,$E$18:$E$317,E174))</f>
        <v/>
      </c>
      <c r="U174">
        <f>IF(E174="","",IF(N(F174)&gt;0,F174,IFERROR(INDEX($F$18:$F$317,MATCH(E174,$E$18:$E$317,0)),"")))</f>
        <v/>
      </c>
      <c r="V174">
        <f>IF(OR(N174="",N174="OK",K174="Cancelled"),0,1)</f>
        <v/>
      </c>
    </row>
    <row r="175">
      <c r="B175" s="21" t="n"/>
      <c r="C175" s="22">
        <f>IF(B175="","",$E$10&amp;TEXT(N($E$11)+157,"000"))</f>
        <v/>
      </c>
      <c r="D175" s="14" t="n"/>
      <c r="E175" s="23" t="n"/>
      <c r="F175" s="24" t="n"/>
      <c r="G175" s="14" t="n"/>
      <c r="H175" s="14" t="n"/>
      <c r="I175" s="23" t="n"/>
      <c r="J175" s="24" t="n"/>
      <c r="K175" s="23" t="n"/>
      <c r="L175" s="25">
        <f>IF(OR(E175="",N(U175)=0),"",U175-SUMIFS(Q$18:Q175,E$18:E175,E175))</f>
        <v/>
      </c>
      <c r="M175" s="26">
        <f>IF(OR(N(J175)=0,K175="Cancelled"),"",IF(AND(N(J175)&gt;5000,P175&lt;&gt;"G"),"Yes: ₹1","No"))</f>
        <v/>
      </c>
      <c r="N175" s="27">
        <f>IF(AND(B175="",D175="",N(J175)=0),"",IF(B175="","Enter the date",IF(AND(ROW()&gt;18,B174=""),"Use the next empty row: a skipped row leaves a gap in the receipt numbers",IF(D175="","Enter who paid",IF(N(J175)=0,"Enter the amount",IF(G175="","Pick what the money was for",IF(P175="?","Pick what it was for from the list",IF(H175="","Pick how it was paid",IF(K175="Cancelled","Cancelled: keep this number unused and give a fresh receipt",IF(AND(H175&lt;&gt;"Cash",I175=""),"Enter the cheque no., UTR or UPI reference",IF(AND(L175&lt;&gt;"",N(L175)&lt;0),"More than the balance due on this invoice",IF(S175&gt;=200000,"₹2,00,000 or more in cash from this person today: barred, s.186",IF(T175&gt;=200000,"₹2,00,000 or more in cash against this invoice: barred, s.186",IF(AND(P175="T",H175="Cash",N(J175)&gt;=20000),"Loan of ₹20,000 or more in cash: barred, s.185",IF(AND(P175="D",H175="Cash",N(J175)&gt;=20000),"Cash deposit of ₹20,000 or more: ask your accountant whether s.185 applies",IF(AND(OR(P175="AG",P175="AS"),$E$9&lt;&gt;""),"Advance: also give a GST receipt voucher, s.31(3)(d) and Rule 50","OK"))))))))))))))))</f>
        <v/>
      </c>
      <c r="P175">
        <f>IF(G175="","",IFERROR(VLOOKUP(G175,Lists!$A$2:$B$9,2,FALSE),"?"))</f>
        <v/>
      </c>
      <c r="Q175">
        <f>IF(K175="Cancelled",0,N(J175))</f>
        <v/>
      </c>
      <c r="R175">
        <f>IF(OR(H175&lt;&gt;"Cash",P175="T",P175="D"),0,Q175)</f>
        <v/>
      </c>
      <c r="S175">
        <f>IF(R175=0,0,SUMIFS($R$18:$R$317,$B$18:$B$317,B175,$D$18:$D$317,D175))</f>
        <v/>
      </c>
      <c r="T175">
        <f>IF(OR(R175=0,E175=""),0,SUMIFS($R$18:$R$317,$E$18:$E$317,E175))</f>
        <v/>
      </c>
      <c r="U175">
        <f>IF(E175="","",IF(N(F175)&gt;0,F175,IFERROR(INDEX($F$18:$F$317,MATCH(E175,$E$18:$E$317,0)),"")))</f>
        <v/>
      </c>
      <c r="V175">
        <f>IF(OR(N175="",N175="OK",K175="Cancelled"),0,1)</f>
        <v/>
      </c>
    </row>
    <row r="176">
      <c r="B176" s="21" t="n"/>
      <c r="C176" s="22">
        <f>IF(B176="","",$E$10&amp;TEXT(N($E$11)+158,"000"))</f>
        <v/>
      </c>
      <c r="D176" s="14" t="n"/>
      <c r="E176" s="23" t="n"/>
      <c r="F176" s="24" t="n"/>
      <c r="G176" s="14" t="n"/>
      <c r="H176" s="14" t="n"/>
      <c r="I176" s="23" t="n"/>
      <c r="J176" s="24" t="n"/>
      <c r="K176" s="23" t="n"/>
      <c r="L176" s="25">
        <f>IF(OR(E176="",N(U176)=0),"",U176-SUMIFS(Q$18:Q176,E$18:E176,E176))</f>
        <v/>
      </c>
      <c r="M176" s="26">
        <f>IF(OR(N(J176)=0,K176="Cancelled"),"",IF(AND(N(J176)&gt;5000,P176&lt;&gt;"G"),"Yes: ₹1","No"))</f>
        <v/>
      </c>
      <c r="N176" s="27">
        <f>IF(AND(B176="",D176="",N(J176)=0),"",IF(B176="","Enter the date",IF(AND(ROW()&gt;18,B175=""),"Use the next empty row: a skipped row leaves a gap in the receipt numbers",IF(D176="","Enter who paid",IF(N(J176)=0,"Enter the amount",IF(G176="","Pick what the money was for",IF(P176="?","Pick what it was for from the list",IF(H176="","Pick how it was paid",IF(K176="Cancelled","Cancelled: keep this number unused and give a fresh receipt",IF(AND(H176&lt;&gt;"Cash",I176=""),"Enter the cheque no., UTR or UPI reference",IF(AND(L176&lt;&gt;"",N(L176)&lt;0),"More than the balance due on this invoice",IF(S176&gt;=200000,"₹2,00,000 or more in cash from this person today: barred, s.186",IF(T176&gt;=200000,"₹2,00,000 or more in cash against this invoice: barred, s.186",IF(AND(P176="T",H176="Cash",N(J176)&gt;=20000),"Loan of ₹20,000 or more in cash: barred, s.185",IF(AND(P176="D",H176="Cash",N(J176)&gt;=20000),"Cash deposit of ₹20,000 or more: ask your accountant whether s.185 applies",IF(AND(OR(P176="AG",P176="AS"),$E$9&lt;&gt;""),"Advance: also give a GST receipt voucher, s.31(3)(d) and Rule 50","OK"))))))))))))))))</f>
        <v/>
      </c>
      <c r="P176">
        <f>IF(G176="","",IFERROR(VLOOKUP(G176,Lists!$A$2:$B$9,2,FALSE),"?"))</f>
        <v/>
      </c>
      <c r="Q176">
        <f>IF(K176="Cancelled",0,N(J176))</f>
        <v/>
      </c>
      <c r="R176">
        <f>IF(OR(H176&lt;&gt;"Cash",P176="T",P176="D"),0,Q176)</f>
        <v/>
      </c>
      <c r="S176">
        <f>IF(R176=0,0,SUMIFS($R$18:$R$317,$B$18:$B$317,B176,$D$18:$D$317,D176))</f>
        <v/>
      </c>
      <c r="T176">
        <f>IF(OR(R176=0,E176=""),0,SUMIFS($R$18:$R$317,$E$18:$E$317,E176))</f>
        <v/>
      </c>
      <c r="U176">
        <f>IF(E176="","",IF(N(F176)&gt;0,F176,IFERROR(INDEX($F$18:$F$317,MATCH(E176,$E$18:$E$317,0)),"")))</f>
        <v/>
      </c>
      <c r="V176">
        <f>IF(OR(N176="",N176="OK",K176="Cancelled"),0,1)</f>
        <v/>
      </c>
    </row>
    <row r="177">
      <c r="B177" s="21" t="n"/>
      <c r="C177" s="22">
        <f>IF(B177="","",$E$10&amp;TEXT(N($E$11)+159,"000"))</f>
        <v/>
      </c>
      <c r="D177" s="14" t="n"/>
      <c r="E177" s="23" t="n"/>
      <c r="F177" s="24" t="n"/>
      <c r="G177" s="14" t="n"/>
      <c r="H177" s="14" t="n"/>
      <c r="I177" s="23" t="n"/>
      <c r="J177" s="24" t="n"/>
      <c r="K177" s="23" t="n"/>
      <c r="L177" s="25">
        <f>IF(OR(E177="",N(U177)=0),"",U177-SUMIFS(Q$18:Q177,E$18:E177,E177))</f>
        <v/>
      </c>
      <c r="M177" s="26">
        <f>IF(OR(N(J177)=0,K177="Cancelled"),"",IF(AND(N(J177)&gt;5000,P177&lt;&gt;"G"),"Yes: ₹1","No"))</f>
        <v/>
      </c>
      <c r="N177" s="27">
        <f>IF(AND(B177="",D177="",N(J177)=0),"",IF(B177="","Enter the date",IF(AND(ROW()&gt;18,B176=""),"Use the next empty row: a skipped row leaves a gap in the receipt numbers",IF(D177="","Enter who paid",IF(N(J177)=0,"Enter the amount",IF(G177="","Pick what the money was for",IF(P177="?","Pick what it was for from the list",IF(H177="","Pick how it was paid",IF(K177="Cancelled","Cancelled: keep this number unused and give a fresh receipt",IF(AND(H177&lt;&gt;"Cash",I177=""),"Enter the cheque no., UTR or UPI reference",IF(AND(L177&lt;&gt;"",N(L177)&lt;0),"More than the balance due on this invoice",IF(S177&gt;=200000,"₹2,00,000 or more in cash from this person today: barred, s.186",IF(T177&gt;=200000,"₹2,00,000 or more in cash against this invoice: barred, s.186",IF(AND(P177="T",H177="Cash",N(J177)&gt;=20000),"Loan of ₹20,000 or more in cash: barred, s.185",IF(AND(P177="D",H177="Cash",N(J177)&gt;=20000),"Cash deposit of ₹20,000 or more: ask your accountant whether s.185 applies",IF(AND(OR(P177="AG",P177="AS"),$E$9&lt;&gt;""),"Advance: also give a GST receipt voucher, s.31(3)(d) and Rule 50","OK"))))))))))))))))</f>
        <v/>
      </c>
      <c r="P177">
        <f>IF(G177="","",IFERROR(VLOOKUP(G177,Lists!$A$2:$B$9,2,FALSE),"?"))</f>
        <v/>
      </c>
      <c r="Q177">
        <f>IF(K177="Cancelled",0,N(J177))</f>
        <v/>
      </c>
      <c r="R177">
        <f>IF(OR(H177&lt;&gt;"Cash",P177="T",P177="D"),0,Q177)</f>
        <v/>
      </c>
      <c r="S177">
        <f>IF(R177=0,0,SUMIFS($R$18:$R$317,$B$18:$B$317,B177,$D$18:$D$317,D177))</f>
        <v/>
      </c>
      <c r="T177">
        <f>IF(OR(R177=0,E177=""),0,SUMIFS($R$18:$R$317,$E$18:$E$317,E177))</f>
        <v/>
      </c>
      <c r="U177">
        <f>IF(E177="","",IF(N(F177)&gt;0,F177,IFERROR(INDEX($F$18:$F$317,MATCH(E177,$E$18:$E$317,0)),"")))</f>
        <v/>
      </c>
      <c r="V177">
        <f>IF(OR(N177="",N177="OK",K177="Cancelled"),0,1)</f>
        <v/>
      </c>
    </row>
    <row r="178">
      <c r="B178" s="21" t="n"/>
      <c r="C178" s="22">
        <f>IF(B178="","",$E$10&amp;TEXT(N($E$11)+160,"000"))</f>
        <v/>
      </c>
      <c r="D178" s="14" t="n"/>
      <c r="E178" s="23" t="n"/>
      <c r="F178" s="24" t="n"/>
      <c r="G178" s="14" t="n"/>
      <c r="H178" s="14" t="n"/>
      <c r="I178" s="23" t="n"/>
      <c r="J178" s="24" t="n"/>
      <c r="K178" s="23" t="n"/>
      <c r="L178" s="25">
        <f>IF(OR(E178="",N(U178)=0),"",U178-SUMIFS(Q$18:Q178,E$18:E178,E178))</f>
        <v/>
      </c>
      <c r="M178" s="26">
        <f>IF(OR(N(J178)=0,K178="Cancelled"),"",IF(AND(N(J178)&gt;5000,P178&lt;&gt;"G"),"Yes: ₹1","No"))</f>
        <v/>
      </c>
      <c r="N178" s="27">
        <f>IF(AND(B178="",D178="",N(J178)=0),"",IF(B178="","Enter the date",IF(AND(ROW()&gt;18,B177=""),"Use the next empty row: a skipped row leaves a gap in the receipt numbers",IF(D178="","Enter who paid",IF(N(J178)=0,"Enter the amount",IF(G178="","Pick what the money was for",IF(P178="?","Pick what it was for from the list",IF(H178="","Pick how it was paid",IF(K178="Cancelled","Cancelled: keep this number unused and give a fresh receipt",IF(AND(H178&lt;&gt;"Cash",I178=""),"Enter the cheque no., UTR or UPI reference",IF(AND(L178&lt;&gt;"",N(L178)&lt;0),"More than the balance due on this invoice",IF(S178&gt;=200000,"₹2,00,000 or more in cash from this person today: barred, s.186",IF(T178&gt;=200000,"₹2,00,000 or more in cash against this invoice: barred, s.186",IF(AND(P178="T",H178="Cash",N(J178)&gt;=20000),"Loan of ₹20,000 or more in cash: barred, s.185",IF(AND(P178="D",H178="Cash",N(J178)&gt;=20000),"Cash deposit of ₹20,000 or more: ask your accountant whether s.185 applies",IF(AND(OR(P178="AG",P178="AS"),$E$9&lt;&gt;""),"Advance: also give a GST receipt voucher, s.31(3)(d) and Rule 50","OK"))))))))))))))))</f>
        <v/>
      </c>
      <c r="P178">
        <f>IF(G178="","",IFERROR(VLOOKUP(G178,Lists!$A$2:$B$9,2,FALSE),"?"))</f>
        <v/>
      </c>
      <c r="Q178">
        <f>IF(K178="Cancelled",0,N(J178))</f>
        <v/>
      </c>
      <c r="R178">
        <f>IF(OR(H178&lt;&gt;"Cash",P178="T",P178="D"),0,Q178)</f>
        <v/>
      </c>
      <c r="S178">
        <f>IF(R178=0,0,SUMIFS($R$18:$R$317,$B$18:$B$317,B178,$D$18:$D$317,D178))</f>
        <v/>
      </c>
      <c r="T178">
        <f>IF(OR(R178=0,E178=""),0,SUMIFS($R$18:$R$317,$E$18:$E$317,E178))</f>
        <v/>
      </c>
      <c r="U178">
        <f>IF(E178="","",IF(N(F178)&gt;0,F178,IFERROR(INDEX($F$18:$F$317,MATCH(E178,$E$18:$E$317,0)),"")))</f>
        <v/>
      </c>
      <c r="V178">
        <f>IF(OR(N178="",N178="OK",K178="Cancelled"),0,1)</f>
        <v/>
      </c>
    </row>
    <row r="179">
      <c r="B179" s="21" t="n"/>
      <c r="C179" s="22">
        <f>IF(B179="","",$E$10&amp;TEXT(N($E$11)+161,"000"))</f>
        <v/>
      </c>
      <c r="D179" s="14" t="n"/>
      <c r="E179" s="23" t="n"/>
      <c r="F179" s="24" t="n"/>
      <c r="G179" s="14" t="n"/>
      <c r="H179" s="14" t="n"/>
      <c r="I179" s="23" t="n"/>
      <c r="J179" s="24" t="n"/>
      <c r="K179" s="23" t="n"/>
      <c r="L179" s="25">
        <f>IF(OR(E179="",N(U179)=0),"",U179-SUMIFS(Q$18:Q179,E$18:E179,E179))</f>
        <v/>
      </c>
      <c r="M179" s="26">
        <f>IF(OR(N(J179)=0,K179="Cancelled"),"",IF(AND(N(J179)&gt;5000,P179&lt;&gt;"G"),"Yes: ₹1","No"))</f>
        <v/>
      </c>
      <c r="N179" s="27">
        <f>IF(AND(B179="",D179="",N(J179)=0),"",IF(B179="","Enter the date",IF(AND(ROW()&gt;18,B178=""),"Use the next empty row: a skipped row leaves a gap in the receipt numbers",IF(D179="","Enter who paid",IF(N(J179)=0,"Enter the amount",IF(G179="","Pick what the money was for",IF(P179="?","Pick what it was for from the list",IF(H179="","Pick how it was paid",IF(K179="Cancelled","Cancelled: keep this number unused and give a fresh receipt",IF(AND(H179&lt;&gt;"Cash",I179=""),"Enter the cheque no., UTR or UPI reference",IF(AND(L179&lt;&gt;"",N(L179)&lt;0),"More than the balance due on this invoice",IF(S179&gt;=200000,"₹2,00,000 or more in cash from this person today: barred, s.186",IF(T179&gt;=200000,"₹2,00,000 or more in cash against this invoice: barred, s.186",IF(AND(P179="T",H179="Cash",N(J179)&gt;=20000),"Loan of ₹20,000 or more in cash: barred, s.185",IF(AND(P179="D",H179="Cash",N(J179)&gt;=20000),"Cash deposit of ₹20,000 or more: ask your accountant whether s.185 applies",IF(AND(OR(P179="AG",P179="AS"),$E$9&lt;&gt;""),"Advance: also give a GST receipt voucher, s.31(3)(d) and Rule 50","OK"))))))))))))))))</f>
        <v/>
      </c>
      <c r="P179">
        <f>IF(G179="","",IFERROR(VLOOKUP(G179,Lists!$A$2:$B$9,2,FALSE),"?"))</f>
        <v/>
      </c>
      <c r="Q179">
        <f>IF(K179="Cancelled",0,N(J179))</f>
        <v/>
      </c>
      <c r="R179">
        <f>IF(OR(H179&lt;&gt;"Cash",P179="T",P179="D"),0,Q179)</f>
        <v/>
      </c>
      <c r="S179">
        <f>IF(R179=0,0,SUMIFS($R$18:$R$317,$B$18:$B$317,B179,$D$18:$D$317,D179))</f>
        <v/>
      </c>
      <c r="T179">
        <f>IF(OR(R179=0,E179=""),0,SUMIFS($R$18:$R$317,$E$18:$E$317,E179))</f>
        <v/>
      </c>
      <c r="U179">
        <f>IF(E179="","",IF(N(F179)&gt;0,F179,IFERROR(INDEX($F$18:$F$317,MATCH(E179,$E$18:$E$317,0)),"")))</f>
        <v/>
      </c>
      <c r="V179">
        <f>IF(OR(N179="",N179="OK",K179="Cancelled"),0,1)</f>
        <v/>
      </c>
    </row>
    <row r="180">
      <c r="B180" s="21" t="n"/>
      <c r="C180" s="22">
        <f>IF(B180="","",$E$10&amp;TEXT(N($E$11)+162,"000"))</f>
        <v/>
      </c>
      <c r="D180" s="14" t="n"/>
      <c r="E180" s="23" t="n"/>
      <c r="F180" s="24" t="n"/>
      <c r="G180" s="14" t="n"/>
      <c r="H180" s="14" t="n"/>
      <c r="I180" s="23" t="n"/>
      <c r="J180" s="24" t="n"/>
      <c r="K180" s="23" t="n"/>
      <c r="L180" s="25">
        <f>IF(OR(E180="",N(U180)=0),"",U180-SUMIFS(Q$18:Q180,E$18:E180,E180))</f>
        <v/>
      </c>
      <c r="M180" s="26">
        <f>IF(OR(N(J180)=0,K180="Cancelled"),"",IF(AND(N(J180)&gt;5000,P180&lt;&gt;"G"),"Yes: ₹1","No"))</f>
        <v/>
      </c>
      <c r="N180" s="27">
        <f>IF(AND(B180="",D180="",N(J180)=0),"",IF(B180="","Enter the date",IF(AND(ROW()&gt;18,B179=""),"Use the next empty row: a skipped row leaves a gap in the receipt numbers",IF(D180="","Enter who paid",IF(N(J180)=0,"Enter the amount",IF(G180="","Pick what the money was for",IF(P180="?","Pick what it was for from the list",IF(H180="","Pick how it was paid",IF(K180="Cancelled","Cancelled: keep this number unused and give a fresh receipt",IF(AND(H180&lt;&gt;"Cash",I180=""),"Enter the cheque no., UTR or UPI reference",IF(AND(L180&lt;&gt;"",N(L180)&lt;0),"More than the balance due on this invoice",IF(S180&gt;=200000,"₹2,00,000 or more in cash from this person today: barred, s.186",IF(T180&gt;=200000,"₹2,00,000 or more in cash against this invoice: barred, s.186",IF(AND(P180="T",H180="Cash",N(J180)&gt;=20000),"Loan of ₹20,000 or more in cash: barred, s.185",IF(AND(P180="D",H180="Cash",N(J180)&gt;=20000),"Cash deposit of ₹20,000 or more: ask your accountant whether s.185 applies",IF(AND(OR(P180="AG",P180="AS"),$E$9&lt;&gt;""),"Advance: also give a GST receipt voucher, s.31(3)(d) and Rule 50","OK"))))))))))))))))</f>
        <v/>
      </c>
      <c r="P180">
        <f>IF(G180="","",IFERROR(VLOOKUP(G180,Lists!$A$2:$B$9,2,FALSE),"?"))</f>
        <v/>
      </c>
      <c r="Q180">
        <f>IF(K180="Cancelled",0,N(J180))</f>
        <v/>
      </c>
      <c r="R180">
        <f>IF(OR(H180&lt;&gt;"Cash",P180="T",P180="D"),0,Q180)</f>
        <v/>
      </c>
      <c r="S180">
        <f>IF(R180=0,0,SUMIFS($R$18:$R$317,$B$18:$B$317,B180,$D$18:$D$317,D180))</f>
        <v/>
      </c>
      <c r="T180">
        <f>IF(OR(R180=0,E180=""),0,SUMIFS($R$18:$R$317,$E$18:$E$317,E180))</f>
        <v/>
      </c>
      <c r="U180">
        <f>IF(E180="","",IF(N(F180)&gt;0,F180,IFERROR(INDEX($F$18:$F$317,MATCH(E180,$E$18:$E$317,0)),"")))</f>
        <v/>
      </c>
      <c r="V180">
        <f>IF(OR(N180="",N180="OK",K180="Cancelled"),0,1)</f>
        <v/>
      </c>
    </row>
    <row r="181">
      <c r="B181" s="21" t="n"/>
      <c r="C181" s="22">
        <f>IF(B181="","",$E$10&amp;TEXT(N($E$11)+163,"000"))</f>
        <v/>
      </c>
      <c r="D181" s="14" t="n"/>
      <c r="E181" s="23" t="n"/>
      <c r="F181" s="24" t="n"/>
      <c r="G181" s="14" t="n"/>
      <c r="H181" s="14" t="n"/>
      <c r="I181" s="23" t="n"/>
      <c r="J181" s="24" t="n"/>
      <c r="K181" s="23" t="n"/>
      <c r="L181" s="25">
        <f>IF(OR(E181="",N(U181)=0),"",U181-SUMIFS(Q$18:Q181,E$18:E181,E181))</f>
        <v/>
      </c>
      <c r="M181" s="26">
        <f>IF(OR(N(J181)=0,K181="Cancelled"),"",IF(AND(N(J181)&gt;5000,P181&lt;&gt;"G"),"Yes: ₹1","No"))</f>
        <v/>
      </c>
      <c r="N181" s="27">
        <f>IF(AND(B181="",D181="",N(J181)=0),"",IF(B181="","Enter the date",IF(AND(ROW()&gt;18,B180=""),"Use the next empty row: a skipped row leaves a gap in the receipt numbers",IF(D181="","Enter who paid",IF(N(J181)=0,"Enter the amount",IF(G181="","Pick what the money was for",IF(P181="?","Pick what it was for from the list",IF(H181="","Pick how it was paid",IF(K181="Cancelled","Cancelled: keep this number unused and give a fresh receipt",IF(AND(H181&lt;&gt;"Cash",I181=""),"Enter the cheque no., UTR or UPI reference",IF(AND(L181&lt;&gt;"",N(L181)&lt;0),"More than the balance due on this invoice",IF(S181&gt;=200000,"₹2,00,000 or more in cash from this person today: barred, s.186",IF(T181&gt;=200000,"₹2,00,000 or more in cash against this invoice: barred, s.186",IF(AND(P181="T",H181="Cash",N(J181)&gt;=20000),"Loan of ₹20,000 or more in cash: barred, s.185",IF(AND(P181="D",H181="Cash",N(J181)&gt;=20000),"Cash deposit of ₹20,000 or more: ask your accountant whether s.185 applies",IF(AND(OR(P181="AG",P181="AS"),$E$9&lt;&gt;""),"Advance: also give a GST receipt voucher, s.31(3)(d) and Rule 50","OK"))))))))))))))))</f>
        <v/>
      </c>
      <c r="P181">
        <f>IF(G181="","",IFERROR(VLOOKUP(G181,Lists!$A$2:$B$9,2,FALSE),"?"))</f>
        <v/>
      </c>
      <c r="Q181">
        <f>IF(K181="Cancelled",0,N(J181))</f>
        <v/>
      </c>
      <c r="R181">
        <f>IF(OR(H181&lt;&gt;"Cash",P181="T",P181="D"),0,Q181)</f>
        <v/>
      </c>
      <c r="S181">
        <f>IF(R181=0,0,SUMIFS($R$18:$R$317,$B$18:$B$317,B181,$D$18:$D$317,D181))</f>
        <v/>
      </c>
      <c r="T181">
        <f>IF(OR(R181=0,E181=""),0,SUMIFS($R$18:$R$317,$E$18:$E$317,E181))</f>
        <v/>
      </c>
      <c r="U181">
        <f>IF(E181="","",IF(N(F181)&gt;0,F181,IFERROR(INDEX($F$18:$F$317,MATCH(E181,$E$18:$E$317,0)),"")))</f>
        <v/>
      </c>
      <c r="V181">
        <f>IF(OR(N181="",N181="OK",K181="Cancelled"),0,1)</f>
        <v/>
      </c>
    </row>
    <row r="182">
      <c r="B182" s="21" t="n"/>
      <c r="C182" s="22">
        <f>IF(B182="","",$E$10&amp;TEXT(N($E$11)+164,"000"))</f>
        <v/>
      </c>
      <c r="D182" s="14" t="n"/>
      <c r="E182" s="23" t="n"/>
      <c r="F182" s="24" t="n"/>
      <c r="G182" s="14" t="n"/>
      <c r="H182" s="14" t="n"/>
      <c r="I182" s="23" t="n"/>
      <c r="J182" s="24" t="n"/>
      <c r="K182" s="23" t="n"/>
      <c r="L182" s="25">
        <f>IF(OR(E182="",N(U182)=0),"",U182-SUMIFS(Q$18:Q182,E$18:E182,E182))</f>
        <v/>
      </c>
      <c r="M182" s="26">
        <f>IF(OR(N(J182)=0,K182="Cancelled"),"",IF(AND(N(J182)&gt;5000,P182&lt;&gt;"G"),"Yes: ₹1","No"))</f>
        <v/>
      </c>
      <c r="N182" s="27">
        <f>IF(AND(B182="",D182="",N(J182)=0),"",IF(B182="","Enter the date",IF(AND(ROW()&gt;18,B181=""),"Use the next empty row: a skipped row leaves a gap in the receipt numbers",IF(D182="","Enter who paid",IF(N(J182)=0,"Enter the amount",IF(G182="","Pick what the money was for",IF(P182="?","Pick what it was for from the list",IF(H182="","Pick how it was paid",IF(K182="Cancelled","Cancelled: keep this number unused and give a fresh receipt",IF(AND(H182&lt;&gt;"Cash",I182=""),"Enter the cheque no., UTR or UPI reference",IF(AND(L182&lt;&gt;"",N(L182)&lt;0),"More than the balance due on this invoice",IF(S182&gt;=200000,"₹2,00,000 or more in cash from this person today: barred, s.186",IF(T182&gt;=200000,"₹2,00,000 or more in cash against this invoice: barred, s.186",IF(AND(P182="T",H182="Cash",N(J182)&gt;=20000),"Loan of ₹20,000 or more in cash: barred, s.185",IF(AND(P182="D",H182="Cash",N(J182)&gt;=20000),"Cash deposit of ₹20,000 or more: ask your accountant whether s.185 applies",IF(AND(OR(P182="AG",P182="AS"),$E$9&lt;&gt;""),"Advance: also give a GST receipt voucher, s.31(3)(d) and Rule 50","OK"))))))))))))))))</f>
        <v/>
      </c>
      <c r="P182">
        <f>IF(G182="","",IFERROR(VLOOKUP(G182,Lists!$A$2:$B$9,2,FALSE),"?"))</f>
        <v/>
      </c>
      <c r="Q182">
        <f>IF(K182="Cancelled",0,N(J182))</f>
        <v/>
      </c>
      <c r="R182">
        <f>IF(OR(H182&lt;&gt;"Cash",P182="T",P182="D"),0,Q182)</f>
        <v/>
      </c>
      <c r="S182">
        <f>IF(R182=0,0,SUMIFS($R$18:$R$317,$B$18:$B$317,B182,$D$18:$D$317,D182))</f>
        <v/>
      </c>
      <c r="T182">
        <f>IF(OR(R182=0,E182=""),0,SUMIFS($R$18:$R$317,$E$18:$E$317,E182))</f>
        <v/>
      </c>
      <c r="U182">
        <f>IF(E182="","",IF(N(F182)&gt;0,F182,IFERROR(INDEX($F$18:$F$317,MATCH(E182,$E$18:$E$317,0)),"")))</f>
        <v/>
      </c>
      <c r="V182">
        <f>IF(OR(N182="",N182="OK",K182="Cancelled"),0,1)</f>
        <v/>
      </c>
    </row>
    <row r="183">
      <c r="B183" s="21" t="n"/>
      <c r="C183" s="22">
        <f>IF(B183="","",$E$10&amp;TEXT(N($E$11)+165,"000"))</f>
        <v/>
      </c>
      <c r="D183" s="14" t="n"/>
      <c r="E183" s="23" t="n"/>
      <c r="F183" s="24" t="n"/>
      <c r="G183" s="14" t="n"/>
      <c r="H183" s="14" t="n"/>
      <c r="I183" s="23" t="n"/>
      <c r="J183" s="24" t="n"/>
      <c r="K183" s="23" t="n"/>
      <c r="L183" s="25">
        <f>IF(OR(E183="",N(U183)=0),"",U183-SUMIFS(Q$18:Q183,E$18:E183,E183))</f>
        <v/>
      </c>
      <c r="M183" s="26">
        <f>IF(OR(N(J183)=0,K183="Cancelled"),"",IF(AND(N(J183)&gt;5000,P183&lt;&gt;"G"),"Yes: ₹1","No"))</f>
        <v/>
      </c>
      <c r="N183" s="27">
        <f>IF(AND(B183="",D183="",N(J183)=0),"",IF(B183="","Enter the date",IF(AND(ROW()&gt;18,B182=""),"Use the next empty row: a skipped row leaves a gap in the receipt numbers",IF(D183="","Enter who paid",IF(N(J183)=0,"Enter the amount",IF(G183="","Pick what the money was for",IF(P183="?","Pick what it was for from the list",IF(H183="","Pick how it was paid",IF(K183="Cancelled","Cancelled: keep this number unused and give a fresh receipt",IF(AND(H183&lt;&gt;"Cash",I183=""),"Enter the cheque no., UTR or UPI reference",IF(AND(L183&lt;&gt;"",N(L183)&lt;0),"More than the balance due on this invoice",IF(S183&gt;=200000,"₹2,00,000 or more in cash from this person today: barred, s.186",IF(T183&gt;=200000,"₹2,00,000 or more in cash against this invoice: barred, s.186",IF(AND(P183="T",H183="Cash",N(J183)&gt;=20000),"Loan of ₹20,000 or more in cash: barred, s.185",IF(AND(P183="D",H183="Cash",N(J183)&gt;=20000),"Cash deposit of ₹20,000 or more: ask your accountant whether s.185 applies",IF(AND(OR(P183="AG",P183="AS"),$E$9&lt;&gt;""),"Advance: also give a GST receipt voucher, s.31(3)(d) and Rule 50","OK"))))))))))))))))</f>
        <v/>
      </c>
      <c r="P183">
        <f>IF(G183="","",IFERROR(VLOOKUP(G183,Lists!$A$2:$B$9,2,FALSE),"?"))</f>
        <v/>
      </c>
      <c r="Q183">
        <f>IF(K183="Cancelled",0,N(J183))</f>
        <v/>
      </c>
      <c r="R183">
        <f>IF(OR(H183&lt;&gt;"Cash",P183="T",P183="D"),0,Q183)</f>
        <v/>
      </c>
      <c r="S183">
        <f>IF(R183=0,0,SUMIFS($R$18:$R$317,$B$18:$B$317,B183,$D$18:$D$317,D183))</f>
        <v/>
      </c>
      <c r="T183">
        <f>IF(OR(R183=0,E183=""),0,SUMIFS($R$18:$R$317,$E$18:$E$317,E183))</f>
        <v/>
      </c>
      <c r="U183">
        <f>IF(E183="","",IF(N(F183)&gt;0,F183,IFERROR(INDEX($F$18:$F$317,MATCH(E183,$E$18:$E$317,0)),"")))</f>
        <v/>
      </c>
      <c r="V183">
        <f>IF(OR(N183="",N183="OK",K183="Cancelled"),0,1)</f>
        <v/>
      </c>
    </row>
    <row r="184">
      <c r="B184" s="21" t="n"/>
      <c r="C184" s="22">
        <f>IF(B184="","",$E$10&amp;TEXT(N($E$11)+166,"000"))</f>
        <v/>
      </c>
      <c r="D184" s="14" t="n"/>
      <c r="E184" s="23" t="n"/>
      <c r="F184" s="24" t="n"/>
      <c r="G184" s="14" t="n"/>
      <c r="H184" s="14" t="n"/>
      <c r="I184" s="23" t="n"/>
      <c r="J184" s="24" t="n"/>
      <c r="K184" s="23" t="n"/>
      <c r="L184" s="25">
        <f>IF(OR(E184="",N(U184)=0),"",U184-SUMIFS(Q$18:Q184,E$18:E184,E184))</f>
        <v/>
      </c>
      <c r="M184" s="26">
        <f>IF(OR(N(J184)=0,K184="Cancelled"),"",IF(AND(N(J184)&gt;5000,P184&lt;&gt;"G"),"Yes: ₹1","No"))</f>
        <v/>
      </c>
      <c r="N184" s="27">
        <f>IF(AND(B184="",D184="",N(J184)=0),"",IF(B184="","Enter the date",IF(AND(ROW()&gt;18,B183=""),"Use the next empty row: a skipped row leaves a gap in the receipt numbers",IF(D184="","Enter who paid",IF(N(J184)=0,"Enter the amount",IF(G184="","Pick what the money was for",IF(P184="?","Pick what it was for from the list",IF(H184="","Pick how it was paid",IF(K184="Cancelled","Cancelled: keep this number unused and give a fresh receipt",IF(AND(H184&lt;&gt;"Cash",I184=""),"Enter the cheque no., UTR or UPI reference",IF(AND(L184&lt;&gt;"",N(L184)&lt;0),"More than the balance due on this invoice",IF(S184&gt;=200000,"₹2,00,000 or more in cash from this person today: barred, s.186",IF(T184&gt;=200000,"₹2,00,000 or more in cash against this invoice: barred, s.186",IF(AND(P184="T",H184="Cash",N(J184)&gt;=20000),"Loan of ₹20,000 or more in cash: barred, s.185",IF(AND(P184="D",H184="Cash",N(J184)&gt;=20000),"Cash deposit of ₹20,000 or more: ask your accountant whether s.185 applies",IF(AND(OR(P184="AG",P184="AS"),$E$9&lt;&gt;""),"Advance: also give a GST receipt voucher, s.31(3)(d) and Rule 50","OK"))))))))))))))))</f>
        <v/>
      </c>
      <c r="P184">
        <f>IF(G184="","",IFERROR(VLOOKUP(G184,Lists!$A$2:$B$9,2,FALSE),"?"))</f>
        <v/>
      </c>
      <c r="Q184">
        <f>IF(K184="Cancelled",0,N(J184))</f>
        <v/>
      </c>
      <c r="R184">
        <f>IF(OR(H184&lt;&gt;"Cash",P184="T",P184="D"),0,Q184)</f>
        <v/>
      </c>
      <c r="S184">
        <f>IF(R184=0,0,SUMIFS($R$18:$R$317,$B$18:$B$317,B184,$D$18:$D$317,D184))</f>
        <v/>
      </c>
      <c r="T184">
        <f>IF(OR(R184=0,E184=""),0,SUMIFS($R$18:$R$317,$E$18:$E$317,E184))</f>
        <v/>
      </c>
      <c r="U184">
        <f>IF(E184="","",IF(N(F184)&gt;0,F184,IFERROR(INDEX($F$18:$F$317,MATCH(E184,$E$18:$E$317,0)),"")))</f>
        <v/>
      </c>
      <c r="V184">
        <f>IF(OR(N184="",N184="OK",K184="Cancelled"),0,1)</f>
        <v/>
      </c>
    </row>
    <row r="185">
      <c r="B185" s="21" t="n"/>
      <c r="C185" s="22">
        <f>IF(B185="","",$E$10&amp;TEXT(N($E$11)+167,"000"))</f>
        <v/>
      </c>
      <c r="D185" s="14" t="n"/>
      <c r="E185" s="23" t="n"/>
      <c r="F185" s="24" t="n"/>
      <c r="G185" s="14" t="n"/>
      <c r="H185" s="14" t="n"/>
      <c r="I185" s="23" t="n"/>
      <c r="J185" s="24" t="n"/>
      <c r="K185" s="23" t="n"/>
      <c r="L185" s="25">
        <f>IF(OR(E185="",N(U185)=0),"",U185-SUMIFS(Q$18:Q185,E$18:E185,E185))</f>
        <v/>
      </c>
      <c r="M185" s="26">
        <f>IF(OR(N(J185)=0,K185="Cancelled"),"",IF(AND(N(J185)&gt;5000,P185&lt;&gt;"G"),"Yes: ₹1","No"))</f>
        <v/>
      </c>
      <c r="N185" s="27">
        <f>IF(AND(B185="",D185="",N(J185)=0),"",IF(B185="","Enter the date",IF(AND(ROW()&gt;18,B184=""),"Use the next empty row: a skipped row leaves a gap in the receipt numbers",IF(D185="","Enter who paid",IF(N(J185)=0,"Enter the amount",IF(G185="","Pick what the money was for",IF(P185="?","Pick what it was for from the list",IF(H185="","Pick how it was paid",IF(K185="Cancelled","Cancelled: keep this number unused and give a fresh receipt",IF(AND(H185&lt;&gt;"Cash",I185=""),"Enter the cheque no., UTR or UPI reference",IF(AND(L185&lt;&gt;"",N(L185)&lt;0),"More than the balance due on this invoice",IF(S185&gt;=200000,"₹2,00,000 or more in cash from this person today: barred, s.186",IF(T185&gt;=200000,"₹2,00,000 or more in cash against this invoice: barred, s.186",IF(AND(P185="T",H185="Cash",N(J185)&gt;=20000),"Loan of ₹20,000 or more in cash: barred, s.185",IF(AND(P185="D",H185="Cash",N(J185)&gt;=20000),"Cash deposit of ₹20,000 or more: ask your accountant whether s.185 applies",IF(AND(OR(P185="AG",P185="AS"),$E$9&lt;&gt;""),"Advance: also give a GST receipt voucher, s.31(3)(d) and Rule 50","OK"))))))))))))))))</f>
        <v/>
      </c>
      <c r="P185">
        <f>IF(G185="","",IFERROR(VLOOKUP(G185,Lists!$A$2:$B$9,2,FALSE),"?"))</f>
        <v/>
      </c>
      <c r="Q185">
        <f>IF(K185="Cancelled",0,N(J185))</f>
        <v/>
      </c>
      <c r="R185">
        <f>IF(OR(H185&lt;&gt;"Cash",P185="T",P185="D"),0,Q185)</f>
        <v/>
      </c>
      <c r="S185">
        <f>IF(R185=0,0,SUMIFS($R$18:$R$317,$B$18:$B$317,B185,$D$18:$D$317,D185))</f>
        <v/>
      </c>
      <c r="T185">
        <f>IF(OR(R185=0,E185=""),0,SUMIFS($R$18:$R$317,$E$18:$E$317,E185))</f>
        <v/>
      </c>
      <c r="U185">
        <f>IF(E185="","",IF(N(F185)&gt;0,F185,IFERROR(INDEX($F$18:$F$317,MATCH(E185,$E$18:$E$317,0)),"")))</f>
        <v/>
      </c>
      <c r="V185">
        <f>IF(OR(N185="",N185="OK",K185="Cancelled"),0,1)</f>
        <v/>
      </c>
    </row>
    <row r="186">
      <c r="B186" s="21" t="n"/>
      <c r="C186" s="22">
        <f>IF(B186="","",$E$10&amp;TEXT(N($E$11)+168,"000"))</f>
        <v/>
      </c>
      <c r="D186" s="14" t="n"/>
      <c r="E186" s="23" t="n"/>
      <c r="F186" s="24" t="n"/>
      <c r="G186" s="14" t="n"/>
      <c r="H186" s="14" t="n"/>
      <c r="I186" s="23" t="n"/>
      <c r="J186" s="24" t="n"/>
      <c r="K186" s="23" t="n"/>
      <c r="L186" s="25">
        <f>IF(OR(E186="",N(U186)=0),"",U186-SUMIFS(Q$18:Q186,E$18:E186,E186))</f>
        <v/>
      </c>
      <c r="M186" s="26">
        <f>IF(OR(N(J186)=0,K186="Cancelled"),"",IF(AND(N(J186)&gt;5000,P186&lt;&gt;"G"),"Yes: ₹1","No"))</f>
        <v/>
      </c>
      <c r="N186" s="27">
        <f>IF(AND(B186="",D186="",N(J186)=0),"",IF(B186="","Enter the date",IF(AND(ROW()&gt;18,B185=""),"Use the next empty row: a skipped row leaves a gap in the receipt numbers",IF(D186="","Enter who paid",IF(N(J186)=0,"Enter the amount",IF(G186="","Pick what the money was for",IF(P186="?","Pick what it was for from the list",IF(H186="","Pick how it was paid",IF(K186="Cancelled","Cancelled: keep this number unused and give a fresh receipt",IF(AND(H186&lt;&gt;"Cash",I186=""),"Enter the cheque no., UTR or UPI reference",IF(AND(L186&lt;&gt;"",N(L186)&lt;0),"More than the balance due on this invoice",IF(S186&gt;=200000,"₹2,00,000 or more in cash from this person today: barred, s.186",IF(T186&gt;=200000,"₹2,00,000 or more in cash against this invoice: barred, s.186",IF(AND(P186="T",H186="Cash",N(J186)&gt;=20000),"Loan of ₹20,000 or more in cash: barred, s.185",IF(AND(P186="D",H186="Cash",N(J186)&gt;=20000),"Cash deposit of ₹20,000 or more: ask your accountant whether s.185 applies",IF(AND(OR(P186="AG",P186="AS"),$E$9&lt;&gt;""),"Advance: also give a GST receipt voucher, s.31(3)(d) and Rule 50","OK"))))))))))))))))</f>
        <v/>
      </c>
      <c r="P186">
        <f>IF(G186="","",IFERROR(VLOOKUP(G186,Lists!$A$2:$B$9,2,FALSE),"?"))</f>
        <v/>
      </c>
      <c r="Q186">
        <f>IF(K186="Cancelled",0,N(J186))</f>
        <v/>
      </c>
      <c r="R186">
        <f>IF(OR(H186&lt;&gt;"Cash",P186="T",P186="D"),0,Q186)</f>
        <v/>
      </c>
      <c r="S186">
        <f>IF(R186=0,0,SUMIFS($R$18:$R$317,$B$18:$B$317,B186,$D$18:$D$317,D186))</f>
        <v/>
      </c>
      <c r="T186">
        <f>IF(OR(R186=0,E186=""),0,SUMIFS($R$18:$R$317,$E$18:$E$317,E186))</f>
        <v/>
      </c>
      <c r="U186">
        <f>IF(E186="","",IF(N(F186)&gt;0,F186,IFERROR(INDEX($F$18:$F$317,MATCH(E186,$E$18:$E$317,0)),"")))</f>
        <v/>
      </c>
      <c r="V186">
        <f>IF(OR(N186="",N186="OK",K186="Cancelled"),0,1)</f>
        <v/>
      </c>
    </row>
    <row r="187">
      <c r="B187" s="21" t="n"/>
      <c r="C187" s="22">
        <f>IF(B187="","",$E$10&amp;TEXT(N($E$11)+169,"000"))</f>
        <v/>
      </c>
      <c r="D187" s="14" t="n"/>
      <c r="E187" s="23" t="n"/>
      <c r="F187" s="24" t="n"/>
      <c r="G187" s="14" t="n"/>
      <c r="H187" s="14" t="n"/>
      <c r="I187" s="23" t="n"/>
      <c r="J187" s="24" t="n"/>
      <c r="K187" s="23" t="n"/>
      <c r="L187" s="25">
        <f>IF(OR(E187="",N(U187)=0),"",U187-SUMIFS(Q$18:Q187,E$18:E187,E187))</f>
        <v/>
      </c>
      <c r="M187" s="26">
        <f>IF(OR(N(J187)=0,K187="Cancelled"),"",IF(AND(N(J187)&gt;5000,P187&lt;&gt;"G"),"Yes: ₹1","No"))</f>
        <v/>
      </c>
      <c r="N187" s="27">
        <f>IF(AND(B187="",D187="",N(J187)=0),"",IF(B187="","Enter the date",IF(AND(ROW()&gt;18,B186=""),"Use the next empty row: a skipped row leaves a gap in the receipt numbers",IF(D187="","Enter who paid",IF(N(J187)=0,"Enter the amount",IF(G187="","Pick what the money was for",IF(P187="?","Pick what it was for from the list",IF(H187="","Pick how it was paid",IF(K187="Cancelled","Cancelled: keep this number unused and give a fresh receipt",IF(AND(H187&lt;&gt;"Cash",I187=""),"Enter the cheque no., UTR or UPI reference",IF(AND(L187&lt;&gt;"",N(L187)&lt;0),"More than the balance due on this invoice",IF(S187&gt;=200000,"₹2,00,000 or more in cash from this person today: barred, s.186",IF(T187&gt;=200000,"₹2,00,000 or more in cash against this invoice: barred, s.186",IF(AND(P187="T",H187="Cash",N(J187)&gt;=20000),"Loan of ₹20,000 or more in cash: barred, s.185",IF(AND(P187="D",H187="Cash",N(J187)&gt;=20000),"Cash deposit of ₹20,000 or more: ask your accountant whether s.185 applies",IF(AND(OR(P187="AG",P187="AS"),$E$9&lt;&gt;""),"Advance: also give a GST receipt voucher, s.31(3)(d) and Rule 50","OK"))))))))))))))))</f>
        <v/>
      </c>
      <c r="P187">
        <f>IF(G187="","",IFERROR(VLOOKUP(G187,Lists!$A$2:$B$9,2,FALSE),"?"))</f>
        <v/>
      </c>
      <c r="Q187">
        <f>IF(K187="Cancelled",0,N(J187))</f>
        <v/>
      </c>
      <c r="R187">
        <f>IF(OR(H187&lt;&gt;"Cash",P187="T",P187="D"),0,Q187)</f>
        <v/>
      </c>
      <c r="S187">
        <f>IF(R187=0,0,SUMIFS($R$18:$R$317,$B$18:$B$317,B187,$D$18:$D$317,D187))</f>
        <v/>
      </c>
      <c r="T187">
        <f>IF(OR(R187=0,E187=""),0,SUMIFS($R$18:$R$317,$E$18:$E$317,E187))</f>
        <v/>
      </c>
      <c r="U187">
        <f>IF(E187="","",IF(N(F187)&gt;0,F187,IFERROR(INDEX($F$18:$F$317,MATCH(E187,$E$18:$E$317,0)),"")))</f>
        <v/>
      </c>
      <c r="V187">
        <f>IF(OR(N187="",N187="OK",K187="Cancelled"),0,1)</f>
        <v/>
      </c>
    </row>
    <row r="188">
      <c r="B188" s="21" t="n"/>
      <c r="C188" s="22">
        <f>IF(B188="","",$E$10&amp;TEXT(N($E$11)+170,"000"))</f>
        <v/>
      </c>
      <c r="D188" s="14" t="n"/>
      <c r="E188" s="23" t="n"/>
      <c r="F188" s="24" t="n"/>
      <c r="G188" s="14" t="n"/>
      <c r="H188" s="14" t="n"/>
      <c r="I188" s="23" t="n"/>
      <c r="J188" s="24" t="n"/>
      <c r="K188" s="23" t="n"/>
      <c r="L188" s="25">
        <f>IF(OR(E188="",N(U188)=0),"",U188-SUMIFS(Q$18:Q188,E$18:E188,E188))</f>
        <v/>
      </c>
      <c r="M188" s="26">
        <f>IF(OR(N(J188)=0,K188="Cancelled"),"",IF(AND(N(J188)&gt;5000,P188&lt;&gt;"G"),"Yes: ₹1","No"))</f>
        <v/>
      </c>
      <c r="N188" s="27">
        <f>IF(AND(B188="",D188="",N(J188)=0),"",IF(B188="","Enter the date",IF(AND(ROW()&gt;18,B187=""),"Use the next empty row: a skipped row leaves a gap in the receipt numbers",IF(D188="","Enter who paid",IF(N(J188)=0,"Enter the amount",IF(G188="","Pick what the money was for",IF(P188="?","Pick what it was for from the list",IF(H188="","Pick how it was paid",IF(K188="Cancelled","Cancelled: keep this number unused and give a fresh receipt",IF(AND(H188&lt;&gt;"Cash",I188=""),"Enter the cheque no., UTR or UPI reference",IF(AND(L188&lt;&gt;"",N(L188)&lt;0),"More than the balance due on this invoice",IF(S188&gt;=200000,"₹2,00,000 or more in cash from this person today: barred, s.186",IF(T188&gt;=200000,"₹2,00,000 or more in cash against this invoice: barred, s.186",IF(AND(P188="T",H188="Cash",N(J188)&gt;=20000),"Loan of ₹20,000 or more in cash: barred, s.185",IF(AND(P188="D",H188="Cash",N(J188)&gt;=20000),"Cash deposit of ₹20,000 or more: ask your accountant whether s.185 applies",IF(AND(OR(P188="AG",P188="AS"),$E$9&lt;&gt;""),"Advance: also give a GST receipt voucher, s.31(3)(d) and Rule 50","OK"))))))))))))))))</f>
        <v/>
      </c>
      <c r="P188">
        <f>IF(G188="","",IFERROR(VLOOKUP(G188,Lists!$A$2:$B$9,2,FALSE),"?"))</f>
        <v/>
      </c>
      <c r="Q188">
        <f>IF(K188="Cancelled",0,N(J188))</f>
        <v/>
      </c>
      <c r="R188">
        <f>IF(OR(H188&lt;&gt;"Cash",P188="T",P188="D"),0,Q188)</f>
        <v/>
      </c>
      <c r="S188">
        <f>IF(R188=0,0,SUMIFS($R$18:$R$317,$B$18:$B$317,B188,$D$18:$D$317,D188))</f>
        <v/>
      </c>
      <c r="T188">
        <f>IF(OR(R188=0,E188=""),0,SUMIFS($R$18:$R$317,$E$18:$E$317,E188))</f>
        <v/>
      </c>
      <c r="U188">
        <f>IF(E188="","",IF(N(F188)&gt;0,F188,IFERROR(INDEX($F$18:$F$317,MATCH(E188,$E$18:$E$317,0)),"")))</f>
        <v/>
      </c>
      <c r="V188">
        <f>IF(OR(N188="",N188="OK",K188="Cancelled"),0,1)</f>
        <v/>
      </c>
    </row>
    <row r="189">
      <c r="B189" s="21" t="n"/>
      <c r="C189" s="22">
        <f>IF(B189="","",$E$10&amp;TEXT(N($E$11)+171,"000"))</f>
        <v/>
      </c>
      <c r="D189" s="14" t="n"/>
      <c r="E189" s="23" t="n"/>
      <c r="F189" s="24" t="n"/>
      <c r="G189" s="14" t="n"/>
      <c r="H189" s="14" t="n"/>
      <c r="I189" s="23" t="n"/>
      <c r="J189" s="24" t="n"/>
      <c r="K189" s="23" t="n"/>
      <c r="L189" s="25">
        <f>IF(OR(E189="",N(U189)=0),"",U189-SUMIFS(Q$18:Q189,E$18:E189,E189))</f>
        <v/>
      </c>
      <c r="M189" s="26">
        <f>IF(OR(N(J189)=0,K189="Cancelled"),"",IF(AND(N(J189)&gt;5000,P189&lt;&gt;"G"),"Yes: ₹1","No"))</f>
        <v/>
      </c>
      <c r="N189" s="27">
        <f>IF(AND(B189="",D189="",N(J189)=0),"",IF(B189="","Enter the date",IF(AND(ROW()&gt;18,B188=""),"Use the next empty row: a skipped row leaves a gap in the receipt numbers",IF(D189="","Enter who paid",IF(N(J189)=0,"Enter the amount",IF(G189="","Pick what the money was for",IF(P189="?","Pick what it was for from the list",IF(H189="","Pick how it was paid",IF(K189="Cancelled","Cancelled: keep this number unused and give a fresh receipt",IF(AND(H189&lt;&gt;"Cash",I189=""),"Enter the cheque no., UTR or UPI reference",IF(AND(L189&lt;&gt;"",N(L189)&lt;0),"More than the balance due on this invoice",IF(S189&gt;=200000,"₹2,00,000 or more in cash from this person today: barred, s.186",IF(T189&gt;=200000,"₹2,00,000 or more in cash against this invoice: barred, s.186",IF(AND(P189="T",H189="Cash",N(J189)&gt;=20000),"Loan of ₹20,000 or more in cash: barred, s.185",IF(AND(P189="D",H189="Cash",N(J189)&gt;=20000),"Cash deposit of ₹20,000 or more: ask your accountant whether s.185 applies",IF(AND(OR(P189="AG",P189="AS"),$E$9&lt;&gt;""),"Advance: also give a GST receipt voucher, s.31(3)(d) and Rule 50","OK"))))))))))))))))</f>
        <v/>
      </c>
      <c r="P189">
        <f>IF(G189="","",IFERROR(VLOOKUP(G189,Lists!$A$2:$B$9,2,FALSE),"?"))</f>
        <v/>
      </c>
      <c r="Q189">
        <f>IF(K189="Cancelled",0,N(J189))</f>
        <v/>
      </c>
      <c r="R189">
        <f>IF(OR(H189&lt;&gt;"Cash",P189="T",P189="D"),0,Q189)</f>
        <v/>
      </c>
      <c r="S189">
        <f>IF(R189=0,0,SUMIFS($R$18:$R$317,$B$18:$B$317,B189,$D$18:$D$317,D189))</f>
        <v/>
      </c>
      <c r="T189">
        <f>IF(OR(R189=0,E189=""),0,SUMIFS($R$18:$R$317,$E$18:$E$317,E189))</f>
        <v/>
      </c>
      <c r="U189">
        <f>IF(E189="","",IF(N(F189)&gt;0,F189,IFERROR(INDEX($F$18:$F$317,MATCH(E189,$E$18:$E$317,0)),"")))</f>
        <v/>
      </c>
      <c r="V189">
        <f>IF(OR(N189="",N189="OK",K189="Cancelled"),0,1)</f>
        <v/>
      </c>
    </row>
    <row r="190">
      <c r="B190" s="21" t="n"/>
      <c r="C190" s="22">
        <f>IF(B190="","",$E$10&amp;TEXT(N($E$11)+172,"000"))</f>
        <v/>
      </c>
      <c r="D190" s="14" t="n"/>
      <c r="E190" s="23" t="n"/>
      <c r="F190" s="24" t="n"/>
      <c r="G190" s="14" t="n"/>
      <c r="H190" s="14" t="n"/>
      <c r="I190" s="23" t="n"/>
      <c r="J190" s="24" t="n"/>
      <c r="K190" s="23" t="n"/>
      <c r="L190" s="25">
        <f>IF(OR(E190="",N(U190)=0),"",U190-SUMIFS(Q$18:Q190,E$18:E190,E190))</f>
        <v/>
      </c>
      <c r="M190" s="26">
        <f>IF(OR(N(J190)=0,K190="Cancelled"),"",IF(AND(N(J190)&gt;5000,P190&lt;&gt;"G"),"Yes: ₹1","No"))</f>
        <v/>
      </c>
      <c r="N190" s="27">
        <f>IF(AND(B190="",D190="",N(J190)=0),"",IF(B190="","Enter the date",IF(AND(ROW()&gt;18,B189=""),"Use the next empty row: a skipped row leaves a gap in the receipt numbers",IF(D190="","Enter who paid",IF(N(J190)=0,"Enter the amount",IF(G190="","Pick what the money was for",IF(P190="?","Pick what it was for from the list",IF(H190="","Pick how it was paid",IF(K190="Cancelled","Cancelled: keep this number unused and give a fresh receipt",IF(AND(H190&lt;&gt;"Cash",I190=""),"Enter the cheque no., UTR or UPI reference",IF(AND(L190&lt;&gt;"",N(L190)&lt;0),"More than the balance due on this invoice",IF(S190&gt;=200000,"₹2,00,000 or more in cash from this person today: barred, s.186",IF(T190&gt;=200000,"₹2,00,000 or more in cash against this invoice: barred, s.186",IF(AND(P190="T",H190="Cash",N(J190)&gt;=20000),"Loan of ₹20,000 or more in cash: barred, s.185",IF(AND(P190="D",H190="Cash",N(J190)&gt;=20000),"Cash deposit of ₹20,000 or more: ask your accountant whether s.185 applies",IF(AND(OR(P190="AG",P190="AS"),$E$9&lt;&gt;""),"Advance: also give a GST receipt voucher, s.31(3)(d) and Rule 50","OK"))))))))))))))))</f>
        <v/>
      </c>
      <c r="P190">
        <f>IF(G190="","",IFERROR(VLOOKUP(G190,Lists!$A$2:$B$9,2,FALSE),"?"))</f>
        <v/>
      </c>
      <c r="Q190">
        <f>IF(K190="Cancelled",0,N(J190))</f>
        <v/>
      </c>
      <c r="R190">
        <f>IF(OR(H190&lt;&gt;"Cash",P190="T",P190="D"),0,Q190)</f>
        <v/>
      </c>
      <c r="S190">
        <f>IF(R190=0,0,SUMIFS($R$18:$R$317,$B$18:$B$317,B190,$D$18:$D$317,D190))</f>
        <v/>
      </c>
      <c r="T190">
        <f>IF(OR(R190=0,E190=""),0,SUMIFS($R$18:$R$317,$E$18:$E$317,E190))</f>
        <v/>
      </c>
      <c r="U190">
        <f>IF(E190="","",IF(N(F190)&gt;0,F190,IFERROR(INDEX($F$18:$F$317,MATCH(E190,$E$18:$E$317,0)),"")))</f>
        <v/>
      </c>
      <c r="V190">
        <f>IF(OR(N190="",N190="OK",K190="Cancelled"),0,1)</f>
        <v/>
      </c>
    </row>
    <row r="191">
      <c r="B191" s="21" t="n"/>
      <c r="C191" s="22">
        <f>IF(B191="","",$E$10&amp;TEXT(N($E$11)+173,"000"))</f>
        <v/>
      </c>
      <c r="D191" s="14" t="n"/>
      <c r="E191" s="23" t="n"/>
      <c r="F191" s="24" t="n"/>
      <c r="G191" s="14" t="n"/>
      <c r="H191" s="14" t="n"/>
      <c r="I191" s="23" t="n"/>
      <c r="J191" s="24" t="n"/>
      <c r="K191" s="23" t="n"/>
      <c r="L191" s="25">
        <f>IF(OR(E191="",N(U191)=0),"",U191-SUMIFS(Q$18:Q191,E$18:E191,E191))</f>
        <v/>
      </c>
      <c r="M191" s="26">
        <f>IF(OR(N(J191)=0,K191="Cancelled"),"",IF(AND(N(J191)&gt;5000,P191&lt;&gt;"G"),"Yes: ₹1","No"))</f>
        <v/>
      </c>
      <c r="N191" s="27">
        <f>IF(AND(B191="",D191="",N(J191)=0),"",IF(B191="","Enter the date",IF(AND(ROW()&gt;18,B190=""),"Use the next empty row: a skipped row leaves a gap in the receipt numbers",IF(D191="","Enter who paid",IF(N(J191)=0,"Enter the amount",IF(G191="","Pick what the money was for",IF(P191="?","Pick what it was for from the list",IF(H191="","Pick how it was paid",IF(K191="Cancelled","Cancelled: keep this number unused and give a fresh receipt",IF(AND(H191&lt;&gt;"Cash",I191=""),"Enter the cheque no., UTR or UPI reference",IF(AND(L191&lt;&gt;"",N(L191)&lt;0),"More than the balance due on this invoice",IF(S191&gt;=200000,"₹2,00,000 or more in cash from this person today: barred, s.186",IF(T191&gt;=200000,"₹2,00,000 or more in cash against this invoice: barred, s.186",IF(AND(P191="T",H191="Cash",N(J191)&gt;=20000),"Loan of ₹20,000 or more in cash: barred, s.185",IF(AND(P191="D",H191="Cash",N(J191)&gt;=20000),"Cash deposit of ₹20,000 or more: ask your accountant whether s.185 applies",IF(AND(OR(P191="AG",P191="AS"),$E$9&lt;&gt;""),"Advance: also give a GST receipt voucher, s.31(3)(d) and Rule 50","OK"))))))))))))))))</f>
        <v/>
      </c>
      <c r="P191">
        <f>IF(G191="","",IFERROR(VLOOKUP(G191,Lists!$A$2:$B$9,2,FALSE),"?"))</f>
        <v/>
      </c>
      <c r="Q191">
        <f>IF(K191="Cancelled",0,N(J191))</f>
        <v/>
      </c>
      <c r="R191">
        <f>IF(OR(H191&lt;&gt;"Cash",P191="T",P191="D"),0,Q191)</f>
        <v/>
      </c>
      <c r="S191">
        <f>IF(R191=0,0,SUMIFS($R$18:$R$317,$B$18:$B$317,B191,$D$18:$D$317,D191))</f>
        <v/>
      </c>
      <c r="T191">
        <f>IF(OR(R191=0,E191=""),0,SUMIFS($R$18:$R$317,$E$18:$E$317,E191))</f>
        <v/>
      </c>
      <c r="U191">
        <f>IF(E191="","",IF(N(F191)&gt;0,F191,IFERROR(INDEX($F$18:$F$317,MATCH(E191,$E$18:$E$317,0)),"")))</f>
        <v/>
      </c>
      <c r="V191">
        <f>IF(OR(N191="",N191="OK",K191="Cancelled"),0,1)</f>
        <v/>
      </c>
    </row>
    <row r="192">
      <c r="B192" s="21" t="n"/>
      <c r="C192" s="22">
        <f>IF(B192="","",$E$10&amp;TEXT(N($E$11)+174,"000"))</f>
        <v/>
      </c>
      <c r="D192" s="14" t="n"/>
      <c r="E192" s="23" t="n"/>
      <c r="F192" s="24" t="n"/>
      <c r="G192" s="14" t="n"/>
      <c r="H192" s="14" t="n"/>
      <c r="I192" s="23" t="n"/>
      <c r="J192" s="24" t="n"/>
      <c r="K192" s="23" t="n"/>
      <c r="L192" s="25">
        <f>IF(OR(E192="",N(U192)=0),"",U192-SUMIFS(Q$18:Q192,E$18:E192,E192))</f>
        <v/>
      </c>
      <c r="M192" s="26">
        <f>IF(OR(N(J192)=0,K192="Cancelled"),"",IF(AND(N(J192)&gt;5000,P192&lt;&gt;"G"),"Yes: ₹1","No"))</f>
        <v/>
      </c>
      <c r="N192" s="27">
        <f>IF(AND(B192="",D192="",N(J192)=0),"",IF(B192="","Enter the date",IF(AND(ROW()&gt;18,B191=""),"Use the next empty row: a skipped row leaves a gap in the receipt numbers",IF(D192="","Enter who paid",IF(N(J192)=0,"Enter the amount",IF(G192="","Pick what the money was for",IF(P192="?","Pick what it was for from the list",IF(H192="","Pick how it was paid",IF(K192="Cancelled","Cancelled: keep this number unused and give a fresh receipt",IF(AND(H192&lt;&gt;"Cash",I192=""),"Enter the cheque no., UTR or UPI reference",IF(AND(L192&lt;&gt;"",N(L192)&lt;0),"More than the balance due on this invoice",IF(S192&gt;=200000,"₹2,00,000 or more in cash from this person today: barred, s.186",IF(T192&gt;=200000,"₹2,00,000 or more in cash against this invoice: barred, s.186",IF(AND(P192="T",H192="Cash",N(J192)&gt;=20000),"Loan of ₹20,000 or more in cash: barred, s.185",IF(AND(P192="D",H192="Cash",N(J192)&gt;=20000),"Cash deposit of ₹20,000 or more: ask your accountant whether s.185 applies",IF(AND(OR(P192="AG",P192="AS"),$E$9&lt;&gt;""),"Advance: also give a GST receipt voucher, s.31(3)(d) and Rule 50","OK"))))))))))))))))</f>
        <v/>
      </c>
      <c r="P192">
        <f>IF(G192="","",IFERROR(VLOOKUP(G192,Lists!$A$2:$B$9,2,FALSE),"?"))</f>
        <v/>
      </c>
      <c r="Q192">
        <f>IF(K192="Cancelled",0,N(J192))</f>
        <v/>
      </c>
      <c r="R192">
        <f>IF(OR(H192&lt;&gt;"Cash",P192="T",P192="D"),0,Q192)</f>
        <v/>
      </c>
      <c r="S192">
        <f>IF(R192=0,0,SUMIFS($R$18:$R$317,$B$18:$B$317,B192,$D$18:$D$317,D192))</f>
        <v/>
      </c>
      <c r="T192">
        <f>IF(OR(R192=0,E192=""),0,SUMIFS($R$18:$R$317,$E$18:$E$317,E192))</f>
        <v/>
      </c>
      <c r="U192">
        <f>IF(E192="","",IF(N(F192)&gt;0,F192,IFERROR(INDEX($F$18:$F$317,MATCH(E192,$E$18:$E$317,0)),"")))</f>
        <v/>
      </c>
      <c r="V192">
        <f>IF(OR(N192="",N192="OK",K192="Cancelled"),0,1)</f>
        <v/>
      </c>
    </row>
    <row r="193">
      <c r="B193" s="21" t="n"/>
      <c r="C193" s="22">
        <f>IF(B193="","",$E$10&amp;TEXT(N($E$11)+175,"000"))</f>
        <v/>
      </c>
      <c r="D193" s="14" t="n"/>
      <c r="E193" s="23" t="n"/>
      <c r="F193" s="24" t="n"/>
      <c r="G193" s="14" t="n"/>
      <c r="H193" s="14" t="n"/>
      <c r="I193" s="23" t="n"/>
      <c r="J193" s="24" t="n"/>
      <c r="K193" s="23" t="n"/>
      <c r="L193" s="25">
        <f>IF(OR(E193="",N(U193)=0),"",U193-SUMIFS(Q$18:Q193,E$18:E193,E193))</f>
        <v/>
      </c>
      <c r="M193" s="26">
        <f>IF(OR(N(J193)=0,K193="Cancelled"),"",IF(AND(N(J193)&gt;5000,P193&lt;&gt;"G"),"Yes: ₹1","No"))</f>
        <v/>
      </c>
      <c r="N193" s="27">
        <f>IF(AND(B193="",D193="",N(J193)=0),"",IF(B193="","Enter the date",IF(AND(ROW()&gt;18,B192=""),"Use the next empty row: a skipped row leaves a gap in the receipt numbers",IF(D193="","Enter who paid",IF(N(J193)=0,"Enter the amount",IF(G193="","Pick what the money was for",IF(P193="?","Pick what it was for from the list",IF(H193="","Pick how it was paid",IF(K193="Cancelled","Cancelled: keep this number unused and give a fresh receipt",IF(AND(H193&lt;&gt;"Cash",I193=""),"Enter the cheque no., UTR or UPI reference",IF(AND(L193&lt;&gt;"",N(L193)&lt;0),"More than the balance due on this invoice",IF(S193&gt;=200000,"₹2,00,000 or more in cash from this person today: barred, s.186",IF(T193&gt;=200000,"₹2,00,000 or more in cash against this invoice: barred, s.186",IF(AND(P193="T",H193="Cash",N(J193)&gt;=20000),"Loan of ₹20,000 or more in cash: barred, s.185",IF(AND(P193="D",H193="Cash",N(J193)&gt;=20000),"Cash deposit of ₹20,000 or more: ask your accountant whether s.185 applies",IF(AND(OR(P193="AG",P193="AS"),$E$9&lt;&gt;""),"Advance: also give a GST receipt voucher, s.31(3)(d) and Rule 50","OK"))))))))))))))))</f>
        <v/>
      </c>
      <c r="P193">
        <f>IF(G193="","",IFERROR(VLOOKUP(G193,Lists!$A$2:$B$9,2,FALSE),"?"))</f>
        <v/>
      </c>
      <c r="Q193">
        <f>IF(K193="Cancelled",0,N(J193))</f>
        <v/>
      </c>
      <c r="R193">
        <f>IF(OR(H193&lt;&gt;"Cash",P193="T",P193="D"),0,Q193)</f>
        <v/>
      </c>
      <c r="S193">
        <f>IF(R193=0,0,SUMIFS($R$18:$R$317,$B$18:$B$317,B193,$D$18:$D$317,D193))</f>
        <v/>
      </c>
      <c r="T193">
        <f>IF(OR(R193=0,E193=""),0,SUMIFS($R$18:$R$317,$E$18:$E$317,E193))</f>
        <v/>
      </c>
      <c r="U193">
        <f>IF(E193="","",IF(N(F193)&gt;0,F193,IFERROR(INDEX($F$18:$F$317,MATCH(E193,$E$18:$E$317,0)),"")))</f>
        <v/>
      </c>
      <c r="V193">
        <f>IF(OR(N193="",N193="OK",K193="Cancelled"),0,1)</f>
        <v/>
      </c>
    </row>
    <row r="194">
      <c r="B194" s="21" t="n"/>
      <c r="C194" s="22">
        <f>IF(B194="","",$E$10&amp;TEXT(N($E$11)+176,"000"))</f>
        <v/>
      </c>
      <c r="D194" s="14" t="n"/>
      <c r="E194" s="23" t="n"/>
      <c r="F194" s="24" t="n"/>
      <c r="G194" s="14" t="n"/>
      <c r="H194" s="14" t="n"/>
      <c r="I194" s="23" t="n"/>
      <c r="J194" s="24" t="n"/>
      <c r="K194" s="23" t="n"/>
      <c r="L194" s="25">
        <f>IF(OR(E194="",N(U194)=0),"",U194-SUMIFS(Q$18:Q194,E$18:E194,E194))</f>
        <v/>
      </c>
      <c r="M194" s="26">
        <f>IF(OR(N(J194)=0,K194="Cancelled"),"",IF(AND(N(J194)&gt;5000,P194&lt;&gt;"G"),"Yes: ₹1","No"))</f>
        <v/>
      </c>
      <c r="N194" s="27">
        <f>IF(AND(B194="",D194="",N(J194)=0),"",IF(B194="","Enter the date",IF(AND(ROW()&gt;18,B193=""),"Use the next empty row: a skipped row leaves a gap in the receipt numbers",IF(D194="","Enter who paid",IF(N(J194)=0,"Enter the amount",IF(G194="","Pick what the money was for",IF(P194="?","Pick what it was for from the list",IF(H194="","Pick how it was paid",IF(K194="Cancelled","Cancelled: keep this number unused and give a fresh receipt",IF(AND(H194&lt;&gt;"Cash",I194=""),"Enter the cheque no., UTR or UPI reference",IF(AND(L194&lt;&gt;"",N(L194)&lt;0),"More than the balance due on this invoice",IF(S194&gt;=200000,"₹2,00,000 or more in cash from this person today: barred, s.186",IF(T194&gt;=200000,"₹2,00,000 or more in cash against this invoice: barred, s.186",IF(AND(P194="T",H194="Cash",N(J194)&gt;=20000),"Loan of ₹20,000 or more in cash: barred, s.185",IF(AND(P194="D",H194="Cash",N(J194)&gt;=20000),"Cash deposit of ₹20,000 or more: ask your accountant whether s.185 applies",IF(AND(OR(P194="AG",P194="AS"),$E$9&lt;&gt;""),"Advance: also give a GST receipt voucher, s.31(3)(d) and Rule 50","OK"))))))))))))))))</f>
        <v/>
      </c>
      <c r="P194">
        <f>IF(G194="","",IFERROR(VLOOKUP(G194,Lists!$A$2:$B$9,2,FALSE),"?"))</f>
        <v/>
      </c>
      <c r="Q194">
        <f>IF(K194="Cancelled",0,N(J194))</f>
        <v/>
      </c>
      <c r="R194">
        <f>IF(OR(H194&lt;&gt;"Cash",P194="T",P194="D"),0,Q194)</f>
        <v/>
      </c>
      <c r="S194">
        <f>IF(R194=0,0,SUMIFS($R$18:$R$317,$B$18:$B$317,B194,$D$18:$D$317,D194))</f>
        <v/>
      </c>
      <c r="T194">
        <f>IF(OR(R194=0,E194=""),0,SUMIFS($R$18:$R$317,$E$18:$E$317,E194))</f>
        <v/>
      </c>
      <c r="U194">
        <f>IF(E194="","",IF(N(F194)&gt;0,F194,IFERROR(INDEX($F$18:$F$317,MATCH(E194,$E$18:$E$317,0)),"")))</f>
        <v/>
      </c>
      <c r="V194">
        <f>IF(OR(N194="",N194="OK",K194="Cancelled"),0,1)</f>
        <v/>
      </c>
    </row>
    <row r="195">
      <c r="B195" s="21" t="n"/>
      <c r="C195" s="22">
        <f>IF(B195="","",$E$10&amp;TEXT(N($E$11)+177,"000"))</f>
        <v/>
      </c>
      <c r="D195" s="14" t="n"/>
      <c r="E195" s="23" t="n"/>
      <c r="F195" s="24" t="n"/>
      <c r="G195" s="14" t="n"/>
      <c r="H195" s="14" t="n"/>
      <c r="I195" s="23" t="n"/>
      <c r="J195" s="24" t="n"/>
      <c r="K195" s="23" t="n"/>
      <c r="L195" s="25">
        <f>IF(OR(E195="",N(U195)=0),"",U195-SUMIFS(Q$18:Q195,E$18:E195,E195))</f>
        <v/>
      </c>
      <c r="M195" s="26">
        <f>IF(OR(N(J195)=0,K195="Cancelled"),"",IF(AND(N(J195)&gt;5000,P195&lt;&gt;"G"),"Yes: ₹1","No"))</f>
        <v/>
      </c>
      <c r="N195" s="27">
        <f>IF(AND(B195="",D195="",N(J195)=0),"",IF(B195="","Enter the date",IF(AND(ROW()&gt;18,B194=""),"Use the next empty row: a skipped row leaves a gap in the receipt numbers",IF(D195="","Enter who paid",IF(N(J195)=0,"Enter the amount",IF(G195="","Pick what the money was for",IF(P195="?","Pick what it was for from the list",IF(H195="","Pick how it was paid",IF(K195="Cancelled","Cancelled: keep this number unused and give a fresh receipt",IF(AND(H195&lt;&gt;"Cash",I195=""),"Enter the cheque no., UTR or UPI reference",IF(AND(L195&lt;&gt;"",N(L195)&lt;0),"More than the balance due on this invoice",IF(S195&gt;=200000,"₹2,00,000 or more in cash from this person today: barred, s.186",IF(T195&gt;=200000,"₹2,00,000 or more in cash against this invoice: barred, s.186",IF(AND(P195="T",H195="Cash",N(J195)&gt;=20000),"Loan of ₹20,000 or more in cash: barred, s.185",IF(AND(P195="D",H195="Cash",N(J195)&gt;=20000),"Cash deposit of ₹20,000 or more: ask your accountant whether s.185 applies",IF(AND(OR(P195="AG",P195="AS"),$E$9&lt;&gt;""),"Advance: also give a GST receipt voucher, s.31(3)(d) and Rule 50","OK"))))))))))))))))</f>
        <v/>
      </c>
      <c r="P195">
        <f>IF(G195="","",IFERROR(VLOOKUP(G195,Lists!$A$2:$B$9,2,FALSE),"?"))</f>
        <v/>
      </c>
      <c r="Q195">
        <f>IF(K195="Cancelled",0,N(J195))</f>
        <v/>
      </c>
      <c r="R195">
        <f>IF(OR(H195&lt;&gt;"Cash",P195="T",P195="D"),0,Q195)</f>
        <v/>
      </c>
      <c r="S195">
        <f>IF(R195=0,0,SUMIFS($R$18:$R$317,$B$18:$B$317,B195,$D$18:$D$317,D195))</f>
        <v/>
      </c>
      <c r="T195">
        <f>IF(OR(R195=0,E195=""),0,SUMIFS($R$18:$R$317,$E$18:$E$317,E195))</f>
        <v/>
      </c>
      <c r="U195">
        <f>IF(E195="","",IF(N(F195)&gt;0,F195,IFERROR(INDEX($F$18:$F$317,MATCH(E195,$E$18:$E$317,0)),"")))</f>
        <v/>
      </c>
      <c r="V195">
        <f>IF(OR(N195="",N195="OK",K195="Cancelled"),0,1)</f>
        <v/>
      </c>
    </row>
    <row r="196">
      <c r="B196" s="21" t="n"/>
      <c r="C196" s="22">
        <f>IF(B196="","",$E$10&amp;TEXT(N($E$11)+178,"000"))</f>
        <v/>
      </c>
      <c r="D196" s="14" t="n"/>
      <c r="E196" s="23" t="n"/>
      <c r="F196" s="24" t="n"/>
      <c r="G196" s="14" t="n"/>
      <c r="H196" s="14" t="n"/>
      <c r="I196" s="23" t="n"/>
      <c r="J196" s="24" t="n"/>
      <c r="K196" s="23" t="n"/>
      <c r="L196" s="25">
        <f>IF(OR(E196="",N(U196)=0),"",U196-SUMIFS(Q$18:Q196,E$18:E196,E196))</f>
        <v/>
      </c>
      <c r="M196" s="26">
        <f>IF(OR(N(J196)=0,K196="Cancelled"),"",IF(AND(N(J196)&gt;5000,P196&lt;&gt;"G"),"Yes: ₹1","No"))</f>
        <v/>
      </c>
      <c r="N196" s="27">
        <f>IF(AND(B196="",D196="",N(J196)=0),"",IF(B196="","Enter the date",IF(AND(ROW()&gt;18,B195=""),"Use the next empty row: a skipped row leaves a gap in the receipt numbers",IF(D196="","Enter who paid",IF(N(J196)=0,"Enter the amount",IF(G196="","Pick what the money was for",IF(P196="?","Pick what it was for from the list",IF(H196="","Pick how it was paid",IF(K196="Cancelled","Cancelled: keep this number unused and give a fresh receipt",IF(AND(H196&lt;&gt;"Cash",I196=""),"Enter the cheque no., UTR or UPI reference",IF(AND(L196&lt;&gt;"",N(L196)&lt;0),"More than the balance due on this invoice",IF(S196&gt;=200000,"₹2,00,000 or more in cash from this person today: barred, s.186",IF(T196&gt;=200000,"₹2,00,000 or more in cash against this invoice: barred, s.186",IF(AND(P196="T",H196="Cash",N(J196)&gt;=20000),"Loan of ₹20,000 or more in cash: barred, s.185",IF(AND(P196="D",H196="Cash",N(J196)&gt;=20000),"Cash deposit of ₹20,000 or more: ask your accountant whether s.185 applies",IF(AND(OR(P196="AG",P196="AS"),$E$9&lt;&gt;""),"Advance: also give a GST receipt voucher, s.31(3)(d) and Rule 50","OK"))))))))))))))))</f>
        <v/>
      </c>
      <c r="P196">
        <f>IF(G196="","",IFERROR(VLOOKUP(G196,Lists!$A$2:$B$9,2,FALSE),"?"))</f>
        <v/>
      </c>
      <c r="Q196">
        <f>IF(K196="Cancelled",0,N(J196))</f>
        <v/>
      </c>
      <c r="R196">
        <f>IF(OR(H196&lt;&gt;"Cash",P196="T",P196="D"),0,Q196)</f>
        <v/>
      </c>
      <c r="S196">
        <f>IF(R196=0,0,SUMIFS($R$18:$R$317,$B$18:$B$317,B196,$D$18:$D$317,D196))</f>
        <v/>
      </c>
      <c r="T196">
        <f>IF(OR(R196=0,E196=""),0,SUMIFS($R$18:$R$317,$E$18:$E$317,E196))</f>
        <v/>
      </c>
      <c r="U196">
        <f>IF(E196="","",IF(N(F196)&gt;0,F196,IFERROR(INDEX($F$18:$F$317,MATCH(E196,$E$18:$E$317,0)),"")))</f>
        <v/>
      </c>
      <c r="V196">
        <f>IF(OR(N196="",N196="OK",K196="Cancelled"),0,1)</f>
        <v/>
      </c>
    </row>
    <row r="197">
      <c r="B197" s="21" t="n"/>
      <c r="C197" s="22">
        <f>IF(B197="","",$E$10&amp;TEXT(N($E$11)+179,"000"))</f>
        <v/>
      </c>
      <c r="D197" s="14" t="n"/>
      <c r="E197" s="23" t="n"/>
      <c r="F197" s="24" t="n"/>
      <c r="G197" s="14" t="n"/>
      <c r="H197" s="14" t="n"/>
      <c r="I197" s="23" t="n"/>
      <c r="J197" s="24" t="n"/>
      <c r="K197" s="23" t="n"/>
      <c r="L197" s="25">
        <f>IF(OR(E197="",N(U197)=0),"",U197-SUMIFS(Q$18:Q197,E$18:E197,E197))</f>
        <v/>
      </c>
      <c r="M197" s="26">
        <f>IF(OR(N(J197)=0,K197="Cancelled"),"",IF(AND(N(J197)&gt;5000,P197&lt;&gt;"G"),"Yes: ₹1","No"))</f>
        <v/>
      </c>
      <c r="N197" s="27">
        <f>IF(AND(B197="",D197="",N(J197)=0),"",IF(B197="","Enter the date",IF(AND(ROW()&gt;18,B196=""),"Use the next empty row: a skipped row leaves a gap in the receipt numbers",IF(D197="","Enter who paid",IF(N(J197)=0,"Enter the amount",IF(G197="","Pick what the money was for",IF(P197="?","Pick what it was for from the list",IF(H197="","Pick how it was paid",IF(K197="Cancelled","Cancelled: keep this number unused and give a fresh receipt",IF(AND(H197&lt;&gt;"Cash",I197=""),"Enter the cheque no., UTR or UPI reference",IF(AND(L197&lt;&gt;"",N(L197)&lt;0),"More than the balance due on this invoice",IF(S197&gt;=200000,"₹2,00,000 or more in cash from this person today: barred, s.186",IF(T197&gt;=200000,"₹2,00,000 or more in cash against this invoice: barred, s.186",IF(AND(P197="T",H197="Cash",N(J197)&gt;=20000),"Loan of ₹20,000 or more in cash: barred, s.185",IF(AND(P197="D",H197="Cash",N(J197)&gt;=20000),"Cash deposit of ₹20,000 or more: ask your accountant whether s.185 applies",IF(AND(OR(P197="AG",P197="AS"),$E$9&lt;&gt;""),"Advance: also give a GST receipt voucher, s.31(3)(d) and Rule 50","OK"))))))))))))))))</f>
        <v/>
      </c>
      <c r="P197">
        <f>IF(G197="","",IFERROR(VLOOKUP(G197,Lists!$A$2:$B$9,2,FALSE),"?"))</f>
        <v/>
      </c>
      <c r="Q197">
        <f>IF(K197="Cancelled",0,N(J197))</f>
        <v/>
      </c>
      <c r="R197">
        <f>IF(OR(H197&lt;&gt;"Cash",P197="T",P197="D"),0,Q197)</f>
        <v/>
      </c>
      <c r="S197">
        <f>IF(R197=0,0,SUMIFS($R$18:$R$317,$B$18:$B$317,B197,$D$18:$D$317,D197))</f>
        <v/>
      </c>
      <c r="T197">
        <f>IF(OR(R197=0,E197=""),0,SUMIFS($R$18:$R$317,$E$18:$E$317,E197))</f>
        <v/>
      </c>
      <c r="U197">
        <f>IF(E197="","",IF(N(F197)&gt;0,F197,IFERROR(INDEX($F$18:$F$317,MATCH(E197,$E$18:$E$317,0)),"")))</f>
        <v/>
      </c>
      <c r="V197">
        <f>IF(OR(N197="",N197="OK",K197="Cancelled"),0,1)</f>
        <v/>
      </c>
    </row>
    <row r="198">
      <c r="B198" s="21" t="n"/>
      <c r="C198" s="22">
        <f>IF(B198="","",$E$10&amp;TEXT(N($E$11)+180,"000"))</f>
        <v/>
      </c>
      <c r="D198" s="14" t="n"/>
      <c r="E198" s="23" t="n"/>
      <c r="F198" s="24" t="n"/>
      <c r="G198" s="14" t="n"/>
      <c r="H198" s="14" t="n"/>
      <c r="I198" s="23" t="n"/>
      <c r="J198" s="24" t="n"/>
      <c r="K198" s="23" t="n"/>
      <c r="L198" s="25">
        <f>IF(OR(E198="",N(U198)=0),"",U198-SUMIFS(Q$18:Q198,E$18:E198,E198))</f>
        <v/>
      </c>
      <c r="M198" s="26">
        <f>IF(OR(N(J198)=0,K198="Cancelled"),"",IF(AND(N(J198)&gt;5000,P198&lt;&gt;"G"),"Yes: ₹1","No"))</f>
        <v/>
      </c>
      <c r="N198" s="27">
        <f>IF(AND(B198="",D198="",N(J198)=0),"",IF(B198="","Enter the date",IF(AND(ROW()&gt;18,B197=""),"Use the next empty row: a skipped row leaves a gap in the receipt numbers",IF(D198="","Enter who paid",IF(N(J198)=0,"Enter the amount",IF(G198="","Pick what the money was for",IF(P198="?","Pick what it was for from the list",IF(H198="","Pick how it was paid",IF(K198="Cancelled","Cancelled: keep this number unused and give a fresh receipt",IF(AND(H198&lt;&gt;"Cash",I198=""),"Enter the cheque no., UTR or UPI reference",IF(AND(L198&lt;&gt;"",N(L198)&lt;0),"More than the balance due on this invoice",IF(S198&gt;=200000,"₹2,00,000 or more in cash from this person today: barred, s.186",IF(T198&gt;=200000,"₹2,00,000 or more in cash against this invoice: barred, s.186",IF(AND(P198="T",H198="Cash",N(J198)&gt;=20000),"Loan of ₹20,000 or more in cash: barred, s.185",IF(AND(P198="D",H198="Cash",N(J198)&gt;=20000),"Cash deposit of ₹20,000 or more: ask your accountant whether s.185 applies",IF(AND(OR(P198="AG",P198="AS"),$E$9&lt;&gt;""),"Advance: also give a GST receipt voucher, s.31(3)(d) and Rule 50","OK"))))))))))))))))</f>
        <v/>
      </c>
      <c r="P198">
        <f>IF(G198="","",IFERROR(VLOOKUP(G198,Lists!$A$2:$B$9,2,FALSE),"?"))</f>
        <v/>
      </c>
      <c r="Q198">
        <f>IF(K198="Cancelled",0,N(J198))</f>
        <v/>
      </c>
      <c r="R198">
        <f>IF(OR(H198&lt;&gt;"Cash",P198="T",P198="D"),0,Q198)</f>
        <v/>
      </c>
      <c r="S198">
        <f>IF(R198=0,0,SUMIFS($R$18:$R$317,$B$18:$B$317,B198,$D$18:$D$317,D198))</f>
        <v/>
      </c>
      <c r="T198">
        <f>IF(OR(R198=0,E198=""),0,SUMIFS($R$18:$R$317,$E$18:$E$317,E198))</f>
        <v/>
      </c>
      <c r="U198">
        <f>IF(E198="","",IF(N(F198)&gt;0,F198,IFERROR(INDEX($F$18:$F$317,MATCH(E198,$E$18:$E$317,0)),"")))</f>
        <v/>
      </c>
      <c r="V198">
        <f>IF(OR(N198="",N198="OK",K198="Cancelled"),0,1)</f>
        <v/>
      </c>
    </row>
    <row r="199">
      <c r="B199" s="21" t="n"/>
      <c r="C199" s="22">
        <f>IF(B199="","",$E$10&amp;TEXT(N($E$11)+181,"000"))</f>
        <v/>
      </c>
      <c r="D199" s="14" t="n"/>
      <c r="E199" s="23" t="n"/>
      <c r="F199" s="24" t="n"/>
      <c r="G199" s="14" t="n"/>
      <c r="H199" s="14" t="n"/>
      <c r="I199" s="23" t="n"/>
      <c r="J199" s="24" t="n"/>
      <c r="K199" s="23" t="n"/>
      <c r="L199" s="25">
        <f>IF(OR(E199="",N(U199)=0),"",U199-SUMIFS(Q$18:Q199,E$18:E199,E199))</f>
        <v/>
      </c>
      <c r="M199" s="26">
        <f>IF(OR(N(J199)=0,K199="Cancelled"),"",IF(AND(N(J199)&gt;5000,P199&lt;&gt;"G"),"Yes: ₹1","No"))</f>
        <v/>
      </c>
      <c r="N199" s="27">
        <f>IF(AND(B199="",D199="",N(J199)=0),"",IF(B199="","Enter the date",IF(AND(ROW()&gt;18,B198=""),"Use the next empty row: a skipped row leaves a gap in the receipt numbers",IF(D199="","Enter who paid",IF(N(J199)=0,"Enter the amount",IF(G199="","Pick what the money was for",IF(P199="?","Pick what it was for from the list",IF(H199="","Pick how it was paid",IF(K199="Cancelled","Cancelled: keep this number unused and give a fresh receipt",IF(AND(H199&lt;&gt;"Cash",I199=""),"Enter the cheque no., UTR or UPI reference",IF(AND(L199&lt;&gt;"",N(L199)&lt;0),"More than the balance due on this invoice",IF(S199&gt;=200000,"₹2,00,000 or more in cash from this person today: barred, s.186",IF(T199&gt;=200000,"₹2,00,000 or more in cash against this invoice: barred, s.186",IF(AND(P199="T",H199="Cash",N(J199)&gt;=20000),"Loan of ₹20,000 or more in cash: barred, s.185",IF(AND(P199="D",H199="Cash",N(J199)&gt;=20000),"Cash deposit of ₹20,000 or more: ask your accountant whether s.185 applies",IF(AND(OR(P199="AG",P199="AS"),$E$9&lt;&gt;""),"Advance: also give a GST receipt voucher, s.31(3)(d) and Rule 50","OK"))))))))))))))))</f>
        <v/>
      </c>
      <c r="P199">
        <f>IF(G199="","",IFERROR(VLOOKUP(G199,Lists!$A$2:$B$9,2,FALSE),"?"))</f>
        <v/>
      </c>
      <c r="Q199">
        <f>IF(K199="Cancelled",0,N(J199))</f>
        <v/>
      </c>
      <c r="R199">
        <f>IF(OR(H199&lt;&gt;"Cash",P199="T",P199="D"),0,Q199)</f>
        <v/>
      </c>
      <c r="S199">
        <f>IF(R199=0,0,SUMIFS($R$18:$R$317,$B$18:$B$317,B199,$D$18:$D$317,D199))</f>
        <v/>
      </c>
      <c r="T199">
        <f>IF(OR(R199=0,E199=""),0,SUMIFS($R$18:$R$317,$E$18:$E$317,E199))</f>
        <v/>
      </c>
      <c r="U199">
        <f>IF(E199="","",IF(N(F199)&gt;0,F199,IFERROR(INDEX($F$18:$F$317,MATCH(E199,$E$18:$E$317,0)),"")))</f>
        <v/>
      </c>
      <c r="V199">
        <f>IF(OR(N199="",N199="OK",K199="Cancelled"),0,1)</f>
        <v/>
      </c>
    </row>
    <row r="200">
      <c r="B200" s="21" t="n"/>
      <c r="C200" s="22">
        <f>IF(B200="","",$E$10&amp;TEXT(N($E$11)+182,"000"))</f>
        <v/>
      </c>
      <c r="D200" s="14" t="n"/>
      <c r="E200" s="23" t="n"/>
      <c r="F200" s="24" t="n"/>
      <c r="G200" s="14" t="n"/>
      <c r="H200" s="14" t="n"/>
      <c r="I200" s="23" t="n"/>
      <c r="J200" s="24" t="n"/>
      <c r="K200" s="23" t="n"/>
      <c r="L200" s="25">
        <f>IF(OR(E200="",N(U200)=0),"",U200-SUMIFS(Q$18:Q200,E$18:E200,E200))</f>
        <v/>
      </c>
      <c r="M200" s="26">
        <f>IF(OR(N(J200)=0,K200="Cancelled"),"",IF(AND(N(J200)&gt;5000,P200&lt;&gt;"G"),"Yes: ₹1","No"))</f>
        <v/>
      </c>
      <c r="N200" s="27">
        <f>IF(AND(B200="",D200="",N(J200)=0),"",IF(B200="","Enter the date",IF(AND(ROW()&gt;18,B199=""),"Use the next empty row: a skipped row leaves a gap in the receipt numbers",IF(D200="","Enter who paid",IF(N(J200)=0,"Enter the amount",IF(G200="","Pick what the money was for",IF(P200="?","Pick what it was for from the list",IF(H200="","Pick how it was paid",IF(K200="Cancelled","Cancelled: keep this number unused and give a fresh receipt",IF(AND(H200&lt;&gt;"Cash",I200=""),"Enter the cheque no., UTR or UPI reference",IF(AND(L200&lt;&gt;"",N(L200)&lt;0),"More than the balance due on this invoice",IF(S200&gt;=200000,"₹2,00,000 or more in cash from this person today: barred, s.186",IF(T200&gt;=200000,"₹2,00,000 or more in cash against this invoice: barred, s.186",IF(AND(P200="T",H200="Cash",N(J200)&gt;=20000),"Loan of ₹20,000 or more in cash: barred, s.185",IF(AND(P200="D",H200="Cash",N(J200)&gt;=20000),"Cash deposit of ₹20,000 or more: ask your accountant whether s.185 applies",IF(AND(OR(P200="AG",P200="AS"),$E$9&lt;&gt;""),"Advance: also give a GST receipt voucher, s.31(3)(d) and Rule 50","OK"))))))))))))))))</f>
        <v/>
      </c>
      <c r="P200">
        <f>IF(G200="","",IFERROR(VLOOKUP(G200,Lists!$A$2:$B$9,2,FALSE),"?"))</f>
        <v/>
      </c>
      <c r="Q200">
        <f>IF(K200="Cancelled",0,N(J200))</f>
        <v/>
      </c>
      <c r="R200">
        <f>IF(OR(H200&lt;&gt;"Cash",P200="T",P200="D"),0,Q200)</f>
        <v/>
      </c>
      <c r="S200">
        <f>IF(R200=0,0,SUMIFS($R$18:$R$317,$B$18:$B$317,B200,$D$18:$D$317,D200))</f>
        <v/>
      </c>
      <c r="T200">
        <f>IF(OR(R200=0,E200=""),0,SUMIFS($R$18:$R$317,$E$18:$E$317,E200))</f>
        <v/>
      </c>
      <c r="U200">
        <f>IF(E200="","",IF(N(F200)&gt;0,F200,IFERROR(INDEX($F$18:$F$317,MATCH(E200,$E$18:$E$317,0)),"")))</f>
        <v/>
      </c>
      <c r="V200">
        <f>IF(OR(N200="",N200="OK",K200="Cancelled"),0,1)</f>
        <v/>
      </c>
    </row>
    <row r="201">
      <c r="B201" s="21" t="n"/>
      <c r="C201" s="22">
        <f>IF(B201="","",$E$10&amp;TEXT(N($E$11)+183,"000"))</f>
        <v/>
      </c>
      <c r="D201" s="14" t="n"/>
      <c r="E201" s="23" t="n"/>
      <c r="F201" s="24" t="n"/>
      <c r="G201" s="14" t="n"/>
      <c r="H201" s="14" t="n"/>
      <c r="I201" s="23" t="n"/>
      <c r="J201" s="24" t="n"/>
      <c r="K201" s="23" t="n"/>
      <c r="L201" s="25">
        <f>IF(OR(E201="",N(U201)=0),"",U201-SUMIFS(Q$18:Q201,E$18:E201,E201))</f>
        <v/>
      </c>
      <c r="M201" s="26">
        <f>IF(OR(N(J201)=0,K201="Cancelled"),"",IF(AND(N(J201)&gt;5000,P201&lt;&gt;"G"),"Yes: ₹1","No"))</f>
        <v/>
      </c>
      <c r="N201" s="27">
        <f>IF(AND(B201="",D201="",N(J201)=0),"",IF(B201="","Enter the date",IF(AND(ROW()&gt;18,B200=""),"Use the next empty row: a skipped row leaves a gap in the receipt numbers",IF(D201="","Enter who paid",IF(N(J201)=0,"Enter the amount",IF(G201="","Pick what the money was for",IF(P201="?","Pick what it was for from the list",IF(H201="","Pick how it was paid",IF(K201="Cancelled","Cancelled: keep this number unused and give a fresh receipt",IF(AND(H201&lt;&gt;"Cash",I201=""),"Enter the cheque no., UTR or UPI reference",IF(AND(L201&lt;&gt;"",N(L201)&lt;0),"More than the balance due on this invoice",IF(S201&gt;=200000,"₹2,00,000 or more in cash from this person today: barred, s.186",IF(T201&gt;=200000,"₹2,00,000 or more in cash against this invoice: barred, s.186",IF(AND(P201="T",H201="Cash",N(J201)&gt;=20000),"Loan of ₹20,000 or more in cash: barred, s.185",IF(AND(P201="D",H201="Cash",N(J201)&gt;=20000),"Cash deposit of ₹20,000 or more: ask your accountant whether s.185 applies",IF(AND(OR(P201="AG",P201="AS"),$E$9&lt;&gt;""),"Advance: also give a GST receipt voucher, s.31(3)(d) and Rule 50","OK"))))))))))))))))</f>
        <v/>
      </c>
      <c r="P201">
        <f>IF(G201="","",IFERROR(VLOOKUP(G201,Lists!$A$2:$B$9,2,FALSE),"?"))</f>
        <v/>
      </c>
      <c r="Q201">
        <f>IF(K201="Cancelled",0,N(J201))</f>
        <v/>
      </c>
      <c r="R201">
        <f>IF(OR(H201&lt;&gt;"Cash",P201="T",P201="D"),0,Q201)</f>
        <v/>
      </c>
      <c r="S201">
        <f>IF(R201=0,0,SUMIFS($R$18:$R$317,$B$18:$B$317,B201,$D$18:$D$317,D201))</f>
        <v/>
      </c>
      <c r="T201">
        <f>IF(OR(R201=0,E201=""),0,SUMIFS($R$18:$R$317,$E$18:$E$317,E201))</f>
        <v/>
      </c>
      <c r="U201">
        <f>IF(E201="","",IF(N(F201)&gt;0,F201,IFERROR(INDEX($F$18:$F$317,MATCH(E201,$E$18:$E$317,0)),"")))</f>
        <v/>
      </c>
      <c r="V201">
        <f>IF(OR(N201="",N201="OK",K201="Cancelled"),0,1)</f>
        <v/>
      </c>
    </row>
    <row r="202">
      <c r="B202" s="21" t="n"/>
      <c r="C202" s="22">
        <f>IF(B202="","",$E$10&amp;TEXT(N($E$11)+184,"000"))</f>
        <v/>
      </c>
      <c r="D202" s="14" t="n"/>
      <c r="E202" s="23" t="n"/>
      <c r="F202" s="24" t="n"/>
      <c r="G202" s="14" t="n"/>
      <c r="H202" s="14" t="n"/>
      <c r="I202" s="23" t="n"/>
      <c r="J202" s="24" t="n"/>
      <c r="K202" s="23" t="n"/>
      <c r="L202" s="25">
        <f>IF(OR(E202="",N(U202)=0),"",U202-SUMIFS(Q$18:Q202,E$18:E202,E202))</f>
        <v/>
      </c>
      <c r="M202" s="26">
        <f>IF(OR(N(J202)=0,K202="Cancelled"),"",IF(AND(N(J202)&gt;5000,P202&lt;&gt;"G"),"Yes: ₹1","No"))</f>
        <v/>
      </c>
      <c r="N202" s="27">
        <f>IF(AND(B202="",D202="",N(J202)=0),"",IF(B202="","Enter the date",IF(AND(ROW()&gt;18,B201=""),"Use the next empty row: a skipped row leaves a gap in the receipt numbers",IF(D202="","Enter who paid",IF(N(J202)=0,"Enter the amount",IF(G202="","Pick what the money was for",IF(P202="?","Pick what it was for from the list",IF(H202="","Pick how it was paid",IF(K202="Cancelled","Cancelled: keep this number unused and give a fresh receipt",IF(AND(H202&lt;&gt;"Cash",I202=""),"Enter the cheque no., UTR or UPI reference",IF(AND(L202&lt;&gt;"",N(L202)&lt;0),"More than the balance due on this invoice",IF(S202&gt;=200000,"₹2,00,000 or more in cash from this person today: barred, s.186",IF(T202&gt;=200000,"₹2,00,000 or more in cash against this invoice: barred, s.186",IF(AND(P202="T",H202="Cash",N(J202)&gt;=20000),"Loan of ₹20,000 or more in cash: barred, s.185",IF(AND(P202="D",H202="Cash",N(J202)&gt;=20000),"Cash deposit of ₹20,000 or more: ask your accountant whether s.185 applies",IF(AND(OR(P202="AG",P202="AS"),$E$9&lt;&gt;""),"Advance: also give a GST receipt voucher, s.31(3)(d) and Rule 50","OK"))))))))))))))))</f>
        <v/>
      </c>
      <c r="P202">
        <f>IF(G202="","",IFERROR(VLOOKUP(G202,Lists!$A$2:$B$9,2,FALSE),"?"))</f>
        <v/>
      </c>
      <c r="Q202">
        <f>IF(K202="Cancelled",0,N(J202))</f>
        <v/>
      </c>
      <c r="R202">
        <f>IF(OR(H202&lt;&gt;"Cash",P202="T",P202="D"),0,Q202)</f>
        <v/>
      </c>
      <c r="S202">
        <f>IF(R202=0,0,SUMIFS($R$18:$R$317,$B$18:$B$317,B202,$D$18:$D$317,D202))</f>
        <v/>
      </c>
      <c r="T202">
        <f>IF(OR(R202=0,E202=""),0,SUMIFS($R$18:$R$317,$E$18:$E$317,E202))</f>
        <v/>
      </c>
      <c r="U202">
        <f>IF(E202="","",IF(N(F202)&gt;0,F202,IFERROR(INDEX($F$18:$F$317,MATCH(E202,$E$18:$E$317,0)),"")))</f>
        <v/>
      </c>
      <c r="V202">
        <f>IF(OR(N202="",N202="OK",K202="Cancelled"),0,1)</f>
        <v/>
      </c>
    </row>
    <row r="203">
      <c r="B203" s="21" t="n"/>
      <c r="C203" s="22">
        <f>IF(B203="","",$E$10&amp;TEXT(N($E$11)+185,"000"))</f>
        <v/>
      </c>
      <c r="D203" s="14" t="n"/>
      <c r="E203" s="23" t="n"/>
      <c r="F203" s="24" t="n"/>
      <c r="G203" s="14" t="n"/>
      <c r="H203" s="14" t="n"/>
      <c r="I203" s="23" t="n"/>
      <c r="J203" s="24" t="n"/>
      <c r="K203" s="23" t="n"/>
      <c r="L203" s="25">
        <f>IF(OR(E203="",N(U203)=0),"",U203-SUMIFS(Q$18:Q203,E$18:E203,E203))</f>
        <v/>
      </c>
      <c r="M203" s="26">
        <f>IF(OR(N(J203)=0,K203="Cancelled"),"",IF(AND(N(J203)&gt;5000,P203&lt;&gt;"G"),"Yes: ₹1","No"))</f>
        <v/>
      </c>
      <c r="N203" s="27">
        <f>IF(AND(B203="",D203="",N(J203)=0),"",IF(B203="","Enter the date",IF(AND(ROW()&gt;18,B202=""),"Use the next empty row: a skipped row leaves a gap in the receipt numbers",IF(D203="","Enter who paid",IF(N(J203)=0,"Enter the amount",IF(G203="","Pick what the money was for",IF(P203="?","Pick what it was for from the list",IF(H203="","Pick how it was paid",IF(K203="Cancelled","Cancelled: keep this number unused and give a fresh receipt",IF(AND(H203&lt;&gt;"Cash",I203=""),"Enter the cheque no., UTR or UPI reference",IF(AND(L203&lt;&gt;"",N(L203)&lt;0),"More than the balance due on this invoice",IF(S203&gt;=200000,"₹2,00,000 or more in cash from this person today: barred, s.186",IF(T203&gt;=200000,"₹2,00,000 or more in cash against this invoice: barred, s.186",IF(AND(P203="T",H203="Cash",N(J203)&gt;=20000),"Loan of ₹20,000 or more in cash: barred, s.185",IF(AND(P203="D",H203="Cash",N(J203)&gt;=20000),"Cash deposit of ₹20,000 or more: ask your accountant whether s.185 applies",IF(AND(OR(P203="AG",P203="AS"),$E$9&lt;&gt;""),"Advance: also give a GST receipt voucher, s.31(3)(d) and Rule 50","OK"))))))))))))))))</f>
        <v/>
      </c>
      <c r="P203">
        <f>IF(G203="","",IFERROR(VLOOKUP(G203,Lists!$A$2:$B$9,2,FALSE),"?"))</f>
        <v/>
      </c>
      <c r="Q203">
        <f>IF(K203="Cancelled",0,N(J203))</f>
        <v/>
      </c>
      <c r="R203">
        <f>IF(OR(H203&lt;&gt;"Cash",P203="T",P203="D"),0,Q203)</f>
        <v/>
      </c>
      <c r="S203">
        <f>IF(R203=0,0,SUMIFS($R$18:$R$317,$B$18:$B$317,B203,$D$18:$D$317,D203))</f>
        <v/>
      </c>
      <c r="T203">
        <f>IF(OR(R203=0,E203=""),0,SUMIFS($R$18:$R$317,$E$18:$E$317,E203))</f>
        <v/>
      </c>
      <c r="U203">
        <f>IF(E203="","",IF(N(F203)&gt;0,F203,IFERROR(INDEX($F$18:$F$317,MATCH(E203,$E$18:$E$317,0)),"")))</f>
        <v/>
      </c>
      <c r="V203">
        <f>IF(OR(N203="",N203="OK",K203="Cancelled"),0,1)</f>
        <v/>
      </c>
    </row>
    <row r="204">
      <c r="B204" s="21" t="n"/>
      <c r="C204" s="22">
        <f>IF(B204="","",$E$10&amp;TEXT(N($E$11)+186,"000"))</f>
        <v/>
      </c>
      <c r="D204" s="14" t="n"/>
      <c r="E204" s="23" t="n"/>
      <c r="F204" s="24" t="n"/>
      <c r="G204" s="14" t="n"/>
      <c r="H204" s="14" t="n"/>
      <c r="I204" s="23" t="n"/>
      <c r="J204" s="24" t="n"/>
      <c r="K204" s="23" t="n"/>
      <c r="L204" s="25">
        <f>IF(OR(E204="",N(U204)=0),"",U204-SUMIFS(Q$18:Q204,E$18:E204,E204))</f>
        <v/>
      </c>
      <c r="M204" s="26">
        <f>IF(OR(N(J204)=0,K204="Cancelled"),"",IF(AND(N(J204)&gt;5000,P204&lt;&gt;"G"),"Yes: ₹1","No"))</f>
        <v/>
      </c>
      <c r="N204" s="27">
        <f>IF(AND(B204="",D204="",N(J204)=0),"",IF(B204="","Enter the date",IF(AND(ROW()&gt;18,B203=""),"Use the next empty row: a skipped row leaves a gap in the receipt numbers",IF(D204="","Enter who paid",IF(N(J204)=0,"Enter the amount",IF(G204="","Pick what the money was for",IF(P204="?","Pick what it was for from the list",IF(H204="","Pick how it was paid",IF(K204="Cancelled","Cancelled: keep this number unused and give a fresh receipt",IF(AND(H204&lt;&gt;"Cash",I204=""),"Enter the cheque no., UTR or UPI reference",IF(AND(L204&lt;&gt;"",N(L204)&lt;0),"More than the balance due on this invoice",IF(S204&gt;=200000,"₹2,00,000 or more in cash from this person today: barred, s.186",IF(T204&gt;=200000,"₹2,00,000 or more in cash against this invoice: barred, s.186",IF(AND(P204="T",H204="Cash",N(J204)&gt;=20000),"Loan of ₹20,000 or more in cash: barred, s.185",IF(AND(P204="D",H204="Cash",N(J204)&gt;=20000),"Cash deposit of ₹20,000 or more: ask your accountant whether s.185 applies",IF(AND(OR(P204="AG",P204="AS"),$E$9&lt;&gt;""),"Advance: also give a GST receipt voucher, s.31(3)(d) and Rule 50","OK"))))))))))))))))</f>
        <v/>
      </c>
      <c r="P204">
        <f>IF(G204="","",IFERROR(VLOOKUP(G204,Lists!$A$2:$B$9,2,FALSE),"?"))</f>
        <v/>
      </c>
      <c r="Q204">
        <f>IF(K204="Cancelled",0,N(J204))</f>
        <v/>
      </c>
      <c r="R204">
        <f>IF(OR(H204&lt;&gt;"Cash",P204="T",P204="D"),0,Q204)</f>
        <v/>
      </c>
      <c r="S204">
        <f>IF(R204=0,0,SUMIFS($R$18:$R$317,$B$18:$B$317,B204,$D$18:$D$317,D204))</f>
        <v/>
      </c>
      <c r="T204">
        <f>IF(OR(R204=0,E204=""),0,SUMIFS($R$18:$R$317,$E$18:$E$317,E204))</f>
        <v/>
      </c>
      <c r="U204">
        <f>IF(E204="","",IF(N(F204)&gt;0,F204,IFERROR(INDEX($F$18:$F$317,MATCH(E204,$E$18:$E$317,0)),"")))</f>
        <v/>
      </c>
      <c r="V204">
        <f>IF(OR(N204="",N204="OK",K204="Cancelled"),0,1)</f>
        <v/>
      </c>
    </row>
    <row r="205">
      <c r="B205" s="21" t="n"/>
      <c r="C205" s="22">
        <f>IF(B205="","",$E$10&amp;TEXT(N($E$11)+187,"000"))</f>
        <v/>
      </c>
      <c r="D205" s="14" t="n"/>
      <c r="E205" s="23" t="n"/>
      <c r="F205" s="24" t="n"/>
      <c r="G205" s="14" t="n"/>
      <c r="H205" s="14" t="n"/>
      <c r="I205" s="23" t="n"/>
      <c r="J205" s="24" t="n"/>
      <c r="K205" s="23" t="n"/>
      <c r="L205" s="25">
        <f>IF(OR(E205="",N(U205)=0),"",U205-SUMIFS(Q$18:Q205,E$18:E205,E205))</f>
        <v/>
      </c>
      <c r="M205" s="26">
        <f>IF(OR(N(J205)=0,K205="Cancelled"),"",IF(AND(N(J205)&gt;5000,P205&lt;&gt;"G"),"Yes: ₹1","No"))</f>
        <v/>
      </c>
      <c r="N205" s="27">
        <f>IF(AND(B205="",D205="",N(J205)=0),"",IF(B205="","Enter the date",IF(AND(ROW()&gt;18,B204=""),"Use the next empty row: a skipped row leaves a gap in the receipt numbers",IF(D205="","Enter who paid",IF(N(J205)=0,"Enter the amount",IF(G205="","Pick what the money was for",IF(P205="?","Pick what it was for from the list",IF(H205="","Pick how it was paid",IF(K205="Cancelled","Cancelled: keep this number unused and give a fresh receipt",IF(AND(H205&lt;&gt;"Cash",I205=""),"Enter the cheque no., UTR or UPI reference",IF(AND(L205&lt;&gt;"",N(L205)&lt;0),"More than the balance due on this invoice",IF(S205&gt;=200000,"₹2,00,000 or more in cash from this person today: barred, s.186",IF(T205&gt;=200000,"₹2,00,000 or more in cash against this invoice: barred, s.186",IF(AND(P205="T",H205="Cash",N(J205)&gt;=20000),"Loan of ₹20,000 or more in cash: barred, s.185",IF(AND(P205="D",H205="Cash",N(J205)&gt;=20000),"Cash deposit of ₹20,000 or more: ask your accountant whether s.185 applies",IF(AND(OR(P205="AG",P205="AS"),$E$9&lt;&gt;""),"Advance: also give a GST receipt voucher, s.31(3)(d) and Rule 50","OK"))))))))))))))))</f>
        <v/>
      </c>
      <c r="P205">
        <f>IF(G205="","",IFERROR(VLOOKUP(G205,Lists!$A$2:$B$9,2,FALSE),"?"))</f>
        <v/>
      </c>
      <c r="Q205">
        <f>IF(K205="Cancelled",0,N(J205))</f>
        <v/>
      </c>
      <c r="R205">
        <f>IF(OR(H205&lt;&gt;"Cash",P205="T",P205="D"),0,Q205)</f>
        <v/>
      </c>
      <c r="S205">
        <f>IF(R205=0,0,SUMIFS($R$18:$R$317,$B$18:$B$317,B205,$D$18:$D$317,D205))</f>
        <v/>
      </c>
      <c r="T205">
        <f>IF(OR(R205=0,E205=""),0,SUMIFS($R$18:$R$317,$E$18:$E$317,E205))</f>
        <v/>
      </c>
      <c r="U205">
        <f>IF(E205="","",IF(N(F205)&gt;0,F205,IFERROR(INDEX($F$18:$F$317,MATCH(E205,$E$18:$E$317,0)),"")))</f>
        <v/>
      </c>
      <c r="V205">
        <f>IF(OR(N205="",N205="OK",K205="Cancelled"),0,1)</f>
        <v/>
      </c>
    </row>
    <row r="206">
      <c r="B206" s="21" t="n"/>
      <c r="C206" s="22">
        <f>IF(B206="","",$E$10&amp;TEXT(N($E$11)+188,"000"))</f>
        <v/>
      </c>
      <c r="D206" s="14" t="n"/>
      <c r="E206" s="23" t="n"/>
      <c r="F206" s="24" t="n"/>
      <c r="G206" s="14" t="n"/>
      <c r="H206" s="14" t="n"/>
      <c r="I206" s="23" t="n"/>
      <c r="J206" s="24" t="n"/>
      <c r="K206" s="23" t="n"/>
      <c r="L206" s="25">
        <f>IF(OR(E206="",N(U206)=0),"",U206-SUMIFS(Q$18:Q206,E$18:E206,E206))</f>
        <v/>
      </c>
      <c r="M206" s="26">
        <f>IF(OR(N(J206)=0,K206="Cancelled"),"",IF(AND(N(J206)&gt;5000,P206&lt;&gt;"G"),"Yes: ₹1","No"))</f>
        <v/>
      </c>
      <c r="N206" s="27">
        <f>IF(AND(B206="",D206="",N(J206)=0),"",IF(B206="","Enter the date",IF(AND(ROW()&gt;18,B205=""),"Use the next empty row: a skipped row leaves a gap in the receipt numbers",IF(D206="","Enter who paid",IF(N(J206)=0,"Enter the amount",IF(G206="","Pick what the money was for",IF(P206="?","Pick what it was for from the list",IF(H206="","Pick how it was paid",IF(K206="Cancelled","Cancelled: keep this number unused and give a fresh receipt",IF(AND(H206&lt;&gt;"Cash",I206=""),"Enter the cheque no., UTR or UPI reference",IF(AND(L206&lt;&gt;"",N(L206)&lt;0),"More than the balance due on this invoice",IF(S206&gt;=200000,"₹2,00,000 or more in cash from this person today: barred, s.186",IF(T206&gt;=200000,"₹2,00,000 or more in cash against this invoice: barred, s.186",IF(AND(P206="T",H206="Cash",N(J206)&gt;=20000),"Loan of ₹20,000 or more in cash: barred, s.185",IF(AND(P206="D",H206="Cash",N(J206)&gt;=20000),"Cash deposit of ₹20,000 or more: ask your accountant whether s.185 applies",IF(AND(OR(P206="AG",P206="AS"),$E$9&lt;&gt;""),"Advance: also give a GST receipt voucher, s.31(3)(d) and Rule 50","OK"))))))))))))))))</f>
        <v/>
      </c>
      <c r="P206">
        <f>IF(G206="","",IFERROR(VLOOKUP(G206,Lists!$A$2:$B$9,2,FALSE),"?"))</f>
        <v/>
      </c>
      <c r="Q206">
        <f>IF(K206="Cancelled",0,N(J206))</f>
        <v/>
      </c>
      <c r="R206">
        <f>IF(OR(H206&lt;&gt;"Cash",P206="T",P206="D"),0,Q206)</f>
        <v/>
      </c>
      <c r="S206">
        <f>IF(R206=0,0,SUMIFS($R$18:$R$317,$B$18:$B$317,B206,$D$18:$D$317,D206))</f>
        <v/>
      </c>
      <c r="T206">
        <f>IF(OR(R206=0,E206=""),0,SUMIFS($R$18:$R$317,$E$18:$E$317,E206))</f>
        <v/>
      </c>
      <c r="U206">
        <f>IF(E206="","",IF(N(F206)&gt;0,F206,IFERROR(INDEX($F$18:$F$317,MATCH(E206,$E$18:$E$317,0)),"")))</f>
        <v/>
      </c>
      <c r="V206">
        <f>IF(OR(N206="",N206="OK",K206="Cancelled"),0,1)</f>
        <v/>
      </c>
    </row>
    <row r="207">
      <c r="B207" s="21" t="n"/>
      <c r="C207" s="22">
        <f>IF(B207="","",$E$10&amp;TEXT(N($E$11)+189,"000"))</f>
        <v/>
      </c>
      <c r="D207" s="14" t="n"/>
      <c r="E207" s="23" t="n"/>
      <c r="F207" s="24" t="n"/>
      <c r="G207" s="14" t="n"/>
      <c r="H207" s="14" t="n"/>
      <c r="I207" s="23" t="n"/>
      <c r="J207" s="24" t="n"/>
      <c r="K207" s="23" t="n"/>
      <c r="L207" s="25">
        <f>IF(OR(E207="",N(U207)=0),"",U207-SUMIFS(Q$18:Q207,E$18:E207,E207))</f>
        <v/>
      </c>
      <c r="M207" s="26">
        <f>IF(OR(N(J207)=0,K207="Cancelled"),"",IF(AND(N(J207)&gt;5000,P207&lt;&gt;"G"),"Yes: ₹1","No"))</f>
        <v/>
      </c>
      <c r="N207" s="27">
        <f>IF(AND(B207="",D207="",N(J207)=0),"",IF(B207="","Enter the date",IF(AND(ROW()&gt;18,B206=""),"Use the next empty row: a skipped row leaves a gap in the receipt numbers",IF(D207="","Enter who paid",IF(N(J207)=0,"Enter the amount",IF(G207="","Pick what the money was for",IF(P207="?","Pick what it was for from the list",IF(H207="","Pick how it was paid",IF(K207="Cancelled","Cancelled: keep this number unused and give a fresh receipt",IF(AND(H207&lt;&gt;"Cash",I207=""),"Enter the cheque no., UTR or UPI reference",IF(AND(L207&lt;&gt;"",N(L207)&lt;0),"More than the balance due on this invoice",IF(S207&gt;=200000,"₹2,00,000 or more in cash from this person today: barred, s.186",IF(T207&gt;=200000,"₹2,00,000 or more in cash against this invoice: barred, s.186",IF(AND(P207="T",H207="Cash",N(J207)&gt;=20000),"Loan of ₹20,000 or more in cash: barred, s.185",IF(AND(P207="D",H207="Cash",N(J207)&gt;=20000),"Cash deposit of ₹20,000 or more: ask your accountant whether s.185 applies",IF(AND(OR(P207="AG",P207="AS"),$E$9&lt;&gt;""),"Advance: also give a GST receipt voucher, s.31(3)(d) and Rule 50","OK"))))))))))))))))</f>
        <v/>
      </c>
      <c r="P207">
        <f>IF(G207="","",IFERROR(VLOOKUP(G207,Lists!$A$2:$B$9,2,FALSE),"?"))</f>
        <v/>
      </c>
      <c r="Q207">
        <f>IF(K207="Cancelled",0,N(J207))</f>
        <v/>
      </c>
      <c r="R207">
        <f>IF(OR(H207&lt;&gt;"Cash",P207="T",P207="D"),0,Q207)</f>
        <v/>
      </c>
      <c r="S207">
        <f>IF(R207=0,0,SUMIFS($R$18:$R$317,$B$18:$B$317,B207,$D$18:$D$317,D207))</f>
        <v/>
      </c>
      <c r="T207">
        <f>IF(OR(R207=0,E207=""),0,SUMIFS($R$18:$R$317,$E$18:$E$317,E207))</f>
        <v/>
      </c>
      <c r="U207">
        <f>IF(E207="","",IF(N(F207)&gt;0,F207,IFERROR(INDEX($F$18:$F$317,MATCH(E207,$E$18:$E$317,0)),"")))</f>
        <v/>
      </c>
      <c r="V207">
        <f>IF(OR(N207="",N207="OK",K207="Cancelled"),0,1)</f>
        <v/>
      </c>
    </row>
    <row r="208">
      <c r="B208" s="21" t="n"/>
      <c r="C208" s="22">
        <f>IF(B208="","",$E$10&amp;TEXT(N($E$11)+190,"000"))</f>
        <v/>
      </c>
      <c r="D208" s="14" t="n"/>
      <c r="E208" s="23" t="n"/>
      <c r="F208" s="24" t="n"/>
      <c r="G208" s="14" t="n"/>
      <c r="H208" s="14" t="n"/>
      <c r="I208" s="23" t="n"/>
      <c r="J208" s="24" t="n"/>
      <c r="K208" s="23" t="n"/>
      <c r="L208" s="25">
        <f>IF(OR(E208="",N(U208)=0),"",U208-SUMIFS(Q$18:Q208,E$18:E208,E208))</f>
        <v/>
      </c>
      <c r="M208" s="26">
        <f>IF(OR(N(J208)=0,K208="Cancelled"),"",IF(AND(N(J208)&gt;5000,P208&lt;&gt;"G"),"Yes: ₹1","No"))</f>
        <v/>
      </c>
      <c r="N208" s="27">
        <f>IF(AND(B208="",D208="",N(J208)=0),"",IF(B208="","Enter the date",IF(AND(ROW()&gt;18,B207=""),"Use the next empty row: a skipped row leaves a gap in the receipt numbers",IF(D208="","Enter who paid",IF(N(J208)=0,"Enter the amount",IF(G208="","Pick what the money was for",IF(P208="?","Pick what it was for from the list",IF(H208="","Pick how it was paid",IF(K208="Cancelled","Cancelled: keep this number unused and give a fresh receipt",IF(AND(H208&lt;&gt;"Cash",I208=""),"Enter the cheque no., UTR or UPI reference",IF(AND(L208&lt;&gt;"",N(L208)&lt;0),"More than the balance due on this invoice",IF(S208&gt;=200000,"₹2,00,000 or more in cash from this person today: barred, s.186",IF(T208&gt;=200000,"₹2,00,000 or more in cash against this invoice: barred, s.186",IF(AND(P208="T",H208="Cash",N(J208)&gt;=20000),"Loan of ₹20,000 or more in cash: barred, s.185",IF(AND(P208="D",H208="Cash",N(J208)&gt;=20000),"Cash deposit of ₹20,000 or more: ask your accountant whether s.185 applies",IF(AND(OR(P208="AG",P208="AS"),$E$9&lt;&gt;""),"Advance: also give a GST receipt voucher, s.31(3)(d) and Rule 50","OK"))))))))))))))))</f>
        <v/>
      </c>
      <c r="P208">
        <f>IF(G208="","",IFERROR(VLOOKUP(G208,Lists!$A$2:$B$9,2,FALSE),"?"))</f>
        <v/>
      </c>
      <c r="Q208">
        <f>IF(K208="Cancelled",0,N(J208))</f>
        <v/>
      </c>
      <c r="R208">
        <f>IF(OR(H208&lt;&gt;"Cash",P208="T",P208="D"),0,Q208)</f>
        <v/>
      </c>
      <c r="S208">
        <f>IF(R208=0,0,SUMIFS($R$18:$R$317,$B$18:$B$317,B208,$D$18:$D$317,D208))</f>
        <v/>
      </c>
      <c r="T208">
        <f>IF(OR(R208=0,E208=""),0,SUMIFS($R$18:$R$317,$E$18:$E$317,E208))</f>
        <v/>
      </c>
      <c r="U208">
        <f>IF(E208="","",IF(N(F208)&gt;0,F208,IFERROR(INDEX($F$18:$F$317,MATCH(E208,$E$18:$E$317,0)),"")))</f>
        <v/>
      </c>
      <c r="V208">
        <f>IF(OR(N208="",N208="OK",K208="Cancelled"),0,1)</f>
        <v/>
      </c>
    </row>
    <row r="209">
      <c r="B209" s="21" t="n"/>
      <c r="C209" s="22">
        <f>IF(B209="","",$E$10&amp;TEXT(N($E$11)+191,"000"))</f>
        <v/>
      </c>
      <c r="D209" s="14" t="n"/>
      <c r="E209" s="23" t="n"/>
      <c r="F209" s="24" t="n"/>
      <c r="G209" s="14" t="n"/>
      <c r="H209" s="14" t="n"/>
      <c r="I209" s="23" t="n"/>
      <c r="J209" s="24" t="n"/>
      <c r="K209" s="23" t="n"/>
      <c r="L209" s="25">
        <f>IF(OR(E209="",N(U209)=0),"",U209-SUMIFS(Q$18:Q209,E$18:E209,E209))</f>
        <v/>
      </c>
      <c r="M209" s="26">
        <f>IF(OR(N(J209)=0,K209="Cancelled"),"",IF(AND(N(J209)&gt;5000,P209&lt;&gt;"G"),"Yes: ₹1","No"))</f>
        <v/>
      </c>
      <c r="N209" s="27">
        <f>IF(AND(B209="",D209="",N(J209)=0),"",IF(B209="","Enter the date",IF(AND(ROW()&gt;18,B208=""),"Use the next empty row: a skipped row leaves a gap in the receipt numbers",IF(D209="","Enter who paid",IF(N(J209)=0,"Enter the amount",IF(G209="","Pick what the money was for",IF(P209="?","Pick what it was for from the list",IF(H209="","Pick how it was paid",IF(K209="Cancelled","Cancelled: keep this number unused and give a fresh receipt",IF(AND(H209&lt;&gt;"Cash",I209=""),"Enter the cheque no., UTR or UPI reference",IF(AND(L209&lt;&gt;"",N(L209)&lt;0),"More than the balance due on this invoice",IF(S209&gt;=200000,"₹2,00,000 or more in cash from this person today: barred, s.186",IF(T209&gt;=200000,"₹2,00,000 or more in cash against this invoice: barred, s.186",IF(AND(P209="T",H209="Cash",N(J209)&gt;=20000),"Loan of ₹20,000 or more in cash: barred, s.185",IF(AND(P209="D",H209="Cash",N(J209)&gt;=20000),"Cash deposit of ₹20,000 or more: ask your accountant whether s.185 applies",IF(AND(OR(P209="AG",P209="AS"),$E$9&lt;&gt;""),"Advance: also give a GST receipt voucher, s.31(3)(d) and Rule 50","OK"))))))))))))))))</f>
        <v/>
      </c>
      <c r="P209">
        <f>IF(G209="","",IFERROR(VLOOKUP(G209,Lists!$A$2:$B$9,2,FALSE),"?"))</f>
        <v/>
      </c>
      <c r="Q209">
        <f>IF(K209="Cancelled",0,N(J209))</f>
        <v/>
      </c>
      <c r="R209">
        <f>IF(OR(H209&lt;&gt;"Cash",P209="T",P209="D"),0,Q209)</f>
        <v/>
      </c>
      <c r="S209">
        <f>IF(R209=0,0,SUMIFS($R$18:$R$317,$B$18:$B$317,B209,$D$18:$D$317,D209))</f>
        <v/>
      </c>
      <c r="T209">
        <f>IF(OR(R209=0,E209=""),0,SUMIFS($R$18:$R$317,$E$18:$E$317,E209))</f>
        <v/>
      </c>
      <c r="U209">
        <f>IF(E209="","",IF(N(F209)&gt;0,F209,IFERROR(INDEX($F$18:$F$317,MATCH(E209,$E$18:$E$317,0)),"")))</f>
        <v/>
      </c>
      <c r="V209">
        <f>IF(OR(N209="",N209="OK",K209="Cancelled"),0,1)</f>
        <v/>
      </c>
    </row>
    <row r="210">
      <c r="B210" s="21" t="n"/>
      <c r="C210" s="22">
        <f>IF(B210="","",$E$10&amp;TEXT(N($E$11)+192,"000"))</f>
        <v/>
      </c>
      <c r="D210" s="14" t="n"/>
      <c r="E210" s="23" t="n"/>
      <c r="F210" s="24" t="n"/>
      <c r="G210" s="14" t="n"/>
      <c r="H210" s="14" t="n"/>
      <c r="I210" s="23" t="n"/>
      <c r="J210" s="24" t="n"/>
      <c r="K210" s="23" t="n"/>
      <c r="L210" s="25">
        <f>IF(OR(E210="",N(U210)=0),"",U210-SUMIFS(Q$18:Q210,E$18:E210,E210))</f>
        <v/>
      </c>
      <c r="M210" s="26">
        <f>IF(OR(N(J210)=0,K210="Cancelled"),"",IF(AND(N(J210)&gt;5000,P210&lt;&gt;"G"),"Yes: ₹1","No"))</f>
        <v/>
      </c>
      <c r="N210" s="27">
        <f>IF(AND(B210="",D210="",N(J210)=0),"",IF(B210="","Enter the date",IF(AND(ROW()&gt;18,B209=""),"Use the next empty row: a skipped row leaves a gap in the receipt numbers",IF(D210="","Enter who paid",IF(N(J210)=0,"Enter the amount",IF(G210="","Pick what the money was for",IF(P210="?","Pick what it was for from the list",IF(H210="","Pick how it was paid",IF(K210="Cancelled","Cancelled: keep this number unused and give a fresh receipt",IF(AND(H210&lt;&gt;"Cash",I210=""),"Enter the cheque no., UTR or UPI reference",IF(AND(L210&lt;&gt;"",N(L210)&lt;0),"More than the balance due on this invoice",IF(S210&gt;=200000,"₹2,00,000 or more in cash from this person today: barred, s.186",IF(T210&gt;=200000,"₹2,00,000 or more in cash against this invoice: barred, s.186",IF(AND(P210="T",H210="Cash",N(J210)&gt;=20000),"Loan of ₹20,000 or more in cash: barred, s.185",IF(AND(P210="D",H210="Cash",N(J210)&gt;=20000),"Cash deposit of ₹20,000 or more: ask your accountant whether s.185 applies",IF(AND(OR(P210="AG",P210="AS"),$E$9&lt;&gt;""),"Advance: also give a GST receipt voucher, s.31(3)(d) and Rule 50","OK"))))))))))))))))</f>
        <v/>
      </c>
      <c r="P210">
        <f>IF(G210="","",IFERROR(VLOOKUP(G210,Lists!$A$2:$B$9,2,FALSE),"?"))</f>
        <v/>
      </c>
      <c r="Q210">
        <f>IF(K210="Cancelled",0,N(J210))</f>
        <v/>
      </c>
      <c r="R210">
        <f>IF(OR(H210&lt;&gt;"Cash",P210="T",P210="D"),0,Q210)</f>
        <v/>
      </c>
      <c r="S210">
        <f>IF(R210=0,0,SUMIFS($R$18:$R$317,$B$18:$B$317,B210,$D$18:$D$317,D210))</f>
        <v/>
      </c>
      <c r="T210">
        <f>IF(OR(R210=0,E210=""),0,SUMIFS($R$18:$R$317,$E$18:$E$317,E210))</f>
        <v/>
      </c>
      <c r="U210">
        <f>IF(E210="","",IF(N(F210)&gt;0,F210,IFERROR(INDEX($F$18:$F$317,MATCH(E210,$E$18:$E$317,0)),"")))</f>
        <v/>
      </c>
      <c r="V210">
        <f>IF(OR(N210="",N210="OK",K210="Cancelled"),0,1)</f>
        <v/>
      </c>
    </row>
    <row r="211">
      <c r="B211" s="21" t="n"/>
      <c r="C211" s="22">
        <f>IF(B211="","",$E$10&amp;TEXT(N($E$11)+193,"000"))</f>
        <v/>
      </c>
      <c r="D211" s="14" t="n"/>
      <c r="E211" s="23" t="n"/>
      <c r="F211" s="24" t="n"/>
      <c r="G211" s="14" t="n"/>
      <c r="H211" s="14" t="n"/>
      <c r="I211" s="23" t="n"/>
      <c r="J211" s="24" t="n"/>
      <c r="K211" s="23" t="n"/>
      <c r="L211" s="25">
        <f>IF(OR(E211="",N(U211)=0),"",U211-SUMIFS(Q$18:Q211,E$18:E211,E211))</f>
        <v/>
      </c>
      <c r="M211" s="26">
        <f>IF(OR(N(J211)=0,K211="Cancelled"),"",IF(AND(N(J211)&gt;5000,P211&lt;&gt;"G"),"Yes: ₹1","No"))</f>
        <v/>
      </c>
      <c r="N211" s="27">
        <f>IF(AND(B211="",D211="",N(J211)=0),"",IF(B211="","Enter the date",IF(AND(ROW()&gt;18,B210=""),"Use the next empty row: a skipped row leaves a gap in the receipt numbers",IF(D211="","Enter who paid",IF(N(J211)=0,"Enter the amount",IF(G211="","Pick what the money was for",IF(P211="?","Pick what it was for from the list",IF(H211="","Pick how it was paid",IF(K211="Cancelled","Cancelled: keep this number unused and give a fresh receipt",IF(AND(H211&lt;&gt;"Cash",I211=""),"Enter the cheque no., UTR or UPI reference",IF(AND(L211&lt;&gt;"",N(L211)&lt;0),"More than the balance due on this invoice",IF(S211&gt;=200000,"₹2,00,000 or more in cash from this person today: barred, s.186",IF(T211&gt;=200000,"₹2,00,000 or more in cash against this invoice: barred, s.186",IF(AND(P211="T",H211="Cash",N(J211)&gt;=20000),"Loan of ₹20,000 or more in cash: barred, s.185",IF(AND(P211="D",H211="Cash",N(J211)&gt;=20000),"Cash deposit of ₹20,000 or more: ask your accountant whether s.185 applies",IF(AND(OR(P211="AG",P211="AS"),$E$9&lt;&gt;""),"Advance: also give a GST receipt voucher, s.31(3)(d) and Rule 50","OK"))))))))))))))))</f>
        <v/>
      </c>
      <c r="P211">
        <f>IF(G211="","",IFERROR(VLOOKUP(G211,Lists!$A$2:$B$9,2,FALSE),"?"))</f>
        <v/>
      </c>
      <c r="Q211">
        <f>IF(K211="Cancelled",0,N(J211))</f>
        <v/>
      </c>
      <c r="R211">
        <f>IF(OR(H211&lt;&gt;"Cash",P211="T",P211="D"),0,Q211)</f>
        <v/>
      </c>
      <c r="S211">
        <f>IF(R211=0,0,SUMIFS($R$18:$R$317,$B$18:$B$317,B211,$D$18:$D$317,D211))</f>
        <v/>
      </c>
      <c r="T211">
        <f>IF(OR(R211=0,E211=""),0,SUMIFS($R$18:$R$317,$E$18:$E$317,E211))</f>
        <v/>
      </c>
      <c r="U211">
        <f>IF(E211="","",IF(N(F211)&gt;0,F211,IFERROR(INDEX($F$18:$F$317,MATCH(E211,$E$18:$E$317,0)),"")))</f>
        <v/>
      </c>
      <c r="V211">
        <f>IF(OR(N211="",N211="OK",K211="Cancelled"),0,1)</f>
        <v/>
      </c>
    </row>
    <row r="212">
      <c r="B212" s="21" t="n"/>
      <c r="C212" s="22">
        <f>IF(B212="","",$E$10&amp;TEXT(N($E$11)+194,"000"))</f>
        <v/>
      </c>
      <c r="D212" s="14" t="n"/>
      <c r="E212" s="23" t="n"/>
      <c r="F212" s="24" t="n"/>
      <c r="G212" s="14" t="n"/>
      <c r="H212" s="14" t="n"/>
      <c r="I212" s="23" t="n"/>
      <c r="J212" s="24" t="n"/>
      <c r="K212" s="23" t="n"/>
      <c r="L212" s="25">
        <f>IF(OR(E212="",N(U212)=0),"",U212-SUMIFS(Q$18:Q212,E$18:E212,E212))</f>
        <v/>
      </c>
      <c r="M212" s="26">
        <f>IF(OR(N(J212)=0,K212="Cancelled"),"",IF(AND(N(J212)&gt;5000,P212&lt;&gt;"G"),"Yes: ₹1","No"))</f>
        <v/>
      </c>
      <c r="N212" s="27">
        <f>IF(AND(B212="",D212="",N(J212)=0),"",IF(B212="","Enter the date",IF(AND(ROW()&gt;18,B211=""),"Use the next empty row: a skipped row leaves a gap in the receipt numbers",IF(D212="","Enter who paid",IF(N(J212)=0,"Enter the amount",IF(G212="","Pick what the money was for",IF(P212="?","Pick what it was for from the list",IF(H212="","Pick how it was paid",IF(K212="Cancelled","Cancelled: keep this number unused and give a fresh receipt",IF(AND(H212&lt;&gt;"Cash",I212=""),"Enter the cheque no., UTR or UPI reference",IF(AND(L212&lt;&gt;"",N(L212)&lt;0),"More than the balance due on this invoice",IF(S212&gt;=200000,"₹2,00,000 or more in cash from this person today: barred, s.186",IF(T212&gt;=200000,"₹2,00,000 or more in cash against this invoice: barred, s.186",IF(AND(P212="T",H212="Cash",N(J212)&gt;=20000),"Loan of ₹20,000 or more in cash: barred, s.185",IF(AND(P212="D",H212="Cash",N(J212)&gt;=20000),"Cash deposit of ₹20,000 or more: ask your accountant whether s.185 applies",IF(AND(OR(P212="AG",P212="AS"),$E$9&lt;&gt;""),"Advance: also give a GST receipt voucher, s.31(3)(d) and Rule 50","OK"))))))))))))))))</f>
        <v/>
      </c>
      <c r="P212">
        <f>IF(G212="","",IFERROR(VLOOKUP(G212,Lists!$A$2:$B$9,2,FALSE),"?"))</f>
        <v/>
      </c>
      <c r="Q212">
        <f>IF(K212="Cancelled",0,N(J212))</f>
        <v/>
      </c>
      <c r="R212">
        <f>IF(OR(H212&lt;&gt;"Cash",P212="T",P212="D"),0,Q212)</f>
        <v/>
      </c>
      <c r="S212">
        <f>IF(R212=0,0,SUMIFS($R$18:$R$317,$B$18:$B$317,B212,$D$18:$D$317,D212))</f>
        <v/>
      </c>
      <c r="T212">
        <f>IF(OR(R212=0,E212=""),0,SUMIFS($R$18:$R$317,$E$18:$E$317,E212))</f>
        <v/>
      </c>
      <c r="U212">
        <f>IF(E212="","",IF(N(F212)&gt;0,F212,IFERROR(INDEX($F$18:$F$317,MATCH(E212,$E$18:$E$317,0)),"")))</f>
        <v/>
      </c>
      <c r="V212">
        <f>IF(OR(N212="",N212="OK",K212="Cancelled"),0,1)</f>
        <v/>
      </c>
    </row>
    <row r="213">
      <c r="B213" s="21" t="n"/>
      <c r="C213" s="22">
        <f>IF(B213="","",$E$10&amp;TEXT(N($E$11)+195,"000"))</f>
        <v/>
      </c>
      <c r="D213" s="14" t="n"/>
      <c r="E213" s="23" t="n"/>
      <c r="F213" s="24" t="n"/>
      <c r="G213" s="14" t="n"/>
      <c r="H213" s="14" t="n"/>
      <c r="I213" s="23" t="n"/>
      <c r="J213" s="24" t="n"/>
      <c r="K213" s="23" t="n"/>
      <c r="L213" s="25">
        <f>IF(OR(E213="",N(U213)=0),"",U213-SUMIFS(Q$18:Q213,E$18:E213,E213))</f>
        <v/>
      </c>
      <c r="M213" s="26">
        <f>IF(OR(N(J213)=0,K213="Cancelled"),"",IF(AND(N(J213)&gt;5000,P213&lt;&gt;"G"),"Yes: ₹1","No"))</f>
        <v/>
      </c>
      <c r="N213" s="27">
        <f>IF(AND(B213="",D213="",N(J213)=0),"",IF(B213="","Enter the date",IF(AND(ROW()&gt;18,B212=""),"Use the next empty row: a skipped row leaves a gap in the receipt numbers",IF(D213="","Enter who paid",IF(N(J213)=0,"Enter the amount",IF(G213="","Pick what the money was for",IF(P213="?","Pick what it was for from the list",IF(H213="","Pick how it was paid",IF(K213="Cancelled","Cancelled: keep this number unused and give a fresh receipt",IF(AND(H213&lt;&gt;"Cash",I213=""),"Enter the cheque no., UTR or UPI reference",IF(AND(L213&lt;&gt;"",N(L213)&lt;0),"More than the balance due on this invoice",IF(S213&gt;=200000,"₹2,00,000 or more in cash from this person today: barred, s.186",IF(T213&gt;=200000,"₹2,00,000 or more in cash against this invoice: barred, s.186",IF(AND(P213="T",H213="Cash",N(J213)&gt;=20000),"Loan of ₹20,000 or more in cash: barred, s.185",IF(AND(P213="D",H213="Cash",N(J213)&gt;=20000),"Cash deposit of ₹20,000 or more: ask your accountant whether s.185 applies",IF(AND(OR(P213="AG",P213="AS"),$E$9&lt;&gt;""),"Advance: also give a GST receipt voucher, s.31(3)(d) and Rule 50","OK"))))))))))))))))</f>
        <v/>
      </c>
      <c r="P213">
        <f>IF(G213="","",IFERROR(VLOOKUP(G213,Lists!$A$2:$B$9,2,FALSE),"?"))</f>
        <v/>
      </c>
      <c r="Q213">
        <f>IF(K213="Cancelled",0,N(J213))</f>
        <v/>
      </c>
      <c r="R213">
        <f>IF(OR(H213&lt;&gt;"Cash",P213="T",P213="D"),0,Q213)</f>
        <v/>
      </c>
      <c r="S213">
        <f>IF(R213=0,0,SUMIFS($R$18:$R$317,$B$18:$B$317,B213,$D$18:$D$317,D213))</f>
        <v/>
      </c>
      <c r="T213">
        <f>IF(OR(R213=0,E213=""),0,SUMIFS($R$18:$R$317,$E$18:$E$317,E213))</f>
        <v/>
      </c>
      <c r="U213">
        <f>IF(E213="","",IF(N(F213)&gt;0,F213,IFERROR(INDEX($F$18:$F$317,MATCH(E213,$E$18:$E$317,0)),"")))</f>
        <v/>
      </c>
      <c r="V213">
        <f>IF(OR(N213="",N213="OK",K213="Cancelled"),0,1)</f>
        <v/>
      </c>
    </row>
    <row r="214">
      <c r="B214" s="21" t="n"/>
      <c r="C214" s="22">
        <f>IF(B214="","",$E$10&amp;TEXT(N($E$11)+196,"000"))</f>
        <v/>
      </c>
      <c r="D214" s="14" t="n"/>
      <c r="E214" s="23" t="n"/>
      <c r="F214" s="24" t="n"/>
      <c r="G214" s="14" t="n"/>
      <c r="H214" s="14" t="n"/>
      <c r="I214" s="23" t="n"/>
      <c r="J214" s="24" t="n"/>
      <c r="K214" s="23" t="n"/>
      <c r="L214" s="25">
        <f>IF(OR(E214="",N(U214)=0),"",U214-SUMIFS(Q$18:Q214,E$18:E214,E214))</f>
        <v/>
      </c>
      <c r="M214" s="26">
        <f>IF(OR(N(J214)=0,K214="Cancelled"),"",IF(AND(N(J214)&gt;5000,P214&lt;&gt;"G"),"Yes: ₹1","No"))</f>
        <v/>
      </c>
      <c r="N214" s="27">
        <f>IF(AND(B214="",D214="",N(J214)=0),"",IF(B214="","Enter the date",IF(AND(ROW()&gt;18,B213=""),"Use the next empty row: a skipped row leaves a gap in the receipt numbers",IF(D214="","Enter who paid",IF(N(J214)=0,"Enter the amount",IF(G214="","Pick what the money was for",IF(P214="?","Pick what it was for from the list",IF(H214="","Pick how it was paid",IF(K214="Cancelled","Cancelled: keep this number unused and give a fresh receipt",IF(AND(H214&lt;&gt;"Cash",I214=""),"Enter the cheque no., UTR or UPI reference",IF(AND(L214&lt;&gt;"",N(L214)&lt;0),"More than the balance due on this invoice",IF(S214&gt;=200000,"₹2,00,000 or more in cash from this person today: barred, s.186",IF(T214&gt;=200000,"₹2,00,000 or more in cash against this invoice: barred, s.186",IF(AND(P214="T",H214="Cash",N(J214)&gt;=20000),"Loan of ₹20,000 or more in cash: barred, s.185",IF(AND(P214="D",H214="Cash",N(J214)&gt;=20000),"Cash deposit of ₹20,000 or more: ask your accountant whether s.185 applies",IF(AND(OR(P214="AG",P214="AS"),$E$9&lt;&gt;""),"Advance: also give a GST receipt voucher, s.31(3)(d) and Rule 50","OK"))))))))))))))))</f>
        <v/>
      </c>
      <c r="P214">
        <f>IF(G214="","",IFERROR(VLOOKUP(G214,Lists!$A$2:$B$9,2,FALSE),"?"))</f>
        <v/>
      </c>
      <c r="Q214">
        <f>IF(K214="Cancelled",0,N(J214))</f>
        <v/>
      </c>
      <c r="R214">
        <f>IF(OR(H214&lt;&gt;"Cash",P214="T",P214="D"),0,Q214)</f>
        <v/>
      </c>
      <c r="S214">
        <f>IF(R214=0,0,SUMIFS($R$18:$R$317,$B$18:$B$317,B214,$D$18:$D$317,D214))</f>
        <v/>
      </c>
      <c r="T214">
        <f>IF(OR(R214=0,E214=""),0,SUMIFS($R$18:$R$317,$E$18:$E$317,E214))</f>
        <v/>
      </c>
      <c r="U214">
        <f>IF(E214="","",IF(N(F214)&gt;0,F214,IFERROR(INDEX($F$18:$F$317,MATCH(E214,$E$18:$E$317,0)),"")))</f>
        <v/>
      </c>
      <c r="V214">
        <f>IF(OR(N214="",N214="OK",K214="Cancelled"),0,1)</f>
        <v/>
      </c>
    </row>
    <row r="215">
      <c r="B215" s="21" t="n"/>
      <c r="C215" s="22">
        <f>IF(B215="","",$E$10&amp;TEXT(N($E$11)+197,"000"))</f>
        <v/>
      </c>
      <c r="D215" s="14" t="n"/>
      <c r="E215" s="23" t="n"/>
      <c r="F215" s="24" t="n"/>
      <c r="G215" s="14" t="n"/>
      <c r="H215" s="14" t="n"/>
      <c r="I215" s="23" t="n"/>
      <c r="J215" s="24" t="n"/>
      <c r="K215" s="23" t="n"/>
      <c r="L215" s="25">
        <f>IF(OR(E215="",N(U215)=0),"",U215-SUMIFS(Q$18:Q215,E$18:E215,E215))</f>
        <v/>
      </c>
      <c r="M215" s="26">
        <f>IF(OR(N(J215)=0,K215="Cancelled"),"",IF(AND(N(J215)&gt;5000,P215&lt;&gt;"G"),"Yes: ₹1","No"))</f>
        <v/>
      </c>
      <c r="N215" s="27">
        <f>IF(AND(B215="",D215="",N(J215)=0),"",IF(B215="","Enter the date",IF(AND(ROW()&gt;18,B214=""),"Use the next empty row: a skipped row leaves a gap in the receipt numbers",IF(D215="","Enter who paid",IF(N(J215)=0,"Enter the amount",IF(G215="","Pick what the money was for",IF(P215="?","Pick what it was for from the list",IF(H215="","Pick how it was paid",IF(K215="Cancelled","Cancelled: keep this number unused and give a fresh receipt",IF(AND(H215&lt;&gt;"Cash",I215=""),"Enter the cheque no., UTR or UPI reference",IF(AND(L215&lt;&gt;"",N(L215)&lt;0),"More than the balance due on this invoice",IF(S215&gt;=200000,"₹2,00,000 or more in cash from this person today: barred, s.186",IF(T215&gt;=200000,"₹2,00,000 or more in cash against this invoice: barred, s.186",IF(AND(P215="T",H215="Cash",N(J215)&gt;=20000),"Loan of ₹20,000 or more in cash: barred, s.185",IF(AND(P215="D",H215="Cash",N(J215)&gt;=20000),"Cash deposit of ₹20,000 or more: ask your accountant whether s.185 applies",IF(AND(OR(P215="AG",P215="AS"),$E$9&lt;&gt;""),"Advance: also give a GST receipt voucher, s.31(3)(d) and Rule 50","OK"))))))))))))))))</f>
        <v/>
      </c>
      <c r="P215">
        <f>IF(G215="","",IFERROR(VLOOKUP(G215,Lists!$A$2:$B$9,2,FALSE),"?"))</f>
        <v/>
      </c>
      <c r="Q215">
        <f>IF(K215="Cancelled",0,N(J215))</f>
        <v/>
      </c>
      <c r="R215">
        <f>IF(OR(H215&lt;&gt;"Cash",P215="T",P215="D"),0,Q215)</f>
        <v/>
      </c>
      <c r="S215">
        <f>IF(R215=0,0,SUMIFS($R$18:$R$317,$B$18:$B$317,B215,$D$18:$D$317,D215))</f>
        <v/>
      </c>
      <c r="T215">
        <f>IF(OR(R215=0,E215=""),0,SUMIFS($R$18:$R$317,$E$18:$E$317,E215))</f>
        <v/>
      </c>
      <c r="U215">
        <f>IF(E215="","",IF(N(F215)&gt;0,F215,IFERROR(INDEX($F$18:$F$317,MATCH(E215,$E$18:$E$317,0)),"")))</f>
        <v/>
      </c>
      <c r="V215">
        <f>IF(OR(N215="",N215="OK",K215="Cancelled"),0,1)</f>
        <v/>
      </c>
    </row>
    <row r="216">
      <c r="B216" s="21" t="n"/>
      <c r="C216" s="22">
        <f>IF(B216="","",$E$10&amp;TEXT(N($E$11)+198,"000"))</f>
        <v/>
      </c>
      <c r="D216" s="14" t="n"/>
      <c r="E216" s="23" t="n"/>
      <c r="F216" s="24" t="n"/>
      <c r="G216" s="14" t="n"/>
      <c r="H216" s="14" t="n"/>
      <c r="I216" s="23" t="n"/>
      <c r="J216" s="24" t="n"/>
      <c r="K216" s="23" t="n"/>
      <c r="L216" s="25">
        <f>IF(OR(E216="",N(U216)=0),"",U216-SUMIFS(Q$18:Q216,E$18:E216,E216))</f>
        <v/>
      </c>
      <c r="M216" s="26">
        <f>IF(OR(N(J216)=0,K216="Cancelled"),"",IF(AND(N(J216)&gt;5000,P216&lt;&gt;"G"),"Yes: ₹1","No"))</f>
        <v/>
      </c>
      <c r="N216" s="27">
        <f>IF(AND(B216="",D216="",N(J216)=0),"",IF(B216="","Enter the date",IF(AND(ROW()&gt;18,B215=""),"Use the next empty row: a skipped row leaves a gap in the receipt numbers",IF(D216="","Enter who paid",IF(N(J216)=0,"Enter the amount",IF(G216="","Pick what the money was for",IF(P216="?","Pick what it was for from the list",IF(H216="","Pick how it was paid",IF(K216="Cancelled","Cancelled: keep this number unused and give a fresh receipt",IF(AND(H216&lt;&gt;"Cash",I216=""),"Enter the cheque no., UTR or UPI reference",IF(AND(L216&lt;&gt;"",N(L216)&lt;0),"More than the balance due on this invoice",IF(S216&gt;=200000,"₹2,00,000 or more in cash from this person today: barred, s.186",IF(T216&gt;=200000,"₹2,00,000 or more in cash against this invoice: barred, s.186",IF(AND(P216="T",H216="Cash",N(J216)&gt;=20000),"Loan of ₹20,000 or more in cash: barred, s.185",IF(AND(P216="D",H216="Cash",N(J216)&gt;=20000),"Cash deposit of ₹20,000 or more: ask your accountant whether s.185 applies",IF(AND(OR(P216="AG",P216="AS"),$E$9&lt;&gt;""),"Advance: also give a GST receipt voucher, s.31(3)(d) and Rule 50","OK"))))))))))))))))</f>
        <v/>
      </c>
      <c r="P216">
        <f>IF(G216="","",IFERROR(VLOOKUP(G216,Lists!$A$2:$B$9,2,FALSE),"?"))</f>
        <v/>
      </c>
      <c r="Q216">
        <f>IF(K216="Cancelled",0,N(J216))</f>
        <v/>
      </c>
      <c r="R216">
        <f>IF(OR(H216&lt;&gt;"Cash",P216="T",P216="D"),0,Q216)</f>
        <v/>
      </c>
      <c r="S216">
        <f>IF(R216=0,0,SUMIFS($R$18:$R$317,$B$18:$B$317,B216,$D$18:$D$317,D216))</f>
        <v/>
      </c>
      <c r="T216">
        <f>IF(OR(R216=0,E216=""),0,SUMIFS($R$18:$R$317,$E$18:$E$317,E216))</f>
        <v/>
      </c>
      <c r="U216">
        <f>IF(E216="","",IF(N(F216)&gt;0,F216,IFERROR(INDEX($F$18:$F$317,MATCH(E216,$E$18:$E$317,0)),"")))</f>
        <v/>
      </c>
      <c r="V216">
        <f>IF(OR(N216="",N216="OK",K216="Cancelled"),0,1)</f>
        <v/>
      </c>
    </row>
    <row r="217">
      <c r="B217" s="21" t="n"/>
      <c r="C217" s="22">
        <f>IF(B217="","",$E$10&amp;TEXT(N($E$11)+199,"000"))</f>
        <v/>
      </c>
      <c r="D217" s="14" t="n"/>
      <c r="E217" s="23" t="n"/>
      <c r="F217" s="24" t="n"/>
      <c r="G217" s="14" t="n"/>
      <c r="H217" s="14" t="n"/>
      <c r="I217" s="23" t="n"/>
      <c r="J217" s="24" t="n"/>
      <c r="K217" s="23" t="n"/>
      <c r="L217" s="25">
        <f>IF(OR(E217="",N(U217)=0),"",U217-SUMIFS(Q$18:Q217,E$18:E217,E217))</f>
        <v/>
      </c>
      <c r="M217" s="26">
        <f>IF(OR(N(J217)=0,K217="Cancelled"),"",IF(AND(N(J217)&gt;5000,P217&lt;&gt;"G"),"Yes: ₹1","No"))</f>
        <v/>
      </c>
      <c r="N217" s="27">
        <f>IF(AND(B217="",D217="",N(J217)=0),"",IF(B217="","Enter the date",IF(AND(ROW()&gt;18,B216=""),"Use the next empty row: a skipped row leaves a gap in the receipt numbers",IF(D217="","Enter who paid",IF(N(J217)=0,"Enter the amount",IF(G217="","Pick what the money was for",IF(P217="?","Pick what it was for from the list",IF(H217="","Pick how it was paid",IF(K217="Cancelled","Cancelled: keep this number unused and give a fresh receipt",IF(AND(H217&lt;&gt;"Cash",I217=""),"Enter the cheque no., UTR or UPI reference",IF(AND(L217&lt;&gt;"",N(L217)&lt;0),"More than the balance due on this invoice",IF(S217&gt;=200000,"₹2,00,000 or more in cash from this person today: barred, s.186",IF(T217&gt;=200000,"₹2,00,000 or more in cash against this invoice: barred, s.186",IF(AND(P217="T",H217="Cash",N(J217)&gt;=20000),"Loan of ₹20,000 or more in cash: barred, s.185",IF(AND(P217="D",H217="Cash",N(J217)&gt;=20000),"Cash deposit of ₹20,000 or more: ask your accountant whether s.185 applies",IF(AND(OR(P217="AG",P217="AS"),$E$9&lt;&gt;""),"Advance: also give a GST receipt voucher, s.31(3)(d) and Rule 50","OK"))))))))))))))))</f>
        <v/>
      </c>
      <c r="P217">
        <f>IF(G217="","",IFERROR(VLOOKUP(G217,Lists!$A$2:$B$9,2,FALSE),"?"))</f>
        <v/>
      </c>
      <c r="Q217">
        <f>IF(K217="Cancelled",0,N(J217))</f>
        <v/>
      </c>
      <c r="R217">
        <f>IF(OR(H217&lt;&gt;"Cash",P217="T",P217="D"),0,Q217)</f>
        <v/>
      </c>
      <c r="S217">
        <f>IF(R217=0,0,SUMIFS($R$18:$R$317,$B$18:$B$317,B217,$D$18:$D$317,D217))</f>
        <v/>
      </c>
      <c r="T217">
        <f>IF(OR(R217=0,E217=""),0,SUMIFS($R$18:$R$317,$E$18:$E$317,E217))</f>
        <v/>
      </c>
      <c r="U217">
        <f>IF(E217="","",IF(N(F217)&gt;0,F217,IFERROR(INDEX($F$18:$F$317,MATCH(E217,$E$18:$E$317,0)),"")))</f>
        <v/>
      </c>
      <c r="V217">
        <f>IF(OR(N217="",N217="OK",K217="Cancelled"),0,1)</f>
        <v/>
      </c>
    </row>
    <row r="218">
      <c r="B218" s="21" t="n"/>
      <c r="C218" s="22">
        <f>IF(B218="","",$E$10&amp;TEXT(N($E$11)+200,"000"))</f>
        <v/>
      </c>
      <c r="D218" s="14" t="n"/>
      <c r="E218" s="23" t="n"/>
      <c r="F218" s="24" t="n"/>
      <c r="G218" s="14" t="n"/>
      <c r="H218" s="14" t="n"/>
      <c r="I218" s="23" t="n"/>
      <c r="J218" s="24" t="n"/>
      <c r="K218" s="23" t="n"/>
      <c r="L218" s="25">
        <f>IF(OR(E218="",N(U218)=0),"",U218-SUMIFS(Q$18:Q218,E$18:E218,E218))</f>
        <v/>
      </c>
      <c r="M218" s="26">
        <f>IF(OR(N(J218)=0,K218="Cancelled"),"",IF(AND(N(J218)&gt;5000,P218&lt;&gt;"G"),"Yes: ₹1","No"))</f>
        <v/>
      </c>
      <c r="N218" s="27">
        <f>IF(AND(B218="",D218="",N(J218)=0),"",IF(B218="","Enter the date",IF(AND(ROW()&gt;18,B217=""),"Use the next empty row: a skipped row leaves a gap in the receipt numbers",IF(D218="","Enter who paid",IF(N(J218)=0,"Enter the amount",IF(G218="","Pick what the money was for",IF(P218="?","Pick what it was for from the list",IF(H218="","Pick how it was paid",IF(K218="Cancelled","Cancelled: keep this number unused and give a fresh receipt",IF(AND(H218&lt;&gt;"Cash",I218=""),"Enter the cheque no., UTR or UPI reference",IF(AND(L218&lt;&gt;"",N(L218)&lt;0),"More than the balance due on this invoice",IF(S218&gt;=200000,"₹2,00,000 or more in cash from this person today: barred, s.186",IF(T218&gt;=200000,"₹2,00,000 or more in cash against this invoice: barred, s.186",IF(AND(P218="T",H218="Cash",N(J218)&gt;=20000),"Loan of ₹20,000 or more in cash: barred, s.185",IF(AND(P218="D",H218="Cash",N(J218)&gt;=20000),"Cash deposit of ₹20,000 or more: ask your accountant whether s.185 applies",IF(AND(OR(P218="AG",P218="AS"),$E$9&lt;&gt;""),"Advance: also give a GST receipt voucher, s.31(3)(d) and Rule 50","OK"))))))))))))))))</f>
        <v/>
      </c>
      <c r="P218">
        <f>IF(G218="","",IFERROR(VLOOKUP(G218,Lists!$A$2:$B$9,2,FALSE),"?"))</f>
        <v/>
      </c>
      <c r="Q218">
        <f>IF(K218="Cancelled",0,N(J218))</f>
        <v/>
      </c>
      <c r="R218">
        <f>IF(OR(H218&lt;&gt;"Cash",P218="T",P218="D"),0,Q218)</f>
        <v/>
      </c>
      <c r="S218">
        <f>IF(R218=0,0,SUMIFS($R$18:$R$317,$B$18:$B$317,B218,$D$18:$D$317,D218))</f>
        <v/>
      </c>
      <c r="T218">
        <f>IF(OR(R218=0,E218=""),0,SUMIFS($R$18:$R$317,$E$18:$E$317,E218))</f>
        <v/>
      </c>
      <c r="U218">
        <f>IF(E218="","",IF(N(F218)&gt;0,F218,IFERROR(INDEX($F$18:$F$317,MATCH(E218,$E$18:$E$317,0)),"")))</f>
        <v/>
      </c>
      <c r="V218">
        <f>IF(OR(N218="",N218="OK",K218="Cancelled"),0,1)</f>
        <v/>
      </c>
    </row>
    <row r="219">
      <c r="B219" s="21" t="n"/>
      <c r="C219" s="22">
        <f>IF(B219="","",$E$10&amp;TEXT(N($E$11)+201,"000"))</f>
        <v/>
      </c>
      <c r="D219" s="14" t="n"/>
      <c r="E219" s="23" t="n"/>
      <c r="F219" s="24" t="n"/>
      <c r="G219" s="14" t="n"/>
      <c r="H219" s="14" t="n"/>
      <c r="I219" s="23" t="n"/>
      <c r="J219" s="24" t="n"/>
      <c r="K219" s="23" t="n"/>
      <c r="L219" s="25">
        <f>IF(OR(E219="",N(U219)=0),"",U219-SUMIFS(Q$18:Q219,E$18:E219,E219))</f>
        <v/>
      </c>
      <c r="M219" s="26">
        <f>IF(OR(N(J219)=0,K219="Cancelled"),"",IF(AND(N(J219)&gt;5000,P219&lt;&gt;"G"),"Yes: ₹1","No"))</f>
        <v/>
      </c>
      <c r="N219" s="27">
        <f>IF(AND(B219="",D219="",N(J219)=0),"",IF(B219="","Enter the date",IF(AND(ROW()&gt;18,B218=""),"Use the next empty row: a skipped row leaves a gap in the receipt numbers",IF(D219="","Enter who paid",IF(N(J219)=0,"Enter the amount",IF(G219="","Pick what the money was for",IF(P219="?","Pick what it was for from the list",IF(H219="","Pick how it was paid",IF(K219="Cancelled","Cancelled: keep this number unused and give a fresh receipt",IF(AND(H219&lt;&gt;"Cash",I219=""),"Enter the cheque no., UTR or UPI reference",IF(AND(L219&lt;&gt;"",N(L219)&lt;0),"More than the balance due on this invoice",IF(S219&gt;=200000,"₹2,00,000 or more in cash from this person today: barred, s.186",IF(T219&gt;=200000,"₹2,00,000 or more in cash against this invoice: barred, s.186",IF(AND(P219="T",H219="Cash",N(J219)&gt;=20000),"Loan of ₹20,000 or more in cash: barred, s.185",IF(AND(P219="D",H219="Cash",N(J219)&gt;=20000),"Cash deposit of ₹20,000 or more: ask your accountant whether s.185 applies",IF(AND(OR(P219="AG",P219="AS"),$E$9&lt;&gt;""),"Advance: also give a GST receipt voucher, s.31(3)(d) and Rule 50","OK"))))))))))))))))</f>
        <v/>
      </c>
      <c r="P219">
        <f>IF(G219="","",IFERROR(VLOOKUP(G219,Lists!$A$2:$B$9,2,FALSE),"?"))</f>
        <v/>
      </c>
      <c r="Q219">
        <f>IF(K219="Cancelled",0,N(J219))</f>
        <v/>
      </c>
      <c r="R219">
        <f>IF(OR(H219&lt;&gt;"Cash",P219="T",P219="D"),0,Q219)</f>
        <v/>
      </c>
      <c r="S219">
        <f>IF(R219=0,0,SUMIFS($R$18:$R$317,$B$18:$B$317,B219,$D$18:$D$317,D219))</f>
        <v/>
      </c>
      <c r="T219">
        <f>IF(OR(R219=0,E219=""),0,SUMIFS($R$18:$R$317,$E$18:$E$317,E219))</f>
        <v/>
      </c>
      <c r="U219">
        <f>IF(E219="","",IF(N(F219)&gt;0,F219,IFERROR(INDEX($F$18:$F$317,MATCH(E219,$E$18:$E$317,0)),"")))</f>
        <v/>
      </c>
      <c r="V219">
        <f>IF(OR(N219="",N219="OK",K219="Cancelled"),0,1)</f>
        <v/>
      </c>
    </row>
    <row r="220">
      <c r="B220" s="21" t="n"/>
      <c r="C220" s="22">
        <f>IF(B220="","",$E$10&amp;TEXT(N($E$11)+202,"000"))</f>
        <v/>
      </c>
      <c r="D220" s="14" t="n"/>
      <c r="E220" s="23" t="n"/>
      <c r="F220" s="24" t="n"/>
      <c r="G220" s="14" t="n"/>
      <c r="H220" s="14" t="n"/>
      <c r="I220" s="23" t="n"/>
      <c r="J220" s="24" t="n"/>
      <c r="K220" s="23" t="n"/>
      <c r="L220" s="25">
        <f>IF(OR(E220="",N(U220)=0),"",U220-SUMIFS(Q$18:Q220,E$18:E220,E220))</f>
        <v/>
      </c>
      <c r="M220" s="26">
        <f>IF(OR(N(J220)=0,K220="Cancelled"),"",IF(AND(N(J220)&gt;5000,P220&lt;&gt;"G"),"Yes: ₹1","No"))</f>
        <v/>
      </c>
      <c r="N220" s="27">
        <f>IF(AND(B220="",D220="",N(J220)=0),"",IF(B220="","Enter the date",IF(AND(ROW()&gt;18,B219=""),"Use the next empty row: a skipped row leaves a gap in the receipt numbers",IF(D220="","Enter who paid",IF(N(J220)=0,"Enter the amount",IF(G220="","Pick what the money was for",IF(P220="?","Pick what it was for from the list",IF(H220="","Pick how it was paid",IF(K220="Cancelled","Cancelled: keep this number unused and give a fresh receipt",IF(AND(H220&lt;&gt;"Cash",I220=""),"Enter the cheque no., UTR or UPI reference",IF(AND(L220&lt;&gt;"",N(L220)&lt;0),"More than the balance due on this invoice",IF(S220&gt;=200000,"₹2,00,000 or more in cash from this person today: barred, s.186",IF(T220&gt;=200000,"₹2,00,000 or more in cash against this invoice: barred, s.186",IF(AND(P220="T",H220="Cash",N(J220)&gt;=20000),"Loan of ₹20,000 or more in cash: barred, s.185",IF(AND(P220="D",H220="Cash",N(J220)&gt;=20000),"Cash deposit of ₹20,000 or more: ask your accountant whether s.185 applies",IF(AND(OR(P220="AG",P220="AS"),$E$9&lt;&gt;""),"Advance: also give a GST receipt voucher, s.31(3)(d) and Rule 50","OK"))))))))))))))))</f>
        <v/>
      </c>
      <c r="P220">
        <f>IF(G220="","",IFERROR(VLOOKUP(G220,Lists!$A$2:$B$9,2,FALSE),"?"))</f>
        <v/>
      </c>
      <c r="Q220">
        <f>IF(K220="Cancelled",0,N(J220))</f>
        <v/>
      </c>
      <c r="R220">
        <f>IF(OR(H220&lt;&gt;"Cash",P220="T",P220="D"),0,Q220)</f>
        <v/>
      </c>
      <c r="S220">
        <f>IF(R220=0,0,SUMIFS($R$18:$R$317,$B$18:$B$317,B220,$D$18:$D$317,D220))</f>
        <v/>
      </c>
      <c r="T220">
        <f>IF(OR(R220=0,E220=""),0,SUMIFS($R$18:$R$317,$E$18:$E$317,E220))</f>
        <v/>
      </c>
      <c r="U220">
        <f>IF(E220="","",IF(N(F220)&gt;0,F220,IFERROR(INDEX($F$18:$F$317,MATCH(E220,$E$18:$E$317,0)),"")))</f>
        <v/>
      </c>
      <c r="V220">
        <f>IF(OR(N220="",N220="OK",K220="Cancelled"),0,1)</f>
        <v/>
      </c>
    </row>
    <row r="221">
      <c r="B221" s="21" t="n"/>
      <c r="C221" s="22">
        <f>IF(B221="","",$E$10&amp;TEXT(N($E$11)+203,"000"))</f>
        <v/>
      </c>
      <c r="D221" s="14" t="n"/>
      <c r="E221" s="23" t="n"/>
      <c r="F221" s="24" t="n"/>
      <c r="G221" s="14" t="n"/>
      <c r="H221" s="14" t="n"/>
      <c r="I221" s="23" t="n"/>
      <c r="J221" s="24" t="n"/>
      <c r="K221" s="23" t="n"/>
      <c r="L221" s="25">
        <f>IF(OR(E221="",N(U221)=0),"",U221-SUMIFS(Q$18:Q221,E$18:E221,E221))</f>
        <v/>
      </c>
      <c r="M221" s="26">
        <f>IF(OR(N(J221)=0,K221="Cancelled"),"",IF(AND(N(J221)&gt;5000,P221&lt;&gt;"G"),"Yes: ₹1","No"))</f>
        <v/>
      </c>
      <c r="N221" s="27">
        <f>IF(AND(B221="",D221="",N(J221)=0),"",IF(B221="","Enter the date",IF(AND(ROW()&gt;18,B220=""),"Use the next empty row: a skipped row leaves a gap in the receipt numbers",IF(D221="","Enter who paid",IF(N(J221)=0,"Enter the amount",IF(G221="","Pick what the money was for",IF(P221="?","Pick what it was for from the list",IF(H221="","Pick how it was paid",IF(K221="Cancelled","Cancelled: keep this number unused and give a fresh receipt",IF(AND(H221&lt;&gt;"Cash",I221=""),"Enter the cheque no., UTR or UPI reference",IF(AND(L221&lt;&gt;"",N(L221)&lt;0),"More than the balance due on this invoice",IF(S221&gt;=200000,"₹2,00,000 or more in cash from this person today: barred, s.186",IF(T221&gt;=200000,"₹2,00,000 or more in cash against this invoice: barred, s.186",IF(AND(P221="T",H221="Cash",N(J221)&gt;=20000),"Loan of ₹20,000 or more in cash: barred, s.185",IF(AND(P221="D",H221="Cash",N(J221)&gt;=20000),"Cash deposit of ₹20,000 or more: ask your accountant whether s.185 applies",IF(AND(OR(P221="AG",P221="AS"),$E$9&lt;&gt;""),"Advance: also give a GST receipt voucher, s.31(3)(d) and Rule 50","OK"))))))))))))))))</f>
        <v/>
      </c>
      <c r="P221">
        <f>IF(G221="","",IFERROR(VLOOKUP(G221,Lists!$A$2:$B$9,2,FALSE),"?"))</f>
        <v/>
      </c>
      <c r="Q221">
        <f>IF(K221="Cancelled",0,N(J221))</f>
        <v/>
      </c>
      <c r="R221">
        <f>IF(OR(H221&lt;&gt;"Cash",P221="T",P221="D"),0,Q221)</f>
        <v/>
      </c>
      <c r="S221">
        <f>IF(R221=0,0,SUMIFS($R$18:$R$317,$B$18:$B$317,B221,$D$18:$D$317,D221))</f>
        <v/>
      </c>
      <c r="T221">
        <f>IF(OR(R221=0,E221=""),0,SUMIFS($R$18:$R$317,$E$18:$E$317,E221))</f>
        <v/>
      </c>
      <c r="U221">
        <f>IF(E221="","",IF(N(F221)&gt;0,F221,IFERROR(INDEX($F$18:$F$317,MATCH(E221,$E$18:$E$317,0)),"")))</f>
        <v/>
      </c>
      <c r="V221">
        <f>IF(OR(N221="",N221="OK",K221="Cancelled"),0,1)</f>
        <v/>
      </c>
    </row>
    <row r="222">
      <c r="B222" s="21" t="n"/>
      <c r="C222" s="22">
        <f>IF(B222="","",$E$10&amp;TEXT(N($E$11)+204,"000"))</f>
        <v/>
      </c>
      <c r="D222" s="14" t="n"/>
      <c r="E222" s="23" t="n"/>
      <c r="F222" s="24" t="n"/>
      <c r="G222" s="14" t="n"/>
      <c r="H222" s="14" t="n"/>
      <c r="I222" s="23" t="n"/>
      <c r="J222" s="24" t="n"/>
      <c r="K222" s="23" t="n"/>
      <c r="L222" s="25">
        <f>IF(OR(E222="",N(U222)=0),"",U222-SUMIFS(Q$18:Q222,E$18:E222,E222))</f>
        <v/>
      </c>
      <c r="M222" s="26">
        <f>IF(OR(N(J222)=0,K222="Cancelled"),"",IF(AND(N(J222)&gt;5000,P222&lt;&gt;"G"),"Yes: ₹1","No"))</f>
        <v/>
      </c>
      <c r="N222" s="27">
        <f>IF(AND(B222="",D222="",N(J222)=0),"",IF(B222="","Enter the date",IF(AND(ROW()&gt;18,B221=""),"Use the next empty row: a skipped row leaves a gap in the receipt numbers",IF(D222="","Enter who paid",IF(N(J222)=0,"Enter the amount",IF(G222="","Pick what the money was for",IF(P222="?","Pick what it was for from the list",IF(H222="","Pick how it was paid",IF(K222="Cancelled","Cancelled: keep this number unused and give a fresh receipt",IF(AND(H222&lt;&gt;"Cash",I222=""),"Enter the cheque no., UTR or UPI reference",IF(AND(L222&lt;&gt;"",N(L222)&lt;0),"More than the balance due on this invoice",IF(S222&gt;=200000,"₹2,00,000 or more in cash from this person today: barred, s.186",IF(T222&gt;=200000,"₹2,00,000 or more in cash against this invoice: barred, s.186",IF(AND(P222="T",H222="Cash",N(J222)&gt;=20000),"Loan of ₹20,000 or more in cash: barred, s.185",IF(AND(P222="D",H222="Cash",N(J222)&gt;=20000),"Cash deposit of ₹20,000 or more: ask your accountant whether s.185 applies",IF(AND(OR(P222="AG",P222="AS"),$E$9&lt;&gt;""),"Advance: also give a GST receipt voucher, s.31(3)(d) and Rule 50","OK"))))))))))))))))</f>
        <v/>
      </c>
      <c r="P222">
        <f>IF(G222="","",IFERROR(VLOOKUP(G222,Lists!$A$2:$B$9,2,FALSE),"?"))</f>
        <v/>
      </c>
      <c r="Q222">
        <f>IF(K222="Cancelled",0,N(J222))</f>
        <v/>
      </c>
      <c r="R222">
        <f>IF(OR(H222&lt;&gt;"Cash",P222="T",P222="D"),0,Q222)</f>
        <v/>
      </c>
      <c r="S222">
        <f>IF(R222=0,0,SUMIFS($R$18:$R$317,$B$18:$B$317,B222,$D$18:$D$317,D222))</f>
        <v/>
      </c>
      <c r="T222">
        <f>IF(OR(R222=0,E222=""),0,SUMIFS($R$18:$R$317,$E$18:$E$317,E222))</f>
        <v/>
      </c>
      <c r="U222">
        <f>IF(E222="","",IF(N(F222)&gt;0,F222,IFERROR(INDEX($F$18:$F$317,MATCH(E222,$E$18:$E$317,0)),"")))</f>
        <v/>
      </c>
      <c r="V222">
        <f>IF(OR(N222="",N222="OK",K222="Cancelled"),0,1)</f>
        <v/>
      </c>
    </row>
    <row r="223">
      <c r="B223" s="21" t="n"/>
      <c r="C223" s="22">
        <f>IF(B223="","",$E$10&amp;TEXT(N($E$11)+205,"000"))</f>
        <v/>
      </c>
      <c r="D223" s="14" t="n"/>
      <c r="E223" s="23" t="n"/>
      <c r="F223" s="24" t="n"/>
      <c r="G223" s="14" t="n"/>
      <c r="H223" s="14" t="n"/>
      <c r="I223" s="23" t="n"/>
      <c r="J223" s="24" t="n"/>
      <c r="K223" s="23" t="n"/>
      <c r="L223" s="25">
        <f>IF(OR(E223="",N(U223)=0),"",U223-SUMIFS(Q$18:Q223,E$18:E223,E223))</f>
        <v/>
      </c>
      <c r="M223" s="26">
        <f>IF(OR(N(J223)=0,K223="Cancelled"),"",IF(AND(N(J223)&gt;5000,P223&lt;&gt;"G"),"Yes: ₹1","No"))</f>
        <v/>
      </c>
      <c r="N223" s="27">
        <f>IF(AND(B223="",D223="",N(J223)=0),"",IF(B223="","Enter the date",IF(AND(ROW()&gt;18,B222=""),"Use the next empty row: a skipped row leaves a gap in the receipt numbers",IF(D223="","Enter who paid",IF(N(J223)=0,"Enter the amount",IF(G223="","Pick what the money was for",IF(P223="?","Pick what it was for from the list",IF(H223="","Pick how it was paid",IF(K223="Cancelled","Cancelled: keep this number unused and give a fresh receipt",IF(AND(H223&lt;&gt;"Cash",I223=""),"Enter the cheque no., UTR or UPI reference",IF(AND(L223&lt;&gt;"",N(L223)&lt;0),"More than the balance due on this invoice",IF(S223&gt;=200000,"₹2,00,000 or more in cash from this person today: barred, s.186",IF(T223&gt;=200000,"₹2,00,000 or more in cash against this invoice: barred, s.186",IF(AND(P223="T",H223="Cash",N(J223)&gt;=20000),"Loan of ₹20,000 or more in cash: barred, s.185",IF(AND(P223="D",H223="Cash",N(J223)&gt;=20000),"Cash deposit of ₹20,000 or more: ask your accountant whether s.185 applies",IF(AND(OR(P223="AG",P223="AS"),$E$9&lt;&gt;""),"Advance: also give a GST receipt voucher, s.31(3)(d) and Rule 50","OK"))))))))))))))))</f>
        <v/>
      </c>
      <c r="P223">
        <f>IF(G223="","",IFERROR(VLOOKUP(G223,Lists!$A$2:$B$9,2,FALSE),"?"))</f>
        <v/>
      </c>
      <c r="Q223">
        <f>IF(K223="Cancelled",0,N(J223))</f>
        <v/>
      </c>
      <c r="R223">
        <f>IF(OR(H223&lt;&gt;"Cash",P223="T",P223="D"),0,Q223)</f>
        <v/>
      </c>
      <c r="S223">
        <f>IF(R223=0,0,SUMIFS($R$18:$R$317,$B$18:$B$317,B223,$D$18:$D$317,D223))</f>
        <v/>
      </c>
      <c r="T223">
        <f>IF(OR(R223=0,E223=""),0,SUMIFS($R$18:$R$317,$E$18:$E$317,E223))</f>
        <v/>
      </c>
      <c r="U223">
        <f>IF(E223="","",IF(N(F223)&gt;0,F223,IFERROR(INDEX($F$18:$F$317,MATCH(E223,$E$18:$E$317,0)),"")))</f>
        <v/>
      </c>
      <c r="V223">
        <f>IF(OR(N223="",N223="OK",K223="Cancelled"),0,1)</f>
        <v/>
      </c>
    </row>
    <row r="224">
      <c r="B224" s="21" t="n"/>
      <c r="C224" s="22">
        <f>IF(B224="","",$E$10&amp;TEXT(N($E$11)+206,"000"))</f>
        <v/>
      </c>
      <c r="D224" s="14" t="n"/>
      <c r="E224" s="23" t="n"/>
      <c r="F224" s="24" t="n"/>
      <c r="G224" s="14" t="n"/>
      <c r="H224" s="14" t="n"/>
      <c r="I224" s="23" t="n"/>
      <c r="J224" s="24" t="n"/>
      <c r="K224" s="23" t="n"/>
      <c r="L224" s="25">
        <f>IF(OR(E224="",N(U224)=0),"",U224-SUMIFS(Q$18:Q224,E$18:E224,E224))</f>
        <v/>
      </c>
      <c r="M224" s="26">
        <f>IF(OR(N(J224)=0,K224="Cancelled"),"",IF(AND(N(J224)&gt;5000,P224&lt;&gt;"G"),"Yes: ₹1","No"))</f>
        <v/>
      </c>
      <c r="N224" s="27">
        <f>IF(AND(B224="",D224="",N(J224)=0),"",IF(B224="","Enter the date",IF(AND(ROW()&gt;18,B223=""),"Use the next empty row: a skipped row leaves a gap in the receipt numbers",IF(D224="","Enter who paid",IF(N(J224)=0,"Enter the amount",IF(G224="","Pick what the money was for",IF(P224="?","Pick what it was for from the list",IF(H224="","Pick how it was paid",IF(K224="Cancelled","Cancelled: keep this number unused and give a fresh receipt",IF(AND(H224&lt;&gt;"Cash",I224=""),"Enter the cheque no., UTR or UPI reference",IF(AND(L224&lt;&gt;"",N(L224)&lt;0),"More than the balance due on this invoice",IF(S224&gt;=200000,"₹2,00,000 or more in cash from this person today: barred, s.186",IF(T224&gt;=200000,"₹2,00,000 or more in cash against this invoice: barred, s.186",IF(AND(P224="T",H224="Cash",N(J224)&gt;=20000),"Loan of ₹20,000 or more in cash: barred, s.185",IF(AND(P224="D",H224="Cash",N(J224)&gt;=20000),"Cash deposit of ₹20,000 or more: ask your accountant whether s.185 applies",IF(AND(OR(P224="AG",P224="AS"),$E$9&lt;&gt;""),"Advance: also give a GST receipt voucher, s.31(3)(d) and Rule 50","OK"))))))))))))))))</f>
        <v/>
      </c>
      <c r="P224">
        <f>IF(G224="","",IFERROR(VLOOKUP(G224,Lists!$A$2:$B$9,2,FALSE),"?"))</f>
        <v/>
      </c>
      <c r="Q224">
        <f>IF(K224="Cancelled",0,N(J224))</f>
        <v/>
      </c>
      <c r="R224">
        <f>IF(OR(H224&lt;&gt;"Cash",P224="T",P224="D"),0,Q224)</f>
        <v/>
      </c>
      <c r="S224">
        <f>IF(R224=0,0,SUMIFS($R$18:$R$317,$B$18:$B$317,B224,$D$18:$D$317,D224))</f>
        <v/>
      </c>
      <c r="T224">
        <f>IF(OR(R224=0,E224=""),0,SUMIFS($R$18:$R$317,$E$18:$E$317,E224))</f>
        <v/>
      </c>
      <c r="U224">
        <f>IF(E224="","",IF(N(F224)&gt;0,F224,IFERROR(INDEX($F$18:$F$317,MATCH(E224,$E$18:$E$317,0)),"")))</f>
        <v/>
      </c>
      <c r="V224">
        <f>IF(OR(N224="",N224="OK",K224="Cancelled"),0,1)</f>
        <v/>
      </c>
    </row>
    <row r="225">
      <c r="B225" s="21" t="n"/>
      <c r="C225" s="22">
        <f>IF(B225="","",$E$10&amp;TEXT(N($E$11)+207,"000"))</f>
        <v/>
      </c>
      <c r="D225" s="14" t="n"/>
      <c r="E225" s="23" t="n"/>
      <c r="F225" s="24" t="n"/>
      <c r="G225" s="14" t="n"/>
      <c r="H225" s="14" t="n"/>
      <c r="I225" s="23" t="n"/>
      <c r="J225" s="24" t="n"/>
      <c r="K225" s="23" t="n"/>
      <c r="L225" s="25">
        <f>IF(OR(E225="",N(U225)=0),"",U225-SUMIFS(Q$18:Q225,E$18:E225,E225))</f>
        <v/>
      </c>
      <c r="M225" s="26">
        <f>IF(OR(N(J225)=0,K225="Cancelled"),"",IF(AND(N(J225)&gt;5000,P225&lt;&gt;"G"),"Yes: ₹1","No"))</f>
        <v/>
      </c>
      <c r="N225" s="27">
        <f>IF(AND(B225="",D225="",N(J225)=0),"",IF(B225="","Enter the date",IF(AND(ROW()&gt;18,B224=""),"Use the next empty row: a skipped row leaves a gap in the receipt numbers",IF(D225="","Enter who paid",IF(N(J225)=0,"Enter the amount",IF(G225="","Pick what the money was for",IF(P225="?","Pick what it was for from the list",IF(H225="","Pick how it was paid",IF(K225="Cancelled","Cancelled: keep this number unused and give a fresh receipt",IF(AND(H225&lt;&gt;"Cash",I225=""),"Enter the cheque no., UTR or UPI reference",IF(AND(L225&lt;&gt;"",N(L225)&lt;0),"More than the balance due on this invoice",IF(S225&gt;=200000,"₹2,00,000 or more in cash from this person today: barred, s.186",IF(T225&gt;=200000,"₹2,00,000 or more in cash against this invoice: barred, s.186",IF(AND(P225="T",H225="Cash",N(J225)&gt;=20000),"Loan of ₹20,000 or more in cash: barred, s.185",IF(AND(P225="D",H225="Cash",N(J225)&gt;=20000),"Cash deposit of ₹20,000 or more: ask your accountant whether s.185 applies",IF(AND(OR(P225="AG",P225="AS"),$E$9&lt;&gt;""),"Advance: also give a GST receipt voucher, s.31(3)(d) and Rule 50","OK"))))))))))))))))</f>
        <v/>
      </c>
      <c r="P225">
        <f>IF(G225="","",IFERROR(VLOOKUP(G225,Lists!$A$2:$B$9,2,FALSE),"?"))</f>
        <v/>
      </c>
      <c r="Q225">
        <f>IF(K225="Cancelled",0,N(J225))</f>
        <v/>
      </c>
      <c r="R225">
        <f>IF(OR(H225&lt;&gt;"Cash",P225="T",P225="D"),0,Q225)</f>
        <v/>
      </c>
      <c r="S225">
        <f>IF(R225=0,0,SUMIFS($R$18:$R$317,$B$18:$B$317,B225,$D$18:$D$317,D225))</f>
        <v/>
      </c>
      <c r="T225">
        <f>IF(OR(R225=0,E225=""),0,SUMIFS($R$18:$R$317,$E$18:$E$317,E225))</f>
        <v/>
      </c>
      <c r="U225">
        <f>IF(E225="","",IF(N(F225)&gt;0,F225,IFERROR(INDEX($F$18:$F$317,MATCH(E225,$E$18:$E$317,0)),"")))</f>
        <v/>
      </c>
      <c r="V225">
        <f>IF(OR(N225="",N225="OK",K225="Cancelled"),0,1)</f>
        <v/>
      </c>
    </row>
    <row r="226">
      <c r="B226" s="21" t="n"/>
      <c r="C226" s="22">
        <f>IF(B226="","",$E$10&amp;TEXT(N($E$11)+208,"000"))</f>
        <v/>
      </c>
      <c r="D226" s="14" t="n"/>
      <c r="E226" s="23" t="n"/>
      <c r="F226" s="24" t="n"/>
      <c r="G226" s="14" t="n"/>
      <c r="H226" s="14" t="n"/>
      <c r="I226" s="23" t="n"/>
      <c r="J226" s="24" t="n"/>
      <c r="K226" s="23" t="n"/>
      <c r="L226" s="25">
        <f>IF(OR(E226="",N(U226)=0),"",U226-SUMIFS(Q$18:Q226,E$18:E226,E226))</f>
        <v/>
      </c>
      <c r="M226" s="26">
        <f>IF(OR(N(J226)=0,K226="Cancelled"),"",IF(AND(N(J226)&gt;5000,P226&lt;&gt;"G"),"Yes: ₹1","No"))</f>
        <v/>
      </c>
      <c r="N226" s="27">
        <f>IF(AND(B226="",D226="",N(J226)=0),"",IF(B226="","Enter the date",IF(AND(ROW()&gt;18,B225=""),"Use the next empty row: a skipped row leaves a gap in the receipt numbers",IF(D226="","Enter who paid",IF(N(J226)=0,"Enter the amount",IF(G226="","Pick what the money was for",IF(P226="?","Pick what it was for from the list",IF(H226="","Pick how it was paid",IF(K226="Cancelled","Cancelled: keep this number unused and give a fresh receipt",IF(AND(H226&lt;&gt;"Cash",I226=""),"Enter the cheque no., UTR or UPI reference",IF(AND(L226&lt;&gt;"",N(L226)&lt;0),"More than the balance due on this invoice",IF(S226&gt;=200000,"₹2,00,000 or more in cash from this person today: barred, s.186",IF(T226&gt;=200000,"₹2,00,000 or more in cash against this invoice: barred, s.186",IF(AND(P226="T",H226="Cash",N(J226)&gt;=20000),"Loan of ₹20,000 or more in cash: barred, s.185",IF(AND(P226="D",H226="Cash",N(J226)&gt;=20000),"Cash deposit of ₹20,000 or more: ask your accountant whether s.185 applies",IF(AND(OR(P226="AG",P226="AS"),$E$9&lt;&gt;""),"Advance: also give a GST receipt voucher, s.31(3)(d) and Rule 50","OK"))))))))))))))))</f>
        <v/>
      </c>
      <c r="P226">
        <f>IF(G226="","",IFERROR(VLOOKUP(G226,Lists!$A$2:$B$9,2,FALSE),"?"))</f>
        <v/>
      </c>
      <c r="Q226">
        <f>IF(K226="Cancelled",0,N(J226))</f>
        <v/>
      </c>
      <c r="R226">
        <f>IF(OR(H226&lt;&gt;"Cash",P226="T",P226="D"),0,Q226)</f>
        <v/>
      </c>
      <c r="S226">
        <f>IF(R226=0,0,SUMIFS($R$18:$R$317,$B$18:$B$317,B226,$D$18:$D$317,D226))</f>
        <v/>
      </c>
      <c r="T226">
        <f>IF(OR(R226=0,E226=""),0,SUMIFS($R$18:$R$317,$E$18:$E$317,E226))</f>
        <v/>
      </c>
      <c r="U226">
        <f>IF(E226="","",IF(N(F226)&gt;0,F226,IFERROR(INDEX($F$18:$F$317,MATCH(E226,$E$18:$E$317,0)),"")))</f>
        <v/>
      </c>
      <c r="V226">
        <f>IF(OR(N226="",N226="OK",K226="Cancelled"),0,1)</f>
        <v/>
      </c>
    </row>
    <row r="227">
      <c r="B227" s="21" t="n"/>
      <c r="C227" s="22">
        <f>IF(B227="","",$E$10&amp;TEXT(N($E$11)+209,"000"))</f>
        <v/>
      </c>
      <c r="D227" s="14" t="n"/>
      <c r="E227" s="23" t="n"/>
      <c r="F227" s="24" t="n"/>
      <c r="G227" s="14" t="n"/>
      <c r="H227" s="14" t="n"/>
      <c r="I227" s="23" t="n"/>
      <c r="J227" s="24" t="n"/>
      <c r="K227" s="23" t="n"/>
      <c r="L227" s="25">
        <f>IF(OR(E227="",N(U227)=0),"",U227-SUMIFS(Q$18:Q227,E$18:E227,E227))</f>
        <v/>
      </c>
      <c r="M227" s="26">
        <f>IF(OR(N(J227)=0,K227="Cancelled"),"",IF(AND(N(J227)&gt;5000,P227&lt;&gt;"G"),"Yes: ₹1","No"))</f>
        <v/>
      </c>
      <c r="N227" s="27">
        <f>IF(AND(B227="",D227="",N(J227)=0),"",IF(B227="","Enter the date",IF(AND(ROW()&gt;18,B226=""),"Use the next empty row: a skipped row leaves a gap in the receipt numbers",IF(D227="","Enter who paid",IF(N(J227)=0,"Enter the amount",IF(G227="","Pick what the money was for",IF(P227="?","Pick what it was for from the list",IF(H227="","Pick how it was paid",IF(K227="Cancelled","Cancelled: keep this number unused and give a fresh receipt",IF(AND(H227&lt;&gt;"Cash",I227=""),"Enter the cheque no., UTR or UPI reference",IF(AND(L227&lt;&gt;"",N(L227)&lt;0),"More than the balance due on this invoice",IF(S227&gt;=200000,"₹2,00,000 or more in cash from this person today: barred, s.186",IF(T227&gt;=200000,"₹2,00,000 or more in cash against this invoice: barred, s.186",IF(AND(P227="T",H227="Cash",N(J227)&gt;=20000),"Loan of ₹20,000 or more in cash: barred, s.185",IF(AND(P227="D",H227="Cash",N(J227)&gt;=20000),"Cash deposit of ₹20,000 or more: ask your accountant whether s.185 applies",IF(AND(OR(P227="AG",P227="AS"),$E$9&lt;&gt;""),"Advance: also give a GST receipt voucher, s.31(3)(d) and Rule 50","OK"))))))))))))))))</f>
        <v/>
      </c>
      <c r="P227">
        <f>IF(G227="","",IFERROR(VLOOKUP(G227,Lists!$A$2:$B$9,2,FALSE),"?"))</f>
        <v/>
      </c>
      <c r="Q227">
        <f>IF(K227="Cancelled",0,N(J227))</f>
        <v/>
      </c>
      <c r="R227">
        <f>IF(OR(H227&lt;&gt;"Cash",P227="T",P227="D"),0,Q227)</f>
        <v/>
      </c>
      <c r="S227">
        <f>IF(R227=0,0,SUMIFS($R$18:$R$317,$B$18:$B$317,B227,$D$18:$D$317,D227))</f>
        <v/>
      </c>
      <c r="T227">
        <f>IF(OR(R227=0,E227=""),0,SUMIFS($R$18:$R$317,$E$18:$E$317,E227))</f>
        <v/>
      </c>
      <c r="U227">
        <f>IF(E227="","",IF(N(F227)&gt;0,F227,IFERROR(INDEX($F$18:$F$317,MATCH(E227,$E$18:$E$317,0)),"")))</f>
        <v/>
      </c>
      <c r="V227">
        <f>IF(OR(N227="",N227="OK",K227="Cancelled"),0,1)</f>
        <v/>
      </c>
    </row>
    <row r="228">
      <c r="B228" s="21" t="n"/>
      <c r="C228" s="22">
        <f>IF(B228="","",$E$10&amp;TEXT(N($E$11)+210,"000"))</f>
        <v/>
      </c>
      <c r="D228" s="14" t="n"/>
      <c r="E228" s="23" t="n"/>
      <c r="F228" s="24" t="n"/>
      <c r="G228" s="14" t="n"/>
      <c r="H228" s="14" t="n"/>
      <c r="I228" s="23" t="n"/>
      <c r="J228" s="24" t="n"/>
      <c r="K228" s="23" t="n"/>
      <c r="L228" s="25">
        <f>IF(OR(E228="",N(U228)=0),"",U228-SUMIFS(Q$18:Q228,E$18:E228,E228))</f>
        <v/>
      </c>
      <c r="M228" s="26">
        <f>IF(OR(N(J228)=0,K228="Cancelled"),"",IF(AND(N(J228)&gt;5000,P228&lt;&gt;"G"),"Yes: ₹1","No"))</f>
        <v/>
      </c>
      <c r="N228" s="27">
        <f>IF(AND(B228="",D228="",N(J228)=0),"",IF(B228="","Enter the date",IF(AND(ROW()&gt;18,B227=""),"Use the next empty row: a skipped row leaves a gap in the receipt numbers",IF(D228="","Enter who paid",IF(N(J228)=0,"Enter the amount",IF(G228="","Pick what the money was for",IF(P228="?","Pick what it was for from the list",IF(H228="","Pick how it was paid",IF(K228="Cancelled","Cancelled: keep this number unused and give a fresh receipt",IF(AND(H228&lt;&gt;"Cash",I228=""),"Enter the cheque no., UTR or UPI reference",IF(AND(L228&lt;&gt;"",N(L228)&lt;0),"More than the balance due on this invoice",IF(S228&gt;=200000,"₹2,00,000 or more in cash from this person today: barred, s.186",IF(T228&gt;=200000,"₹2,00,000 or more in cash against this invoice: barred, s.186",IF(AND(P228="T",H228="Cash",N(J228)&gt;=20000),"Loan of ₹20,000 or more in cash: barred, s.185",IF(AND(P228="D",H228="Cash",N(J228)&gt;=20000),"Cash deposit of ₹20,000 or more: ask your accountant whether s.185 applies",IF(AND(OR(P228="AG",P228="AS"),$E$9&lt;&gt;""),"Advance: also give a GST receipt voucher, s.31(3)(d) and Rule 50","OK"))))))))))))))))</f>
        <v/>
      </c>
      <c r="P228">
        <f>IF(G228="","",IFERROR(VLOOKUP(G228,Lists!$A$2:$B$9,2,FALSE),"?"))</f>
        <v/>
      </c>
      <c r="Q228">
        <f>IF(K228="Cancelled",0,N(J228))</f>
        <v/>
      </c>
      <c r="R228">
        <f>IF(OR(H228&lt;&gt;"Cash",P228="T",P228="D"),0,Q228)</f>
        <v/>
      </c>
      <c r="S228">
        <f>IF(R228=0,0,SUMIFS($R$18:$R$317,$B$18:$B$317,B228,$D$18:$D$317,D228))</f>
        <v/>
      </c>
      <c r="T228">
        <f>IF(OR(R228=0,E228=""),0,SUMIFS($R$18:$R$317,$E$18:$E$317,E228))</f>
        <v/>
      </c>
      <c r="U228">
        <f>IF(E228="","",IF(N(F228)&gt;0,F228,IFERROR(INDEX($F$18:$F$317,MATCH(E228,$E$18:$E$317,0)),"")))</f>
        <v/>
      </c>
      <c r="V228">
        <f>IF(OR(N228="",N228="OK",K228="Cancelled"),0,1)</f>
        <v/>
      </c>
    </row>
    <row r="229">
      <c r="B229" s="21" t="n"/>
      <c r="C229" s="22">
        <f>IF(B229="","",$E$10&amp;TEXT(N($E$11)+211,"000"))</f>
        <v/>
      </c>
      <c r="D229" s="14" t="n"/>
      <c r="E229" s="23" t="n"/>
      <c r="F229" s="24" t="n"/>
      <c r="G229" s="14" t="n"/>
      <c r="H229" s="14" t="n"/>
      <c r="I229" s="23" t="n"/>
      <c r="J229" s="24" t="n"/>
      <c r="K229" s="23" t="n"/>
      <c r="L229" s="25">
        <f>IF(OR(E229="",N(U229)=0),"",U229-SUMIFS(Q$18:Q229,E$18:E229,E229))</f>
        <v/>
      </c>
      <c r="M229" s="26">
        <f>IF(OR(N(J229)=0,K229="Cancelled"),"",IF(AND(N(J229)&gt;5000,P229&lt;&gt;"G"),"Yes: ₹1","No"))</f>
        <v/>
      </c>
      <c r="N229" s="27">
        <f>IF(AND(B229="",D229="",N(J229)=0),"",IF(B229="","Enter the date",IF(AND(ROW()&gt;18,B228=""),"Use the next empty row: a skipped row leaves a gap in the receipt numbers",IF(D229="","Enter who paid",IF(N(J229)=0,"Enter the amount",IF(G229="","Pick what the money was for",IF(P229="?","Pick what it was for from the list",IF(H229="","Pick how it was paid",IF(K229="Cancelled","Cancelled: keep this number unused and give a fresh receipt",IF(AND(H229&lt;&gt;"Cash",I229=""),"Enter the cheque no., UTR or UPI reference",IF(AND(L229&lt;&gt;"",N(L229)&lt;0),"More than the balance due on this invoice",IF(S229&gt;=200000,"₹2,00,000 or more in cash from this person today: barred, s.186",IF(T229&gt;=200000,"₹2,00,000 or more in cash against this invoice: barred, s.186",IF(AND(P229="T",H229="Cash",N(J229)&gt;=20000),"Loan of ₹20,000 or more in cash: barred, s.185",IF(AND(P229="D",H229="Cash",N(J229)&gt;=20000),"Cash deposit of ₹20,000 or more: ask your accountant whether s.185 applies",IF(AND(OR(P229="AG",P229="AS"),$E$9&lt;&gt;""),"Advance: also give a GST receipt voucher, s.31(3)(d) and Rule 50","OK"))))))))))))))))</f>
        <v/>
      </c>
      <c r="P229">
        <f>IF(G229="","",IFERROR(VLOOKUP(G229,Lists!$A$2:$B$9,2,FALSE),"?"))</f>
        <v/>
      </c>
      <c r="Q229">
        <f>IF(K229="Cancelled",0,N(J229))</f>
        <v/>
      </c>
      <c r="R229">
        <f>IF(OR(H229&lt;&gt;"Cash",P229="T",P229="D"),0,Q229)</f>
        <v/>
      </c>
      <c r="S229">
        <f>IF(R229=0,0,SUMIFS($R$18:$R$317,$B$18:$B$317,B229,$D$18:$D$317,D229))</f>
        <v/>
      </c>
      <c r="T229">
        <f>IF(OR(R229=0,E229=""),0,SUMIFS($R$18:$R$317,$E$18:$E$317,E229))</f>
        <v/>
      </c>
      <c r="U229">
        <f>IF(E229="","",IF(N(F229)&gt;0,F229,IFERROR(INDEX($F$18:$F$317,MATCH(E229,$E$18:$E$317,0)),"")))</f>
        <v/>
      </c>
      <c r="V229">
        <f>IF(OR(N229="",N229="OK",K229="Cancelled"),0,1)</f>
        <v/>
      </c>
    </row>
    <row r="230">
      <c r="B230" s="21" t="n"/>
      <c r="C230" s="22">
        <f>IF(B230="","",$E$10&amp;TEXT(N($E$11)+212,"000"))</f>
        <v/>
      </c>
      <c r="D230" s="14" t="n"/>
      <c r="E230" s="23" t="n"/>
      <c r="F230" s="24" t="n"/>
      <c r="G230" s="14" t="n"/>
      <c r="H230" s="14" t="n"/>
      <c r="I230" s="23" t="n"/>
      <c r="J230" s="24" t="n"/>
      <c r="K230" s="23" t="n"/>
      <c r="L230" s="25">
        <f>IF(OR(E230="",N(U230)=0),"",U230-SUMIFS(Q$18:Q230,E$18:E230,E230))</f>
        <v/>
      </c>
      <c r="M230" s="26">
        <f>IF(OR(N(J230)=0,K230="Cancelled"),"",IF(AND(N(J230)&gt;5000,P230&lt;&gt;"G"),"Yes: ₹1","No"))</f>
        <v/>
      </c>
      <c r="N230" s="27">
        <f>IF(AND(B230="",D230="",N(J230)=0),"",IF(B230="","Enter the date",IF(AND(ROW()&gt;18,B229=""),"Use the next empty row: a skipped row leaves a gap in the receipt numbers",IF(D230="","Enter who paid",IF(N(J230)=0,"Enter the amount",IF(G230="","Pick what the money was for",IF(P230="?","Pick what it was for from the list",IF(H230="","Pick how it was paid",IF(K230="Cancelled","Cancelled: keep this number unused and give a fresh receipt",IF(AND(H230&lt;&gt;"Cash",I230=""),"Enter the cheque no., UTR or UPI reference",IF(AND(L230&lt;&gt;"",N(L230)&lt;0),"More than the balance due on this invoice",IF(S230&gt;=200000,"₹2,00,000 or more in cash from this person today: barred, s.186",IF(T230&gt;=200000,"₹2,00,000 or more in cash against this invoice: barred, s.186",IF(AND(P230="T",H230="Cash",N(J230)&gt;=20000),"Loan of ₹20,000 or more in cash: barred, s.185",IF(AND(P230="D",H230="Cash",N(J230)&gt;=20000),"Cash deposit of ₹20,000 or more: ask your accountant whether s.185 applies",IF(AND(OR(P230="AG",P230="AS"),$E$9&lt;&gt;""),"Advance: also give a GST receipt voucher, s.31(3)(d) and Rule 50","OK"))))))))))))))))</f>
        <v/>
      </c>
      <c r="P230">
        <f>IF(G230="","",IFERROR(VLOOKUP(G230,Lists!$A$2:$B$9,2,FALSE),"?"))</f>
        <v/>
      </c>
      <c r="Q230">
        <f>IF(K230="Cancelled",0,N(J230))</f>
        <v/>
      </c>
      <c r="R230">
        <f>IF(OR(H230&lt;&gt;"Cash",P230="T",P230="D"),0,Q230)</f>
        <v/>
      </c>
      <c r="S230">
        <f>IF(R230=0,0,SUMIFS($R$18:$R$317,$B$18:$B$317,B230,$D$18:$D$317,D230))</f>
        <v/>
      </c>
      <c r="T230">
        <f>IF(OR(R230=0,E230=""),0,SUMIFS($R$18:$R$317,$E$18:$E$317,E230))</f>
        <v/>
      </c>
      <c r="U230">
        <f>IF(E230="","",IF(N(F230)&gt;0,F230,IFERROR(INDEX($F$18:$F$317,MATCH(E230,$E$18:$E$317,0)),"")))</f>
        <v/>
      </c>
      <c r="V230">
        <f>IF(OR(N230="",N230="OK",K230="Cancelled"),0,1)</f>
        <v/>
      </c>
    </row>
    <row r="231">
      <c r="B231" s="21" t="n"/>
      <c r="C231" s="22">
        <f>IF(B231="","",$E$10&amp;TEXT(N($E$11)+213,"000"))</f>
        <v/>
      </c>
      <c r="D231" s="14" t="n"/>
      <c r="E231" s="23" t="n"/>
      <c r="F231" s="24" t="n"/>
      <c r="G231" s="14" t="n"/>
      <c r="H231" s="14" t="n"/>
      <c r="I231" s="23" t="n"/>
      <c r="J231" s="24" t="n"/>
      <c r="K231" s="23" t="n"/>
      <c r="L231" s="25">
        <f>IF(OR(E231="",N(U231)=0),"",U231-SUMIFS(Q$18:Q231,E$18:E231,E231))</f>
        <v/>
      </c>
      <c r="M231" s="26">
        <f>IF(OR(N(J231)=0,K231="Cancelled"),"",IF(AND(N(J231)&gt;5000,P231&lt;&gt;"G"),"Yes: ₹1","No"))</f>
        <v/>
      </c>
      <c r="N231" s="27">
        <f>IF(AND(B231="",D231="",N(J231)=0),"",IF(B231="","Enter the date",IF(AND(ROW()&gt;18,B230=""),"Use the next empty row: a skipped row leaves a gap in the receipt numbers",IF(D231="","Enter who paid",IF(N(J231)=0,"Enter the amount",IF(G231="","Pick what the money was for",IF(P231="?","Pick what it was for from the list",IF(H231="","Pick how it was paid",IF(K231="Cancelled","Cancelled: keep this number unused and give a fresh receipt",IF(AND(H231&lt;&gt;"Cash",I231=""),"Enter the cheque no., UTR or UPI reference",IF(AND(L231&lt;&gt;"",N(L231)&lt;0),"More than the balance due on this invoice",IF(S231&gt;=200000,"₹2,00,000 or more in cash from this person today: barred, s.186",IF(T231&gt;=200000,"₹2,00,000 or more in cash against this invoice: barred, s.186",IF(AND(P231="T",H231="Cash",N(J231)&gt;=20000),"Loan of ₹20,000 or more in cash: barred, s.185",IF(AND(P231="D",H231="Cash",N(J231)&gt;=20000),"Cash deposit of ₹20,000 or more: ask your accountant whether s.185 applies",IF(AND(OR(P231="AG",P231="AS"),$E$9&lt;&gt;""),"Advance: also give a GST receipt voucher, s.31(3)(d) and Rule 50","OK"))))))))))))))))</f>
        <v/>
      </c>
      <c r="P231">
        <f>IF(G231="","",IFERROR(VLOOKUP(G231,Lists!$A$2:$B$9,2,FALSE),"?"))</f>
        <v/>
      </c>
      <c r="Q231">
        <f>IF(K231="Cancelled",0,N(J231))</f>
        <v/>
      </c>
      <c r="R231">
        <f>IF(OR(H231&lt;&gt;"Cash",P231="T",P231="D"),0,Q231)</f>
        <v/>
      </c>
      <c r="S231">
        <f>IF(R231=0,0,SUMIFS($R$18:$R$317,$B$18:$B$317,B231,$D$18:$D$317,D231))</f>
        <v/>
      </c>
      <c r="T231">
        <f>IF(OR(R231=0,E231=""),0,SUMIFS($R$18:$R$317,$E$18:$E$317,E231))</f>
        <v/>
      </c>
      <c r="U231">
        <f>IF(E231="","",IF(N(F231)&gt;0,F231,IFERROR(INDEX($F$18:$F$317,MATCH(E231,$E$18:$E$317,0)),"")))</f>
        <v/>
      </c>
      <c r="V231">
        <f>IF(OR(N231="",N231="OK",K231="Cancelled"),0,1)</f>
        <v/>
      </c>
    </row>
    <row r="232">
      <c r="B232" s="21" t="n"/>
      <c r="C232" s="22">
        <f>IF(B232="","",$E$10&amp;TEXT(N($E$11)+214,"000"))</f>
        <v/>
      </c>
      <c r="D232" s="14" t="n"/>
      <c r="E232" s="23" t="n"/>
      <c r="F232" s="24" t="n"/>
      <c r="G232" s="14" t="n"/>
      <c r="H232" s="14" t="n"/>
      <c r="I232" s="23" t="n"/>
      <c r="J232" s="24" t="n"/>
      <c r="K232" s="23" t="n"/>
      <c r="L232" s="25">
        <f>IF(OR(E232="",N(U232)=0),"",U232-SUMIFS(Q$18:Q232,E$18:E232,E232))</f>
        <v/>
      </c>
      <c r="M232" s="26">
        <f>IF(OR(N(J232)=0,K232="Cancelled"),"",IF(AND(N(J232)&gt;5000,P232&lt;&gt;"G"),"Yes: ₹1","No"))</f>
        <v/>
      </c>
      <c r="N232" s="27">
        <f>IF(AND(B232="",D232="",N(J232)=0),"",IF(B232="","Enter the date",IF(AND(ROW()&gt;18,B231=""),"Use the next empty row: a skipped row leaves a gap in the receipt numbers",IF(D232="","Enter who paid",IF(N(J232)=0,"Enter the amount",IF(G232="","Pick what the money was for",IF(P232="?","Pick what it was for from the list",IF(H232="","Pick how it was paid",IF(K232="Cancelled","Cancelled: keep this number unused and give a fresh receipt",IF(AND(H232&lt;&gt;"Cash",I232=""),"Enter the cheque no., UTR or UPI reference",IF(AND(L232&lt;&gt;"",N(L232)&lt;0),"More than the balance due on this invoice",IF(S232&gt;=200000,"₹2,00,000 or more in cash from this person today: barred, s.186",IF(T232&gt;=200000,"₹2,00,000 or more in cash against this invoice: barred, s.186",IF(AND(P232="T",H232="Cash",N(J232)&gt;=20000),"Loan of ₹20,000 or more in cash: barred, s.185",IF(AND(P232="D",H232="Cash",N(J232)&gt;=20000),"Cash deposit of ₹20,000 or more: ask your accountant whether s.185 applies",IF(AND(OR(P232="AG",P232="AS"),$E$9&lt;&gt;""),"Advance: also give a GST receipt voucher, s.31(3)(d) and Rule 50","OK"))))))))))))))))</f>
        <v/>
      </c>
      <c r="P232">
        <f>IF(G232="","",IFERROR(VLOOKUP(G232,Lists!$A$2:$B$9,2,FALSE),"?"))</f>
        <v/>
      </c>
      <c r="Q232">
        <f>IF(K232="Cancelled",0,N(J232))</f>
        <v/>
      </c>
      <c r="R232">
        <f>IF(OR(H232&lt;&gt;"Cash",P232="T",P232="D"),0,Q232)</f>
        <v/>
      </c>
      <c r="S232">
        <f>IF(R232=0,0,SUMIFS($R$18:$R$317,$B$18:$B$317,B232,$D$18:$D$317,D232))</f>
        <v/>
      </c>
      <c r="T232">
        <f>IF(OR(R232=0,E232=""),0,SUMIFS($R$18:$R$317,$E$18:$E$317,E232))</f>
        <v/>
      </c>
      <c r="U232">
        <f>IF(E232="","",IF(N(F232)&gt;0,F232,IFERROR(INDEX($F$18:$F$317,MATCH(E232,$E$18:$E$317,0)),"")))</f>
        <v/>
      </c>
      <c r="V232">
        <f>IF(OR(N232="",N232="OK",K232="Cancelled"),0,1)</f>
        <v/>
      </c>
    </row>
    <row r="233">
      <c r="B233" s="21" t="n"/>
      <c r="C233" s="22">
        <f>IF(B233="","",$E$10&amp;TEXT(N($E$11)+215,"000"))</f>
        <v/>
      </c>
      <c r="D233" s="14" t="n"/>
      <c r="E233" s="23" t="n"/>
      <c r="F233" s="24" t="n"/>
      <c r="G233" s="14" t="n"/>
      <c r="H233" s="14" t="n"/>
      <c r="I233" s="23" t="n"/>
      <c r="J233" s="24" t="n"/>
      <c r="K233" s="23" t="n"/>
      <c r="L233" s="25">
        <f>IF(OR(E233="",N(U233)=0),"",U233-SUMIFS(Q$18:Q233,E$18:E233,E233))</f>
        <v/>
      </c>
      <c r="M233" s="26">
        <f>IF(OR(N(J233)=0,K233="Cancelled"),"",IF(AND(N(J233)&gt;5000,P233&lt;&gt;"G"),"Yes: ₹1","No"))</f>
        <v/>
      </c>
      <c r="N233" s="27">
        <f>IF(AND(B233="",D233="",N(J233)=0),"",IF(B233="","Enter the date",IF(AND(ROW()&gt;18,B232=""),"Use the next empty row: a skipped row leaves a gap in the receipt numbers",IF(D233="","Enter who paid",IF(N(J233)=0,"Enter the amount",IF(G233="","Pick what the money was for",IF(P233="?","Pick what it was for from the list",IF(H233="","Pick how it was paid",IF(K233="Cancelled","Cancelled: keep this number unused and give a fresh receipt",IF(AND(H233&lt;&gt;"Cash",I233=""),"Enter the cheque no., UTR or UPI reference",IF(AND(L233&lt;&gt;"",N(L233)&lt;0),"More than the balance due on this invoice",IF(S233&gt;=200000,"₹2,00,000 or more in cash from this person today: barred, s.186",IF(T233&gt;=200000,"₹2,00,000 or more in cash against this invoice: barred, s.186",IF(AND(P233="T",H233="Cash",N(J233)&gt;=20000),"Loan of ₹20,000 or more in cash: barred, s.185",IF(AND(P233="D",H233="Cash",N(J233)&gt;=20000),"Cash deposit of ₹20,000 or more: ask your accountant whether s.185 applies",IF(AND(OR(P233="AG",P233="AS"),$E$9&lt;&gt;""),"Advance: also give a GST receipt voucher, s.31(3)(d) and Rule 50","OK"))))))))))))))))</f>
        <v/>
      </c>
      <c r="P233">
        <f>IF(G233="","",IFERROR(VLOOKUP(G233,Lists!$A$2:$B$9,2,FALSE),"?"))</f>
        <v/>
      </c>
      <c r="Q233">
        <f>IF(K233="Cancelled",0,N(J233))</f>
        <v/>
      </c>
      <c r="R233">
        <f>IF(OR(H233&lt;&gt;"Cash",P233="T",P233="D"),0,Q233)</f>
        <v/>
      </c>
      <c r="S233">
        <f>IF(R233=0,0,SUMIFS($R$18:$R$317,$B$18:$B$317,B233,$D$18:$D$317,D233))</f>
        <v/>
      </c>
      <c r="T233">
        <f>IF(OR(R233=0,E233=""),0,SUMIFS($R$18:$R$317,$E$18:$E$317,E233))</f>
        <v/>
      </c>
      <c r="U233">
        <f>IF(E233="","",IF(N(F233)&gt;0,F233,IFERROR(INDEX($F$18:$F$317,MATCH(E233,$E$18:$E$317,0)),"")))</f>
        <v/>
      </c>
      <c r="V233">
        <f>IF(OR(N233="",N233="OK",K233="Cancelled"),0,1)</f>
        <v/>
      </c>
    </row>
    <row r="234">
      <c r="B234" s="21" t="n"/>
      <c r="C234" s="22">
        <f>IF(B234="","",$E$10&amp;TEXT(N($E$11)+216,"000"))</f>
        <v/>
      </c>
      <c r="D234" s="14" t="n"/>
      <c r="E234" s="23" t="n"/>
      <c r="F234" s="24" t="n"/>
      <c r="G234" s="14" t="n"/>
      <c r="H234" s="14" t="n"/>
      <c r="I234" s="23" t="n"/>
      <c r="J234" s="24" t="n"/>
      <c r="K234" s="23" t="n"/>
      <c r="L234" s="25">
        <f>IF(OR(E234="",N(U234)=0),"",U234-SUMIFS(Q$18:Q234,E$18:E234,E234))</f>
        <v/>
      </c>
      <c r="M234" s="26">
        <f>IF(OR(N(J234)=0,K234="Cancelled"),"",IF(AND(N(J234)&gt;5000,P234&lt;&gt;"G"),"Yes: ₹1","No"))</f>
        <v/>
      </c>
      <c r="N234" s="27">
        <f>IF(AND(B234="",D234="",N(J234)=0),"",IF(B234="","Enter the date",IF(AND(ROW()&gt;18,B233=""),"Use the next empty row: a skipped row leaves a gap in the receipt numbers",IF(D234="","Enter who paid",IF(N(J234)=0,"Enter the amount",IF(G234="","Pick what the money was for",IF(P234="?","Pick what it was for from the list",IF(H234="","Pick how it was paid",IF(K234="Cancelled","Cancelled: keep this number unused and give a fresh receipt",IF(AND(H234&lt;&gt;"Cash",I234=""),"Enter the cheque no., UTR or UPI reference",IF(AND(L234&lt;&gt;"",N(L234)&lt;0),"More than the balance due on this invoice",IF(S234&gt;=200000,"₹2,00,000 or more in cash from this person today: barred, s.186",IF(T234&gt;=200000,"₹2,00,000 or more in cash against this invoice: barred, s.186",IF(AND(P234="T",H234="Cash",N(J234)&gt;=20000),"Loan of ₹20,000 or more in cash: barred, s.185",IF(AND(P234="D",H234="Cash",N(J234)&gt;=20000),"Cash deposit of ₹20,000 or more: ask your accountant whether s.185 applies",IF(AND(OR(P234="AG",P234="AS"),$E$9&lt;&gt;""),"Advance: also give a GST receipt voucher, s.31(3)(d) and Rule 50","OK"))))))))))))))))</f>
        <v/>
      </c>
      <c r="P234">
        <f>IF(G234="","",IFERROR(VLOOKUP(G234,Lists!$A$2:$B$9,2,FALSE),"?"))</f>
        <v/>
      </c>
      <c r="Q234">
        <f>IF(K234="Cancelled",0,N(J234))</f>
        <v/>
      </c>
      <c r="R234">
        <f>IF(OR(H234&lt;&gt;"Cash",P234="T",P234="D"),0,Q234)</f>
        <v/>
      </c>
      <c r="S234">
        <f>IF(R234=0,0,SUMIFS($R$18:$R$317,$B$18:$B$317,B234,$D$18:$D$317,D234))</f>
        <v/>
      </c>
      <c r="T234">
        <f>IF(OR(R234=0,E234=""),0,SUMIFS($R$18:$R$317,$E$18:$E$317,E234))</f>
        <v/>
      </c>
      <c r="U234">
        <f>IF(E234="","",IF(N(F234)&gt;0,F234,IFERROR(INDEX($F$18:$F$317,MATCH(E234,$E$18:$E$317,0)),"")))</f>
        <v/>
      </c>
      <c r="V234">
        <f>IF(OR(N234="",N234="OK",K234="Cancelled"),0,1)</f>
        <v/>
      </c>
    </row>
    <row r="235">
      <c r="B235" s="21" t="n"/>
      <c r="C235" s="22">
        <f>IF(B235="","",$E$10&amp;TEXT(N($E$11)+217,"000"))</f>
        <v/>
      </c>
      <c r="D235" s="14" t="n"/>
      <c r="E235" s="23" t="n"/>
      <c r="F235" s="24" t="n"/>
      <c r="G235" s="14" t="n"/>
      <c r="H235" s="14" t="n"/>
      <c r="I235" s="23" t="n"/>
      <c r="J235" s="24" t="n"/>
      <c r="K235" s="23" t="n"/>
      <c r="L235" s="25">
        <f>IF(OR(E235="",N(U235)=0),"",U235-SUMIFS(Q$18:Q235,E$18:E235,E235))</f>
        <v/>
      </c>
      <c r="M235" s="26">
        <f>IF(OR(N(J235)=0,K235="Cancelled"),"",IF(AND(N(J235)&gt;5000,P235&lt;&gt;"G"),"Yes: ₹1","No"))</f>
        <v/>
      </c>
      <c r="N235" s="27">
        <f>IF(AND(B235="",D235="",N(J235)=0),"",IF(B235="","Enter the date",IF(AND(ROW()&gt;18,B234=""),"Use the next empty row: a skipped row leaves a gap in the receipt numbers",IF(D235="","Enter who paid",IF(N(J235)=0,"Enter the amount",IF(G235="","Pick what the money was for",IF(P235="?","Pick what it was for from the list",IF(H235="","Pick how it was paid",IF(K235="Cancelled","Cancelled: keep this number unused and give a fresh receipt",IF(AND(H235&lt;&gt;"Cash",I235=""),"Enter the cheque no., UTR or UPI reference",IF(AND(L235&lt;&gt;"",N(L235)&lt;0),"More than the balance due on this invoice",IF(S235&gt;=200000,"₹2,00,000 or more in cash from this person today: barred, s.186",IF(T235&gt;=200000,"₹2,00,000 or more in cash against this invoice: barred, s.186",IF(AND(P235="T",H235="Cash",N(J235)&gt;=20000),"Loan of ₹20,000 or more in cash: barred, s.185",IF(AND(P235="D",H235="Cash",N(J235)&gt;=20000),"Cash deposit of ₹20,000 or more: ask your accountant whether s.185 applies",IF(AND(OR(P235="AG",P235="AS"),$E$9&lt;&gt;""),"Advance: also give a GST receipt voucher, s.31(3)(d) and Rule 50","OK"))))))))))))))))</f>
        <v/>
      </c>
      <c r="P235">
        <f>IF(G235="","",IFERROR(VLOOKUP(G235,Lists!$A$2:$B$9,2,FALSE),"?"))</f>
        <v/>
      </c>
      <c r="Q235">
        <f>IF(K235="Cancelled",0,N(J235))</f>
        <v/>
      </c>
      <c r="R235">
        <f>IF(OR(H235&lt;&gt;"Cash",P235="T",P235="D"),0,Q235)</f>
        <v/>
      </c>
      <c r="S235">
        <f>IF(R235=0,0,SUMIFS($R$18:$R$317,$B$18:$B$317,B235,$D$18:$D$317,D235))</f>
        <v/>
      </c>
      <c r="T235">
        <f>IF(OR(R235=0,E235=""),0,SUMIFS($R$18:$R$317,$E$18:$E$317,E235))</f>
        <v/>
      </c>
      <c r="U235">
        <f>IF(E235="","",IF(N(F235)&gt;0,F235,IFERROR(INDEX($F$18:$F$317,MATCH(E235,$E$18:$E$317,0)),"")))</f>
        <v/>
      </c>
      <c r="V235">
        <f>IF(OR(N235="",N235="OK",K235="Cancelled"),0,1)</f>
        <v/>
      </c>
    </row>
    <row r="236">
      <c r="B236" s="21" t="n"/>
      <c r="C236" s="22">
        <f>IF(B236="","",$E$10&amp;TEXT(N($E$11)+218,"000"))</f>
        <v/>
      </c>
      <c r="D236" s="14" t="n"/>
      <c r="E236" s="23" t="n"/>
      <c r="F236" s="24" t="n"/>
      <c r="G236" s="14" t="n"/>
      <c r="H236" s="14" t="n"/>
      <c r="I236" s="23" t="n"/>
      <c r="J236" s="24" t="n"/>
      <c r="K236" s="23" t="n"/>
      <c r="L236" s="25">
        <f>IF(OR(E236="",N(U236)=0),"",U236-SUMIFS(Q$18:Q236,E$18:E236,E236))</f>
        <v/>
      </c>
      <c r="M236" s="26">
        <f>IF(OR(N(J236)=0,K236="Cancelled"),"",IF(AND(N(J236)&gt;5000,P236&lt;&gt;"G"),"Yes: ₹1","No"))</f>
        <v/>
      </c>
      <c r="N236" s="27">
        <f>IF(AND(B236="",D236="",N(J236)=0),"",IF(B236="","Enter the date",IF(AND(ROW()&gt;18,B235=""),"Use the next empty row: a skipped row leaves a gap in the receipt numbers",IF(D236="","Enter who paid",IF(N(J236)=0,"Enter the amount",IF(G236="","Pick what the money was for",IF(P236="?","Pick what it was for from the list",IF(H236="","Pick how it was paid",IF(K236="Cancelled","Cancelled: keep this number unused and give a fresh receipt",IF(AND(H236&lt;&gt;"Cash",I236=""),"Enter the cheque no., UTR or UPI reference",IF(AND(L236&lt;&gt;"",N(L236)&lt;0),"More than the balance due on this invoice",IF(S236&gt;=200000,"₹2,00,000 or more in cash from this person today: barred, s.186",IF(T236&gt;=200000,"₹2,00,000 or more in cash against this invoice: barred, s.186",IF(AND(P236="T",H236="Cash",N(J236)&gt;=20000),"Loan of ₹20,000 or more in cash: barred, s.185",IF(AND(P236="D",H236="Cash",N(J236)&gt;=20000),"Cash deposit of ₹20,000 or more: ask your accountant whether s.185 applies",IF(AND(OR(P236="AG",P236="AS"),$E$9&lt;&gt;""),"Advance: also give a GST receipt voucher, s.31(3)(d) and Rule 50","OK"))))))))))))))))</f>
        <v/>
      </c>
      <c r="P236">
        <f>IF(G236="","",IFERROR(VLOOKUP(G236,Lists!$A$2:$B$9,2,FALSE),"?"))</f>
        <v/>
      </c>
      <c r="Q236">
        <f>IF(K236="Cancelled",0,N(J236))</f>
        <v/>
      </c>
      <c r="R236">
        <f>IF(OR(H236&lt;&gt;"Cash",P236="T",P236="D"),0,Q236)</f>
        <v/>
      </c>
      <c r="S236">
        <f>IF(R236=0,0,SUMIFS($R$18:$R$317,$B$18:$B$317,B236,$D$18:$D$317,D236))</f>
        <v/>
      </c>
      <c r="T236">
        <f>IF(OR(R236=0,E236=""),0,SUMIFS($R$18:$R$317,$E$18:$E$317,E236))</f>
        <v/>
      </c>
      <c r="U236">
        <f>IF(E236="","",IF(N(F236)&gt;0,F236,IFERROR(INDEX($F$18:$F$317,MATCH(E236,$E$18:$E$317,0)),"")))</f>
        <v/>
      </c>
      <c r="V236">
        <f>IF(OR(N236="",N236="OK",K236="Cancelled"),0,1)</f>
        <v/>
      </c>
    </row>
    <row r="237">
      <c r="B237" s="21" t="n"/>
      <c r="C237" s="22">
        <f>IF(B237="","",$E$10&amp;TEXT(N($E$11)+219,"000"))</f>
        <v/>
      </c>
      <c r="D237" s="14" t="n"/>
      <c r="E237" s="23" t="n"/>
      <c r="F237" s="24" t="n"/>
      <c r="G237" s="14" t="n"/>
      <c r="H237" s="14" t="n"/>
      <c r="I237" s="23" t="n"/>
      <c r="J237" s="24" t="n"/>
      <c r="K237" s="23" t="n"/>
      <c r="L237" s="25">
        <f>IF(OR(E237="",N(U237)=0),"",U237-SUMIFS(Q$18:Q237,E$18:E237,E237))</f>
        <v/>
      </c>
      <c r="M237" s="26">
        <f>IF(OR(N(J237)=0,K237="Cancelled"),"",IF(AND(N(J237)&gt;5000,P237&lt;&gt;"G"),"Yes: ₹1","No"))</f>
        <v/>
      </c>
      <c r="N237" s="27">
        <f>IF(AND(B237="",D237="",N(J237)=0),"",IF(B237="","Enter the date",IF(AND(ROW()&gt;18,B236=""),"Use the next empty row: a skipped row leaves a gap in the receipt numbers",IF(D237="","Enter who paid",IF(N(J237)=0,"Enter the amount",IF(G237="","Pick what the money was for",IF(P237="?","Pick what it was for from the list",IF(H237="","Pick how it was paid",IF(K237="Cancelled","Cancelled: keep this number unused and give a fresh receipt",IF(AND(H237&lt;&gt;"Cash",I237=""),"Enter the cheque no., UTR or UPI reference",IF(AND(L237&lt;&gt;"",N(L237)&lt;0),"More than the balance due on this invoice",IF(S237&gt;=200000,"₹2,00,000 or more in cash from this person today: barred, s.186",IF(T237&gt;=200000,"₹2,00,000 or more in cash against this invoice: barred, s.186",IF(AND(P237="T",H237="Cash",N(J237)&gt;=20000),"Loan of ₹20,000 or more in cash: barred, s.185",IF(AND(P237="D",H237="Cash",N(J237)&gt;=20000),"Cash deposit of ₹20,000 or more: ask your accountant whether s.185 applies",IF(AND(OR(P237="AG",P237="AS"),$E$9&lt;&gt;""),"Advance: also give a GST receipt voucher, s.31(3)(d) and Rule 50","OK"))))))))))))))))</f>
        <v/>
      </c>
      <c r="P237">
        <f>IF(G237="","",IFERROR(VLOOKUP(G237,Lists!$A$2:$B$9,2,FALSE),"?"))</f>
        <v/>
      </c>
      <c r="Q237">
        <f>IF(K237="Cancelled",0,N(J237))</f>
        <v/>
      </c>
      <c r="R237">
        <f>IF(OR(H237&lt;&gt;"Cash",P237="T",P237="D"),0,Q237)</f>
        <v/>
      </c>
      <c r="S237">
        <f>IF(R237=0,0,SUMIFS($R$18:$R$317,$B$18:$B$317,B237,$D$18:$D$317,D237))</f>
        <v/>
      </c>
      <c r="T237">
        <f>IF(OR(R237=0,E237=""),0,SUMIFS($R$18:$R$317,$E$18:$E$317,E237))</f>
        <v/>
      </c>
      <c r="U237">
        <f>IF(E237="","",IF(N(F237)&gt;0,F237,IFERROR(INDEX($F$18:$F$317,MATCH(E237,$E$18:$E$317,0)),"")))</f>
        <v/>
      </c>
      <c r="V237">
        <f>IF(OR(N237="",N237="OK",K237="Cancelled"),0,1)</f>
        <v/>
      </c>
    </row>
    <row r="238">
      <c r="B238" s="21" t="n"/>
      <c r="C238" s="22">
        <f>IF(B238="","",$E$10&amp;TEXT(N($E$11)+220,"000"))</f>
        <v/>
      </c>
      <c r="D238" s="14" t="n"/>
      <c r="E238" s="23" t="n"/>
      <c r="F238" s="24" t="n"/>
      <c r="G238" s="14" t="n"/>
      <c r="H238" s="14" t="n"/>
      <c r="I238" s="23" t="n"/>
      <c r="J238" s="24" t="n"/>
      <c r="K238" s="23" t="n"/>
      <c r="L238" s="25">
        <f>IF(OR(E238="",N(U238)=0),"",U238-SUMIFS(Q$18:Q238,E$18:E238,E238))</f>
        <v/>
      </c>
      <c r="M238" s="26">
        <f>IF(OR(N(J238)=0,K238="Cancelled"),"",IF(AND(N(J238)&gt;5000,P238&lt;&gt;"G"),"Yes: ₹1","No"))</f>
        <v/>
      </c>
      <c r="N238" s="27">
        <f>IF(AND(B238="",D238="",N(J238)=0),"",IF(B238="","Enter the date",IF(AND(ROW()&gt;18,B237=""),"Use the next empty row: a skipped row leaves a gap in the receipt numbers",IF(D238="","Enter who paid",IF(N(J238)=0,"Enter the amount",IF(G238="","Pick what the money was for",IF(P238="?","Pick what it was for from the list",IF(H238="","Pick how it was paid",IF(K238="Cancelled","Cancelled: keep this number unused and give a fresh receipt",IF(AND(H238&lt;&gt;"Cash",I238=""),"Enter the cheque no., UTR or UPI reference",IF(AND(L238&lt;&gt;"",N(L238)&lt;0),"More than the balance due on this invoice",IF(S238&gt;=200000,"₹2,00,000 or more in cash from this person today: barred, s.186",IF(T238&gt;=200000,"₹2,00,000 or more in cash against this invoice: barred, s.186",IF(AND(P238="T",H238="Cash",N(J238)&gt;=20000),"Loan of ₹20,000 or more in cash: barred, s.185",IF(AND(P238="D",H238="Cash",N(J238)&gt;=20000),"Cash deposit of ₹20,000 or more: ask your accountant whether s.185 applies",IF(AND(OR(P238="AG",P238="AS"),$E$9&lt;&gt;""),"Advance: also give a GST receipt voucher, s.31(3)(d) and Rule 50","OK"))))))))))))))))</f>
        <v/>
      </c>
      <c r="P238">
        <f>IF(G238="","",IFERROR(VLOOKUP(G238,Lists!$A$2:$B$9,2,FALSE),"?"))</f>
        <v/>
      </c>
      <c r="Q238">
        <f>IF(K238="Cancelled",0,N(J238))</f>
        <v/>
      </c>
      <c r="R238">
        <f>IF(OR(H238&lt;&gt;"Cash",P238="T",P238="D"),0,Q238)</f>
        <v/>
      </c>
      <c r="S238">
        <f>IF(R238=0,0,SUMIFS($R$18:$R$317,$B$18:$B$317,B238,$D$18:$D$317,D238))</f>
        <v/>
      </c>
      <c r="T238">
        <f>IF(OR(R238=0,E238=""),0,SUMIFS($R$18:$R$317,$E$18:$E$317,E238))</f>
        <v/>
      </c>
      <c r="U238">
        <f>IF(E238="","",IF(N(F238)&gt;0,F238,IFERROR(INDEX($F$18:$F$317,MATCH(E238,$E$18:$E$317,0)),"")))</f>
        <v/>
      </c>
      <c r="V238">
        <f>IF(OR(N238="",N238="OK",K238="Cancelled"),0,1)</f>
        <v/>
      </c>
    </row>
    <row r="239">
      <c r="B239" s="21" t="n"/>
      <c r="C239" s="22">
        <f>IF(B239="","",$E$10&amp;TEXT(N($E$11)+221,"000"))</f>
        <v/>
      </c>
      <c r="D239" s="14" t="n"/>
      <c r="E239" s="23" t="n"/>
      <c r="F239" s="24" t="n"/>
      <c r="G239" s="14" t="n"/>
      <c r="H239" s="14" t="n"/>
      <c r="I239" s="23" t="n"/>
      <c r="J239" s="24" t="n"/>
      <c r="K239" s="23" t="n"/>
      <c r="L239" s="25">
        <f>IF(OR(E239="",N(U239)=0),"",U239-SUMIFS(Q$18:Q239,E$18:E239,E239))</f>
        <v/>
      </c>
      <c r="M239" s="26">
        <f>IF(OR(N(J239)=0,K239="Cancelled"),"",IF(AND(N(J239)&gt;5000,P239&lt;&gt;"G"),"Yes: ₹1","No"))</f>
        <v/>
      </c>
      <c r="N239" s="27">
        <f>IF(AND(B239="",D239="",N(J239)=0),"",IF(B239="","Enter the date",IF(AND(ROW()&gt;18,B238=""),"Use the next empty row: a skipped row leaves a gap in the receipt numbers",IF(D239="","Enter who paid",IF(N(J239)=0,"Enter the amount",IF(G239="","Pick what the money was for",IF(P239="?","Pick what it was for from the list",IF(H239="","Pick how it was paid",IF(K239="Cancelled","Cancelled: keep this number unused and give a fresh receipt",IF(AND(H239&lt;&gt;"Cash",I239=""),"Enter the cheque no., UTR or UPI reference",IF(AND(L239&lt;&gt;"",N(L239)&lt;0),"More than the balance due on this invoice",IF(S239&gt;=200000,"₹2,00,000 or more in cash from this person today: barred, s.186",IF(T239&gt;=200000,"₹2,00,000 or more in cash against this invoice: barred, s.186",IF(AND(P239="T",H239="Cash",N(J239)&gt;=20000),"Loan of ₹20,000 or more in cash: barred, s.185",IF(AND(P239="D",H239="Cash",N(J239)&gt;=20000),"Cash deposit of ₹20,000 or more: ask your accountant whether s.185 applies",IF(AND(OR(P239="AG",P239="AS"),$E$9&lt;&gt;""),"Advance: also give a GST receipt voucher, s.31(3)(d) and Rule 50","OK"))))))))))))))))</f>
        <v/>
      </c>
      <c r="P239">
        <f>IF(G239="","",IFERROR(VLOOKUP(G239,Lists!$A$2:$B$9,2,FALSE),"?"))</f>
        <v/>
      </c>
      <c r="Q239">
        <f>IF(K239="Cancelled",0,N(J239))</f>
        <v/>
      </c>
      <c r="R239">
        <f>IF(OR(H239&lt;&gt;"Cash",P239="T",P239="D"),0,Q239)</f>
        <v/>
      </c>
      <c r="S239">
        <f>IF(R239=0,0,SUMIFS($R$18:$R$317,$B$18:$B$317,B239,$D$18:$D$317,D239))</f>
        <v/>
      </c>
      <c r="T239">
        <f>IF(OR(R239=0,E239=""),0,SUMIFS($R$18:$R$317,$E$18:$E$317,E239))</f>
        <v/>
      </c>
      <c r="U239">
        <f>IF(E239="","",IF(N(F239)&gt;0,F239,IFERROR(INDEX($F$18:$F$317,MATCH(E239,$E$18:$E$317,0)),"")))</f>
        <v/>
      </c>
      <c r="V239">
        <f>IF(OR(N239="",N239="OK",K239="Cancelled"),0,1)</f>
        <v/>
      </c>
    </row>
    <row r="240">
      <c r="B240" s="21" t="n"/>
      <c r="C240" s="22">
        <f>IF(B240="","",$E$10&amp;TEXT(N($E$11)+222,"000"))</f>
        <v/>
      </c>
      <c r="D240" s="14" t="n"/>
      <c r="E240" s="23" t="n"/>
      <c r="F240" s="24" t="n"/>
      <c r="G240" s="14" t="n"/>
      <c r="H240" s="14" t="n"/>
      <c r="I240" s="23" t="n"/>
      <c r="J240" s="24" t="n"/>
      <c r="K240" s="23" t="n"/>
      <c r="L240" s="25">
        <f>IF(OR(E240="",N(U240)=0),"",U240-SUMIFS(Q$18:Q240,E$18:E240,E240))</f>
        <v/>
      </c>
      <c r="M240" s="26">
        <f>IF(OR(N(J240)=0,K240="Cancelled"),"",IF(AND(N(J240)&gt;5000,P240&lt;&gt;"G"),"Yes: ₹1","No"))</f>
        <v/>
      </c>
      <c r="N240" s="27">
        <f>IF(AND(B240="",D240="",N(J240)=0),"",IF(B240="","Enter the date",IF(AND(ROW()&gt;18,B239=""),"Use the next empty row: a skipped row leaves a gap in the receipt numbers",IF(D240="","Enter who paid",IF(N(J240)=0,"Enter the amount",IF(G240="","Pick what the money was for",IF(P240="?","Pick what it was for from the list",IF(H240="","Pick how it was paid",IF(K240="Cancelled","Cancelled: keep this number unused and give a fresh receipt",IF(AND(H240&lt;&gt;"Cash",I240=""),"Enter the cheque no., UTR or UPI reference",IF(AND(L240&lt;&gt;"",N(L240)&lt;0),"More than the balance due on this invoice",IF(S240&gt;=200000,"₹2,00,000 or more in cash from this person today: barred, s.186",IF(T240&gt;=200000,"₹2,00,000 or more in cash against this invoice: barred, s.186",IF(AND(P240="T",H240="Cash",N(J240)&gt;=20000),"Loan of ₹20,000 or more in cash: barred, s.185",IF(AND(P240="D",H240="Cash",N(J240)&gt;=20000),"Cash deposit of ₹20,000 or more: ask your accountant whether s.185 applies",IF(AND(OR(P240="AG",P240="AS"),$E$9&lt;&gt;""),"Advance: also give a GST receipt voucher, s.31(3)(d) and Rule 50","OK"))))))))))))))))</f>
        <v/>
      </c>
      <c r="P240">
        <f>IF(G240="","",IFERROR(VLOOKUP(G240,Lists!$A$2:$B$9,2,FALSE),"?"))</f>
        <v/>
      </c>
      <c r="Q240">
        <f>IF(K240="Cancelled",0,N(J240))</f>
        <v/>
      </c>
      <c r="R240">
        <f>IF(OR(H240&lt;&gt;"Cash",P240="T",P240="D"),0,Q240)</f>
        <v/>
      </c>
      <c r="S240">
        <f>IF(R240=0,0,SUMIFS($R$18:$R$317,$B$18:$B$317,B240,$D$18:$D$317,D240))</f>
        <v/>
      </c>
      <c r="T240">
        <f>IF(OR(R240=0,E240=""),0,SUMIFS($R$18:$R$317,$E$18:$E$317,E240))</f>
        <v/>
      </c>
      <c r="U240">
        <f>IF(E240="","",IF(N(F240)&gt;0,F240,IFERROR(INDEX($F$18:$F$317,MATCH(E240,$E$18:$E$317,0)),"")))</f>
        <v/>
      </c>
      <c r="V240">
        <f>IF(OR(N240="",N240="OK",K240="Cancelled"),0,1)</f>
        <v/>
      </c>
    </row>
    <row r="241">
      <c r="B241" s="21" t="n"/>
      <c r="C241" s="22">
        <f>IF(B241="","",$E$10&amp;TEXT(N($E$11)+223,"000"))</f>
        <v/>
      </c>
      <c r="D241" s="14" t="n"/>
      <c r="E241" s="23" t="n"/>
      <c r="F241" s="24" t="n"/>
      <c r="G241" s="14" t="n"/>
      <c r="H241" s="14" t="n"/>
      <c r="I241" s="23" t="n"/>
      <c r="J241" s="24" t="n"/>
      <c r="K241" s="23" t="n"/>
      <c r="L241" s="25">
        <f>IF(OR(E241="",N(U241)=0),"",U241-SUMIFS(Q$18:Q241,E$18:E241,E241))</f>
        <v/>
      </c>
      <c r="M241" s="26">
        <f>IF(OR(N(J241)=0,K241="Cancelled"),"",IF(AND(N(J241)&gt;5000,P241&lt;&gt;"G"),"Yes: ₹1","No"))</f>
        <v/>
      </c>
      <c r="N241" s="27">
        <f>IF(AND(B241="",D241="",N(J241)=0),"",IF(B241="","Enter the date",IF(AND(ROW()&gt;18,B240=""),"Use the next empty row: a skipped row leaves a gap in the receipt numbers",IF(D241="","Enter who paid",IF(N(J241)=0,"Enter the amount",IF(G241="","Pick what the money was for",IF(P241="?","Pick what it was for from the list",IF(H241="","Pick how it was paid",IF(K241="Cancelled","Cancelled: keep this number unused and give a fresh receipt",IF(AND(H241&lt;&gt;"Cash",I241=""),"Enter the cheque no., UTR or UPI reference",IF(AND(L241&lt;&gt;"",N(L241)&lt;0),"More than the balance due on this invoice",IF(S241&gt;=200000,"₹2,00,000 or more in cash from this person today: barred, s.186",IF(T241&gt;=200000,"₹2,00,000 or more in cash against this invoice: barred, s.186",IF(AND(P241="T",H241="Cash",N(J241)&gt;=20000),"Loan of ₹20,000 or more in cash: barred, s.185",IF(AND(P241="D",H241="Cash",N(J241)&gt;=20000),"Cash deposit of ₹20,000 or more: ask your accountant whether s.185 applies",IF(AND(OR(P241="AG",P241="AS"),$E$9&lt;&gt;""),"Advance: also give a GST receipt voucher, s.31(3)(d) and Rule 50","OK"))))))))))))))))</f>
        <v/>
      </c>
      <c r="P241">
        <f>IF(G241="","",IFERROR(VLOOKUP(G241,Lists!$A$2:$B$9,2,FALSE),"?"))</f>
        <v/>
      </c>
      <c r="Q241">
        <f>IF(K241="Cancelled",0,N(J241))</f>
        <v/>
      </c>
      <c r="R241">
        <f>IF(OR(H241&lt;&gt;"Cash",P241="T",P241="D"),0,Q241)</f>
        <v/>
      </c>
      <c r="S241">
        <f>IF(R241=0,0,SUMIFS($R$18:$R$317,$B$18:$B$317,B241,$D$18:$D$317,D241))</f>
        <v/>
      </c>
      <c r="T241">
        <f>IF(OR(R241=0,E241=""),0,SUMIFS($R$18:$R$317,$E$18:$E$317,E241))</f>
        <v/>
      </c>
      <c r="U241">
        <f>IF(E241="","",IF(N(F241)&gt;0,F241,IFERROR(INDEX($F$18:$F$317,MATCH(E241,$E$18:$E$317,0)),"")))</f>
        <v/>
      </c>
      <c r="V241">
        <f>IF(OR(N241="",N241="OK",K241="Cancelled"),0,1)</f>
        <v/>
      </c>
    </row>
    <row r="242">
      <c r="B242" s="21" t="n"/>
      <c r="C242" s="22">
        <f>IF(B242="","",$E$10&amp;TEXT(N($E$11)+224,"000"))</f>
        <v/>
      </c>
      <c r="D242" s="14" t="n"/>
      <c r="E242" s="23" t="n"/>
      <c r="F242" s="24" t="n"/>
      <c r="G242" s="14" t="n"/>
      <c r="H242" s="14" t="n"/>
      <c r="I242" s="23" t="n"/>
      <c r="J242" s="24" t="n"/>
      <c r="K242" s="23" t="n"/>
      <c r="L242" s="25">
        <f>IF(OR(E242="",N(U242)=0),"",U242-SUMIFS(Q$18:Q242,E$18:E242,E242))</f>
        <v/>
      </c>
      <c r="M242" s="26">
        <f>IF(OR(N(J242)=0,K242="Cancelled"),"",IF(AND(N(J242)&gt;5000,P242&lt;&gt;"G"),"Yes: ₹1","No"))</f>
        <v/>
      </c>
      <c r="N242" s="27">
        <f>IF(AND(B242="",D242="",N(J242)=0),"",IF(B242="","Enter the date",IF(AND(ROW()&gt;18,B241=""),"Use the next empty row: a skipped row leaves a gap in the receipt numbers",IF(D242="","Enter who paid",IF(N(J242)=0,"Enter the amount",IF(G242="","Pick what the money was for",IF(P242="?","Pick what it was for from the list",IF(H242="","Pick how it was paid",IF(K242="Cancelled","Cancelled: keep this number unused and give a fresh receipt",IF(AND(H242&lt;&gt;"Cash",I242=""),"Enter the cheque no., UTR or UPI reference",IF(AND(L242&lt;&gt;"",N(L242)&lt;0),"More than the balance due on this invoice",IF(S242&gt;=200000,"₹2,00,000 or more in cash from this person today: barred, s.186",IF(T242&gt;=200000,"₹2,00,000 or more in cash against this invoice: barred, s.186",IF(AND(P242="T",H242="Cash",N(J242)&gt;=20000),"Loan of ₹20,000 or more in cash: barred, s.185",IF(AND(P242="D",H242="Cash",N(J242)&gt;=20000),"Cash deposit of ₹20,000 or more: ask your accountant whether s.185 applies",IF(AND(OR(P242="AG",P242="AS"),$E$9&lt;&gt;""),"Advance: also give a GST receipt voucher, s.31(3)(d) and Rule 50","OK"))))))))))))))))</f>
        <v/>
      </c>
      <c r="P242">
        <f>IF(G242="","",IFERROR(VLOOKUP(G242,Lists!$A$2:$B$9,2,FALSE),"?"))</f>
        <v/>
      </c>
      <c r="Q242">
        <f>IF(K242="Cancelled",0,N(J242))</f>
        <v/>
      </c>
      <c r="R242">
        <f>IF(OR(H242&lt;&gt;"Cash",P242="T",P242="D"),0,Q242)</f>
        <v/>
      </c>
      <c r="S242">
        <f>IF(R242=0,0,SUMIFS($R$18:$R$317,$B$18:$B$317,B242,$D$18:$D$317,D242))</f>
        <v/>
      </c>
      <c r="T242">
        <f>IF(OR(R242=0,E242=""),0,SUMIFS($R$18:$R$317,$E$18:$E$317,E242))</f>
        <v/>
      </c>
      <c r="U242">
        <f>IF(E242="","",IF(N(F242)&gt;0,F242,IFERROR(INDEX($F$18:$F$317,MATCH(E242,$E$18:$E$317,0)),"")))</f>
        <v/>
      </c>
      <c r="V242">
        <f>IF(OR(N242="",N242="OK",K242="Cancelled"),0,1)</f>
        <v/>
      </c>
    </row>
    <row r="243">
      <c r="B243" s="21" t="n"/>
      <c r="C243" s="22">
        <f>IF(B243="","",$E$10&amp;TEXT(N($E$11)+225,"000"))</f>
        <v/>
      </c>
      <c r="D243" s="14" t="n"/>
      <c r="E243" s="23" t="n"/>
      <c r="F243" s="24" t="n"/>
      <c r="G243" s="14" t="n"/>
      <c r="H243" s="14" t="n"/>
      <c r="I243" s="23" t="n"/>
      <c r="J243" s="24" t="n"/>
      <c r="K243" s="23" t="n"/>
      <c r="L243" s="25">
        <f>IF(OR(E243="",N(U243)=0),"",U243-SUMIFS(Q$18:Q243,E$18:E243,E243))</f>
        <v/>
      </c>
      <c r="M243" s="26">
        <f>IF(OR(N(J243)=0,K243="Cancelled"),"",IF(AND(N(J243)&gt;5000,P243&lt;&gt;"G"),"Yes: ₹1","No"))</f>
        <v/>
      </c>
      <c r="N243" s="27">
        <f>IF(AND(B243="",D243="",N(J243)=0),"",IF(B243="","Enter the date",IF(AND(ROW()&gt;18,B242=""),"Use the next empty row: a skipped row leaves a gap in the receipt numbers",IF(D243="","Enter who paid",IF(N(J243)=0,"Enter the amount",IF(G243="","Pick what the money was for",IF(P243="?","Pick what it was for from the list",IF(H243="","Pick how it was paid",IF(K243="Cancelled","Cancelled: keep this number unused and give a fresh receipt",IF(AND(H243&lt;&gt;"Cash",I243=""),"Enter the cheque no., UTR or UPI reference",IF(AND(L243&lt;&gt;"",N(L243)&lt;0),"More than the balance due on this invoice",IF(S243&gt;=200000,"₹2,00,000 or more in cash from this person today: barred, s.186",IF(T243&gt;=200000,"₹2,00,000 or more in cash against this invoice: barred, s.186",IF(AND(P243="T",H243="Cash",N(J243)&gt;=20000),"Loan of ₹20,000 or more in cash: barred, s.185",IF(AND(P243="D",H243="Cash",N(J243)&gt;=20000),"Cash deposit of ₹20,000 or more: ask your accountant whether s.185 applies",IF(AND(OR(P243="AG",P243="AS"),$E$9&lt;&gt;""),"Advance: also give a GST receipt voucher, s.31(3)(d) and Rule 50","OK"))))))))))))))))</f>
        <v/>
      </c>
      <c r="P243">
        <f>IF(G243="","",IFERROR(VLOOKUP(G243,Lists!$A$2:$B$9,2,FALSE),"?"))</f>
        <v/>
      </c>
      <c r="Q243">
        <f>IF(K243="Cancelled",0,N(J243))</f>
        <v/>
      </c>
      <c r="R243">
        <f>IF(OR(H243&lt;&gt;"Cash",P243="T",P243="D"),0,Q243)</f>
        <v/>
      </c>
      <c r="S243">
        <f>IF(R243=0,0,SUMIFS($R$18:$R$317,$B$18:$B$317,B243,$D$18:$D$317,D243))</f>
        <v/>
      </c>
      <c r="T243">
        <f>IF(OR(R243=0,E243=""),0,SUMIFS($R$18:$R$317,$E$18:$E$317,E243))</f>
        <v/>
      </c>
      <c r="U243">
        <f>IF(E243="","",IF(N(F243)&gt;0,F243,IFERROR(INDEX($F$18:$F$317,MATCH(E243,$E$18:$E$317,0)),"")))</f>
        <v/>
      </c>
      <c r="V243">
        <f>IF(OR(N243="",N243="OK",K243="Cancelled"),0,1)</f>
        <v/>
      </c>
    </row>
    <row r="244">
      <c r="B244" s="21" t="n"/>
      <c r="C244" s="22">
        <f>IF(B244="","",$E$10&amp;TEXT(N($E$11)+226,"000"))</f>
        <v/>
      </c>
      <c r="D244" s="14" t="n"/>
      <c r="E244" s="23" t="n"/>
      <c r="F244" s="24" t="n"/>
      <c r="G244" s="14" t="n"/>
      <c r="H244" s="14" t="n"/>
      <c r="I244" s="23" t="n"/>
      <c r="J244" s="24" t="n"/>
      <c r="K244" s="23" t="n"/>
      <c r="L244" s="25">
        <f>IF(OR(E244="",N(U244)=0),"",U244-SUMIFS(Q$18:Q244,E$18:E244,E244))</f>
        <v/>
      </c>
      <c r="M244" s="26">
        <f>IF(OR(N(J244)=0,K244="Cancelled"),"",IF(AND(N(J244)&gt;5000,P244&lt;&gt;"G"),"Yes: ₹1","No"))</f>
        <v/>
      </c>
      <c r="N244" s="27">
        <f>IF(AND(B244="",D244="",N(J244)=0),"",IF(B244="","Enter the date",IF(AND(ROW()&gt;18,B243=""),"Use the next empty row: a skipped row leaves a gap in the receipt numbers",IF(D244="","Enter who paid",IF(N(J244)=0,"Enter the amount",IF(G244="","Pick what the money was for",IF(P244="?","Pick what it was for from the list",IF(H244="","Pick how it was paid",IF(K244="Cancelled","Cancelled: keep this number unused and give a fresh receipt",IF(AND(H244&lt;&gt;"Cash",I244=""),"Enter the cheque no., UTR or UPI reference",IF(AND(L244&lt;&gt;"",N(L244)&lt;0),"More than the balance due on this invoice",IF(S244&gt;=200000,"₹2,00,000 or more in cash from this person today: barred, s.186",IF(T244&gt;=200000,"₹2,00,000 or more in cash against this invoice: barred, s.186",IF(AND(P244="T",H244="Cash",N(J244)&gt;=20000),"Loan of ₹20,000 or more in cash: barred, s.185",IF(AND(P244="D",H244="Cash",N(J244)&gt;=20000),"Cash deposit of ₹20,000 or more: ask your accountant whether s.185 applies",IF(AND(OR(P244="AG",P244="AS"),$E$9&lt;&gt;""),"Advance: also give a GST receipt voucher, s.31(3)(d) and Rule 50","OK"))))))))))))))))</f>
        <v/>
      </c>
      <c r="P244">
        <f>IF(G244="","",IFERROR(VLOOKUP(G244,Lists!$A$2:$B$9,2,FALSE),"?"))</f>
        <v/>
      </c>
      <c r="Q244">
        <f>IF(K244="Cancelled",0,N(J244))</f>
        <v/>
      </c>
      <c r="R244">
        <f>IF(OR(H244&lt;&gt;"Cash",P244="T",P244="D"),0,Q244)</f>
        <v/>
      </c>
      <c r="S244">
        <f>IF(R244=0,0,SUMIFS($R$18:$R$317,$B$18:$B$317,B244,$D$18:$D$317,D244))</f>
        <v/>
      </c>
      <c r="T244">
        <f>IF(OR(R244=0,E244=""),0,SUMIFS($R$18:$R$317,$E$18:$E$317,E244))</f>
        <v/>
      </c>
      <c r="U244">
        <f>IF(E244="","",IF(N(F244)&gt;0,F244,IFERROR(INDEX($F$18:$F$317,MATCH(E244,$E$18:$E$317,0)),"")))</f>
        <v/>
      </c>
      <c r="V244">
        <f>IF(OR(N244="",N244="OK",K244="Cancelled"),0,1)</f>
        <v/>
      </c>
    </row>
    <row r="245">
      <c r="B245" s="21" t="n"/>
      <c r="C245" s="22">
        <f>IF(B245="","",$E$10&amp;TEXT(N($E$11)+227,"000"))</f>
        <v/>
      </c>
      <c r="D245" s="14" t="n"/>
      <c r="E245" s="23" t="n"/>
      <c r="F245" s="24" t="n"/>
      <c r="G245" s="14" t="n"/>
      <c r="H245" s="14" t="n"/>
      <c r="I245" s="23" t="n"/>
      <c r="J245" s="24" t="n"/>
      <c r="K245" s="23" t="n"/>
      <c r="L245" s="25">
        <f>IF(OR(E245="",N(U245)=0),"",U245-SUMIFS(Q$18:Q245,E$18:E245,E245))</f>
        <v/>
      </c>
      <c r="M245" s="26">
        <f>IF(OR(N(J245)=0,K245="Cancelled"),"",IF(AND(N(J245)&gt;5000,P245&lt;&gt;"G"),"Yes: ₹1","No"))</f>
        <v/>
      </c>
      <c r="N245" s="27">
        <f>IF(AND(B245="",D245="",N(J245)=0),"",IF(B245="","Enter the date",IF(AND(ROW()&gt;18,B244=""),"Use the next empty row: a skipped row leaves a gap in the receipt numbers",IF(D245="","Enter who paid",IF(N(J245)=0,"Enter the amount",IF(G245="","Pick what the money was for",IF(P245="?","Pick what it was for from the list",IF(H245="","Pick how it was paid",IF(K245="Cancelled","Cancelled: keep this number unused and give a fresh receipt",IF(AND(H245&lt;&gt;"Cash",I245=""),"Enter the cheque no., UTR or UPI reference",IF(AND(L245&lt;&gt;"",N(L245)&lt;0),"More than the balance due on this invoice",IF(S245&gt;=200000,"₹2,00,000 or more in cash from this person today: barred, s.186",IF(T245&gt;=200000,"₹2,00,000 or more in cash against this invoice: barred, s.186",IF(AND(P245="T",H245="Cash",N(J245)&gt;=20000),"Loan of ₹20,000 or more in cash: barred, s.185",IF(AND(P245="D",H245="Cash",N(J245)&gt;=20000),"Cash deposit of ₹20,000 or more: ask your accountant whether s.185 applies",IF(AND(OR(P245="AG",P245="AS"),$E$9&lt;&gt;""),"Advance: also give a GST receipt voucher, s.31(3)(d) and Rule 50","OK"))))))))))))))))</f>
        <v/>
      </c>
      <c r="P245">
        <f>IF(G245="","",IFERROR(VLOOKUP(G245,Lists!$A$2:$B$9,2,FALSE),"?"))</f>
        <v/>
      </c>
      <c r="Q245">
        <f>IF(K245="Cancelled",0,N(J245))</f>
        <v/>
      </c>
      <c r="R245">
        <f>IF(OR(H245&lt;&gt;"Cash",P245="T",P245="D"),0,Q245)</f>
        <v/>
      </c>
      <c r="S245">
        <f>IF(R245=0,0,SUMIFS($R$18:$R$317,$B$18:$B$317,B245,$D$18:$D$317,D245))</f>
        <v/>
      </c>
      <c r="T245">
        <f>IF(OR(R245=0,E245=""),0,SUMIFS($R$18:$R$317,$E$18:$E$317,E245))</f>
        <v/>
      </c>
      <c r="U245">
        <f>IF(E245="","",IF(N(F245)&gt;0,F245,IFERROR(INDEX($F$18:$F$317,MATCH(E245,$E$18:$E$317,0)),"")))</f>
        <v/>
      </c>
      <c r="V245">
        <f>IF(OR(N245="",N245="OK",K245="Cancelled"),0,1)</f>
        <v/>
      </c>
    </row>
    <row r="246">
      <c r="B246" s="21" t="n"/>
      <c r="C246" s="22">
        <f>IF(B246="","",$E$10&amp;TEXT(N($E$11)+228,"000"))</f>
        <v/>
      </c>
      <c r="D246" s="14" t="n"/>
      <c r="E246" s="23" t="n"/>
      <c r="F246" s="24" t="n"/>
      <c r="G246" s="14" t="n"/>
      <c r="H246" s="14" t="n"/>
      <c r="I246" s="23" t="n"/>
      <c r="J246" s="24" t="n"/>
      <c r="K246" s="23" t="n"/>
      <c r="L246" s="25">
        <f>IF(OR(E246="",N(U246)=0),"",U246-SUMIFS(Q$18:Q246,E$18:E246,E246))</f>
        <v/>
      </c>
      <c r="M246" s="26">
        <f>IF(OR(N(J246)=0,K246="Cancelled"),"",IF(AND(N(J246)&gt;5000,P246&lt;&gt;"G"),"Yes: ₹1","No"))</f>
        <v/>
      </c>
      <c r="N246" s="27">
        <f>IF(AND(B246="",D246="",N(J246)=0),"",IF(B246="","Enter the date",IF(AND(ROW()&gt;18,B245=""),"Use the next empty row: a skipped row leaves a gap in the receipt numbers",IF(D246="","Enter who paid",IF(N(J246)=0,"Enter the amount",IF(G246="","Pick what the money was for",IF(P246="?","Pick what it was for from the list",IF(H246="","Pick how it was paid",IF(K246="Cancelled","Cancelled: keep this number unused and give a fresh receipt",IF(AND(H246&lt;&gt;"Cash",I246=""),"Enter the cheque no., UTR or UPI reference",IF(AND(L246&lt;&gt;"",N(L246)&lt;0),"More than the balance due on this invoice",IF(S246&gt;=200000,"₹2,00,000 or more in cash from this person today: barred, s.186",IF(T246&gt;=200000,"₹2,00,000 or more in cash against this invoice: barred, s.186",IF(AND(P246="T",H246="Cash",N(J246)&gt;=20000),"Loan of ₹20,000 or more in cash: barred, s.185",IF(AND(P246="D",H246="Cash",N(J246)&gt;=20000),"Cash deposit of ₹20,000 or more: ask your accountant whether s.185 applies",IF(AND(OR(P246="AG",P246="AS"),$E$9&lt;&gt;""),"Advance: also give a GST receipt voucher, s.31(3)(d) and Rule 50","OK"))))))))))))))))</f>
        <v/>
      </c>
      <c r="P246">
        <f>IF(G246="","",IFERROR(VLOOKUP(G246,Lists!$A$2:$B$9,2,FALSE),"?"))</f>
        <v/>
      </c>
      <c r="Q246">
        <f>IF(K246="Cancelled",0,N(J246))</f>
        <v/>
      </c>
      <c r="R246">
        <f>IF(OR(H246&lt;&gt;"Cash",P246="T",P246="D"),0,Q246)</f>
        <v/>
      </c>
      <c r="S246">
        <f>IF(R246=0,0,SUMIFS($R$18:$R$317,$B$18:$B$317,B246,$D$18:$D$317,D246))</f>
        <v/>
      </c>
      <c r="T246">
        <f>IF(OR(R246=0,E246=""),0,SUMIFS($R$18:$R$317,$E$18:$E$317,E246))</f>
        <v/>
      </c>
      <c r="U246">
        <f>IF(E246="","",IF(N(F246)&gt;0,F246,IFERROR(INDEX($F$18:$F$317,MATCH(E246,$E$18:$E$317,0)),"")))</f>
        <v/>
      </c>
      <c r="V246">
        <f>IF(OR(N246="",N246="OK",K246="Cancelled"),0,1)</f>
        <v/>
      </c>
    </row>
    <row r="247">
      <c r="B247" s="21" t="n"/>
      <c r="C247" s="22">
        <f>IF(B247="","",$E$10&amp;TEXT(N($E$11)+229,"000"))</f>
        <v/>
      </c>
      <c r="D247" s="14" t="n"/>
      <c r="E247" s="23" t="n"/>
      <c r="F247" s="24" t="n"/>
      <c r="G247" s="14" t="n"/>
      <c r="H247" s="14" t="n"/>
      <c r="I247" s="23" t="n"/>
      <c r="J247" s="24" t="n"/>
      <c r="K247" s="23" t="n"/>
      <c r="L247" s="25">
        <f>IF(OR(E247="",N(U247)=0),"",U247-SUMIFS(Q$18:Q247,E$18:E247,E247))</f>
        <v/>
      </c>
      <c r="M247" s="26">
        <f>IF(OR(N(J247)=0,K247="Cancelled"),"",IF(AND(N(J247)&gt;5000,P247&lt;&gt;"G"),"Yes: ₹1","No"))</f>
        <v/>
      </c>
      <c r="N247" s="27">
        <f>IF(AND(B247="",D247="",N(J247)=0),"",IF(B247="","Enter the date",IF(AND(ROW()&gt;18,B246=""),"Use the next empty row: a skipped row leaves a gap in the receipt numbers",IF(D247="","Enter who paid",IF(N(J247)=0,"Enter the amount",IF(G247="","Pick what the money was for",IF(P247="?","Pick what it was for from the list",IF(H247="","Pick how it was paid",IF(K247="Cancelled","Cancelled: keep this number unused and give a fresh receipt",IF(AND(H247&lt;&gt;"Cash",I247=""),"Enter the cheque no., UTR or UPI reference",IF(AND(L247&lt;&gt;"",N(L247)&lt;0),"More than the balance due on this invoice",IF(S247&gt;=200000,"₹2,00,000 or more in cash from this person today: barred, s.186",IF(T247&gt;=200000,"₹2,00,000 or more in cash against this invoice: barred, s.186",IF(AND(P247="T",H247="Cash",N(J247)&gt;=20000),"Loan of ₹20,000 or more in cash: barred, s.185",IF(AND(P247="D",H247="Cash",N(J247)&gt;=20000),"Cash deposit of ₹20,000 or more: ask your accountant whether s.185 applies",IF(AND(OR(P247="AG",P247="AS"),$E$9&lt;&gt;""),"Advance: also give a GST receipt voucher, s.31(3)(d) and Rule 50","OK"))))))))))))))))</f>
        <v/>
      </c>
      <c r="P247">
        <f>IF(G247="","",IFERROR(VLOOKUP(G247,Lists!$A$2:$B$9,2,FALSE),"?"))</f>
        <v/>
      </c>
      <c r="Q247">
        <f>IF(K247="Cancelled",0,N(J247))</f>
        <v/>
      </c>
      <c r="R247">
        <f>IF(OR(H247&lt;&gt;"Cash",P247="T",P247="D"),0,Q247)</f>
        <v/>
      </c>
      <c r="S247">
        <f>IF(R247=0,0,SUMIFS($R$18:$R$317,$B$18:$B$317,B247,$D$18:$D$317,D247))</f>
        <v/>
      </c>
      <c r="T247">
        <f>IF(OR(R247=0,E247=""),0,SUMIFS($R$18:$R$317,$E$18:$E$317,E247))</f>
        <v/>
      </c>
      <c r="U247">
        <f>IF(E247="","",IF(N(F247)&gt;0,F247,IFERROR(INDEX($F$18:$F$317,MATCH(E247,$E$18:$E$317,0)),"")))</f>
        <v/>
      </c>
      <c r="V247">
        <f>IF(OR(N247="",N247="OK",K247="Cancelled"),0,1)</f>
        <v/>
      </c>
    </row>
    <row r="248">
      <c r="B248" s="21" t="n"/>
      <c r="C248" s="22">
        <f>IF(B248="","",$E$10&amp;TEXT(N($E$11)+230,"000"))</f>
        <v/>
      </c>
      <c r="D248" s="14" t="n"/>
      <c r="E248" s="23" t="n"/>
      <c r="F248" s="24" t="n"/>
      <c r="G248" s="14" t="n"/>
      <c r="H248" s="14" t="n"/>
      <c r="I248" s="23" t="n"/>
      <c r="J248" s="24" t="n"/>
      <c r="K248" s="23" t="n"/>
      <c r="L248" s="25">
        <f>IF(OR(E248="",N(U248)=0),"",U248-SUMIFS(Q$18:Q248,E$18:E248,E248))</f>
        <v/>
      </c>
      <c r="M248" s="26">
        <f>IF(OR(N(J248)=0,K248="Cancelled"),"",IF(AND(N(J248)&gt;5000,P248&lt;&gt;"G"),"Yes: ₹1","No"))</f>
        <v/>
      </c>
      <c r="N248" s="27">
        <f>IF(AND(B248="",D248="",N(J248)=0),"",IF(B248="","Enter the date",IF(AND(ROW()&gt;18,B247=""),"Use the next empty row: a skipped row leaves a gap in the receipt numbers",IF(D248="","Enter who paid",IF(N(J248)=0,"Enter the amount",IF(G248="","Pick what the money was for",IF(P248="?","Pick what it was for from the list",IF(H248="","Pick how it was paid",IF(K248="Cancelled","Cancelled: keep this number unused and give a fresh receipt",IF(AND(H248&lt;&gt;"Cash",I248=""),"Enter the cheque no., UTR or UPI reference",IF(AND(L248&lt;&gt;"",N(L248)&lt;0),"More than the balance due on this invoice",IF(S248&gt;=200000,"₹2,00,000 or more in cash from this person today: barred, s.186",IF(T248&gt;=200000,"₹2,00,000 or more in cash against this invoice: barred, s.186",IF(AND(P248="T",H248="Cash",N(J248)&gt;=20000),"Loan of ₹20,000 or more in cash: barred, s.185",IF(AND(P248="D",H248="Cash",N(J248)&gt;=20000),"Cash deposit of ₹20,000 or more: ask your accountant whether s.185 applies",IF(AND(OR(P248="AG",P248="AS"),$E$9&lt;&gt;""),"Advance: also give a GST receipt voucher, s.31(3)(d) and Rule 50","OK"))))))))))))))))</f>
        <v/>
      </c>
      <c r="P248">
        <f>IF(G248="","",IFERROR(VLOOKUP(G248,Lists!$A$2:$B$9,2,FALSE),"?"))</f>
        <v/>
      </c>
      <c r="Q248">
        <f>IF(K248="Cancelled",0,N(J248))</f>
        <v/>
      </c>
      <c r="R248">
        <f>IF(OR(H248&lt;&gt;"Cash",P248="T",P248="D"),0,Q248)</f>
        <v/>
      </c>
      <c r="S248">
        <f>IF(R248=0,0,SUMIFS($R$18:$R$317,$B$18:$B$317,B248,$D$18:$D$317,D248))</f>
        <v/>
      </c>
      <c r="T248">
        <f>IF(OR(R248=0,E248=""),0,SUMIFS($R$18:$R$317,$E$18:$E$317,E248))</f>
        <v/>
      </c>
      <c r="U248">
        <f>IF(E248="","",IF(N(F248)&gt;0,F248,IFERROR(INDEX($F$18:$F$317,MATCH(E248,$E$18:$E$317,0)),"")))</f>
        <v/>
      </c>
      <c r="V248">
        <f>IF(OR(N248="",N248="OK",K248="Cancelled"),0,1)</f>
        <v/>
      </c>
    </row>
    <row r="249">
      <c r="B249" s="21" t="n"/>
      <c r="C249" s="22">
        <f>IF(B249="","",$E$10&amp;TEXT(N($E$11)+231,"000"))</f>
        <v/>
      </c>
      <c r="D249" s="14" t="n"/>
      <c r="E249" s="23" t="n"/>
      <c r="F249" s="24" t="n"/>
      <c r="G249" s="14" t="n"/>
      <c r="H249" s="14" t="n"/>
      <c r="I249" s="23" t="n"/>
      <c r="J249" s="24" t="n"/>
      <c r="K249" s="23" t="n"/>
      <c r="L249" s="25">
        <f>IF(OR(E249="",N(U249)=0),"",U249-SUMIFS(Q$18:Q249,E$18:E249,E249))</f>
        <v/>
      </c>
      <c r="M249" s="26">
        <f>IF(OR(N(J249)=0,K249="Cancelled"),"",IF(AND(N(J249)&gt;5000,P249&lt;&gt;"G"),"Yes: ₹1","No"))</f>
        <v/>
      </c>
      <c r="N249" s="27">
        <f>IF(AND(B249="",D249="",N(J249)=0),"",IF(B249="","Enter the date",IF(AND(ROW()&gt;18,B248=""),"Use the next empty row: a skipped row leaves a gap in the receipt numbers",IF(D249="","Enter who paid",IF(N(J249)=0,"Enter the amount",IF(G249="","Pick what the money was for",IF(P249="?","Pick what it was for from the list",IF(H249="","Pick how it was paid",IF(K249="Cancelled","Cancelled: keep this number unused and give a fresh receipt",IF(AND(H249&lt;&gt;"Cash",I249=""),"Enter the cheque no., UTR or UPI reference",IF(AND(L249&lt;&gt;"",N(L249)&lt;0),"More than the balance due on this invoice",IF(S249&gt;=200000,"₹2,00,000 or more in cash from this person today: barred, s.186",IF(T249&gt;=200000,"₹2,00,000 or more in cash against this invoice: barred, s.186",IF(AND(P249="T",H249="Cash",N(J249)&gt;=20000),"Loan of ₹20,000 or more in cash: barred, s.185",IF(AND(P249="D",H249="Cash",N(J249)&gt;=20000),"Cash deposit of ₹20,000 or more: ask your accountant whether s.185 applies",IF(AND(OR(P249="AG",P249="AS"),$E$9&lt;&gt;""),"Advance: also give a GST receipt voucher, s.31(3)(d) and Rule 50","OK"))))))))))))))))</f>
        <v/>
      </c>
      <c r="P249">
        <f>IF(G249="","",IFERROR(VLOOKUP(G249,Lists!$A$2:$B$9,2,FALSE),"?"))</f>
        <v/>
      </c>
      <c r="Q249">
        <f>IF(K249="Cancelled",0,N(J249))</f>
        <v/>
      </c>
      <c r="R249">
        <f>IF(OR(H249&lt;&gt;"Cash",P249="T",P249="D"),0,Q249)</f>
        <v/>
      </c>
      <c r="S249">
        <f>IF(R249=0,0,SUMIFS($R$18:$R$317,$B$18:$B$317,B249,$D$18:$D$317,D249))</f>
        <v/>
      </c>
      <c r="T249">
        <f>IF(OR(R249=0,E249=""),0,SUMIFS($R$18:$R$317,$E$18:$E$317,E249))</f>
        <v/>
      </c>
      <c r="U249">
        <f>IF(E249="","",IF(N(F249)&gt;0,F249,IFERROR(INDEX($F$18:$F$317,MATCH(E249,$E$18:$E$317,0)),"")))</f>
        <v/>
      </c>
      <c r="V249">
        <f>IF(OR(N249="",N249="OK",K249="Cancelled"),0,1)</f>
        <v/>
      </c>
    </row>
    <row r="250">
      <c r="B250" s="21" t="n"/>
      <c r="C250" s="22">
        <f>IF(B250="","",$E$10&amp;TEXT(N($E$11)+232,"000"))</f>
        <v/>
      </c>
      <c r="D250" s="14" t="n"/>
      <c r="E250" s="23" t="n"/>
      <c r="F250" s="24" t="n"/>
      <c r="G250" s="14" t="n"/>
      <c r="H250" s="14" t="n"/>
      <c r="I250" s="23" t="n"/>
      <c r="J250" s="24" t="n"/>
      <c r="K250" s="23" t="n"/>
      <c r="L250" s="25">
        <f>IF(OR(E250="",N(U250)=0),"",U250-SUMIFS(Q$18:Q250,E$18:E250,E250))</f>
        <v/>
      </c>
      <c r="M250" s="26">
        <f>IF(OR(N(J250)=0,K250="Cancelled"),"",IF(AND(N(J250)&gt;5000,P250&lt;&gt;"G"),"Yes: ₹1","No"))</f>
        <v/>
      </c>
      <c r="N250" s="27">
        <f>IF(AND(B250="",D250="",N(J250)=0),"",IF(B250="","Enter the date",IF(AND(ROW()&gt;18,B249=""),"Use the next empty row: a skipped row leaves a gap in the receipt numbers",IF(D250="","Enter who paid",IF(N(J250)=0,"Enter the amount",IF(G250="","Pick what the money was for",IF(P250="?","Pick what it was for from the list",IF(H250="","Pick how it was paid",IF(K250="Cancelled","Cancelled: keep this number unused and give a fresh receipt",IF(AND(H250&lt;&gt;"Cash",I250=""),"Enter the cheque no., UTR or UPI reference",IF(AND(L250&lt;&gt;"",N(L250)&lt;0),"More than the balance due on this invoice",IF(S250&gt;=200000,"₹2,00,000 or more in cash from this person today: barred, s.186",IF(T250&gt;=200000,"₹2,00,000 or more in cash against this invoice: barred, s.186",IF(AND(P250="T",H250="Cash",N(J250)&gt;=20000),"Loan of ₹20,000 or more in cash: barred, s.185",IF(AND(P250="D",H250="Cash",N(J250)&gt;=20000),"Cash deposit of ₹20,000 or more: ask your accountant whether s.185 applies",IF(AND(OR(P250="AG",P250="AS"),$E$9&lt;&gt;""),"Advance: also give a GST receipt voucher, s.31(3)(d) and Rule 50","OK"))))))))))))))))</f>
        <v/>
      </c>
      <c r="P250">
        <f>IF(G250="","",IFERROR(VLOOKUP(G250,Lists!$A$2:$B$9,2,FALSE),"?"))</f>
        <v/>
      </c>
      <c r="Q250">
        <f>IF(K250="Cancelled",0,N(J250))</f>
        <v/>
      </c>
      <c r="R250">
        <f>IF(OR(H250&lt;&gt;"Cash",P250="T",P250="D"),0,Q250)</f>
        <v/>
      </c>
      <c r="S250">
        <f>IF(R250=0,0,SUMIFS($R$18:$R$317,$B$18:$B$317,B250,$D$18:$D$317,D250))</f>
        <v/>
      </c>
      <c r="T250">
        <f>IF(OR(R250=0,E250=""),0,SUMIFS($R$18:$R$317,$E$18:$E$317,E250))</f>
        <v/>
      </c>
      <c r="U250">
        <f>IF(E250="","",IF(N(F250)&gt;0,F250,IFERROR(INDEX($F$18:$F$317,MATCH(E250,$E$18:$E$317,0)),"")))</f>
        <v/>
      </c>
      <c r="V250">
        <f>IF(OR(N250="",N250="OK",K250="Cancelled"),0,1)</f>
        <v/>
      </c>
    </row>
    <row r="251">
      <c r="B251" s="21" t="n"/>
      <c r="C251" s="22">
        <f>IF(B251="","",$E$10&amp;TEXT(N($E$11)+233,"000"))</f>
        <v/>
      </c>
      <c r="D251" s="14" t="n"/>
      <c r="E251" s="23" t="n"/>
      <c r="F251" s="24" t="n"/>
      <c r="G251" s="14" t="n"/>
      <c r="H251" s="14" t="n"/>
      <c r="I251" s="23" t="n"/>
      <c r="J251" s="24" t="n"/>
      <c r="K251" s="23" t="n"/>
      <c r="L251" s="25">
        <f>IF(OR(E251="",N(U251)=0),"",U251-SUMIFS(Q$18:Q251,E$18:E251,E251))</f>
        <v/>
      </c>
      <c r="M251" s="26">
        <f>IF(OR(N(J251)=0,K251="Cancelled"),"",IF(AND(N(J251)&gt;5000,P251&lt;&gt;"G"),"Yes: ₹1","No"))</f>
        <v/>
      </c>
      <c r="N251" s="27">
        <f>IF(AND(B251="",D251="",N(J251)=0),"",IF(B251="","Enter the date",IF(AND(ROW()&gt;18,B250=""),"Use the next empty row: a skipped row leaves a gap in the receipt numbers",IF(D251="","Enter who paid",IF(N(J251)=0,"Enter the amount",IF(G251="","Pick what the money was for",IF(P251="?","Pick what it was for from the list",IF(H251="","Pick how it was paid",IF(K251="Cancelled","Cancelled: keep this number unused and give a fresh receipt",IF(AND(H251&lt;&gt;"Cash",I251=""),"Enter the cheque no., UTR or UPI reference",IF(AND(L251&lt;&gt;"",N(L251)&lt;0),"More than the balance due on this invoice",IF(S251&gt;=200000,"₹2,00,000 or more in cash from this person today: barred, s.186",IF(T251&gt;=200000,"₹2,00,000 or more in cash against this invoice: barred, s.186",IF(AND(P251="T",H251="Cash",N(J251)&gt;=20000),"Loan of ₹20,000 or more in cash: barred, s.185",IF(AND(P251="D",H251="Cash",N(J251)&gt;=20000),"Cash deposit of ₹20,000 or more: ask your accountant whether s.185 applies",IF(AND(OR(P251="AG",P251="AS"),$E$9&lt;&gt;""),"Advance: also give a GST receipt voucher, s.31(3)(d) and Rule 50","OK"))))))))))))))))</f>
        <v/>
      </c>
      <c r="P251">
        <f>IF(G251="","",IFERROR(VLOOKUP(G251,Lists!$A$2:$B$9,2,FALSE),"?"))</f>
        <v/>
      </c>
      <c r="Q251">
        <f>IF(K251="Cancelled",0,N(J251))</f>
        <v/>
      </c>
      <c r="R251">
        <f>IF(OR(H251&lt;&gt;"Cash",P251="T",P251="D"),0,Q251)</f>
        <v/>
      </c>
      <c r="S251">
        <f>IF(R251=0,0,SUMIFS($R$18:$R$317,$B$18:$B$317,B251,$D$18:$D$317,D251))</f>
        <v/>
      </c>
      <c r="T251">
        <f>IF(OR(R251=0,E251=""),0,SUMIFS($R$18:$R$317,$E$18:$E$317,E251))</f>
        <v/>
      </c>
      <c r="U251">
        <f>IF(E251="","",IF(N(F251)&gt;0,F251,IFERROR(INDEX($F$18:$F$317,MATCH(E251,$E$18:$E$317,0)),"")))</f>
        <v/>
      </c>
      <c r="V251">
        <f>IF(OR(N251="",N251="OK",K251="Cancelled"),0,1)</f>
        <v/>
      </c>
    </row>
    <row r="252">
      <c r="B252" s="21" t="n"/>
      <c r="C252" s="22">
        <f>IF(B252="","",$E$10&amp;TEXT(N($E$11)+234,"000"))</f>
        <v/>
      </c>
      <c r="D252" s="14" t="n"/>
      <c r="E252" s="23" t="n"/>
      <c r="F252" s="24" t="n"/>
      <c r="G252" s="14" t="n"/>
      <c r="H252" s="14" t="n"/>
      <c r="I252" s="23" t="n"/>
      <c r="J252" s="24" t="n"/>
      <c r="K252" s="23" t="n"/>
      <c r="L252" s="25">
        <f>IF(OR(E252="",N(U252)=0),"",U252-SUMIFS(Q$18:Q252,E$18:E252,E252))</f>
        <v/>
      </c>
      <c r="M252" s="26">
        <f>IF(OR(N(J252)=0,K252="Cancelled"),"",IF(AND(N(J252)&gt;5000,P252&lt;&gt;"G"),"Yes: ₹1","No"))</f>
        <v/>
      </c>
      <c r="N252" s="27">
        <f>IF(AND(B252="",D252="",N(J252)=0),"",IF(B252="","Enter the date",IF(AND(ROW()&gt;18,B251=""),"Use the next empty row: a skipped row leaves a gap in the receipt numbers",IF(D252="","Enter who paid",IF(N(J252)=0,"Enter the amount",IF(G252="","Pick what the money was for",IF(P252="?","Pick what it was for from the list",IF(H252="","Pick how it was paid",IF(K252="Cancelled","Cancelled: keep this number unused and give a fresh receipt",IF(AND(H252&lt;&gt;"Cash",I252=""),"Enter the cheque no., UTR or UPI reference",IF(AND(L252&lt;&gt;"",N(L252)&lt;0),"More than the balance due on this invoice",IF(S252&gt;=200000,"₹2,00,000 or more in cash from this person today: barred, s.186",IF(T252&gt;=200000,"₹2,00,000 or more in cash against this invoice: barred, s.186",IF(AND(P252="T",H252="Cash",N(J252)&gt;=20000),"Loan of ₹20,000 or more in cash: barred, s.185",IF(AND(P252="D",H252="Cash",N(J252)&gt;=20000),"Cash deposit of ₹20,000 or more: ask your accountant whether s.185 applies",IF(AND(OR(P252="AG",P252="AS"),$E$9&lt;&gt;""),"Advance: also give a GST receipt voucher, s.31(3)(d) and Rule 50","OK"))))))))))))))))</f>
        <v/>
      </c>
      <c r="P252">
        <f>IF(G252="","",IFERROR(VLOOKUP(G252,Lists!$A$2:$B$9,2,FALSE),"?"))</f>
        <v/>
      </c>
      <c r="Q252">
        <f>IF(K252="Cancelled",0,N(J252))</f>
        <v/>
      </c>
      <c r="R252">
        <f>IF(OR(H252&lt;&gt;"Cash",P252="T",P252="D"),0,Q252)</f>
        <v/>
      </c>
      <c r="S252">
        <f>IF(R252=0,0,SUMIFS($R$18:$R$317,$B$18:$B$317,B252,$D$18:$D$317,D252))</f>
        <v/>
      </c>
      <c r="T252">
        <f>IF(OR(R252=0,E252=""),0,SUMIFS($R$18:$R$317,$E$18:$E$317,E252))</f>
        <v/>
      </c>
      <c r="U252">
        <f>IF(E252="","",IF(N(F252)&gt;0,F252,IFERROR(INDEX($F$18:$F$317,MATCH(E252,$E$18:$E$317,0)),"")))</f>
        <v/>
      </c>
      <c r="V252">
        <f>IF(OR(N252="",N252="OK",K252="Cancelled"),0,1)</f>
        <v/>
      </c>
    </row>
    <row r="253">
      <c r="B253" s="21" t="n"/>
      <c r="C253" s="22">
        <f>IF(B253="","",$E$10&amp;TEXT(N($E$11)+235,"000"))</f>
        <v/>
      </c>
      <c r="D253" s="14" t="n"/>
      <c r="E253" s="23" t="n"/>
      <c r="F253" s="24" t="n"/>
      <c r="G253" s="14" t="n"/>
      <c r="H253" s="14" t="n"/>
      <c r="I253" s="23" t="n"/>
      <c r="J253" s="24" t="n"/>
      <c r="K253" s="23" t="n"/>
      <c r="L253" s="25">
        <f>IF(OR(E253="",N(U253)=0),"",U253-SUMIFS(Q$18:Q253,E$18:E253,E253))</f>
        <v/>
      </c>
      <c r="M253" s="26">
        <f>IF(OR(N(J253)=0,K253="Cancelled"),"",IF(AND(N(J253)&gt;5000,P253&lt;&gt;"G"),"Yes: ₹1","No"))</f>
        <v/>
      </c>
      <c r="N253" s="27">
        <f>IF(AND(B253="",D253="",N(J253)=0),"",IF(B253="","Enter the date",IF(AND(ROW()&gt;18,B252=""),"Use the next empty row: a skipped row leaves a gap in the receipt numbers",IF(D253="","Enter who paid",IF(N(J253)=0,"Enter the amount",IF(G253="","Pick what the money was for",IF(P253="?","Pick what it was for from the list",IF(H253="","Pick how it was paid",IF(K253="Cancelled","Cancelled: keep this number unused and give a fresh receipt",IF(AND(H253&lt;&gt;"Cash",I253=""),"Enter the cheque no., UTR or UPI reference",IF(AND(L253&lt;&gt;"",N(L253)&lt;0),"More than the balance due on this invoice",IF(S253&gt;=200000,"₹2,00,000 or more in cash from this person today: barred, s.186",IF(T253&gt;=200000,"₹2,00,000 or more in cash against this invoice: barred, s.186",IF(AND(P253="T",H253="Cash",N(J253)&gt;=20000),"Loan of ₹20,000 or more in cash: barred, s.185",IF(AND(P253="D",H253="Cash",N(J253)&gt;=20000),"Cash deposit of ₹20,000 or more: ask your accountant whether s.185 applies",IF(AND(OR(P253="AG",P253="AS"),$E$9&lt;&gt;""),"Advance: also give a GST receipt voucher, s.31(3)(d) and Rule 50","OK"))))))))))))))))</f>
        <v/>
      </c>
      <c r="P253">
        <f>IF(G253="","",IFERROR(VLOOKUP(G253,Lists!$A$2:$B$9,2,FALSE),"?"))</f>
        <v/>
      </c>
      <c r="Q253">
        <f>IF(K253="Cancelled",0,N(J253))</f>
        <v/>
      </c>
      <c r="R253">
        <f>IF(OR(H253&lt;&gt;"Cash",P253="T",P253="D"),0,Q253)</f>
        <v/>
      </c>
      <c r="S253">
        <f>IF(R253=0,0,SUMIFS($R$18:$R$317,$B$18:$B$317,B253,$D$18:$D$317,D253))</f>
        <v/>
      </c>
      <c r="T253">
        <f>IF(OR(R253=0,E253=""),0,SUMIFS($R$18:$R$317,$E$18:$E$317,E253))</f>
        <v/>
      </c>
      <c r="U253">
        <f>IF(E253="","",IF(N(F253)&gt;0,F253,IFERROR(INDEX($F$18:$F$317,MATCH(E253,$E$18:$E$317,0)),"")))</f>
        <v/>
      </c>
      <c r="V253">
        <f>IF(OR(N253="",N253="OK",K253="Cancelled"),0,1)</f>
        <v/>
      </c>
    </row>
    <row r="254">
      <c r="B254" s="21" t="n"/>
      <c r="C254" s="22">
        <f>IF(B254="","",$E$10&amp;TEXT(N($E$11)+236,"000"))</f>
        <v/>
      </c>
      <c r="D254" s="14" t="n"/>
      <c r="E254" s="23" t="n"/>
      <c r="F254" s="24" t="n"/>
      <c r="G254" s="14" t="n"/>
      <c r="H254" s="14" t="n"/>
      <c r="I254" s="23" t="n"/>
      <c r="J254" s="24" t="n"/>
      <c r="K254" s="23" t="n"/>
      <c r="L254" s="25">
        <f>IF(OR(E254="",N(U254)=0),"",U254-SUMIFS(Q$18:Q254,E$18:E254,E254))</f>
        <v/>
      </c>
      <c r="M254" s="26">
        <f>IF(OR(N(J254)=0,K254="Cancelled"),"",IF(AND(N(J254)&gt;5000,P254&lt;&gt;"G"),"Yes: ₹1","No"))</f>
        <v/>
      </c>
      <c r="N254" s="27">
        <f>IF(AND(B254="",D254="",N(J254)=0),"",IF(B254="","Enter the date",IF(AND(ROW()&gt;18,B253=""),"Use the next empty row: a skipped row leaves a gap in the receipt numbers",IF(D254="","Enter who paid",IF(N(J254)=0,"Enter the amount",IF(G254="","Pick what the money was for",IF(P254="?","Pick what it was for from the list",IF(H254="","Pick how it was paid",IF(K254="Cancelled","Cancelled: keep this number unused and give a fresh receipt",IF(AND(H254&lt;&gt;"Cash",I254=""),"Enter the cheque no., UTR or UPI reference",IF(AND(L254&lt;&gt;"",N(L254)&lt;0),"More than the balance due on this invoice",IF(S254&gt;=200000,"₹2,00,000 or more in cash from this person today: barred, s.186",IF(T254&gt;=200000,"₹2,00,000 or more in cash against this invoice: barred, s.186",IF(AND(P254="T",H254="Cash",N(J254)&gt;=20000),"Loan of ₹20,000 or more in cash: barred, s.185",IF(AND(P254="D",H254="Cash",N(J254)&gt;=20000),"Cash deposit of ₹20,000 or more: ask your accountant whether s.185 applies",IF(AND(OR(P254="AG",P254="AS"),$E$9&lt;&gt;""),"Advance: also give a GST receipt voucher, s.31(3)(d) and Rule 50","OK"))))))))))))))))</f>
        <v/>
      </c>
      <c r="P254">
        <f>IF(G254="","",IFERROR(VLOOKUP(G254,Lists!$A$2:$B$9,2,FALSE),"?"))</f>
        <v/>
      </c>
      <c r="Q254">
        <f>IF(K254="Cancelled",0,N(J254))</f>
        <v/>
      </c>
      <c r="R254">
        <f>IF(OR(H254&lt;&gt;"Cash",P254="T",P254="D"),0,Q254)</f>
        <v/>
      </c>
      <c r="S254">
        <f>IF(R254=0,0,SUMIFS($R$18:$R$317,$B$18:$B$317,B254,$D$18:$D$317,D254))</f>
        <v/>
      </c>
      <c r="T254">
        <f>IF(OR(R254=0,E254=""),0,SUMIFS($R$18:$R$317,$E$18:$E$317,E254))</f>
        <v/>
      </c>
      <c r="U254">
        <f>IF(E254="","",IF(N(F254)&gt;0,F254,IFERROR(INDEX($F$18:$F$317,MATCH(E254,$E$18:$E$317,0)),"")))</f>
        <v/>
      </c>
      <c r="V254">
        <f>IF(OR(N254="",N254="OK",K254="Cancelled"),0,1)</f>
        <v/>
      </c>
    </row>
    <row r="255">
      <c r="B255" s="21" t="n"/>
      <c r="C255" s="22">
        <f>IF(B255="","",$E$10&amp;TEXT(N($E$11)+237,"000"))</f>
        <v/>
      </c>
      <c r="D255" s="14" t="n"/>
      <c r="E255" s="23" t="n"/>
      <c r="F255" s="24" t="n"/>
      <c r="G255" s="14" t="n"/>
      <c r="H255" s="14" t="n"/>
      <c r="I255" s="23" t="n"/>
      <c r="J255" s="24" t="n"/>
      <c r="K255" s="23" t="n"/>
      <c r="L255" s="25">
        <f>IF(OR(E255="",N(U255)=0),"",U255-SUMIFS(Q$18:Q255,E$18:E255,E255))</f>
        <v/>
      </c>
      <c r="M255" s="26">
        <f>IF(OR(N(J255)=0,K255="Cancelled"),"",IF(AND(N(J255)&gt;5000,P255&lt;&gt;"G"),"Yes: ₹1","No"))</f>
        <v/>
      </c>
      <c r="N255" s="27">
        <f>IF(AND(B255="",D255="",N(J255)=0),"",IF(B255="","Enter the date",IF(AND(ROW()&gt;18,B254=""),"Use the next empty row: a skipped row leaves a gap in the receipt numbers",IF(D255="","Enter who paid",IF(N(J255)=0,"Enter the amount",IF(G255="","Pick what the money was for",IF(P255="?","Pick what it was for from the list",IF(H255="","Pick how it was paid",IF(K255="Cancelled","Cancelled: keep this number unused and give a fresh receipt",IF(AND(H255&lt;&gt;"Cash",I255=""),"Enter the cheque no., UTR or UPI reference",IF(AND(L255&lt;&gt;"",N(L255)&lt;0),"More than the balance due on this invoice",IF(S255&gt;=200000,"₹2,00,000 or more in cash from this person today: barred, s.186",IF(T255&gt;=200000,"₹2,00,000 or more in cash against this invoice: barred, s.186",IF(AND(P255="T",H255="Cash",N(J255)&gt;=20000),"Loan of ₹20,000 or more in cash: barred, s.185",IF(AND(P255="D",H255="Cash",N(J255)&gt;=20000),"Cash deposit of ₹20,000 or more: ask your accountant whether s.185 applies",IF(AND(OR(P255="AG",P255="AS"),$E$9&lt;&gt;""),"Advance: also give a GST receipt voucher, s.31(3)(d) and Rule 50","OK"))))))))))))))))</f>
        <v/>
      </c>
      <c r="P255">
        <f>IF(G255="","",IFERROR(VLOOKUP(G255,Lists!$A$2:$B$9,2,FALSE),"?"))</f>
        <v/>
      </c>
      <c r="Q255">
        <f>IF(K255="Cancelled",0,N(J255))</f>
        <v/>
      </c>
      <c r="R255">
        <f>IF(OR(H255&lt;&gt;"Cash",P255="T",P255="D"),0,Q255)</f>
        <v/>
      </c>
      <c r="S255">
        <f>IF(R255=0,0,SUMIFS($R$18:$R$317,$B$18:$B$317,B255,$D$18:$D$317,D255))</f>
        <v/>
      </c>
      <c r="T255">
        <f>IF(OR(R255=0,E255=""),0,SUMIFS($R$18:$R$317,$E$18:$E$317,E255))</f>
        <v/>
      </c>
      <c r="U255">
        <f>IF(E255="","",IF(N(F255)&gt;0,F255,IFERROR(INDEX($F$18:$F$317,MATCH(E255,$E$18:$E$317,0)),"")))</f>
        <v/>
      </c>
      <c r="V255">
        <f>IF(OR(N255="",N255="OK",K255="Cancelled"),0,1)</f>
        <v/>
      </c>
    </row>
    <row r="256">
      <c r="B256" s="21" t="n"/>
      <c r="C256" s="22">
        <f>IF(B256="","",$E$10&amp;TEXT(N($E$11)+238,"000"))</f>
        <v/>
      </c>
      <c r="D256" s="14" t="n"/>
      <c r="E256" s="23" t="n"/>
      <c r="F256" s="24" t="n"/>
      <c r="G256" s="14" t="n"/>
      <c r="H256" s="14" t="n"/>
      <c r="I256" s="23" t="n"/>
      <c r="J256" s="24" t="n"/>
      <c r="K256" s="23" t="n"/>
      <c r="L256" s="25">
        <f>IF(OR(E256="",N(U256)=0),"",U256-SUMIFS(Q$18:Q256,E$18:E256,E256))</f>
        <v/>
      </c>
      <c r="M256" s="26">
        <f>IF(OR(N(J256)=0,K256="Cancelled"),"",IF(AND(N(J256)&gt;5000,P256&lt;&gt;"G"),"Yes: ₹1","No"))</f>
        <v/>
      </c>
      <c r="N256" s="27">
        <f>IF(AND(B256="",D256="",N(J256)=0),"",IF(B256="","Enter the date",IF(AND(ROW()&gt;18,B255=""),"Use the next empty row: a skipped row leaves a gap in the receipt numbers",IF(D256="","Enter who paid",IF(N(J256)=0,"Enter the amount",IF(G256="","Pick what the money was for",IF(P256="?","Pick what it was for from the list",IF(H256="","Pick how it was paid",IF(K256="Cancelled","Cancelled: keep this number unused and give a fresh receipt",IF(AND(H256&lt;&gt;"Cash",I256=""),"Enter the cheque no., UTR or UPI reference",IF(AND(L256&lt;&gt;"",N(L256)&lt;0),"More than the balance due on this invoice",IF(S256&gt;=200000,"₹2,00,000 or more in cash from this person today: barred, s.186",IF(T256&gt;=200000,"₹2,00,000 or more in cash against this invoice: barred, s.186",IF(AND(P256="T",H256="Cash",N(J256)&gt;=20000),"Loan of ₹20,000 or more in cash: barred, s.185",IF(AND(P256="D",H256="Cash",N(J256)&gt;=20000),"Cash deposit of ₹20,000 or more: ask your accountant whether s.185 applies",IF(AND(OR(P256="AG",P256="AS"),$E$9&lt;&gt;""),"Advance: also give a GST receipt voucher, s.31(3)(d) and Rule 50","OK"))))))))))))))))</f>
        <v/>
      </c>
      <c r="P256">
        <f>IF(G256="","",IFERROR(VLOOKUP(G256,Lists!$A$2:$B$9,2,FALSE),"?"))</f>
        <v/>
      </c>
      <c r="Q256">
        <f>IF(K256="Cancelled",0,N(J256))</f>
        <v/>
      </c>
      <c r="R256">
        <f>IF(OR(H256&lt;&gt;"Cash",P256="T",P256="D"),0,Q256)</f>
        <v/>
      </c>
      <c r="S256">
        <f>IF(R256=0,0,SUMIFS($R$18:$R$317,$B$18:$B$317,B256,$D$18:$D$317,D256))</f>
        <v/>
      </c>
      <c r="T256">
        <f>IF(OR(R256=0,E256=""),0,SUMIFS($R$18:$R$317,$E$18:$E$317,E256))</f>
        <v/>
      </c>
      <c r="U256">
        <f>IF(E256="","",IF(N(F256)&gt;0,F256,IFERROR(INDEX($F$18:$F$317,MATCH(E256,$E$18:$E$317,0)),"")))</f>
        <v/>
      </c>
      <c r="V256">
        <f>IF(OR(N256="",N256="OK",K256="Cancelled"),0,1)</f>
        <v/>
      </c>
    </row>
    <row r="257">
      <c r="B257" s="21" t="n"/>
      <c r="C257" s="22">
        <f>IF(B257="","",$E$10&amp;TEXT(N($E$11)+239,"000"))</f>
        <v/>
      </c>
      <c r="D257" s="14" t="n"/>
      <c r="E257" s="23" t="n"/>
      <c r="F257" s="24" t="n"/>
      <c r="G257" s="14" t="n"/>
      <c r="H257" s="14" t="n"/>
      <c r="I257" s="23" t="n"/>
      <c r="J257" s="24" t="n"/>
      <c r="K257" s="23" t="n"/>
      <c r="L257" s="25">
        <f>IF(OR(E257="",N(U257)=0),"",U257-SUMIFS(Q$18:Q257,E$18:E257,E257))</f>
        <v/>
      </c>
      <c r="M257" s="26">
        <f>IF(OR(N(J257)=0,K257="Cancelled"),"",IF(AND(N(J257)&gt;5000,P257&lt;&gt;"G"),"Yes: ₹1","No"))</f>
        <v/>
      </c>
      <c r="N257" s="27">
        <f>IF(AND(B257="",D257="",N(J257)=0),"",IF(B257="","Enter the date",IF(AND(ROW()&gt;18,B256=""),"Use the next empty row: a skipped row leaves a gap in the receipt numbers",IF(D257="","Enter who paid",IF(N(J257)=0,"Enter the amount",IF(G257="","Pick what the money was for",IF(P257="?","Pick what it was for from the list",IF(H257="","Pick how it was paid",IF(K257="Cancelled","Cancelled: keep this number unused and give a fresh receipt",IF(AND(H257&lt;&gt;"Cash",I257=""),"Enter the cheque no., UTR or UPI reference",IF(AND(L257&lt;&gt;"",N(L257)&lt;0),"More than the balance due on this invoice",IF(S257&gt;=200000,"₹2,00,000 or more in cash from this person today: barred, s.186",IF(T257&gt;=200000,"₹2,00,000 or more in cash against this invoice: barred, s.186",IF(AND(P257="T",H257="Cash",N(J257)&gt;=20000),"Loan of ₹20,000 or more in cash: barred, s.185",IF(AND(P257="D",H257="Cash",N(J257)&gt;=20000),"Cash deposit of ₹20,000 or more: ask your accountant whether s.185 applies",IF(AND(OR(P257="AG",P257="AS"),$E$9&lt;&gt;""),"Advance: also give a GST receipt voucher, s.31(3)(d) and Rule 50","OK"))))))))))))))))</f>
        <v/>
      </c>
      <c r="P257">
        <f>IF(G257="","",IFERROR(VLOOKUP(G257,Lists!$A$2:$B$9,2,FALSE),"?"))</f>
        <v/>
      </c>
      <c r="Q257">
        <f>IF(K257="Cancelled",0,N(J257))</f>
        <v/>
      </c>
      <c r="R257">
        <f>IF(OR(H257&lt;&gt;"Cash",P257="T",P257="D"),0,Q257)</f>
        <v/>
      </c>
      <c r="S257">
        <f>IF(R257=0,0,SUMIFS($R$18:$R$317,$B$18:$B$317,B257,$D$18:$D$317,D257))</f>
        <v/>
      </c>
      <c r="T257">
        <f>IF(OR(R257=0,E257=""),0,SUMIFS($R$18:$R$317,$E$18:$E$317,E257))</f>
        <v/>
      </c>
      <c r="U257">
        <f>IF(E257="","",IF(N(F257)&gt;0,F257,IFERROR(INDEX($F$18:$F$317,MATCH(E257,$E$18:$E$317,0)),"")))</f>
        <v/>
      </c>
      <c r="V257">
        <f>IF(OR(N257="",N257="OK",K257="Cancelled"),0,1)</f>
        <v/>
      </c>
    </row>
    <row r="258">
      <c r="B258" s="21" t="n"/>
      <c r="C258" s="22">
        <f>IF(B258="","",$E$10&amp;TEXT(N($E$11)+240,"000"))</f>
        <v/>
      </c>
      <c r="D258" s="14" t="n"/>
      <c r="E258" s="23" t="n"/>
      <c r="F258" s="24" t="n"/>
      <c r="G258" s="14" t="n"/>
      <c r="H258" s="14" t="n"/>
      <c r="I258" s="23" t="n"/>
      <c r="J258" s="24" t="n"/>
      <c r="K258" s="23" t="n"/>
      <c r="L258" s="25">
        <f>IF(OR(E258="",N(U258)=0),"",U258-SUMIFS(Q$18:Q258,E$18:E258,E258))</f>
        <v/>
      </c>
      <c r="M258" s="26">
        <f>IF(OR(N(J258)=0,K258="Cancelled"),"",IF(AND(N(J258)&gt;5000,P258&lt;&gt;"G"),"Yes: ₹1","No"))</f>
        <v/>
      </c>
      <c r="N258" s="27">
        <f>IF(AND(B258="",D258="",N(J258)=0),"",IF(B258="","Enter the date",IF(AND(ROW()&gt;18,B257=""),"Use the next empty row: a skipped row leaves a gap in the receipt numbers",IF(D258="","Enter who paid",IF(N(J258)=0,"Enter the amount",IF(G258="","Pick what the money was for",IF(P258="?","Pick what it was for from the list",IF(H258="","Pick how it was paid",IF(K258="Cancelled","Cancelled: keep this number unused and give a fresh receipt",IF(AND(H258&lt;&gt;"Cash",I258=""),"Enter the cheque no., UTR or UPI reference",IF(AND(L258&lt;&gt;"",N(L258)&lt;0),"More than the balance due on this invoice",IF(S258&gt;=200000,"₹2,00,000 or more in cash from this person today: barred, s.186",IF(T258&gt;=200000,"₹2,00,000 or more in cash against this invoice: barred, s.186",IF(AND(P258="T",H258="Cash",N(J258)&gt;=20000),"Loan of ₹20,000 or more in cash: barred, s.185",IF(AND(P258="D",H258="Cash",N(J258)&gt;=20000),"Cash deposit of ₹20,000 or more: ask your accountant whether s.185 applies",IF(AND(OR(P258="AG",P258="AS"),$E$9&lt;&gt;""),"Advance: also give a GST receipt voucher, s.31(3)(d) and Rule 50","OK"))))))))))))))))</f>
        <v/>
      </c>
      <c r="P258">
        <f>IF(G258="","",IFERROR(VLOOKUP(G258,Lists!$A$2:$B$9,2,FALSE),"?"))</f>
        <v/>
      </c>
      <c r="Q258">
        <f>IF(K258="Cancelled",0,N(J258))</f>
        <v/>
      </c>
      <c r="R258">
        <f>IF(OR(H258&lt;&gt;"Cash",P258="T",P258="D"),0,Q258)</f>
        <v/>
      </c>
      <c r="S258">
        <f>IF(R258=0,0,SUMIFS($R$18:$R$317,$B$18:$B$317,B258,$D$18:$D$317,D258))</f>
        <v/>
      </c>
      <c r="T258">
        <f>IF(OR(R258=0,E258=""),0,SUMIFS($R$18:$R$317,$E$18:$E$317,E258))</f>
        <v/>
      </c>
      <c r="U258">
        <f>IF(E258="","",IF(N(F258)&gt;0,F258,IFERROR(INDEX($F$18:$F$317,MATCH(E258,$E$18:$E$317,0)),"")))</f>
        <v/>
      </c>
      <c r="V258">
        <f>IF(OR(N258="",N258="OK",K258="Cancelled"),0,1)</f>
        <v/>
      </c>
    </row>
    <row r="259">
      <c r="B259" s="21" t="n"/>
      <c r="C259" s="22">
        <f>IF(B259="","",$E$10&amp;TEXT(N($E$11)+241,"000"))</f>
        <v/>
      </c>
      <c r="D259" s="14" t="n"/>
      <c r="E259" s="23" t="n"/>
      <c r="F259" s="24" t="n"/>
      <c r="G259" s="14" t="n"/>
      <c r="H259" s="14" t="n"/>
      <c r="I259" s="23" t="n"/>
      <c r="J259" s="24" t="n"/>
      <c r="K259" s="23" t="n"/>
      <c r="L259" s="25">
        <f>IF(OR(E259="",N(U259)=0),"",U259-SUMIFS(Q$18:Q259,E$18:E259,E259))</f>
        <v/>
      </c>
      <c r="M259" s="26">
        <f>IF(OR(N(J259)=0,K259="Cancelled"),"",IF(AND(N(J259)&gt;5000,P259&lt;&gt;"G"),"Yes: ₹1","No"))</f>
        <v/>
      </c>
      <c r="N259" s="27">
        <f>IF(AND(B259="",D259="",N(J259)=0),"",IF(B259="","Enter the date",IF(AND(ROW()&gt;18,B258=""),"Use the next empty row: a skipped row leaves a gap in the receipt numbers",IF(D259="","Enter who paid",IF(N(J259)=0,"Enter the amount",IF(G259="","Pick what the money was for",IF(P259="?","Pick what it was for from the list",IF(H259="","Pick how it was paid",IF(K259="Cancelled","Cancelled: keep this number unused and give a fresh receipt",IF(AND(H259&lt;&gt;"Cash",I259=""),"Enter the cheque no., UTR or UPI reference",IF(AND(L259&lt;&gt;"",N(L259)&lt;0),"More than the balance due on this invoice",IF(S259&gt;=200000,"₹2,00,000 or more in cash from this person today: barred, s.186",IF(T259&gt;=200000,"₹2,00,000 or more in cash against this invoice: barred, s.186",IF(AND(P259="T",H259="Cash",N(J259)&gt;=20000),"Loan of ₹20,000 or more in cash: barred, s.185",IF(AND(P259="D",H259="Cash",N(J259)&gt;=20000),"Cash deposit of ₹20,000 or more: ask your accountant whether s.185 applies",IF(AND(OR(P259="AG",P259="AS"),$E$9&lt;&gt;""),"Advance: also give a GST receipt voucher, s.31(3)(d) and Rule 50","OK"))))))))))))))))</f>
        <v/>
      </c>
      <c r="P259">
        <f>IF(G259="","",IFERROR(VLOOKUP(G259,Lists!$A$2:$B$9,2,FALSE),"?"))</f>
        <v/>
      </c>
      <c r="Q259">
        <f>IF(K259="Cancelled",0,N(J259))</f>
        <v/>
      </c>
      <c r="R259">
        <f>IF(OR(H259&lt;&gt;"Cash",P259="T",P259="D"),0,Q259)</f>
        <v/>
      </c>
      <c r="S259">
        <f>IF(R259=0,0,SUMIFS($R$18:$R$317,$B$18:$B$317,B259,$D$18:$D$317,D259))</f>
        <v/>
      </c>
      <c r="T259">
        <f>IF(OR(R259=0,E259=""),0,SUMIFS($R$18:$R$317,$E$18:$E$317,E259))</f>
        <v/>
      </c>
      <c r="U259">
        <f>IF(E259="","",IF(N(F259)&gt;0,F259,IFERROR(INDEX($F$18:$F$317,MATCH(E259,$E$18:$E$317,0)),"")))</f>
        <v/>
      </c>
      <c r="V259">
        <f>IF(OR(N259="",N259="OK",K259="Cancelled"),0,1)</f>
        <v/>
      </c>
    </row>
    <row r="260">
      <c r="B260" s="21" t="n"/>
      <c r="C260" s="22">
        <f>IF(B260="","",$E$10&amp;TEXT(N($E$11)+242,"000"))</f>
        <v/>
      </c>
      <c r="D260" s="14" t="n"/>
      <c r="E260" s="23" t="n"/>
      <c r="F260" s="24" t="n"/>
      <c r="G260" s="14" t="n"/>
      <c r="H260" s="14" t="n"/>
      <c r="I260" s="23" t="n"/>
      <c r="J260" s="24" t="n"/>
      <c r="K260" s="23" t="n"/>
      <c r="L260" s="25">
        <f>IF(OR(E260="",N(U260)=0),"",U260-SUMIFS(Q$18:Q260,E$18:E260,E260))</f>
        <v/>
      </c>
      <c r="M260" s="26">
        <f>IF(OR(N(J260)=0,K260="Cancelled"),"",IF(AND(N(J260)&gt;5000,P260&lt;&gt;"G"),"Yes: ₹1","No"))</f>
        <v/>
      </c>
      <c r="N260" s="27">
        <f>IF(AND(B260="",D260="",N(J260)=0),"",IF(B260="","Enter the date",IF(AND(ROW()&gt;18,B259=""),"Use the next empty row: a skipped row leaves a gap in the receipt numbers",IF(D260="","Enter who paid",IF(N(J260)=0,"Enter the amount",IF(G260="","Pick what the money was for",IF(P260="?","Pick what it was for from the list",IF(H260="","Pick how it was paid",IF(K260="Cancelled","Cancelled: keep this number unused and give a fresh receipt",IF(AND(H260&lt;&gt;"Cash",I260=""),"Enter the cheque no., UTR or UPI reference",IF(AND(L260&lt;&gt;"",N(L260)&lt;0),"More than the balance due on this invoice",IF(S260&gt;=200000,"₹2,00,000 or more in cash from this person today: barred, s.186",IF(T260&gt;=200000,"₹2,00,000 or more in cash against this invoice: barred, s.186",IF(AND(P260="T",H260="Cash",N(J260)&gt;=20000),"Loan of ₹20,000 or more in cash: barred, s.185",IF(AND(P260="D",H260="Cash",N(J260)&gt;=20000),"Cash deposit of ₹20,000 or more: ask your accountant whether s.185 applies",IF(AND(OR(P260="AG",P260="AS"),$E$9&lt;&gt;""),"Advance: also give a GST receipt voucher, s.31(3)(d) and Rule 50","OK"))))))))))))))))</f>
        <v/>
      </c>
      <c r="P260">
        <f>IF(G260="","",IFERROR(VLOOKUP(G260,Lists!$A$2:$B$9,2,FALSE),"?"))</f>
        <v/>
      </c>
      <c r="Q260">
        <f>IF(K260="Cancelled",0,N(J260))</f>
        <v/>
      </c>
      <c r="R260">
        <f>IF(OR(H260&lt;&gt;"Cash",P260="T",P260="D"),0,Q260)</f>
        <v/>
      </c>
      <c r="S260">
        <f>IF(R260=0,0,SUMIFS($R$18:$R$317,$B$18:$B$317,B260,$D$18:$D$317,D260))</f>
        <v/>
      </c>
      <c r="T260">
        <f>IF(OR(R260=0,E260=""),0,SUMIFS($R$18:$R$317,$E$18:$E$317,E260))</f>
        <v/>
      </c>
      <c r="U260">
        <f>IF(E260="","",IF(N(F260)&gt;0,F260,IFERROR(INDEX($F$18:$F$317,MATCH(E260,$E$18:$E$317,0)),"")))</f>
        <v/>
      </c>
      <c r="V260">
        <f>IF(OR(N260="",N260="OK",K260="Cancelled"),0,1)</f>
        <v/>
      </c>
    </row>
    <row r="261">
      <c r="B261" s="21" t="n"/>
      <c r="C261" s="22">
        <f>IF(B261="","",$E$10&amp;TEXT(N($E$11)+243,"000"))</f>
        <v/>
      </c>
      <c r="D261" s="14" t="n"/>
      <c r="E261" s="23" t="n"/>
      <c r="F261" s="24" t="n"/>
      <c r="G261" s="14" t="n"/>
      <c r="H261" s="14" t="n"/>
      <c r="I261" s="23" t="n"/>
      <c r="J261" s="24" t="n"/>
      <c r="K261" s="23" t="n"/>
      <c r="L261" s="25">
        <f>IF(OR(E261="",N(U261)=0),"",U261-SUMIFS(Q$18:Q261,E$18:E261,E261))</f>
        <v/>
      </c>
      <c r="M261" s="26">
        <f>IF(OR(N(J261)=0,K261="Cancelled"),"",IF(AND(N(J261)&gt;5000,P261&lt;&gt;"G"),"Yes: ₹1","No"))</f>
        <v/>
      </c>
      <c r="N261" s="27">
        <f>IF(AND(B261="",D261="",N(J261)=0),"",IF(B261="","Enter the date",IF(AND(ROW()&gt;18,B260=""),"Use the next empty row: a skipped row leaves a gap in the receipt numbers",IF(D261="","Enter who paid",IF(N(J261)=0,"Enter the amount",IF(G261="","Pick what the money was for",IF(P261="?","Pick what it was for from the list",IF(H261="","Pick how it was paid",IF(K261="Cancelled","Cancelled: keep this number unused and give a fresh receipt",IF(AND(H261&lt;&gt;"Cash",I261=""),"Enter the cheque no., UTR or UPI reference",IF(AND(L261&lt;&gt;"",N(L261)&lt;0),"More than the balance due on this invoice",IF(S261&gt;=200000,"₹2,00,000 or more in cash from this person today: barred, s.186",IF(T261&gt;=200000,"₹2,00,000 or more in cash against this invoice: barred, s.186",IF(AND(P261="T",H261="Cash",N(J261)&gt;=20000),"Loan of ₹20,000 or more in cash: barred, s.185",IF(AND(P261="D",H261="Cash",N(J261)&gt;=20000),"Cash deposit of ₹20,000 or more: ask your accountant whether s.185 applies",IF(AND(OR(P261="AG",P261="AS"),$E$9&lt;&gt;""),"Advance: also give a GST receipt voucher, s.31(3)(d) and Rule 50","OK"))))))))))))))))</f>
        <v/>
      </c>
      <c r="P261">
        <f>IF(G261="","",IFERROR(VLOOKUP(G261,Lists!$A$2:$B$9,2,FALSE),"?"))</f>
        <v/>
      </c>
      <c r="Q261">
        <f>IF(K261="Cancelled",0,N(J261))</f>
        <v/>
      </c>
      <c r="R261">
        <f>IF(OR(H261&lt;&gt;"Cash",P261="T",P261="D"),0,Q261)</f>
        <v/>
      </c>
      <c r="S261">
        <f>IF(R261=0,0,SUMIFS($R$18:$R$317,$B$18:$B$317,B261,$D$18:$D$317,D261))</f>
        <v/>
      </c>
      <c r="T261">
        <f>IF(OR(R261=0,E261=""),0,SUMIFS($R$18:$R$317,$E$18:$E$317,E261))</f>
        <v/>
      </c>
      <c r="U261">
        <f>IF(E261="","",IF(N(F261)&gt;0,F261,IFERROR(INDEX($F$18:$F$317,MATCH(E261,$E$18:$E$317,0)),"")))</f>
        <v/>
      </c>
      <c r="V261">
        <f>IF(OR(N261="",N261="OK",K261="Cancelled"),0,1)</f>
        <v/>
      </c>
    </row>
    <row r="262">
      <c r="B262" s="21" t="n"/>
      <c r="C262" s="22">
        <f>IF(B262="","",$E$10&amp;TEXT(N($E$11)+244,"000"))</f>
        <v/>
      </c>
      <c r="D262" s="14" t="n"/>
      <c r="E262" s="23" t="n"/>
      <c r="F262" s="24" t="n"/>
      <c r="G262" s="14" t="n"/>
      <c r="H262" s="14" t="n"/>
      <c r="I262" s="23" t="n"/>
      <c r="J262" s="24" t="n"/>
      <c r="K262" s="23" t="n"/>
      <c r="L262" s="25">
        <f>IF(OR(E262="",N(U262)=0),"",U262-SUMIFS(Q$18:Q262,E$18:E262,E262))</f>
        <v/>
      </c>
      <c r="M262" s="26">
        <f>IF(OR(N(J262)=0,K262="Cancelled"),"",IF(AND(N(J262)&gt;5000,P262&lt;&gt;"G"),"Yes: ₹1","No"))</f>
        <v/>
      </c>
      <c r="N262" s="27">
        <f>IF(AND(B262="",D262="",N(J262)=0),"",IF(B262="","Enter the date",IF(AND(ROW()&gt;18,B261=""),"Use the next empty row: a skipped row leaves a gap in the receipt numbers",IF(D262="","Enter who paid",IF(N(J262)=0,"Enter the amount",IF(G262="","Pick what the money was for",IF(P262="?","Pick what it was for from the list",IF(H262="","Pick how it was paid",IF(K262="Cancelled","Cancelled: keep this number unused and give a fresh receipt",IF(AND(H262&lt;&gt;"Cash",I262=""),"Enter the cheque no., UTR or UPI reference",IF(AND(L262&lt;&gt;"",N(L262)&lt;0),"More than the balance due on this invoice",IF(S262&gt;=200000,"₹2,00,000 or more in cash from this person today: barred, s.186",IF(T262&gt;=200000,"₹2,00,000 or more in cash against this invoice: barred, s.186",IF(AND(P262="T",H262="Cash",N(J262)&gt;=20000),"Loan of ₹20,000 or more in cash: barred, s.185",IF(AND(P262="D",H262="Cash",N(J262)&gt;=20000),"Cash deposit of ₹20,000 or more: ask your accountant whether s.185 applies",IF(AND(OR(P262="AG",P262="AS"),$E$9&lt;&gt;""),"Advance: also give a GST receipt voucher, s.31(3)(d) and Rule 50","OK"))))))))))))))))</f>
        <v/>
      </c>
      <c r="P262">
        <f>IF(G262="","",IFERROR(VLOOKUP(G262,Lists!$A$2:$B$9,2,FALSE),"?"))</f>
        <v/>
      </c>
      <c r="Q262">
        <f>IF(K262="Cancelled",0,N(J262))</f>
        <v/>
      </c>
      <c r="R262">
        <f>IF(OR(H262&lt;&gt;"Cash",P262="T",P262="D"),0,Q262)</f>
        <v/>
      </c>
      <c r="S262">
        <f>IF(R262=0,0,SUMIFS($R$18:$R$317,$B$18:$B$317,B262,$D$18:$D$317,D262))</f>
        <v/>
      </c>
      <c r="T262">
        <f>IF(OR(R262=0,E262=""),0,SUMIFS($R$18:$R$317,$E$18:$E$317,E262))</f>
        <v/>
      </c>
      <c r="U262">
        <f>IF(E262="","",IF(N(F262)&gt;0,F262,IFERROR(INDEX($F$18:$F$317,MATCH(E262,$E$18:$E$317,0)),"")))</f>
        <v/>
      </c>
      <c r="V262">
        <f>IF(OR(N262="",N262="OK",K262="Cancelled"),0,1)</f>
        <v/>
      </c>
    </row>
    <row r="263">
      <c r="B263" s="21" t="n"/>
      <c r="C263" s="22">
        <f>IF(B263="","",$E$10&amp;TEXT(N($E$11)+245,"000"))</f>
        <v/>
      </c>
      <c r="D263" s="14" t="n"/>
      <c r="E263" s="23" t="n"/>
      <c r="F263" s="24" t="n"/>
      <c r="G263" s="14" t="n"/>
      <c r="H263" s="14" t="n"/>
      <c r="I263" s="23" t="n"/>
      <c r="J263" s="24" t="n"/>
      <c r="K263" s="23" t="n"/>
      <c r="L263" s="25">
        <f>IF(OR(E263="",N(U263)=0),"",U263-SUMIFS(Q$18:Q263,E$18:E263,E263))</f>
        <v/>
      </c>
      <c r="M263" s="26">
        <f>IF(OR(N(J263)=0,K263="Cancelled"),"",IF(AND(N(J263)&gt;5000,P263&lt;&gt;"G"),"Yes: ₹1","No"))</f>
        <v/>
      </c>
      <c r="N263" s="27">
        <f>IF(AND(B263="",D263="",N(J263)=0),"",IF(B263="","Enter the date",IF(AND(ROW()&gt;18,B262=""),"Use the next empty row: a skipped row leaves a gap in the receipt numbers",IF(D263="","Enter who paid",IF(N(J263)=0,"Enter the amount",IF(G263="","Pick what the money was for",IF(P263="?","Pick what it was for from the list",IF(H263="","Pick how it was paid",IF(K263="Cancelled","Cancelled: keep this number unused and give a fresh receipt",IF(AND(H263&lt;&gt;"Cash",I263=""),"Enter the cheque no., UTR or UPI reference",IF(AND(L263&lt;&gt;"",N(L263)&lt;0),"More than the balance due on this invoice",IF(S263&gt;=200000,"₹2,00,000 or more in cash from this person today: barred, s.186",IF(T263&gt;=200000,"₹2,00,000 or more in cash against this invoice: barred, s.186",IF(AND(P263="T",H263="Cash",N(J263)&gt;=20000),"Loan of ₹20,000 or more in cash: barred, s.185",IF(AND(P263="D",H263="Cash",N(J263)&gt;=20000),"Cash deposit of ₹20,000 or more: ask your accountant whether s.185 applies",IF(AND(OR(P263="AG",P263="AS"),$E$9&lt;&gt;""),"Advance: also give a GST receipt voucher, s.31(3)(d) and Rule 50","OK"))))))))))))))))</f>
        <v/>
      </c>
      <c r="P263">
        <f>IF(G263="","",IFERROR(VLOOKUP(G263,Lists!$A$2:$B$9,2,FALSE),"?"))</f>
        <v/>
      </c>
      <c r="Q263">
        <f>IF(K263="Cancelled",0,N(J263))</f>
        <v/>
      </c>
      <c r="R263">
        <f>IF(OR(H263&lt;&gt;"Cash",P263="T",P263="D"),0,Q263)</f>
        <v/>
      </c>
      <c r="S263">
        <f>IF(R263=0,0,SUMIFS($R$18:$R$317,$B$18:$B$317,B263,$D$18:$D$317,D263))</f>
        <v/>
      </c>
      <c r="T263">
        <f>IF(OR(R263=0,E263=""),0,SUMIFS($R$18:$R$317,$E$18:$E$317,E263))</f>
        <v/>
      </c>
      <c r="U263">
        <f>IF(E263="","",IF(N(F263)&gt;0,F263,IFERROR(INDEX($F$18:$F$317,MATCH(E263,$E$18:$E$317,0)),"")))</f>
        <v/>
      </c>
      <c r="V263">
        <f>IF(OR(N263="",N263="OK",K263="Cancelled"),0,1)</f>
        <v/>
      </c>
    </row>
    <row r="264">
      <c r="B264" s="21" t="n"/>
      <c r="C264" s="22">
        <f>IF(B264="","",$E$10&amp;TEXT(N($E$11)+246,"000"))</f>
        <v/>
      </c>
      <c r="D264" s="14" t="n"/>
      <c r="E264" s="23" t="n"/>
      <c r="F264" s="24" t="n"/>
      <c r="G264" s="14" t="n"/>
      <c r="H264" s="14" t="n"/>
      <c r="I264" s="23" t="n"/>
      <c r="J264" s="24" t="n"/>
      <c r="K264" s="23" t="n"/>
      <c r="L264" s="25">
        <f>IF(OR(E264="",N(U264)=0),"",U264-SUMIFS(Q$18:Q264,E$18:E264,E264))</f>
        <v/>
      </c>
      <c r="M264" s="26">
        <f>IF(OR(N(J264)=0,K264="Cancelled"),"",IF(AND(N(J264)&gt;5000,P264&lt;&gt;"G"),"Yes: ₹1","No"))</f>
        <v/>
      </c>
      <c r="N264" s="27">
        <f>IF(AND(B264="",D264="",N(J264)=0),"",IF(B264="","Enter the date",IF(AND(ROW()&gt;18,B263=""),"Use the next empty row: a skipped row leaves a gap in the receipt numbers",IF(D264="","Enter who paid",IF(N(J264)=0,"Enter the amount",IF(G264="","Pick what the money was for",IF(P264="?","Pick what it was for from the list",IF(H264="","Pick how it was paid",IF(K264="Cancelled","Cancelled: keep this number unused and give a fresh receipt",IF(AND(H264&lt;&gt;"Cash",I264=""),"Enter the cheque no., UTR or UPI reference",IF(AND(L264&lt;&gt;"",N(L264)&lt;0),"More than the balance due on this invoice",IF(S264&gt;=200000,"₹2,00,000 or more in cash from this person today: barred, s.186",IF(T264&gt;=200000,"₹2,00,000 or more in cash against this invoice: barred, s.186",IF(AND(P264="T",H264="Cash",N(J264)&gt;=20000),"Loan of ₹20,000 or more in cash: barred, s.185",IF(AND(P264="D",H264="Cash",N(J264)&gt;=20000),"Cash deposit of ₹20,000 or more: ask your accountant whether s.185 applies",IF(AND(OR(P264="AG",P264="AS"),$E$9&lt;&gt;""),"Advance: also give a GST receipt voucher, s.31(3)(d) and Rule 50","OK"))))))))))))))))</f>
        <v/>
      </c>
      <c r="P264">
        <f>IF(G264="","",IFERROR(VLOOKUP(G264,Lists!$A$2:$B$9,2,FALSE),"?"))</f>
        <v/>
      </c>
      <c r="Q264">
        <f>IF(K264="Cancelled",0,N(J264))</f>
        <v/>
      </c>
      <c r="R264">
        <f>IF(OR(H264&lt;&gt;"Cash",P264="T",P264="D"),0,Q264)</f>
        <v/>
      </c>
      <c r="S264">
        <f>IF(R264=0,0,SUMIFS($R$18:$R$317,$B$18:$B$317,B264,$D$18:$D$317,D264))</f>
        <v/>
      </c>
      <c r="T264">
        <f>IF(OR(R264=0,E264=""),0,SUMIFS($R$18:$R$317,$E$18:$E$317,E264))</f>
        <v/>
      </c>
      <c r="U264">
        <f>IF(E264="","",IF(N(F264)&gt;0,F264,IFERROR(INDEX($F$18:$F$317,MATCH(E264,$E$18:$E$317,0)),"")))</f>
        <v/>
      </c>
      <c r="V264">
        <f>IF(OR(N264="",N264="OK",K264="Cancelled"),0,1)</f>
        <v/>
      </c>
    </row>
    <row r="265">
      <c r="B265" s="21" t="n"/>
      <c r="C265" s="22">
        <f>IF(B265="","",$E$10&amp;TEXT(N($E$11)+247,"000"))</f>
        <v/>
      </c>
      <c r="D265" s="14" t="n"/>
      <c r="E265" s="23" t="n"/>
      <c r="F265" s="24" t="n"/>
      <c r="G265" s="14" t="n"/>
      <c r="H265" s="14" t="n"/>
      <c r="I265" s="23" t="n"/>
      <c r="J265" s="24" t="n"/>
      <c r="K265" s="23" t="n"/>
      <c r="L265" s="25">
        <f>IF(OR(E265="",N(U265)=0),"",U265-SUMIFS(Q$18:Q265,E$18:E265,E265))</f>
        <v/>
      </c>
      <c r="M265" s="26">
        <f>IF(OR(N(J265)=0,K265="Cancelled"),"",IF(AND(N(J265)&gt;5000,P265&lt;&gt;"G"),"Yes: ₹1","No"))</f>
        <v/>
      </c>
      <c r="N265" s="27">
        <f>IF(AND(B265="",D265="",N(J265)=0),"",IF(B265="","Enter the date",IF(AND(ROW()&gt;18,B264=""),"Use the next empty row: a skipped row leaves a gap in the receipt numbers",IF(D265="","Enter who paid",IF(N(J265)=0,"Enter the amount",IF(G265="","Pick what the money was for",IF(P265="?","Pick what it was for from the list",IF(H265="","Pick how it was paid",IF(K265="Cancelled","Cancelled: keep this number unused and give a fresh receipt",IF(AND(H265&lt;&gt;"Cash",I265=""),"Enter the cheque no., UTR or UPI reference",IF(AND(L265&lt;&gt;"",N(L265)&lt;0),"More than the balance due on this invoice",IF(S265&gt;=200000,"₹2,00,000 or more in cash from this person today: barred, s.186",IF(T265&gt;=200000,"₹2,00,000 or more in cash against this invoice: barred, s.186",IF(AND(P265="T",H265="Cash",N(J265)&gt;=20000),"Loan of ₹20,000 or more in cash: barred, s.185",IF(AND(P265="D",H265="Cash",N(J265)&gt;=20000),"Cash deposit of ₹20,000 or more: ask your accountant whether s.185 applies",IF(AND(OR(P265="AG",P265="AS"),$E$9&lt;&gt;""),"Advance: also give a GST receipt voucher, s.31(3)(d) and Rule 50","OK"))))))))))))))))</f>
        <v/>
      </c>
      <c r="P265">
        <f>IF(G265="","",IFERROR(VLOOKUP(G265,Lists!$A$2:$B$9,2,FALSE),"?"))</f>
        <v/>
      </c>
      <c r="Q265">
        <f>IF(K265="Cancelled",0,N(J265))</f>
        <v/>
      </c>
      <c r="R265">
        <f>IF(OR(H265&lt;&gt;"Cash",P265="T",P265="D"),0,Q265)</f>
        <v/>
      </c>
      <c r="S265">
        <f>IF(R265=0,0,SUMIFS($R$18:$R$317,$B$18:$B$317,B265,$D$18:$D$317,D265))</f>
        <v/>
      </c>
      <c r="T265">
        <f>IF(OR(R265=0,E265=""),0,SUMIFS($R$18:$R$317,$E$18:$E$317,E265))</f>
        <v/>
      </c>
      <c r="U265">
        <f>IF(E265="","",IF(N(F265)&gt;0,F265,IFERROR(INDEX($F$18:$F$317,MATCH(E265,$E$18:$E$317,0)),"")))</f>
        <v/>
      </c>
      <c r="V265">
        <f>IF(OR(N265="",N265="OK",K265="Cancelled"),0,1)</f>
        <v/>
      </c>
    </row>
    <row r="266">
      <c r="B266" s="21" t="n"/>
      <c r="C266" s="22">
        <f>IF(B266="","",$E$10&amp;TEXT(N($E$11)+248,"000"))</f>
        <v/>
      </c>
      <c r="D266" s="14" t="n"/>
      <c r="E266" s="23" t="n"/>
      <c r="F266" s="24" t="n"/>
      <c r="G266" s="14" t="n"/>
      <c r="H266" s="14" t="n"/>
      <c r="I266" s="23" t="n"/>
      <c r="J266" s="24" t="n"/>
      <c r="K266" s="23" t="n"/>
      <c r="L266" s="25">
        <f>IF(OR(E266="",N(U266)=0),"",U266-SUMIFS(Q$18:Q266,E$18:E266,E266))</f>
        <v/>
      </c>
      <c r="M266" s="26">
        <f>IF(OR(N(J266)=0,K266="Cancelled"),"",IF(AND(N(J266)&gt;5000,P266&lt;&gt;"G"),"Yes: ₹1","No"))</f>
        <v/>
      </c>
      <c r="N266" s="27">
        <f>IF(AND(B266="",D266="",N(J266)=0),"",IF(B266="","Enter the date",IF(AND(ROW()&gt;18,B265=""),"Use the next empty row: a skipped row leaves a gap in the receipt numbers",IF(D266="","Enter who paid",IF(N(J266)=0,"Enter the amount",IF(G266="","Pick what the money was for",IF(P266="?","Pick what it was for from the list",IF(H266="","Pick how it was paid",IF(K266="Cancelled","Cancelled: keep this number unused and give a fresh receipt",IF(AND(H266&lt;&gt;"Cash",I266=""),"Enter the cheque no., UTR or UPI reference",IF(AND(L266&lt;&gt;"",N(L266)&lt;0),"More than the balance due on this invoice",IF(S266&gt;=200000,"₹2,00,000 or more in cash from this person today: barred, s.186",IF(T266&gt;=200000,"₹2,00,000 or more in cash against this invoice: barred, s.186",IF(AND(P266="T",H266="Cash",N(J266)&gt;=20000),"Loan of ₹20,000 or more in cash: barred, s.185",IF(AND(P266="D",H266="Cash",N(J266)&gt;=20000),"Cash deposit of ₹20,000 or more: ask your accountant whether s.185 applies",IF(AND(OR(P266="AG",P266="AS"),$E$9&lt;&gt;""),"Advance: also give a GST receipt voucher, s.31(3)(d) and Rule 50","OK"))))))))))))))))</f>
        <v/>
      </c>
      <c r="P266">
        <f>IF(G266="","",IFERROR(VLOOKUP(G266,Lists!$A$2:$B$9,2,FALSE),"?"))</f>
        <v/>
      </c>
      <c r="Q266">
        <f>IF(K266="Cancelled",0,N(J266))</f>
        <v/>
      </c>
      <c r="R266">
        <f>IF(OR(H266&lt;&gt;"Cash",P266="T",P266="D"),0,Q266)</f>
        <v/>
      </c>
      <c r="S266">
        <f>IF(R266=0,0,SUMIFS($R$18:$R$317,$B$18:$B$317,B266,$D$18:$D$317,D266))</f>
        <v/>
      </c>
      <c r="T266">
        <f>IF(OR(R266=0,E266=""),0,SUMIFS($R$18:$R$317,$E$18:$E$317,E266))</f>
        <v/>
      </c>
      <c r="U266">
        <f>IF(E266="","",IF(N(F266)&gt;0,F266,IFERROR(INDEX($F$18:$F$317,MATCH(E266,$E$18:$E$317,0)),"")))</f>
        <v/>
      </c>
      <c r="V266">
        <f>IF(OR(N266="",N266="OK",K266="Cancelled"),0,1)</f>
        <v/>
      </c>
    </row>
    <row r="267">
      <c r="B267" s="21" t="n"/>
      <c r="C267" s="22">
        <f>IF(B267="","",$E$10&amp;TEXT(N($E$11)+249,"000"))</f>
        <v/>
      </c>
      <c r="D267" s="14" t="n"/>
      <c r="E267" s="23" t="n"/>
      <c r="F267" s="24" t="n"/>
      <c r="G267" s="14" t="n"/>
      <c r="H267" s="14" t="n"/>
      <c r="I267" s="23" t="n"/>
      <c r="J267" s="24" t="n"/>
      <c r="K267" s="23" t="n"/>
      <c r="L267" s="25">
        <f>IF(OR(E267="",N(U267)=0),"",U267-SUMIFS(Q$18:Q267,E$18:E267,E267))</f>
        <v/>
      </c>
      <c r="M267" s="26">
        <f>IF(OR(N(J267)=0,K267="Cancelled"),"",IF(AND(N(J267)&gt;5000,P267&lt;&gt;"G"),"Yes: ₹1","No"))</f>
        <v/>
      </c>
      <c r="N267" s="27">
        <f>IF(AND(B267="",D267="",N(J267)=0),"",IF(B267="","Enter the date",IF(AND(ROW()&gt;18,B266=""),"Use the next empty row: a skipped row leaves a gap in the receipt numbers",IF(D267="","Enter who paid",IF(N(J267)=0,"Enter the amount",IF(G267="","Pick what the money was for",IF(P267="?","Pick what it was for from the list",IF(H267="","Pick how it was paid",IF(K267="Cancelled","Cancelled: keep this number unused and give a fresh receipt",IF(AND(H267&lt;&gt;"Cash",I267=""),"Enter the cheque no., UTR or UPI reference",IF(AND(L267&lt;&gt;"",N(L267)&lt;0),"More than the balance due on this invoice",IF(S267&gt;=200000,"₹2,00,000 or more in cash from this person today: barred, s.186",IF(T267&gt;=200000,"₹2,00,000 or more in cash against this invoice: barred, s.186",IF(AND(P267="T",H267="Cash",N(J267)&gt;=20000),"Loan of ₹20,000 or more in cash: barred, s.185",IF(AND(P267="D",H267="Cash",N(J267)&gt;=20000),"Cash deposit of ₹20,000 or more: ask your accountant whether s.185 applies",IF(AND(OR(P267="AG",P267="AS"),$E$9&lt;&gt;""),"Advance: also give a GST receipt voucher, s.31(3)(d) and Rule 50","OK"))))))))))))))))</f>
        <v/>
      </c>
      <c r="P267">
        <f>IF(G267="","",IFERROR(VLOOKUP(G267,Lists!$A$2:$B$9,2,FALSE),"?"))</f>
        <v/>
      </c>
      <c r="Q267">
        <f>IF(K267="Cancelled",0,N(J267))</f>
        <v/>
      </c>
      <c r="R267">
        <f>IF(OR(H267&lt;&gt;"Cash",P267="T",P267="D"),0,Q267)</f>
        <v/>
      </c>
      <c r="S267">
        <f>IF(R267=0,0,SUMIFS($R$18:$R$317,$B$18:$B$317,B267,$D$18:$D$317,D267))</f>
        <v/>
      </c>
      <c r="T267">
        <f>IF(OR(R267=0,E267=""),0,SUMIFS($R$18:$R$317,$E$18:$E$317,E267))</f>
        <v/>
      </c>
      <c r="U267">
        <f>IF(E267="","",IF(N(F267)&gt;0,F267,IFERROR(INDEX($F$18:$F$317,MATCH(E267,$E$18:$E$317,0)),"")))</f>
        <v/>
      </c>
      <c r="V267">
        <f>IF(OR(N267="",N267="OK",K267="Cancelled"),0,1)</f>
        <v/>
      </c>
    </row>
    <row r="268">
      <c r="B268" s="21" t="n"/>
      <c r="C268" s="22">
        <f>IF(B268="","",$E$10&amp;TEXT(N($E$11)+250,"000"))</f>
        <v/>
      </c>
      <c r="D268" s="14" t="n"/>
      <c r="E268" s="23" t="n"/>
      <c r="F268" s="24" t="n"/>
      <c r="G268" s="14" t="n"/>
      <c r="H268" s="14" t="n"/>
      <c r="I268" s="23" t="n"/>
      <c r="J268" s="24" t="n"/>
      <c r="K268" s="23" t="n"/>
      <c r="L268" s="25">
        <f>IF(OR(E268="",N(U268)=0),"",U268-SUMIFS(Q$18:Q268,E$18:E268,E268))</f>
        <v/>
      </c>
      <c r="M268" s="26">
        <f>IF(OR(N(J268)=0,K268="Cancelled"),"",IF(AND(N(J268)&gt;5000,P268&lt;&gt;"G"),"Yes: ₹1","No"))</f>
        <v/>
      </c>
      <c r="N268" s="27">
        <f>IF(AND(B268="",D268="",N(J268)=0),"",IF(B268="","Enter the date",IF(AND(ROW()&gt;18,B267=""),"Use the next empty row: a skipped row leaves a gap in the receipt numbers",IF(D268="","Enter who paid",IF(N(J268)=0,"Enter the amount",IF(G268="","Pick what the money was for",IF(P268="?","Pick what it was for from the list",IF(H268="","Pick how it was paid",IF(K268="Cancelled","Cancelled: keep this number unused and give a fresh receipt",IF(AND(H268&lt;&gt;"Cash",I268=""),"Enter the cheque no., UTR or UPI reference",IF(AND(L268&lt;&gt;"",N(L268)&lt;0),"More than the balance due on this invoice",IF(S268&gt;=200000,"₹2,00,000 or more in cash from this person today: barred, s.186",IF(T268&gt;=200000,"₹2,00,000 or more in cash against this invoice: barred, s.186",IF(AND(P268="T",H268="Cash",N(J268)&gt;=20000),"Loan of ₹20,000 or more in cash: barred, s.185",IF(AND(P268="D",H268="Cash",N(J268)&gt;=20000),"Cash deposit of ₹20,000 or more: ask your accountant whether s.185 applies",IF(AND(OR(P268="AG",P268="AS"),$E$9&lt;&gt;""),"Advance: also give a GST receipt voucher, s.31(3)(d) and Rule 50","OK"))))))))))))))))</f>
        <v/>
      </c>
      <c r="P268">
        <f>IF(G268="","",IFERROR(VLOOKUP(G268,Lists!$A$2:$B$9,2,FALSE),"?"))</f>
        <v/>
      </c>
      <c r="Q268">
        <f>IF(K268="Cancelled",0,N(J268))</f>
        <v/>
      </c>
      <c r="R268">
        <f>IF(OR(H268&lt;&gt;"Cash",P268="T",P268="D"),0,Q268)</f>
        <v/>
      </c>
      <c r="S268">
        <f>IF(R268=0,0,SUMIFS($R$18:$R$317,$B$18:$B$317,B268,$D$18:$D$317,D268))</f>
        <v/>
      </c>
      <c r="T268">
        <f>IF(OR(R268=0,E268=""),0,SUMIFS($R$18:$R$317,$E$18:$E$317,E268))</f>
        <v/>
      </c>
      <c r="U268">
        <f>IF(E268="","",IF(N(F268)&gt;0,F268,IFERROR(INDEX($F$18:$F$317,MATCH(E268,$E$18:$E$317,0)),"")))</f>
        <v/>
      </c>
      <c r="V268">
        <f>IF(OR(N268="",N268="OK",K268="Cancelled"),0,1)</f>
        <v/>
      </c>
    </row>
    <row r="269">
      <c r="B269" s="21" t="n"/>
      <c r="C269" s="22">
        <f>IF(B269="","",$E$10&amp;TEXT(N($E$11)+251,"000"))</f>
        <v/>
      </c>
      <c r="D269" s="14" t="n"/>
      <c r="E269" s="23" t="n"/>
      <c r="F269" s="24" t="n"/>
      <c r="G269" s="14" t="n"/>
      <c r="H269" s="14" t="n"/>
      <c r="I269" s="23" t="n"/>
      <c r="J269" s="24" t="n"/>
      <c r="K269" s="23" t="n"/>
      <c r="L269" s="25">
        <f>IF(OR(E269="",N(U269)=0),"",U269-SUMIFS(Q$18:Q269,E$18:E269,E269))</f>
        <v/>
      </c>
      <c r="M269" s="26">
        <f>IF(OR(N(J269)=0,K269="Cancelled"),"",IF(AND(N(J269)&gt;5000,P269&lt;&gt;"G"),"Yes: ₹1","No"))</f>
        <v/>
      </c>
      <c r="N269" s="27">
        <f>IF(AND(B269="",D269="",N(J269)=0),"",IF(B269="","Enter the date",IF(AND(ROW()&gt;18,B268=""),"Use the next empty row: a skipped row leaves a gap in the receipt numbers",IF(D269="","Enter who paid",IF(N(J269)=0,"Enter the amount",IF(G269="","Pick what the money was for",IF(P269="?","Pick what it was for from the list",IF(H269="","Pick how it was paid",IF(K269="Cancelled","Cancelled: keep this number unused and give a fresh receipt",IF(AND(H269&lt;&gt;"Cash",I269=""),"Enter the cheque no., UTR or UPI reference",IF(AND(L269&lt;&gt;"",N(L269)&lt;0),"More than the balance due on this invoice",IF(S269&gt;=200000,"₹2,00,000 or more in cash from this person today: barred, s.186",IF(T269&gt;=200000,"₹2,00,000 or more in cash against this invoice: barred, s.186",IF(AND(P269="T",H269="Cash",N(J269)&gt;=20000),"Loan of ₹20,000 or more in cash: barred, s.185",IF(AND(P269="D",H269="Cash",N(J269)&gt;=20000),"Cash deposit of ₹20,000 or more: ask your accountant whether s.185 applies",IF(AND(OR(P269="AG",P269="AS"),$E$9&lt;&gt;""),"Advance: also give a GST receipt voucher, s.31(3)(d) and Rule 50","OK"))))))))))))))))</f>
        <v/>
      </c>
      <c r="P269">
        <f>IF(G269="","",IFERROR(VLOOKUP(G269,Lists!$A$2:$B$9,2,FALSE),"?"))</f>
        <v/>
      </c>
      <c r="Q269">
        <f>IF(K269="Cancelled",0,N(J269))</f>
        <v/>
      </c>
      <c r="R269">
        <f>IF(OR(H269&lt;&gt;"Cash",P269="T",P269="D"),0,Q269)</f>
        <v/>
      </c>
      <c r="S269">
        <f>IF(R269=0,0,SUMIFS($R$18:$R$317,$B$18:$B$317,B269,$D$18:$D$317,D269))</f>
        <v/>
      </c>
      <c r="T269">
        <f>IF(OR(R269=0,E269=""),0,SUMIFS($R$18:$R$317,$E$18:$E$317,E269))</f>
        <v/>
      </c>
      <c r="U269">
        <f>IF(E269="","",IF(N(F269)&gt;0,F269,IFERROR(INDEX($F$18:$F$317,MATCH(E269,$E$18:$E$317,0)),"")))</f>
        <v/>
      </c>
      <c r="V269">
        <f>IF(OR(N269="",N269="OK",K269="Cancelled"),0,1)</f>
        <v/>
      </c>
    </row>
    <row r="270">
      <c r="B270" s="21" t="n"/>
      <c r="C270" s="22">
        <f>IF(B270="","",$E$10&amp;TEXT(N($E$11)+252,"000"))</f>
        <v/>
      </c>
      <c r="D270" s="14" t="n"/>
      <c r="E270" s="23" t="n"/>
      <c r="F270" s="24" t="n"/>
      <c r="G270" s="14" t="n"/>
      <c r="H270" s="14" t="n"/>
      <c r="I270" s="23" t="n"/>
      <c r="J270" s="24" t="n"/>
      <c r="K270" s="23" t="n"/>
      <c r="L270" s="25">
        <f>IF(OR(E270="",N(U270)=0),"",U270-SUMIFS(Q$18:Q270,E$18:E270,E270))</f>
        <v/>
      </c>
      <c r="M270" s="26">
        <f>IF(OR(N(J270)=0,K270="Cancelled"),"",IF(AND(N(J270)&gt;5000,P270&lt;&gt;"G"),"Yes: ₹1","No"))</f>
        <v/>
      </c>
      <c r="N270" s="27">
        <f>IF(AND(B270="",D270="",N(J270)=0),"",IF(B270="","Enter the date",IF(AND(ROW()&gt;18,B269=""),"Use the next empty row: a skipped row leaves a gap in the receipt numbers",IF(D270="","Enter who paid",IF(N(J270)=0,"Enter the amount",IF(G270="","Pick what the money was for",IF(P270="?","Pick what it was for from the list",IF(H270="","Pick how it was paid",IF(K270="Cancelled","Cancelled: keep this number unused and give a fresh receipt",IF(AND(H270&lt;&gt;"Cash",I270=""),"Enter the cheque no., UTR or UPI reference",IF(AND(L270&lt;&gt;"",N(L270)&lt;0),"More than the balance due on this invoice",IF(S270&gt;=200000,"₹2,00,000 or more in cash from this person today: barred, s.186",IF(T270&gt;=200000,"₹2,00,000 or more in cash against this invoice: barred, s.186",IF(AND(P270="T",H270="Cash",N(J270)&gt;=20000),"Loan of ₹20,000 or more in cash: barred, s.185",IF(AND(P270="D",H270="Cash",N(J270)&gt;=20000),"Cash deposit of ₹20,000 or more: ask your accountant whether s.185 applies",IF(AND(OR(P270="AG",P270="AS"),$E$9&lt;&gt;""),"Advance: also give a GST receipt voucher, s.31(3)(d) and Rule 50","OK"))))))))))))))))</f>
        <v/>
      </c>
      <c r="P270">
        <f>IF(G270="","",IFERROR(VLOOKUP(G270,Lists!$A$2:$B$9,2,FALSE),"?"))</f>
        <v/>
      </c>
      <c r="Q270">
        <f>IF(K270="Cancelled",0,N(J270))</f>
        <v/>
      </c>
      <c r="R270">
        <f>IF(OR(H270&lt;&gt;"Cash",P270="T",P270="D"),0,Q270)</f>
        <v/>
      </c>
      <c r="S270">
        <f>IF(R270=0,0,SUMIFS($R$18:$R$317,$B$18:$B$317,B270,$D$18:$D$317,D270))</f>
        <v/>
      </c>
      <c r="T270">
        <f>IF(OR(R270=0,E270=""),0,SUMIFS($R$18:$R$317,$E$18:$E$317,E270))</f>
        <v/>
      </c>
      <c r="U270">
        <f>IF(E270="","",IF(N(F270)&gt;0,F270,IFERROR(INDEX($F$18:$F$317,MATCH(E270,$E$18:$E$317,0)),"")))</f>
        <v/>
      </c>
      <c r="V270">
        <f>IF(OR(N270="",N270="OK",K270="Cancelled"),0,1)</f>
        <v/>
      </c>
    </row>
    <row r="271">
      <c r="B271" s="21" t="n"/>
      <c r="C271" s="22">
        <f>IF(B271="","",$E$10&amp;TEXT(N($E$11)+253,"000"))</f>
        <v/>
      </c>
      <c r="D271" s="14" t="n"/>
      <c r="E271" s="23" t="n"/>
      <c r="F271" s="24" t="n"/>
      <c r="G271" s="14" t="n"/>
      <c r="H271" s="14" t="n"/>
      <c r="I271" s="23" t="n"/>
      <c r="J271" s="24" t="n"/>
      <c r="K271" s="23" t="n"/>
      <c r="L271" s="25">
        <f>IF(OR(E271="",N(U271)=0),"",U271-SUMIFS(Q$18:Q271,E$18:E271,E271))</f>
        <v/>
      </c>
      <c r="M271" s="26">
        <f>IF(OR(N(J271)=0,K271="Cancelled"),"",IF(AND(N(J271)&gt;5000,P271&lt;&gt;"G"),"Yes: ₹1","No"))</f>
        <v/>
      </c>
      <c r="N271" s="27">
        <f>IF(AND(B271="",D271="",N(J271)=0),"",IF(B271="","Enter the date",IF(AND(ROW()&gt;18,B270=""),"Use the next empty row: a skipped row leaves a gap in the receipt numbers",IF(D271="","Enter who paid",IF(N(J271)=0,"Enter the amount",IF(G271="","Pick what the money was for",IF(P271="?","Pick what it was for from the list",IF(H271="","Pick how it was paid",IF(K271="Cancelled","Cancelled: keep this number unused and give a fresh receipt",IF(AND(H271&lt;&gt;"Cash",I271=""),"Enter the cheque no., UTR or UPI reference",IF(AND(L271&lt;&gt;"",N(L271)&lt;0),"More than the balance due on this invoice",IF(S271&gt;=200000,"₹2,00,000 or more in cash from this person today: barred, s.186",IF(T271&gt;=200000,"₹2,00,000 or more in cash against this invoice: barred, s.186",IF(AND(P271="T",H271="Cash",N(J271)&gt;=20000),"Loan of ₹20,000 or more in cash: barred, s.185",IF(AND(P271="D",H271="Cash",N(J271)&gt;=20000),"Cash deposit of ₹20,000 or more: ask your accountant whether s.185 applies",IF(AND(OR(P271="AG",P271="AS"),$E$9&lt;&gt;""),"Advance: also give a GST receipt voucher, s.31(3)(d) and Rule 50","OK"))))))))))))))))</f>
        <v/>
      </c>
      <c r="P271">
        <f>IF(G271="","",IFERROR(VLOOKUP(G271,Lists!$A$2:$B$9,2,FALSE),"?"))</f>
        <v/>
      </c>
      <c r="Q271">
        <f>IF(K271="Cancelled",0,N(J271))</f>
        <v/>
      </c>
      <c r="R271">
        <f>IF(OR(H271&lt;&gt;"Cash",P271="T",P271="D"),0,Q271)</f>
        <v/>
      </c>
      <c r="S271">
        <f>IF(R271=0,0,SUMIFS($R$18:$R$317,$B$18:$B$317,B271,$D$18:$D$317,D271))</f>
        <v/>
      </c>
      <c r="T271">
        <f>IF(OR(R271=0,E271=""),0,SUMIFS($R$18:$R$317,$E$18:$E$317,E271))</f>
        <v/>
      </c>
      <c r="U271">
        <f>IF(E271="","",IF(N(F271)&gt;0,F271,IFERROR(INDEX($F$18:$F$317,MATCH(E271,$E$18:$E$317,0)),"")))</f>
        <v/>
      </c>
      <c r="V271">
        <f>IF(OR(N271="",N271="OK",K271="Cancelled"),0,1)</f>
        <v/>
      </c>
    </row>
    <row r="272">
      <c r="B272" s="21" t="n"/>
      <c r="C272" s="22">
        <f>IF(B272="","",$E$10&amp;TEXT(N($E$11)+254,"000"))</f>
        <v/>
      </c>
      <c r="D272" s="14" t="n"/>
      <c r="E272" s="23" t="n"/>
      <c r="F272" s="24" t="n"/>
      <c r="G272" s="14" t="n"/>
      <c r="H272" s="14" t="n"/>
      <c r="I272" s="23" t="n"/>
      <c r="J272" s="24" t="n"/>
      <c r="K272" s="23" t="n"/>
      <c r="L272" s="25">
        <f>IF(OR(E272="",N(U272)=0),"",U272-SUMIFS(Q$18:Q272,E$18:E272,E272))</f>
        <v/>
      </c>
      <c r="M272" s="26">
        <f>IF(OR(N(J272)=0,K272="Cancelled"),"",IF(AND(N(J272)&gt;5000,P272&lt;&gt;"G"),"Yes: ₹1","No"))</f>
        <v/>
      </c>
      <c r="N272" s="27">
        <f>IF(AND(B272="",D272="",N(J272)=0),"",IF(B272="","Enter the date",IF(AND(ROW()&gt;18,B271=""),"Use the next empty row: a skipped row leaves a gap in the receipt numbers",IF(D272="","Enter who paid",IF(N(J272)=0,"Enter the amount",IF(G272="","Pick what the money was for",IF(P272="?","Pick what it was for from the list",IF(H272="","Pick how it was paid",IF(K272="Cancelled","Cancelled: keep this number unused and give a fresh receipt",IF(AND(H272&lt;&gt;"Cash",I272=""),"Enter the cheque no., UTR or UPI reference",IF(AND(L272&lt;&gt;"",N(L272)&lt;0),"More than the balance due on this invoice",IF(S272&gt;=200000,"₹2,00,000 or more in cash from this person today: barred, s.186",IF(T272&gt;=200000,"₹2,00,000 or more in cash against this invoice: barred, s.186",IF(AND(P272="T",H272="Cash",N(J272)&gt;=20000),"Loan of ₹20,000 or more in cash: barred, s.185",IF(AND(P272="D",H272="Cash",N(J272)&gt;=20000),"Cash deposit of ₹20,000 or more: ask your accountant whether s.185 applies",IF(AND(OR(P272="AG",P272="AS"),$E$9&lt;&gt;""),"Advance: also give a GST receipt voucher, s.31(3)(d) and Rule 50","OK"))))))))))))))))</f>
        <v/>
      </c>
      <c r="P272">
        <f>IF(G272="","",IFERROR(VLOOKUP(G272,Lists!$A$2:$B$9,2,FALSE),"?"))</f>
        <v/>
      </c>
      <c r="Q272">
        <f>IF(K272="Cancelled",0,N(J272))</f>
        <v/>
      </c>
      <c r="R272">
        <f>IF(OR(H272&lt;&gt;"Cash",P272="T",P272="D"),0,Q272)</f>
        <v/>
      </c>
      <c r="S272">
        <f>IF(R272=0,0,SUMIFS($R$18:$R$317,$B$18:$B$317,B272,$D$18:$D$317,D272))</f>
        <v/>
      </c>
      <c r="T272">
        <f>IF(OR(R272=0,E272=""),0,SUMIFS($R$18:$R$317,$E$18:$E$317,E272))</f>
        <v/>
      </c>
      <c r="U272">
        <f>IF(E272="","",IF(N(F272)&gt;0,F272,IFERROR(INDEX($F$18:$F$317,MATCH(E272,$E$18:$E$317,0)),"")))</f>
        <v/>
      </c>
      <c r="V272">
        <f>IF(OR(N272="",N272="OK",K272="Cancelled"),0,1)</f>
        <v/>
      </c>
    </row>
    <row r="273">
      <c r="B273" s="21" t="n"/>
      <c r="C273" s="22">
        <f>IF(B273="","",$E$10&amp;TEXT(N($E$11)+255,"000"))</f>
        <v/>
      </c>
      <c r="D273" s="14" t="n"/>
      <c r="E273" s="23" t="n"/>
      <c r="F273" s="24" t="n"/>
      <c r="G273" s="14" t="n"/>
      <c r="H273" s="14" t="n"/>
      <c r="I273" s="23" t="n"/>
      <c r="J273" s="24" t="n"/>
      <c r="K273" s="23" t="n"/>
      <c r="L273" s="25">
        <f>IF(OR(E273="",N(U273)=0),"",U273-SUMIFS(Q$18:Q273,E$18:E273,E273))</f>
        <v/>
      </c>
      <c r="M273" s="26">
        <f>IF(OR(N(J273)=0,K273="Cancelled"),"",IF(AND(N(J273)&gt;5000,P273&lt;&gt;"G"),"Yes: ₹1","No"))</f>
        <v/>
      </c>
      <c r="N273" s="27">
        <f>IF(AND(B273="",D273="",N(J273)=0),"",IF(B273="","Enter the date",IF(AND(ROW()&gt;18,B272=""),"Use the next empty row: a skipped row leaves a gap in the receipt numbers",IF(D273="","Enter who paid",IF(N(J273)=0,"Enter the amount",IF(G273="","Pick what the money was for",IF(P273="?","Pick what it was for from the list",IF(H273="","Pick how it was paid",IF(K273="Cancelled","Cancelled: keep this number unused and give a fresh receipt",IF(AND(H273&lt;&gt;"Cash",I273=""),"Enter the cheque no., UTR or UPI reference",IF(AND(L273&lt;&gt;"",N(L273)&lt;0),"More than the balance due on this invoice",IF(S273&gt;=200000,"₹2,00,000 or more in cash from this person today: barred, s.186",IF(T273&gt;=200000,"₹2,00,000 or more in cash against this invoice: barred, s.186",IF(AND(P273="T",H273="Cash",N(J273)&gt;=20000),"Loan of ₹20,000 or more in cash: barred, s.185",IF(AND(P273="D",H273="Cash",N(J273)&gt;=20000),"Cash deposit of ₹20,000 or more: ask your accountant whether s.185 applies",IF(AND(OR(P273="AG",P273="AS"),$E$9&lt;&gt;""),"Advance: also give a GST receipt voucher, s.31(3)(d) and Rule 50","OK"))))))))))))))))</f>
        <v/>
      </c>
      <c r="P273">
        <f>IF(G273="","",IFERROR(VLOOKUP(G273,Lists!$A$2:$B$9,2,FALSE),"?"))</f>
        <v/>
      </c>
      <c r="Q273">
        <f>IF(K273="Cancelled",0,N(J273))</f>
        <v/>
      </c>
      <c r="R273">
        <f>IF(OR(H273&lt;&gt;"Cash",P273="T",P273="D"),0,Q273)</f>
        <v/>
      </c>
      <c r="S273">
        <f>IF(R273=0,0,SUMIFS($R$18:$R$317,$B$18:$B$317,B273,$D$18:$D$317,D273))</f>
        <v/>
      </c>
      <c r="T273">
        <f>IF(OR(R273=0,E273=""),0,SUMIFS($R$18:$R$317,$E$18:$E$317,E273))</f>
        <v/>
      </c>
      <c r="U273">
        <f>IF(E273="","",IF(N(F273)&gt;0,F273,IFERROR(INDEX($F$18:$F$317,MATCH(E273,$E$18:$E$317,0)),"")))</f>
        <v/>
      </c>
      <c r="V273">
        <f>IF(OR(N273="",N273="OK",K273="Cancelled"),0,1)</f>
        <v/>
      </c>
    </row>
    <row r="274">
      <c r="B274" s="21" t="n"/>
      <c r="C274" s="22">
        <f>IF(B274="","",$E$10&amp;TEXT(N($E$11)+256,"000"))</f>
        <v/>
      </c>
      <c r="D274" s="14" t="n"/>
      <c r="E274" s="23" t="n"/>
      <c r="F274" s="24" t="n"/>
      <c r="G274" s="14" t="n"/>
      <c r="H274" s="14" t="n"/>
      <c r="I274" s="23" t="n"/>
      <c r="J274" s="24" t="n"/>
      <c r="K274" s="23" t="n"/>
      <c r="L274" s="25">
        <f>IF(OR(E274="",N(U274)=0),"",U274-SUMIFS(Q$18:Q274,E$18:E274,E274))</f>
        <v/>
      </c>
      <c r="M274" s="26">
        <f>IF(OR(N(J274)=0,K274="Cancelled"),"",IF(AND(N(J274)&gt;5000,P274&lt;&gt;"G"),"Yes: ₹1","No"))</f>
        <v/>
      </c>
      <c r="N274" s="27">
        <f>IF(AND(B274="",D274="",N(J274)=0),"",IF(B274="","Enter the date",IF(AND(ROW()&gt;18,B273=""),"Use the next empty row: a skipped row leaves a gap in the receipt numbers",IF(D274="","Enter who paid",IF(N(J274)=0,"Enter the amount",IF(G274="","Pick what the money was for",IF(P274="?","Pick what it was for from the list",IF(H274="","Pick how it was paid",IF(K274="Cancelled","Cancelled: keep this number unused and give a fresh receipt",IF(AND(H274&lt;&gt;"Cash",I274=""),"Enter the cheque no., UTR or UPI reference",IF(AND(L274&lt;&gt;"",N(L274)&lt;0),"More than the balance due on this invoice",IF(S274&gt;=200000,"₹2,00,000 or more in cash from this person today: barred, s.186",IF(T274&gt;=200000,"₹2,00,000 or more in cash against this invoice: barred, s.186",IF(AND(P274="T",H274="Cash",N(J274)&gt;=20000),"Loan of ₹20,000 or more in cash: barred, s.185",IF(AND(P274="D",H274="Cash",N(J274)&gt;=20000),"Cash deposit of ₹20,000 or more: ask your accountant whether s.185 applies",IF(AND(OR(P274="AG",P274="AS"),$E$9&lt;&gt;""),"Advance: also give a GST receipt voucher, s.31(3)(d) and Rule 50","OK"))))))))))))))))</f>
        <v/>
      </c>
      <c r="P274">
        <f>IF(G274="","",IFERROR(VLOOKUP(G274,Lists!$A$2:$B$9,2,FALSE),"?"))</f>
        <v/>
      </c>
      <c r="Q274">
        <f>IF(K274="Cancelled",0,N(J274))</f>
        <v/>
      </c>
      <c r="R274">
        <f>IF(OR(H274&lt;&gt;"Cash",P274="T",P274="D"),0,Q274)</f>
        <v/>
      </c>
      <c r="S274">
        <f>IF(R274=0,0,SUMIFS($R$18:$R$317,$B$18:$B$317,B274,$D$18:$D$317,D274))</f>
        <v/>
      </c>
      <c r="T274">
        <f>IF(OR(R274=0,E274=""),0,SUMIFS($R$18:$R$317,$E$18:$E$317,E274))</f>
        <v/>
      </c>
      <c r="U274">
        <f>IF(E274="","",IF(N(F274)&gt;0,F274,IFERROR(INDEX($F$18:$F$317,MATCH(E274,$E$18:$E$317,0)),"")))</f>
        <v/>
      </c>
      <c r="V274">
        <f>IF(OR(N274="",N274="OK",K274="Cancelled"),0,1)</f>
        <v/>
      </c>
    </row>
    <row r="275">
      <c r="B275" s="21" t="n"/>
      <c r="C275" s="22">
        <f>IF(B275="","",$E$10&amp;TEXT(N($E$11)+257,"000"))</f>
        <v/>
      </c>
      <c r="D275" s="14" t="n"/>
      <c r="E275" s="23" t="n"/>
      <c r="F275" s="24" t="n"/>
      <c r="G275" s="14" t="n"/>
      <c r="H275" s="14" t="n"/>
      <c r="I275" s="23" t="n"/>
      <c r="J275" s="24" t="n"/>
      <c r="K275" s="23" t="n"/>
      <c r="L275" s="25">
        <f>IF(OR(E275="",N(U275)=0),"",U275-SUMIFS(Q$18:Q275,E$18:E275,E275))</f>
        <v/>
      </c>
      <c r="M275" s="26">
        <f>IF(OR(N(J275)=0,K275="Cancelled"),"",IF(AND(N(J275)&gt;5000,P275&lt;&gt;"G"),"Yes: ₹1","No"))</f>
        <v/>
      </c>
      <c r="N275" s="27">
        <f>IF(AND(B275="",D275="",N(J275)=0),"",IF(B275="","Enter the date",IF(AND(ROW()&gt;18,B274=""),"Use the next empty row: a skipped row leaves a gap in the receipt numbers",IF(D275="","Enter who paid",IF(N(J275)=0,"Enter the amount",IF(G275="","Pick what the money was for",IF(P275="?","Pick what it was for from the list",IF(H275="","Pick how it was paid",IF(K275="Cancelled","Cancelled: keep this number unused and give a fresh receipt",IF(AND(H275&lt;&gt;"Cash",I275=""),"Enter the cheque no., UTR or UPI reference",IF(AND(L275&lt;&gt;"",N(L275)&lt;0),"More than the balance due on this invoice",IF(S275&gt;=200000,"₹2,00,000 or more in cash from this person today: barred, s.186",IF(T275&gt;=200000,"₹2,00,000 or more in cash against this invoice: barred, s.186",IF(AND(P275="T",H275="Cash",N(J275)&gt;=20000),"Loan of ₹20,000 or more in cash: barred, s.185",IF(AND(P275="D",H275="Cash",N(J275)&gt;=20000),"Cash deposit of ₹20,000 or more: ask your accountant whether s.185 applies",IF(AND(OR(P275="AG",P275="AS"),$E$9&lt;&gt;""),"Advance: also give a GST receipt voucher, s.31(3)(d) and Rule 50","OK"))))))))))))))))</f>
        <v/>
      </c>
      <c r="P275">
        <f>IF(G275="","",IFERROR(VLOOKUP(G275,Lists!$A$2:$B$9,2,FALSE),"?"))</f>
        <v/>
      </c>
      <c r="Q275">
        <f>IF(K275="Cancelled",0,N(J275))</f>
        <v/>
      </c>
      <c r="R275">
        <f>IF(OR(H275&lt;&gt;"Cash",P275="T",P275="D"),0,Q275)</f>
        <v/>
      </c>
      <c r="S275">
        <f>IF(R275=0,0,SUMIFS($R$18:$R$317,$B$18:$B$317,B275,$D$18:$D$317,D275))</f>
        <v/>
      </c>
      <c r="T275">
        <f>IF(OR(R275=0,E275=""),0,SUMIFS($R$18:$R$317,$E$18:$E$317,E275))</f>
        <v/>
      </c>
      <c r="U275">
        <f>IF(E275="","",IF(N(F275)&gt;0,F275,IFERROR(INDEX($F$18:$F$317,MATCH(E275,$E$18:$E$317,0)),"")))</f>
        <v/>
      </c>
      <c r="V275">
        <f>IF(OR(N275="",N275="OK",K275="Cancelled"),0,1)</f>
        <v/>
      </c>
    </row>
    <row r="276">
      <c r="B276" s="21" t="n"/>
      <c r="C276" s="22">
        <f>IF(B276="","",$E$10&amp;TEXT(N($E$11)+258,"000"))</f>
        <v/>
      </c>
      <c r="D276" s="14" t="n"/>
      <c r="E276" s="23" t="n"/>
      <c r="F276" s="24" t="n"/>
      <c r="G276" s="14" t="n"/>
      <c r="H276" s="14" t="n"/>
      <c r="I276" s="23" t="n"/>
      <c r="J276" s="24" t="n"/>
      <c r="K276" s="23" t="n"/>
      <c r="L276" s="25">
        <f>IF(OR(E276="",N(U276)=0),"",U276-SUMIFS(Q$18:Q276,E$18:E276,E276))</f>
        <v/>
      </c>
      <c r="M276" s="26">
        <f>IF(OR(N(J276)=0,K276="Cancelled"),"",IF(AND(N(J276)&gt;5000,P276&lt;&gt;"G"),"Yes: ₹1","No"))</f>
        <v/>
      </c>
      <c r="N276" s="27">
        <f>IF(AND(B276="",D276="",N(J276)=0),"",IF(B276="","Enter the date",IF(AND(ROW()&gt;18,B275=""),"Use the next empty row: a skipped row leaves a gap in the receipt numbers",IF(D276="","Enter who paid",IF(N(J276)=0,"Enter the amount",IF(G276="","Pick what the money was for",IF(P276="?","Pick what it was for from the list",IF(H276="","Pick how it was paid",IF(K276="Cancelled","Cancelled: keep this number unused and give a fresh receipt",IF(AND(H276&lt;&gt;"Cash",I276=""),"Enter the cheque no., UTR or UPI reference",IF(AND(L276&lt;&gt;"",N(L276)&lt;0),"More than the balance due on this invoice",IF(S276&gt;=200000,"₹2,00,000 or more in cash from this person today: barred, s.186",IF(T276&gt;=200000,"₹2,00,000 or more in cash against this invoice: barred, s.186",IF(AND(P276="T",H276="Cash",N(J276)&gt;=20000),"Loan of ₹20,000 or more in cash: barred, s.185",IF(AND(P276="D",H276="Cash",N(J276)&gt;=20000),"Cash deposit of ₹20,000 or more: ask your accountant whether s.185 applies",IF(AND(OR(P276="AG",P276="AS"),$E$9&lt;&gt;""),"Advance: also give a GST receipt voucher, s.31(3)(d) and Rule 50","OK"))))))))))))))))</f>
        <v/>
      </c>
      <c r="P276">
        <f>IF(G276="","",IFERROR(VLOOKUP(G276,Lists!$A$2:$B$9,2,FALSE),"?"))</f>
        <v/>
      </c>
      <c r="Q276">
        <f>IF(K276="Cancelled",0,N(J276))</f>
        <v/>
      </c>
      <c r="R276">
        <f>IF(OR(H276&lt;&gt;"Cash",P276="T",P276="D"),0,Q276)</f>
        <v/>
      </c>
      <c r="S276">
        <f>IF(R276=0,0,SUMIFS($R$18:$R$317,$B$18:$B$317,B276,$D$18:$D$317,D276))</f>
        <v/>
      </c>
      <c r="T276">
        <f>IF(OR(R276=0,E276=""),0,SUMIFS($R$18:$R$317,$E$18:$E$317,E276))</f>
        <v/>
      </c>
      <c r="U276">
        <f>IF(E276="","",IF(N(F276)&gt;0,F276,IFERROR(INDEX($F$18:$F$317,MATCH(E276,$E$18:$E$317,0)),"")))</f>
        <v/>
      </c>
      <c r="V276">
        <f>IF(OR(N276="",N276="OK",K276="Cancelled"),0,1)</f>
        <v/>
      </c>
    </row>
    <row r="277">
      <c r="B277" s="21" t="n"/>
      <c r="C277" s="22">
        <f>IF(B277="","",$E$10&amp;TEXT(N($E$11)+259,"000"))</f>
        <v/>
      </c>
      <c r="D277" s="14" t="n"/>
      <c r="E277" s="23" t="n"/>
      <c r="F277" s="24" t="n"/>
      <c r="G277" s="14" t="n"/>
      <c r="H277" s="14" t="n"/>
      <c r="I277" s="23" t="n"/>
      <c r="J277" s="24" t="n"/>
      <c r="K277" s="23" t="n"/>
      <c r="L277" s="25">
        <f>IF(OR(E277="",N(U277)=0),"",U277-SUMIFS(Q$18:Q277,E$18:E277,E277))</f>
        <v/>
      </c>
      <c r="M277" s="26">
        <f>IF(OR(N(J277)=0,K277="Cancelled"),"",IF(AND(N(J277)&gt;5000,P277&lt;&gt;"G"),"Yes: ₹1","No"))</f>
        <v/>
      </c>
      <c r="N277" s="27">
        <f>IF(AND(B277="",D277="",N(J277)=0),"",IF(B277="","Enter the date",IF(AND(ROW()&gt;18,B276=""),"Use the next empty row: a skipped row leaves a gap in the receipt numbers",IF(D277="","Enter who paid",IF(N(J277)=0,"Enter the amount",IF(G277="","Pick what the money was for",IF(P277="?","Pick what it was for from the list",IF(H277="","Pick how it was paid",IF(K277="Cancelled","Cancelled: keep this number unused and give a fresh receipt",IF(AND(H277&lt;&gt;"Cash",I277=""),"Enter the cheque no., UTR or UPI reference",IF(AND(L277&lt;&gt;"",N(L277)&lt;0),"More than the balance due on this invoice",IF(S277&gt;=200000,"₹2,00,000 or more in cash from this person today: barred, s.186",IF(T277&gt;=200000,"₹2,00,000 or more in cash against this invoice: barred, s.186",IF(AND(P277="T",H277="Cash",N(J277)&gt;=20000),"Loan of ₹20,000 or more in cash: barred, s.185",IF(AND(P277="D",H277="Cash",N(J277)&gt;=20000),"Cash deposit of ₹20,000 or more: ask your accountant whether s.185 applies",IF(AND(OR(P277="AG",P277="AS"),$E$9&lt;&gt;""),"Advance: also give a GST receipt voucher, s.31(3)(d) and Rule 50","OK"))))))))))))))))</f>
        <v/>
      </c>
      <c r="P277">
        <f>IF(G277="","",IFERROR(VLOOKUP(G277,Lists!$A$2:$B$9,2,FALSE),"?"))</f>
        <v/>
      </c>
      <c r="Q277">
        <f>IF(K277="Cancelled",0,N(J277))</f>
        <v/>
      </c>
      <c r="R277">
        <f>IF(OR(H277&lt;&gt;"Cash",P277="T",P277="D"),0,Q277)</f>
        <v/>
      </c>
      <c r="S277">
        <f>IF(R277=0,0,SUMIFS($R$18:$R$317,$B$18:$B$317,B277,$D$18:$D$317,D277))</f>
        <v/>
      </c>
      <c r="T277">
        <f>IF(OR(R277=0,E277=""),0,SUMIFS($R$18:$R$317,$E$18:$E$317,E277))</f>
        <v/>
      </c>
      <c r="U277">
        <f>IF(E277="","",IF(N(F277)&gt;0,F277,IFERROR(INDEX($F$18:$F$317,MATCH(E277,$E$18:$E$317,0)),"")))</f>
        <v/>
      </c>
      <c r="V277">
        <f>IF(OR(N277="",N277="OK",K277="Cancelled"),0,1)</f>
        <v/>
      </c>
    </row>
    <row r="278">
      <c r="B278" s="21" t="n"/>
      <c r="C278" s="22">
        <f>IF(B278="","",$E$10&amp;TEXT(N($E$11)+260,"000"))</f>
        <v/>
      </c>
      <c r="D278" s="14" t="n"/>
      <c r="E278" s="23" t="n"/>
      <c r="F278" s="24" t="n"/>
      <c r="G278" s="14" t="n"/>
      <c r="H278" s="14" t="n"/>
      <c r="I278" s="23" t="n"/>
      <c r="J278" s="24" t="n"/>
      <c r="K278" s="23" t="n"/>
      <c r="L278" s="25">
        <f>IF(OR(E278="",N(U278)=0),"",U278-SUMIFS(Q$18:Q278,E$18:E278,E278))</f>
        <v/>
      </c>
      <c r="M278" s="26">
        <f>IF(OR(N(J278)=0,K278="Cancelled"),"",IF(AND(N(J278)&gt;5000,P278&lt;&gt;"G"),"Yes: ₹1","No"))</f>
        <v/>
      </c>
      <c r="N278" s="27">
        <f>IF(AND(B278="",D278="",N(J278)=0),"",IF(B278="","Enter the date",IF(AND(ROW()&gt;18,B277=""),"Use the next empty row: a skipped row leaves a gap in the receipt numbers",IF(D278="","Enter who paid",IF(N(J278)=0,"Enter the amount",IF(G278="","Pick what the money was for",IF(P278="?","Pick what it was for from the list",IF(H278="","Pick how it was paid",IF(K278="Cancelled","Cancelled: keep this number unused and give a fresh receipt",IF(AND(H278&lt;&gt;"Cash",I278=""),"Enter the cheque no., UTR or UPI reference",IF(AND(L278&lt;&gt;"",N(L278)&lt;0),"More than the balance due on this invoice",IF(S278&gt;=200000,"₹2,00,000 or more in cash from this person today: barred, s.186",IF(T278&gt;=200000,"₹2,00,000 or more in cash against this invoice: barred, s.186",IF(AND(P278="T",H278="Cash",N(J278)&gt;=20000),"Loan of ₹20,000 or more in cash: barred, s.185",IF(AND(P278="D",H278="Cash",N(J278)&gt;=20000),"Cash deposit of ₹20,000 or more: ask your accountant whether s.185 applies",IF(AND(OR(P278="AG",P278="AS"),$E$9&lt;&gt;""),"Advance: also give a GST receipt voucher, s.31(3)(d) and Rule 50","OK"))))))))))))))))</f>
        <v/>
      </c>
      <c r="P278">
        <f>IF(G278="","",IFERROR(VLOOKUP(G278,Lists!$A$2:$B$9,2,FALSE),"?"))</f>
        <v/>
      </c>
      <c r="Q278">
        <f>IF(K278="Cancelled",0,N(J278))</f>
        <v/>
      </c>
      <c r="R278">
        <f>IF(OR(H278&lt;&gt;"Cash",P278="T",P278="D"),0,Q278)</f>
        <v/>
      </c>
      <c r="S278">
        <f>IF(R278=0,0,SUMIFS($R$18:$R$317,$B$18:$B$317,B278,$D$18:$D$317,D278))</f>
        <v/>
      </c>
      <c r="T278">
        <f>IF(OR(R278=0,E278=""),0,SUMIFS($R$18:$R$317,$E$18:$E$317,E278))</f>
        <v/>
      </c>
      <c r="U278">
        <f>IF(E278="","",IF(N(F278)&gt;0,F278,IFERROR(INDEX($F$18:$F$317,MATCH(E278,$E$18:$E$317,0)),"")))</f>
        <v/>
      </c>
      <c r="V278">
        <f>IF(OR(N278="",N278="OK",K278="Cancelled"),0,1)</f>
        <v/>
      </c>
    </row>
    <row r="279">
      <c r="B279" s="21" t="n"/>
      <c r="C279" s="22">
        <f>IF(B279="","",$E$10&amp;TEXT(N($E$11)+261,"000"))</f>
        <v/>
      </c>
      <c r="D279" s="14" t="n"/>
      <c r="E279" s="23" t="n"/>
      <c r="F279" s="24" t="n"/>
      <c r="G279" s="14" t="n"/>
      <c r="H279" s="14" t="n"/>
      <c r="I279" s="23" t="n"/>
      <c r="J279" s="24" t="n"/>
      <c r="K279" s="23" t="n"/>
      <c r="L279" s="25">
        <f>IF(OR(E279="",N(U279)=0),"",U279-SUMIFS(Q$18:Q279,E$18:E279,E279))</f>
        <v/>
      </c>
      <c r="M279" s="26">
        <f>IF(OR(N(J279)=0,K279="Cancelled"),"",IF(AND(N(J279)&gt;5000,P279&lt;&gt;"G"),"Yes: ₹1","No"))</f>
        <v/>
      </c>
      <c r="N279" s="27">
        <f>IF(AND(B279="",D279="",N(J279)=0),"",IF(B279="","Enter the date",IF(AND(ROW()&gt;18,B278=""),"Use the next empty row: a skipped row leaves a gap in the receipt numbers",IF(D279="","Enter who paid",IF(N(J279)=0,"Enter the amount",IF(G279="","Pick what the money was for",IF(P279="?","Pick what it was for from the list",IF(H279="","Pick how it was paid",IF(K279="Cancelled","Cancelled: keep this number unused and give a fresh receipt",IF(AND(H279&lt;&gt;"Cash",I279=""),"Enter the cheque no., UTR or UPI reference",IF(AND(L279&lt;&gt;"",N(L279)&lt;0),"More than the balance due on this invoice",IF(S279&gt;=200000,"₹2,00,000 or more in cash from this person today: barred, s.186",IF(T279&gt;=200000,"₹2,00,000 or more in cash against this invoice: barred, s.186",IF(AND(P279="T",H279="Cash",N(J279)&gt;=20000),"Loan of ₹20,000 or more in cash: barred, s.185",IF(AND(P279="D",H279="Cash",N(J279)&gt;=20000),"Cash deposit of ₹20,000 or more: ask your accountant whether s.185 applies",IF(AND(OR(P279="AG",P279="AS"),$E$9&lt;&gt;""),"Advance: also give a GST receipt voucher, s.31(3)(d) and Rule 50","OK"))))))))))))))))</f>
        <v/>
      </c>
      <c r="P279">
        <f>IF(G279="","",IFERROR(VLOOKUP(G279,Lists!$A$2:$B$9,2,FALSE),"?"))</f>
        <v/>
      </c>
      <c r="Q279">
        <f>IF(K279="Cancelled",0,N(J279))</f>
        <v/>
      </c>
      <c r="R279">
        <f>IF(OR(H279&lt;&gt;"Cash",P279="T",P279="D"),0,Q279)</f>
        <v/>
      </c>
      <c r="S279">
        <f>IF(R279=0,0,SUMIFS($R$18:$R$317,$B$18:$B$317,B279,$D$18:$D$317,D279))</f>
        <v/>
      </c>
      <c r="T279">
        <f>IF(OR(R279=0,E279=""),0,SUMIFS($R$18:$R$317,$E$18:$E$317,E279))</f>
        <v/>
      </c>
      <c r="U279">
        <f>IF(E279="","",IF(N(F279)&gt;0,F279,IFERROR(INDEX($F$18:$F$317,MATCH(E279,$E$18:$E$317,0)),"")))</f>
        <v/>
      </c>
      <c r="V279">
        <f>IF(OR(N279="",N279="OK",K279="Cancelled"),0,1)</f>
        <v/>
      </c>
    </row>
    <row r="280">
      <c r="B280" s="21" t="n"/>
      <c r="C280" s="22">
        <f>IF(B280="","",$E$10&amp;TEXT(N($E$11)+262,"000"))</f>
        <v/>
      </c>
      <c r="D280" s="14" t="n"/>
      <c r="E280" s="23" t="n"/>
      <c r="F280" s="24" t="n"/>
      <c r="G280" s="14" t="n"/>
      <c r="H280" s="14" t="n"/>
      <c r="I280" s="23" t="n"/>
      <c r="J280" s="24" t="n"/>
      <c r="K280" s="23" t="n"/>
      <c r="L280" s="25">
        <f>IF(OR(E280="",N(U280)=0),"",U280-SUMIFS(Q$18:Q280,E$18:E280,E280))</f>
        <v/>
      </c>
      <c r="M280" s="26">
        <f>IF(OR(N(J280)=0,K280="Cancelled"),"",IF(AND(N(J280)&gt;5000,P280&lt;&gt;"G"),"Yes: ₹1","No"))</f>
        <v/>
      </c>
      <c r="N280" s="27">
        <f>IF(AND(B280="",D280="",N(J280)=0),"",IF(B280="","Enter the date",IF(AND(ROW()&gt;18,B279=""),"Use the next empty row: a skipped row leaves a gap in the receipt numbers",IF(D280="","Enter who paid",IF(N(J280)=0,"Enter the amount",IF(G280="","Pick what the money was for",IF(P280="?","Pick what it was for from the list",IF(H280="","Pick how it was paid",IF(K280="Cancelled","Cancelled: keep this number unused and give a fresh receipt",IF(AND(H280&lt;&gt;"Cash",I280=""),"Enter the cheque no., UTR or UPI reference",IF(AND(L280&lt;&gt;"",N(L280)&lt;0),"More than the balance due on this invoice",IF(S280&gt;=200000,"₹2,00,000 or more in cash from this person today: barred, s.186",IF(T280&gt;=200000,"₹2,00,000 or more in cash against this invoice: barred, s.186",IF(AND(P280="T",H280="Cash",N(J280)&gt;=20000),"Loan of ₹20,000 or more in cash: barred, s.185",IF(AND(P280="D",H280="Cash",N(J280)&gt;=20000),"Cash deposit of ₹20,000 or more: ask your accountant whether s.185 applies",IF(AND(OR(P280="AG",P280="AS"),$E$9&lt;&gt;""),"Advance: also give a GST receipt voucher, s.31(3)(d) and Rule 50","OK"))))))))))))))))</f>
        <v/>
      </c>
      <c r="P280">
        <f>IF(G280="","",IFERROR(VLOOKUP(G280,Lists!$A$2:$B$9,2,FALSE),"?"))</f>
        <v/>
      </c>
      <c r="Q280">
        <f>IF(K280="Cancelled",0,N(J280))</f>
        <v/>
      </c>
      <c r="R280">
        <f>IF(OR(H280&lt;&gt;"Cash",P280="T",P280="D"),0,Q280)</f>
        <v/>
      </c>
      <c r="S280">
        <f>IF(R280=0,0,SUMIFS($R$18:$R$317,$B$18:$B$317,B280,$D$18:$D$317,D280))</f>
        <v/>
      </c>
      <c r="T280">
        <f>IF(OR(R280=0,E280=""),0,SUMIFS($R$18:$R$317,$E$18:$E$317,E280))</f>
        <v/>
      </c>
      <c r="U280">
        <f>IF(E280="","",IF(N(F280)&gt;0,F280,IFERROR(INDEX($F$18:$F$317,MATCH(E280,$E$18:$E$317,0)),"")))</f>
        <v/>
      </c>
      <c r="V280">
        <f>IF(OR(N280="",N280="OK",K280="Cancelled"),0,1)</f>
        <v/>
      </c>
    </row>
    <row r="281">
      <c r="B281" s="21" t="n"/>
      <c r="C281" s="22">
        <f>IF(B281="","",$E$10&amp;TEXT(N($E$11)+263,"000"))</f>
        <v/>
      </c>
      <c r="D281" s="14" t="n"/>
      <c r="E281" s="23" t="n"/>
      <c r="F281" s="24" t="n"/>
      <c r="G281" s="14" t="n"/>
      <c r="H281" s="14" t="n"/>
      <c r="I281" s="23" t="n"/>
      <c r="J281" s="24" t="n"/>
      <c r="K281" s="23" t="n"/>
      <c r="L281" s="25">
        <f>IF(OR(E281="",N(U281)=0),"",U281-SUMIFS(Q$18:Q281,E$18:E281,E281))</f>
        <v/>
      </c>
      <c r="M281" s="26">
        <f>IF(OR(N(J281)=0,K281="Cancelled"),"",IF(AND(N(J281)&gt;5000,P281&lt;&gt;"G"),"Yes: ₹1","No"))</f>
        <v/>
      </c>
      <c r="N281" s="27">
        <f>IF(AND(B281="",D281="",N(J281)=0),"",IF(B281="","Enter the date",IF(AND(ROW()&gt;18,B280=""),"Use the next empty row: a skipped row leaves a gap in the receipt numbers",IF(D281="","Enter who paid",IF(N(J281)=0,"Enter the amount",IF(G281="","Pick what the money was for",IF(P281="?","Pick what it was for from the list",IF(H281="","Pick how it was paid",IF(K281="Cancelled","Cancelled: keep this number unused and give a fresh receipt",IF(AND(H281&lt;&gt;"Cash",I281=""),"Enter the cheque no., UTR or UPI reference",IF(AND(L281&lt;&gt;"",N(L281)&lt;0),"More than the balance due on this invoice",IF(S281&gt;=200000,"₹2,00,000 or more in cash from this person today: barred, s.186",IF(T281&gt;=200000,"₹2,00,000 or more in cash against this invoice: barred, s.186",IF(AND(P281="T",H281="Cash",N(J281)&gt;=20000),"Loan of ₹20,000 or more in cash: barred, s.185",IF(AND(P281="D",H281="Cash",N(J281)&gt;=20000),"Cash deposit of ₹20,000 or more: ask your accountant whether s.185 applies",IF(AND(OR(P281="AG",P281="AS"),$E$9&lt;&gt;""),"Advance: also give a GST receipt voucher, s.31(3)(d) and Rule 50","OK"))))))))))))))))</f>
        <v/>
      </c>
      <c r="P281">
        <f>IF(G281="","",IFERROR(VLOOKUP(G281,Lists!$A$2:$B$9,2,FALSE),"?"))</f>
        <v/>
      </c>
      <c r="Q281">
        <f>IF(K281="Cancelled",0,N(J281))</f>
        <v/>
      </c>
      <c r="R281">
        <f>IF(OR(H281&lt;&gt;"Cash",P281="T",P281="D"),0,Q281)</f>
        <v/>
      </c>
      <c r="S281">
        <f>IF(R281=0,0,SUMIFS($R$18:$R$317,$B$18:$B$317,B281,$D$18:$D$317,D281))</f>
        <v/>
      </c>
      <c r="T281">
        <f>IF(OR(R281=0,E281=""),0,SUMIFS($R$18:$R$317,$E$18:$E$317,E281))</f>
        <v/>
      </c>
      <c r="U281">
        <f>IF(E281="","",IF(N(F281)&gt;0,F281,IFERROR(INDEX($F$18:$F$317,MATCH(E281,$E$18:$E$317,0)),"")))</f>
        <v/>
      </c>
      <c r="V281">
        <f>IF(OR(N281="",N281="OK",K281="Cancelled"),0,1)</f>
        <v/>
      </c>
    </row>
    <row r="282">
      <c r="B282" s="21" t="n"/>
      <c r="C282" s="22">
        <f>IF(B282="","",$E$10&amp;TEXT(N($E$11)+264,"000"))</f>
        <v/>
      </c>
      <c r="D282" s="14" t="n"/>
      <c r="E282" s="23" t="n"/>
      <c r="F282" s="24" t="n"/>
      <c r="G282" s="14" t="n"/>
      <c r="H282" s="14" t="n"/>
      <c r="I282" s="23" t="n"/>
      <c r="J282" s="24" t="n"/>
      <c r="K282" s="23" t="n"/>
      <c r="L282" s="25">
        <f>IF(OR(E282="",N(U282)=0),"",U282-SUMIFS(Q$18:Q282,E$18:E282,E282))</f>
        <v/>
      </c>
      <c r="M282" s="26">
        <f>IF(OR(N(J282)=0,K282="Cancelled"),"",IF(AND(N(J282)&gt;5000,P282&lt;&gt;"G"),"Yes: ₹1","No"))</f>
        <v/>
      </c>
      <c r="N282" s="27">
        <f>IF(AND(B282="",D282="",N(J282)=0),"",IF(B282="","Enter the date",IF(AND(ROW()&gt;18,B281=""),"Use the next empty row: a skipped row leaves a gap in the receipt numbers",IF(D282="","Enter who paid",IF(N(J282)=0,"Enter the amount",IF(G282="","Pick what the money was for",IF(P282="?","Pick what it was for from the list",IF(H282="","Pick how it was paid",IF(K282="Cancelled","Cancelled: keep this number unused and give a fresh receipt",IF(AND(H282&lt;&gt;"Cash",I282=""),"Enter the cheque no., UTR or UPI reference",IF(AND(L282&lt;&gt;"",N(L282)&lt;0),"More than the balance due on this invoice",IF(S282&gt;=200000,"₹2,00,000 or more in cash from this person today: barred, s.186",IF(T282&gt;=200000,"₹2,00,000 or more in cash against this invoice: barred, s.186",IF(AND(P282="T",H282="Cash",N(J282)&gt;=20000),"Loan of ₹20,000 or more in cash: barred, s.185",IF(AND(P282="D",H282="Cash",N(J282)&gt;=20000),"Cash deposit of ₹20,000 or more: ask your accountant whether s.185 applies",IF(AND(OR(P282="AG",P282="AS"),$E$9&lt;&gt;""),"Advance: also give a GST receipt voucher, s.31(3)(d) and Rule 50","OK"))))))))))))))))</f>
        <v/>
      </c>
      <c r="P282">
        <f>IF(G282="","",IFERROR(VLOOKUP(G282,Lists!$A$2:$B$9,2,FALSE),"?"))</f>
        <v/>
      </c>
      <c r="Q282">
        <f>IF(K282="Cancelled",0,N(J282))</f>
        <v/>
      </c>
      <c r="R282">
        <f>IF(OR(H282&lt;&gt;"Cash",P282="T",P282="D"),0,Q282)</f>
        <v/>
      </c>
      <c r="S282">
        <f>IF(R282=0,0,SUMIFS($R$18:$R$317,$B$18:$B$317,B282,$D$18:$D$317,D282))</f>
        <v/>
      </c>
      <c r="T282">
        <f>IF(OR(R282=0,E282=""),0,SUMIFS($R$18:$R$317,$E$18:$E$317,E282))</f>
        <v/>
      </c>
      <c r="U282">
        <f>IF(E282="","",IF(N(F282)&gt;0,F282,IFERROR(INDEX($F$18:$F$317,MATCH(E282,$E$18:$E$317,0)),"")))</f>
        <v/>
      </c>
      <c r="V282">
        <f>IF(OR(N282="",N282="OK",K282="Cancelled"),0,1)</f>
        <v/>
      </c>
    </row>
    <row r="283">
      <c r="B283" s="21" t="n"/>
      <c r="C283" s="22">
        <f>IF(B283="","",$E$10&amp;TEXT(N($E$11)+265,"000"))</f>
        <v/>
      </c>
      <c r="D283" s="14" t="n"/>
      <c r="E283" s="23" t="n"/>
      <c r="F283" s="24" t="n"/>
      <c r="G283" s="14" t="n"/>
      <c r="H283" s="14" t="n"/>
      <c r="I283" s="23" t="n"/>
      <c r="J283" s="24" t="n"/>
      <c r="K283" s="23" t="n"/>
      <c r="L283" s="25">
        <f>IF(OR(E283="",N(U283)=0),"",U283-SUMIFS(Q$18:Q283,E$18:E283,E283))</f>
        <v/>
      </c>
      <c r="M283" s="26">
        <f>IF(OR(N(J283)=0,K283="Cancelled"),"",IF(AND(N(J283)&gt;5000,P283&lt;&gt;"G"),"Yes: ₹1","No"))</f>
        <v/>
      </c>
      <c r="N283" s="27">
        <f>IF(AND(B283="",D283="",N(J283)=0),"",IF(B283="","Enter the date",IF(AND(ROW()&gt;18,B282=""),"Use the next empty row: a skipped row leaves a gap in the receipt numbers",IF(D283="","Enter who paid",IF(N(J283)=0,"Enter the amount",IF(G283="","Pick what the money was for",IF(P283="?","Pick what it was for from the list",IF(H283="","Pick how it was paid",IF(K283="Cancelled","Cancelled: keep this number unused and give a fresh receipt",IF(AND(H283&lt;&gt;"Cash",I283=""),"Enter the cheque no., UTR or UPI reference",IF(AND(L283&lt;&gt;"",N(L283)&lt;0),"More than the balance due on this invoice",IF(S283&gt;=200000,"₹2,00,000 or more in cash from this person today: barred, s.186",IF(T283&gt;=200000,"₹2,00,000 or more in cash against this invoice: barred, s.186",IF(AND(P283="T",H283="Cash",N(J283)&gt;=20000),"Loan of ₹20,000 or more in cash: barred, s.185",IF(AND(P283="D",H283="Cash",N(J283)&gt;=20000),"Cash deposit of ₹20,000 or more: ask your accountant whether s.185 applies",IF(AND(OR(P283="AG",P283="AS"),$E$9&lt;&gt;""),"Advance: also give a GST receipt voucher, s.31(3)(d) and Rule 50","OK"))))))))))))))))</f>
        <v/>
      </c>
      <c r="P283">
        <f>IF(G283="","",IFERROR(VLOOKUP(G283,Lists!$A$2:$B$9,2,FALSE),"?"))</f>
        <v/>
      </c>
      <c r="Q283">
        <f>IF(K283="Cancelled",0,N(J283))</f>
        <v/>
      </c>
      <c r="R283">
        <f>IF(OR(H283&lt;&gt;"Cash",P283="T",P283="D"),0,Q283)</f>
        <v/>
      </c>
      <c r="S283">
        <f>IF(R283=0,0,SUMIFS($R$18:$R$317,$B$18:$B$317,B283,$D$18:$D$317,D283))</f>
        <v/>
      </c>
      <c r="T283">
        <f>IF(OR(R283=0,E283=""),0,SUMIFS($R$18:$R$317,$E$18:$E$317,E283))</f>
        <v/>
      </c>
      <c r="U283">
        <f>IF(E283="","",IF(N(F283)&gt;0,F283,IFERROR(INDEX($F$18:$F$317,MATCH(E283,$E$18:$E$317,0)),"")))</f>
        <v/>
      </c>
      <c r="V283">
        <f>IF(OR(N283="",N283="OK",K283="Cancelled"),0,1)</f>
        <v/>
      </c>
    </row>
    <row r="284">
      <c r="B284" s="21" t="n"/>
      <c r="C284" s="22">
        <f>IF(B284="","",$E$10&amp;TEXT(N($E$11)+266,"000"))</f>
        <v/>
      </c>
      <c r="D284" s="14" t="n"/>
      <c r="E284" s="23" t="n"/>
      <c r="F284" s="24" t="n"/>
      <c r="G284" s="14" t="n"/>
      <c r="H284" s="14" t="n"/>
      <c r="I284" s="23" t="n"/>
      <c r="J284" s="24" t="n"/>
      <c r="K284" s="23" t="n"/>
      <c r="L284" s="25">
        <f>IF(OR(E284="",N(U284)=0),"",U284-SUMIFS(Q$18:Q284,E$18:E284,E284))</f>
        <v/>
      </c>
      <c r="M284" s="26">
        <f>IF(OR(N(J284)=0,K284="Cancelled"),"",IF(AND(N(J284)&gt;5000,P284&lt;&gt;"G"),"Yes: ₹1","No"))</f>
        <v/>
      </c>
      <c r="N284" s="27">
        <f>IF(AND(B284="",D284="",N(J284)=0),"",IF(B284="","Enter the date",IF(AND(ROW()&gt;18,B283=""),"Use the next empty row: a skipped row leaves a gap in the receipt numbers",IF(D284="","Enter who paid",IF(N(J284)=0,"Enter the amount",IF(G284="","Pick what the money was for",IF(P284="?","Pick what it was for from the list",IF(H284="","Pick how it was paid",IF(K284="Cancelled","Cancelled: keep this number unused and give a fresh receipt",IF(AND(H284&lt;&gt;"Cash",I284=""),"Enter the cheque no., UTR or UPI reference",IF(AND(L284&lt;&gt;"",N(L284)&lt;0),"More than the balance due on this invoice",IF(S284&gt;=200000,"₹2,00,000 or more in cash from this person today: barred, s.186",IF(T284&gt;=200000,"₹2,00,000 or more in cash against this invoice: barred, s.186",IF(AND(P284="T",H284="Cash",N(J284)&gt;=20000),"Loan of ₹20,000 or more in cash: barred, s.185",IF(AND(P284="D",H284="Cash",N(J284)&gt;=20000),"Cash deposit of ₹20,000 or more: ask your accountant whether s.185 applies",IF(AND(OR(P284="AG",P284="AS"),$E$9&lt;&gt;""),"Advance: also give a GST receipt voucher, s.31(3)(d) and Rule 50","OK"))))))))))))))))</f>
        <v/>
      </c>
      <c r="P284">
        <f>IF(G284="","",IFERROR(VLOOKUP(G284,Lists!$A$2:$B$9,2,FALSE),"?"))</f>
        <v/>
      </c>
      <c r="Q284">
        <f>IF(K284="Cancelled",0,N(J284))</f>
        <v/>
      </c>
      <c r="R284">
        <f>IF(OR(H284&lt;&gt;"Cash",P284="T",P284="D"),0,Q284)</f>
        <v/>
      </c>
      <c r="S284">
        <f>IF(R284=0,0,SUMIFS($R$18:$R$317,$B$18:$B$317,B284,$D$18:$D$317,D284))</f>
        <v/>
      </c>
      <c r="T284">
        <f>IF(OR(R284=0,E284=""),0,SUMIFS($R$18:$R$317,$E$18:$E$317,E284))</f>
        <v/>
      </c>
      <c r="U284">
        <f>IF(E284="","",IF(N(F284)&gt;0,F284,IFERROR(INDEX($F$18:$F$317,MATCH(E284,$E$18:$E$317,0)),"")))</f>
        <v/>
      </c>
      <c r="V284">
        <f>IF(OR(N284="",N284="OK",K284="Cancelled"),0,1)</f>
        <v/>
      </c>
    </row>
    <row r="285">
      <c r="B285" s="21" t="n"/>
      <c r="C285" s="22">
        <f>IF(B285="","",$E$10&amp;TEXT(N($E$11)+267,"000"))</f>
        <v/>
      </c>
      <c r="D285" s="14" t="n"/>
      <c r="E285" s="23" t="n"/>
      <c r="F285" s="24" t="n"/>
      <c r="G285" s="14" t="n"/>
      <c r="H285" s="14" t="n"/>
      <c r="I285" s="23" t="n"/>
      <c r="J285" s="24" t="n"/>
      <c r="K285" s="23" t="n"/>
      <c r="L285" s="25">
        <f>IF(OR(E285="",N(U285)=0),"",U285-SUMIFS(Q$18:Q285,E$18:E285,E285))</f>
        <v/>
      </c>
      <c r="M285" s="26">
        <f>IF(OR(N(J285)=0,K285="Cancelled"),"",IF(AND(N(J285)&gt;5000,P285&lt;&gt;"G"),"Yes: ₹1","No"))</f>
        <v/>
      </c>
      <c r="N285" s="27">
        <f>IF(AND(B285="",D285="",N(J285)=0),"",IF(B285="","Enter the date",IF(AND(ROW()&gt;18,B284=""),"Use the next empty row: a skipped row leaves a gap in the receipt numbers",IF(D285="","Enter who paid",IF(N(J285)=0,"Enter the amount",IF(G285="","Pick what the money was for",IF(P285="?","Pick what it was for from the list",IF(H285="","Pick how it was paid",IF(K285="Cancelled","Cancelled: keep this number unused and give a fresh receipt",IF(AND(H285&lt;&gt;"Cash",I285=""),"Enter the cheque no., UTR or UPI reference",IF(AND(L285&lt;&gt;"",N(L285)&lt;0),"More than the balance due on this invoice",IF(S285&gt;=200000,"₹2,00,000 or more in cash from this person today: barred, s.186",IF(T285&gt;=200000,"₹2,00,000 or more in cash against this invoice: barred, s.186",IF(AND(P285="T",H285="Cash",N(J285)&gt;=20000),"Loan of ₹20,000 or more in cash: barred, s.185",IF(AND(P285="D",H285="Cash",N(J285)&gt;=20000),"Cash deposit of ₹20,000 or more: ask your accountant whether s.185 applies",IF(AND(OR(P285="AG",P285="AS"),$E$9&lt;&gt;""),"Advance: also give a GST receipt voucher, s.31(3)(d) and Rule 50","OK"))))))))))))))))</f>
        <v/>
      </c>
      <c r="P285">
        <f>IF(G285="","",IFERROR(VLOOKUP(G285,Lists!$A$2:$B$9,2,FALSE),"?"))</f>
        <v/>
      </c>
      <c r="Q285">
        <f>IF(K285="Cancelled",0,N(J285))</f>
        <v/>
      </c>
      <c r="R285">
        <f>IF(OR(H285&lt;&gt;"Cash",P285="T",P285="D"),0,Q285)</f>
        <v/>
      </c>
      <c r="S285">
        <f>IF(R285=0,0,SUMIFS($R$18:$R$317,$B$18:$B$317,B285,$D$18:$D$317,D285))</f>
        <v/>
      </c>
      <c r="T285">
        <f>IF(OR(R285=0,E285=""),0,SUMIFS($R$18:$R$317,$E$18:$E$317,E285))</f>
        <v/>
      </c>
      <c r="U285">
        <f>IF(E285="","",IF(N(F285)&gt;0,F285,IFERROR(INDEX($F$18:$F$317,MATCH(E285,$E$18:$E$317,0)),"")))</f>
        <v/>
      </c>
      <c r="V285">
        <f>IF(OR(N285="",N285="OK",K285="Cancelled"),0,1)</f>
        <v/>
      </c>
    </row>
    <row r="286">
      <c r="B286" s="21" t="n"/>
      <c r="C286" s="22">
        <f>IF(B286="","",$E$10&amp;TEXT(N($E$11)+268,"000"))</f>
        <v/>
      </c>
      <c r="D286" s="14" t="n"/>
      <c r="E286" s="23" t="n"/>
      <c r="F286" s="24" t="n"/>
      <c r="G286" s="14" t="n"/>
      <c r="H286" s="14" t="n"/>
      <c r="I286" s="23" t="n"/>
      <c r="J286" s="24" t="n"/>
      <c r="K286" s="23" t="n"/>
      <c r="L286" s="25">
        <f>IF(OR(E286="",N(U286)=0),"",U286-SUMIFS(Q$18:Q286,E$18:E286,E286))</f>
        <v/>
      </c>
      <c r="M286" s="26">
        <f>IF(OR(N(J286)=0,K286="Cancelled"),"",IF(AND(N(J286)&gt;5000,P286&lt;&gt;"G"),"Yes: ₹1","No"))</f>
        <v/>
      </c>
      <c r="N286" s="27">
        <f>IF(AND(B286="",D286="",N(J286)=0),"",IF(B286="","Enter the date",IF(AND(ROW()&gt;18,B285=""),"Use the next empty row: a skipped row leaves a gap in the receipt numbers",IF(D286="","Enter who paid",IF(N(J286)=0,"Enter the amount",IF(G286="","Pick what the money was for",IF(P286="?","Pick what it was for from the list",IF(H286="","Pick how it was paid",IF(K286="Cancelled","Cancelled: keep this number unused and give a fresh receipt",IF(AND(H286&lt;&gt;"Cash",I286=""),"Enter the cheque no., UTR or UPI reference",IF(AND(L286&lt;&gt;"",N(L286)&lt;0),"More than the balance due on this invoice",IF(S286&gt;=200000,"₹2,00,000 or more in cash from this person today: barred, s.186",IF(T286&gt;=200000,"₹2,00,000 or more in cash against this invoice: barred, s.186",IF(AND(P286="T",H286="Cash",N(J286)&gt;=20000),"Loan of ₹20,000 or more in cash: barred, s.185",IF(AND(P286="D",H286="Cash",N(J286)&gt;=20000),"Cash deposit of ₹20,000 or more: ask your accountant whether s.185 applies",IF(AND(OR(P286="AG",P286="AS"),$E$9&lt;&gt;""),"Advance: also give a GST receipt voucher, s.31(3)(d) and Rule 50","OK"))))))))))))))))</f>
        <v/>
      </c>
      <c r="P286">
        <f>IF(G286="","",IFERROR(VLOOKUP(G286,Lists!$A$2:$B$9,2,FALSE),"?"))</f>
        <v/>
      </c>
      <c r="Q286">
        <f>IF(K286="Cancelled",0,N(J286))</f>
        <v/>
      </c>
      <c r="R286">
        <f>IF(OR(H286&lt;&gt;"Cash",P286="T",P286="D"),0,Q286)</f>
        <v/>
      </c>
      <c r="S286">
        <f>IF(R286=0,0,SUMIFS($R$18:$R$317,$B$18:$B$317,B286,$D$18:$D$317,D286))</f>
        <v/>
      </c>
      <c r="T286">
        <f>IF(OR(R286=0,E286=""),0,SUMIFS($R$18:$R$317,$E$18:$E$317,E286))</f>
        <v/>
      </c>
      <c r="U286">
        <f>IF(E286="","",IF(N(F286)&gt;0,F286,IFERROR(INDEX($F$18:$F$317,MATCH(E286,$E$18:$E$317,0)),"")))</f>
        <v/>
      </c>
      <c r="V286">
        <f>IF(OR(N286="",N286="OK",K286="Cancelled"),0,1)</f>
        <v/>
      </c>
    </row>
    <row r="287">
      <c r="B287" s="21" t="n"/>
      <c r="C287" s="22">
        <f>IF(B287="","",$E$10&amp;TEXT(N($E$11)+269,"000"))</f>
        <v/>
      </c>
      <c r="D287" s="14" t="n"/>
      <c r="E287" s="23" t="n"/>
      <c r="F287" s="24" t="n"/>
      <c r="G287" s="14" t="n"/>
      <c r="H287" s="14" t="n"/>
      <c r="I287" s="23" t="n"/>
      <c r="J287" s="24" t="n"/>
      <c r="K287" s="23" t="n"/>
      <c r="L287" s="25">
        <f>IF(OR(E287="",N(U287)=0),"",U287-SUMIFS(Q$18:Q287,E$18:E287,E287))</f>
        <v/>
      </c>
      <c r="M287" s="26">
        <f>IF(OR(N(J287)=0,K287="Cancelled"),"",IF(AND(N(J287)&gt;5000,P287&lt;&gt;"G"),"Yes: ₹1","No"))</f>
        <v/>
      </c>
      <c r="N287" s="27">
        <f>IF(AND(B287="",D287="",N(J287)=0),"",IF(B287="","Enter the date",IF(AND(ROW()&gt;18,B286=""),"Use the next empty row: a skipped row leaves a gap in the receipt numbers",IF(D287="","Enter who paid",IF(N(J287)=0,"Enter the amount",IF(G287="","Pick what the money was for",IF(P287="?","Pick what it was for from the list",IF(H287="","Pick how it was paid",IF(K287="Cancelled","Cancelled: keep this number unused and give a fresh receipt",IF(AND(H287&lt;&gt;"Cash",I287=""),"Enter the cheque no., UTR or UPI reference",IF(AND(L287&lt;&gt;"",N(L287)&lt;0),"More than the balance due on this invoice",IF(S287&gt;=200000,"₹2,00,000 or more in cash from this person today: barred, s.186",IF(T287&gt;=200000,"₹2,00,000 or more in cash against this invoice: barred, s.186",IF(AND(P287="T",H287="Cash",N(J287)&gt;=20000),"Loan of ₹20,000 or more in cash: barred, s.185",IF(AND(P287="D",H287="Cash",N(J287)&gt;=20000),"Cash deposit of ₹20,000 or more: ask your accountant whether s.185 applies",IF(AND(OR(P287="AG",P287="AS"),$E$9&lt;&gt;""),"Advance: also give a GST receipt voucher, s.31(3)(d) and Rule 50","OK"))))))))))))))))</f>
        <v/>
      </c>
      <c r="P287">
        <f>IF(G287="","",IFERROR(VLOOKUP(G287,Lists!$A$2:$B$9,2,FALSE),"?"))</f>
        <v/>
      </c>
      <c r="Q287">
        <f>IF(K287="Cancelled",0,N(J287))</f>
        <v/>
      </c>
      <c r="R287">
        <f>IF(OR(H287&lt;&gt;"Cash",P287="T",P287="D"),0,Q287)</f>
        <v/>
      </c>
      <c r="S287">
        <f>IF(R287=0,0,SUMIFS($R$18:$R$317,$B$18:$B$317,B287,$D$18:$D$317,D287))</f>
        <v/>
      </c>
      <c r="T287">
        <f>IF(OR(R287=0,E287=""),0,SUMIFS($R$18:$R$317,$E$18:$E$317,E287))</f>
        <v/>
      </c>
      <c r="U287">
        <f>IF(E287="","",IF(N(F287)&gt;0,F287,IFERROR(INDEX($F$18:$F$317,MATCH(E287,$E$18:$E$317,0)),"")))</f>
        <v/>
      </c>
      <c r="V287">
        <f>IF(OR(N287="",N287="OK",K287="Cancelled"),0,1)</f>
        <v/>
      </c>
    </row>
    <row r="288">
      <c r="B288" s="21" t="n"/>
      <c r="C288" s="22">
        <f>IF(B288="","",$E$10&amp;TEXT(N($E$11)+270,"000"))</f>
        <v/>
      </c>
      <c r="D288" s="14" t="n"/>
      <c r="E288" s="23" t="n"/>
      <c r="F288" s="24" t="n"/>
      <c r="G288" s="14" t="n"/>
      <c r="H288" s="14" t="n"/>
      <c r="I288" s="23" t="n"/>
      <c r="J288" s="24" t="n"/>
      <c r="K288" s="23" t="n"/>
      <c r="L288" s="25">
        <f>IF(OR(E288="",N(U288)=0),"",U288-SUMIFS(Q$18:Q288,E$18:E288,E288))</f>
        <v/>
      </c>
      <c r="M288" s="26">
        <f>IF(OR(N(J288)=0,K288="Cancelled"),"",IF(AND(N(J288)&gt;5000,P288&lt;&gt;"G"),"Yes: ₹1","No"))</f>
        <v/>
      </c>
      <c r="N288" s="27">
        <f>IF(AND(B288="",D288="",N(J288)=0),"",IF(B288="","Enter the date",IF(AND(ROW()&gt;18,B287=""),"Use the next empty row: a skipped row leaves a gap in the receipt numbers",IF(D288="","Enter who paid",IF(N(J288)=0,"Enter the amount",IF(G288="","Pick what the money was for",IF(P288="?","Pick what it was for from the list",IF(H288="","Pick how it was paid",IF(K288="Cancelled","Cancelled: keep this number unused and give a fresh receipt",IF(AND(H288&lt;&gt;"Cash",I288=""),"Enter the cheque no., UTR or UPI reference",IF(AND(L288&lt;&gt;"",N(L288)&lt;0),"More than the balance due on this invoice",IF(S288&gt;=200000,"₹2,00,000 or more in cash from this person today: barred, s.186",IF(T288&gt;=200000,"₹2,00,000 or more in cash against this invoice: barred, s.186",IF(AND(P288="T",H288="Cash",N(J288)&gt;=20000),"Loan of ₹20,000 or more in cash: barred, s.185",IF(AND(P288="D",H288="Cash",N(J288)&gt;=20000),"Cash deposit of ₹20,000 or more: ask your accountant whether s.185 applies",IF(AND(OR(P288="AG",P288="AS"),$E$9&lt;&gt;""),"Advance: also give a GST receipt voucher, s.31(3)(d) and Rule 50","OK"))))))))))))))))</f>
        <v/>
      </c>
      <c r="P288">
        <f>IF(G288="","",IFERROR(VLOOKUP(G288,Lists!$A$2:$B$9,2,FALSE),"?"))</f>
        <v/>
      </c>
      <c r="Q288">
        <f>IF(K288="Cancelled",0,N(J288))</f>
        <v/>
      </c>
      <c r="R288">
        <f>IF(OR(H288&lt;&gt;"Cash",P288="T",P288="D"),0,Q288)</f>
        <v/>
      </c>
      <c r="S288">
        <f>IF(R288=0,0,SUMIFS($R$18:$R$317,$B$18:$B$317,B288,$D$18:$D$317,D288))</f>
        <v/>
      </c>
      <c r="T288">
        <f>IF(OR(R288=0,E288=""),0,SUMIFS($R$18:$R$317,$E$18:$E$317,E288))</f>
        <v/>
      </c>
      <c r="U288">
        <f>IF(E288="","",IF(N(F288)&gt;0,F288,IFERROR(INDEX($F$18:$F$317,MATCH(E288,$E$18:$E$317,0)),"")))</f>
        <v/>
      </c>
      <c r="V288">
        <f>IF(OR(N288="",N288="OK",K288="Cancelled"),0,1)</f>
        <v/>
      </c>
    </row>
    <row r="289">
      <c r="B289" s="21" t="n"/>
      <c r="C289" s="22">
        <f>IF(B289="","",$E$10&amp;TEXT(N($E$11)+271,"000"))</f>
        <v/>
      </c>
      <c r="D289" s="14" t="n"/>
      <c r="E289" s="23" t="n"/>
      <c r="F289" s="24" t="n"/>
      <c r="G289" s="14" t="n"/>
      <c r="H289" s="14" t="n"/>
      <c r="I289" s="23" t="n"/>
      <c r="J289" s="24" t="n"/>
      <c r="K289" s="23" t="n"/>
      <c r="L289" s="25">
        <f>IF(OR(E289="",N(U289)=0),"",U289-SUMIFS(Q$18:Q289,E$18:E289,E289))</f>
        <v/>
      </c>
      <c r="M289" s="26">
        <f>IF(OR(N(J289)=0,K289="Cancelled"),"",IF(AND(N(J289)&gt;5000,P289&lt;&gt;"G"),"Yes: ₹1","No"))</f>
        <v/>
      </c>
      <c r="N289" s="27">
        <f>IF(AND(B289="",D289="",N(J289)=0),"",IF(B289="","Enter the date",IF(AND(ROW()&gt;18,B288=""),"Use the next empty row: a skipped row leaves a gap in the receipt numbers",IF(D289="","Enter who paid",IF(N(J289)=0,"Enter the amount",IF(G289="","Pick what the money was for",IF(P289="?","Pick what it was for from the list",IF(H289="","Pick how it was paid",IF(K289="Cancelled","Cancelled: keep this number unused and give a fresh receipt",IF(AND(H289&lt;&gt;"Cash",I289=""),"Enter the cheque no., UTR or UPI reference",IF(AND(L289&lt;&gt;"",N(L289)&lt;0),"More than the balance due on this invoice",IF(S289&gt;=200000,"₹2,00,000 or more in cash from this person today: barred, s.186",IF(T289&gt;=200000,"₹2,00,000 or more in cash against this invoice: barred, s.186",IF(AND(P289="T",H289="Cash",N(J289)&gt;=20000),"Loan of ₹20,000 or more in cash: barred, s.185",IF(AND(P289="D",H289="Cash",N(J289)&gt;=20000),"Cash deposit of ₹20,000 or more: ask your accountant whether s.185 applies",IF(AND(OR(P289="AG",P289="AS"),$E$9&lt;&gt;""),"Advance: also give a GST receipt voucher, s.31(3)(d) and Rule 50","OK"))))))))))))))))</f>
        <v/>
      </c>
      <c r="P289">
        <f>IF(G289="","",IFERROR(VLOOKUP(G289,Lists!$A$2:$B$9,2,FALSE),"?"))</f>
        <v/>
      </c>
      <c r="Q289">
        <f>IF(K289="Cancelled",0,N(J289))</f>
        <v/>
      </c>
      <c r="R289">
        <f>IF(OR(H289&lt;&gt;"Cash",P289="T",P289="D"),0,Q289)</f>
        <v/>
      </c>
      <c r="S289">
        <f>IF(R289=0,0,SUMIFS($R$18:$R$317,$B$18:$B$317,B289,$D$18:$D$317,D289))</f>
        <v/>
      </c>
      <c r="T289">
        <f>IF(OR(R289=0,E289=""),0,SUMIFS($R$18:$R$317,$E$18:$E$317,E289))</f>
        <v/>
      </c>
      <c r="U289">
        <f>IF(E289="","",IF(N(F289)&gt;0,F289,IFERROR(INDEX($F$18:$F$317,MATCH(E289,$E$18:$E$317,0)),"")))</f>
        <v/>
      </c>
      <c r="V289">
        <f>IF(OR(N289="",N289="OK",K289="Cancelled"),0,1)</f>
        <v/>
      </c>
    </row>
    <row r="290">
      <c r="B290" s="21" t="n"/>
      <c r="C290" s="22">
        <f>IF(B290="","",$E$10&amp;TEXT(N($E$11)+272,"000"))</f>
        <v/>
      </c>
      <c r="D290" s="14" t="n"/>
      <c r="E290" s="23" t="n"/>
      <c r="F290" s="24" t="n"/>
      <c r="G290" s="14" t="n"/>
      <c r="H290" s="14" t="n"/>
      <c r="I290" s="23" t="n"/>
      <c r="J290" s="24" t="n"/>
      <c r="K290" s="23" t="n"/>
      <c r="L290" s="25">
        <f>IF(OR(E290="",N(U290)=0),"",U290-SUMIFS(Q$18:Q290,E$18:E290,E290))</f>
        <v/>
      </c>
      <c r="M290" s="26">
        <f>IF(OR(N(J290)=0,K290="Cancelled"),"",IF(AND(N(J290)&gt;5000,P290&lt;&gt;"G"),"Yes: ₹1","No"))</f>
        <v/>
      </c>
      <c r="N290" s="27">
        <f>IF(AND(B290="",D290="",N(J290)=0),"",IF(B290="","Enter the date",IF(AND(ROW()&gt;18,B289=""),"Use the next empty row: a skipped row leaves a gap in the receipt numbers",IF(D290="","Enter who paid",IF(N(J290)=0,"Enter the amount",IF(G290="","Pick what the money was for",IF(P290="?","Pick what it was for from the list",IF(H290="","Pick how it was paid",IF(K290="Cancelled","Cancelled: keep this number unused and give a fresh receipt",IF(AND(H290&lt;&gt;"Cash",I290=""),"Enter the cheque no., UTR or UPI reference",IF(AND(L290&lt;&gt;"",N(L290)&lt;0),"More than the balance due on this invoice",IF(S290&gt;=200000,"₹2,00,000 or more in cash from this person today: barred, s.186",IF(T290&gt;=200000,"₹2,00,000 or more in cash against this invoice: barred, s.186",IF(AND(P290="T",H290="Cash",N(J290)&gt;=20000),"Loan of ₹20,000 or more in cash: barred, s.185",IF(AND(P290="D",H290="Cash",N(J290)&gt;=20000),"Cash deposit of ₹20,000 or more: ask your accountant whether s.185 applies",IF(AND(OR(P290="AG",P290="AS"),$E$9&lt;&gt;""),"Advance: also give a GST receipt voucher, s.31(3)(d) and Rule 50","OK"))))))))))))))))</f>
        <v/>
      </c>
      <c r="P290">
        <f>IF(G290="","",IFERROR(VLOOKUP(G290,Lists!$A$2:$B$9,2,FALSE),"?"))</f>
        <v/>
      </c>
      <c r="Q290">
        <f>IF(K290="Cancelled",0,N(J290))</f>
        <v/>
      </c>
      <c r="R290">
        <f>IF(OR(H290&lt;&gt;"Cash",P290="T",P290="D"),0,Q290)</f>
        <v/>
      </c>
      <c r="S290">
        <f>IF(R290=0,0,SUMIFS($R$18:$R$317,$B$18:$B$317,B290,$D$18:$D$317,D290))</f>
        <v/>
      </c>
      <c r="T290">
        <f>IF(OR(R290=0,E290=""),0,SUMIFS($R$18:$R$317,$E$18:$E$317,E290))</f>
        <v/>
      </c>
      <c r="U290">
        <f>IF(E290="","",IF(N(F290)&gt;0,F290,IFERROR(INDEX($F$18:$F$317,MATCH(E290,$E$18:$E$317,0)),"")))</f>
        <v/>
      </c>
      <c r="V290">
        <f>IF(OR(N290="",N290="OK",K290="Cancelled"),0,1)</f>
        <v/>
      </c>
    </row>
    <row r="291">
      <c r="B291" s="21" t="n"/>
      <c r="C291" s="22">
        <f>IF(B291="","",$E$10&amp;TEXT(N($E$11)+273,"000"))</f>
        <v/>
      </c>
      <c r="D291" s="14" t="n"/>
      <c r="E291" s="23" t="n"/>
      <c r="F291" s="24" t="n"/>
      <c r="G291" s="14" t="n"/>
      <c r="H291" s="14" t="n"/>
      <c r="I291" s="23" t="n"/>
      <c r="J291" s="24" t="n"/>
      <c r="K291" s="23" t="n"/>
      <c r="L291" s="25">
        <f>IF(OR(E291="",N(U291)=0),"",U291-SUMIFS(Q$18:Q291,E$18:E291,E291))</f>
        <v/>
      </c>
      <c r="M291" s="26">
        <f>IF(OR(N(J291)=0,K291="Cancelled"),"",IF(AND(N(J291)&gt;5000,P291&lt;&gt;"G"),"Yes: ₹1","No"))</f>
        <v/>
      </c>
      <c r="N291" s="27">
        <f>IF(AND(B291="",D291="",N(J291)=0),"",IF(B291="","Enter the date",IF(AND(ROW()&gt;18,B290=""),"Use the next empty row: a skipped row leaves a gap in the receipt numbers",IF(D291="","Enter who paid",IF(N(J291)=0,"Enter the amount",IF(G291="","Pick what the money was for",IF(P291="?","Pick what it was for from the list",IF(H291="","Pick how it was paid",IF(K291="Cancelled","Cancelled: keep this number unused and give a fresh receipt",IF(AND(H291&lt;&gt;"Cash",I291=""),"Enter the cheque no., UTR or UPI reference",IF(AND(L291&lt;&gt;"",N(L291)&lt;0),"More than the balance due on this invoice",IF(S291&gt;=200000,"₹2,00,000 or more in cash from this person today: barred, s.186",IF(T291&gt;=200000,"₹2,00,000 or more in cash against this invoice: barred, s.186",IF(AND(P291="T",H291="Cash",N(J291)&gt;=20000),"Loan of ₹20,000 or more in cash: barred, s.185",IF(AND(P291="D",H291="Cash",N(J291)&gt;=20000),"Cash deposit of ₹20,000 or more: ask your accountant whether s.185 applies",IF(AND(OR(P291="AG",P291="AS"),$E$9&lt;&gt;""),"Advance: also give a GST receipt voucher, s.31(3)(d) and Rule 50","OK"))))))))))))))))</f>
        <v/>
      </c>
      <c r="P291">
        <f>IF(G291="","",IFERROR(VLOOKUP(G291,Lists!$A$2:$B$9,2,FALSE),"?"))</f>
        <v/>
      </c>
      <c r="Q291">
        <f>IF(K291="Cancelled",0,N(J291))</f>
        <v/>
      </c>
      <c r="R291">
        <f>IF(OR(H291&lt;&gt;"Cash",P291="T",P291="D"),0,Q291)</f>
        <v/>
      </c>
      <c r="S291">
        <f>IF(R291=0,0,SUMIFS($R$18:$R$317,$B$18:$B$317,B291,$D$18:$D$317,D291))</f>
        <v/>
      </c>
      <c r="T291">
        <f>IF(OR(R291=0,E291=""),0,SUMIFS($R$18:$R$317,$E$18:$E$317,E291))</f>
        <v/>
      </c>
      <c r="U291">
        <f>IF(E291="","",IF(N(F291)&gt;0,F291,IFERROR(INDEX($F$18:$F$317,MATCH(E291,$E$18:$E$317,0)),"")))</f>
        <v/>
      </c>
      <c r="V291">
        <f>IF(OR(N291="",N291="OK",K291="Cancelled"),0,1)</f>
        <v/>
      </c>
    </row>
    <row r="292">
      <c r="B292" s="21" t="n"/>
      <c r="C292" s="22">
        <f>IF(B292="","",$E$10&amp;TEXT(N($E$11)+274,"000"))</f>
        <v/>
      </c>
      <c r="D292" s="14" t="n"/>
      <c r="E292" s="23" t="n"/>
      <c r="F292" s="24" t="n"/>
      <c r="G292" s="14" t="n"/>
      <c r="H292" s="14" t="n"/>
      <c r="I292" s="23" t="n"/>
      <c r="J292" s="24" t="n"/>
      <c r="K292" s="23" t="n"/>
      <c r="L292" s="25">
        <f>IF(OR(E292="",N(U292)=0),"",U292-SUMIFS(Q$18:Q292,E$18:E292,E292))</f>
        <v/>
      </c>
      <c r="M292" s="26">
        <f>IF(OR(N(J292)=0,K292="Cancelled"),"",IF(AND(N(J292)&gt;5000,P292&lt;&gt;"G"),"Yes: ₹1","No"))</f>
        <v/>
      </c>
      <c r="N292" s="27">
        <f>IF(AND(B292="",D292="",N(J292)=0),"",IF(B292="","Enter the date",IF(AND(ROW()&gt;18,B291=""),"Use the next empty row: a skipped row leaves a gap in the receipt numbers",IF(D292="","Enter who paid",IF(N(J292)=0,"Enter the amount",IF(G292="","Pick what the money was for",IF(P292="?","Pick what it was for from the list",IF(H292="","Pick how it was paid",IF(K292="Cancelled","Cancelled: keep this number unused and give a fresh receipt",IF(AND(H292&lt;&gt;"Cash",I292=""),"Enter the cheque no., UTR or UPI reference",IF(AND(L292&lt;&gt;"",N(L292)&lt;0),"More than the balance due on this invoice",IF(S292&gt;=200000,"₹2,00,000 or more in cash from this person today: barred, s.186",IF(T292&gt;=200000,"₹2,00,000 or more in cash against this invoice: barred, s.186",IF(AND(P292="T",H292="Cash",N(J292)&gt;=20000),"Loan of ₹20,000 or more in cash: barred, s.185",IF(AND(P292="D",H292="Cash",N(J292)&gt;=20000),"Cash deposit of ₹20,000 or more: ask your accountant whether s.185 applies",IF(AND(OR(P292="AG",P292="AS"),$E$9&lt;&gt;""),"Advance: also give a GST receipt voucher, s.31(3)(d) and Rule 50","OK"))))))))))))))))</f>
        <v/>
      </c>
      <c r="P292">
        <f>IF(G292="","",IFERROR(VLOOKUP(G292,Lists!$A$2:$B$9,2,FALSE),"?"))</f>
        <v/>
      </c>
      <c r="Q292">
        <f>IF(K292="Cancelled",0,N(J292))</f>
        <v/>
      </c>
      <c r="R292">
        <f>IF(OR(H292&lt;&gt;"Cash",P292="T",P292="D"),0,Q292)</f>
        <v/>
      </c>
      <c r="S292">
        <f>IF(R292=0,0,SUMIFS($R$18:$R$317,$B$18:$B$317,B292,$D$18:$D$317,D292))</f>
        <v/>
      </c>
      <c r="T292">
        <f>IF(OR(R292=0,E292=""),0,SUMIFS($R$18:$R$317,$E$18:$E$317,E292))</f>
        <v/>
      </c>
      <c r="U292">
        <f>IF(E292="","",IF(N(F292)&gt;0,F292,IFERROR(INDEX($F$18:$F$317,MATCH(E292,$E$18:$E$317,0)),"")))</f>
        <v/>
      </c>
      <c r="V292">
        <f>IF(OR(N292="",N292="OK",K292="Cancelled"),0,1)</f>
        <v/>
      </c>
    </row>
    <row r="293">
      <c r="B293" s="21" t="n"/>
      <c r="C293" s="22">
        <f>IF(B293="","",$E$10&amp;TEXT(N($E$11)+275,"000"))</f>
        <v/>
      </c>
      <c r="D293" s="14" t="n"/>
      <c r="E293" s="23" t="n"/>
      <c r="F293" s="24" t="n"/>
      <c r="G293" s="14" t="n"/>
      <c r="H293" s="14" t="n"/>
      <c r="I293" s="23" t="n"/>
      <c r="J293" s="24" t="n"/>
      <c r="K293" s="23" t="n"/>
      <c r="L293" s="25">
        <f>IF(OR(E293="",N(U293)=0),"",U293-SUMIFS(Q$18:Q293,E$18:E293,E293))</f>
        <v/>
      </c>
      <c r="M293" s="26">
        <f>IF(OR(N(J293)=0,K293="Cancelled"),"",IF(AND(N(J293)&gt;5000,P293&lt;&gt;"G"),"Yes: ₹1","No"))</f>
        <v/>
      </c>
      <c r="N293" s="27">
        <f>IF(AND(B293="",D293="",N(J293)=0),"",IF(B293="","Enter the date",IF(AND(ROW()&gt;18,B292=""),"Use the next empty row: a skipped row leaves a gap in the receipt numbers",IF(D293="","Enter who paid",IF(N(J293)=0,"Enter the amount",IF(G293="","Pick what the money was for",IF(P293="?","Pick what it was for from the list",IF(H293="","Pick how it was paid",IF(K293="Cancelled","Cancelled: keep this number unused and give a fresh receipt",IF(AND(H293&lt;&gt;"Cash",I293=""),"Enter the cheque no., UTR or UPI reference",IF(AND(L293&lt;&gt;"",N(L293)&lt;0),"More than the balance due on this invoice",IF(S293&gt;=200000,"₹2,00,000 or more in cash from this person today: barred, s.186",IF(T293&gt;=200000,"₹2,00,000 or more in cash against this invoice: barred, s.186",IF(AND(P293="T",H293="Cash",N(J293)&gt;=20000),"Loan of ₹20,000 or more in cash: barred, s.185",IF(AND(P293="D",H293="Cash",N(J293)&gt;=20000),"Cash deposit of ₹20,000 or more: ask your accountant whether s.185 applies",IF(AND(OR(P293="AG",P293="AS"),$E$9&lt;&gt;""),"Advance: also give a GST receipt voucher, s.31(3)(d) and Rule 50","OK"))))))))))))))))</f>
        <v/>
      </c>
      <c r="P293">
        <f>IF(G293="","",IFERROR(VLOOKUP(G293,Lists!$A$2:$B$9,2,FALSE),"?"))</f>
        <v/>
      </c>
      <c r="Q293">
        <f>IF(K293="Cancelled",0,N(J293))</f>
        <v/>
      </c>
      <c r="R293">
        <f>IF(OR(H293&lt;&gt;"Cash",P293="T",P293="D"),0,Q293)</f>
        <v/>
      </c>
      <c r="S293">
        <f>IF(R293=0,0,SUMIFS($R$18:$R$317,$B$18:$B$317,B293,$D$18:$D$317,D293))</f>
        <v/>
      </c>
      <c r="T293">
        <f>IF(OR(R293=0,E293=""),0,SUMIFS($R$18:$R$317,$E$18:$E$317,E293))</f>
        <v/>
      </c>
      <c r="U293">
        <f>IF(E293="","",IF(N(F293)&gt;0,F293,IFERROR(INDEX($F$18:$F$317,MATCH(E293,$E$18:$E$317,0)),"")))</f>
        <v/>
      </c>
      <c r="V293">
        <f>IF(OR(N293="",N293="OK",K293="Cancelled"),0,1)</f>
        <v/>
      </c>
    </row>
    <row r="294">
      <c r="B294" s="21" t="n"/>
      <c r="C294" s="22">
        <f>IF(B294="","",$E$10&amp;TEXT(N($E$11)+276,"000"))</f>
        <v/>
      </c>
      <c r="D294" s="14" t="n"/>
      <c r="E294" s="23" t="n"/>
      <c r="F294" s="24" t="n"/>
      <c r="G294" s="14" t="n"/>
      <c r="H294" s="14" t="n"/>
      <c r="I294" s="23" t="n"/>
      <c r="J294" s="24" t="n"/>
      <c r="K294" s="23" t="n"/>
      <c r="L294" s="25">
        <f>IF(OR(E294="",N(U294)=0),"",U294-SUMIFS(Q$18:Q294,E$18:E294,E294))</f>
        <v/>
      </c>
      <c r="M294" s="26">
        <f>IF(OR(N(J294)=0,K294="Cancelled"),"",IF(AND(N(J294)&gt;5000,P294&lt;&gt;"G"),"Yes: ₹1","No"))</f>
        <v/>
      </c>
      <c r="N294" s="27">
        <f>IF(AND(B294="",D294="",N(J294)=0),"",IF(B294="","Enter the date",IF(AND(ROW()&gt;18,B293=""),"Use the next empty row: a skipped row leaves a gap in the receipt numbers",IF(D294="","Enter who paid",IF(N(J294)=0,"Enter the amount",IF(G294="","Pick what the money was for",IF(P294="?","Pick what it was for from the list",IF(H294="","Pick how it was paid",IF(K294="Cancelled","Cancelled: keep this number unused and give a fresh receipt",IF(AND(H294&lt;&gt;"Cash",I294=""),"Enter the cheque no., UTR or UPI reference",IF(AND(L294&lt;&gt;"",N(L294)&lt;0),"More than the balance due on this invoice",IF(S294&gt;=200000,"₹2,00,000 or more in cash from this person today: barred, s.186",IF(T294&gt;=200000,"₹2,00,000 or more in cash against this invoice: barred, s.186",IF(AND(P294="T",H294="Cash",N(J294)&gt;=20000),"Loan of ₹20,000 or more in cash: barred, s.185",IF(AND(P294="D",H294="Cash",N(J294)&gt;=20000),"Cash deposit of ₹20,000 or more: ask your accountant whether s.185 applies",IF(AND(OR(P294="AG",P294="AS"),$E$9&lt;&gt;""),"Advance: also give a GST receipt voucher, s.31(3)(d) and Rule 50","OK"))))))))))))))))</f>
        <v/>
      </c>
      <c r="P294">
        <f>IF(G294="","",IFERROR(VLOOKUP(G294,Lists!$A$2:$B$9,2,FALSE),"?"))</f>
        <v/>
      </c>
      <c r="Q294">
        <f>IF(K294="Cancelled",0,N(J294))</f>
        <v/>
      </c>
      <c r="R294">
        <f>IF(OR(H294&lt;&gt;"Cash",P294="T",P294="D"),0,Q294)</f>
        <v/>
      </c>
      <c r="S294">
        <f>IF(R294=0,0,SUMIFS($R$18:$R$317,$B$18:$B$317,B294,$D$18:$D$317,D294))</f>
        <v/>
      </c>
      <c r="T294">
        <f>IF(OR(R294=0,E294=""),0,SUMIFS($R$18:$R$317,$E$18:$E$317,E294))</f>
        <v/>
      </c>
      <c r="U294">
        <f>IF(E294="","",IF(N(F294)&gt;0,F294,IFERROR(INDEX($F$18:$F$317,MATCH(E294,$E$18:$E$317,0)),"")))</f>
        <v/>
      </c>
      <c r="V294">
        <f>IF(OR(N294="",N294="OK",K294="Cancelled"),0,1)</f>
        <v/>
      </c>
    </row>
    <row r="295">
      <c r="B295" s="21" t="n"/>
      <c r="C295" s="22">
        <f>IF(B295="","",$E$10&amp;TEXT(N($E$11)+277,"000"))</f>
        <v/>
      </c>
      <c r="D295" s="14" t="n"/>
      <c r="E295" s="23" t="n"/>
      <c r="F295" s="24" t="n"/>
      <c r="G295" s="14" t="n"/>
      <c r="H295" s="14" t="n"/>
      <c r="I295" s="23" t="n"/>
      <c r="J295" s="24" t="n"/>
      <c r="K295" s="23" t="n"/>
      <c r="L295" s="25">
        <f>IF(OR(E295="",N(U295)=0),"",U295-SUMIFS(Q$18:Q295,E$18:E295,E295))</f>
        <v/>
      </c>
      <c r="M295" s="26">
        <f>IF(OR(N(J295)=0,K295="Cancelled"),"",IF(AND(N(J295)&gt;5000,P295&lt;&gt;"G"),"Yes: ₹1","No"))</f>
        <v/>
      </c>
      <c r="N295" s="27">
        <f>IF(AND(B295="",D295="",N(J295)=0),"",IF(B295="","Enter the date",IF(AND(ROW()&gt;18,B294=""),"Use the next empty row: a skipped row leaves a gap in the receipt numbers",IF(D295="","Enter who paid",IF(N(J295)=0,"Enter the amount",IF(G295="","Pick what the money was for",IF(P295="?","Pick what it was for from the list",IF(H295="","Pick how it was paid",IF(K295="Cancelled","Cancelled: keep this number unused and give a fresh receipt",IF(AND(H295&lt;&gt;"Cash",I295=""),"Enter the cheque no., UTR or UPI reference",IF(AND(L295&lt;&gt;"",N(L295)&lt;0),"More than the balance due on this invoice",IF(S295&gt;=200000,"₹2,00,000 or more in cash from this person today: barred, s.186",IF(T295&gt;=200000,"₹2,00,000 or more in cash against this invoice: barred, s.186",IF(AND(P295="T",H295="Cash",N(J295)&gt;=20000),"Loan of ₹20,000 or more in cash: barred, s.185",IF(AND(P295="D",H295="Cash",N(J295)&gt;=20000),"Cash deposit of ₹20,000 or more: ask your accountant whether s.185 applies",IF(AND(OR(P295="AG",P295="AS"),$E$9&lt;&gt;""),"Advance: also give a GST receipt voucher, s.31(3)(d) and Rule 50","OK"))))))))))))))))</f>
        <v/>
      </c>
      <c r="P295">
        <f>IF(G295="","",IFERROR(VLOOKUP(G295,Lists!$A$2:$B$9,2,FALSE),"?"))</f>
        <v/>
      </c>
      <c r="Q295">
        <f>IF(K295="Cancelled",0,N(J295))</f>
        <v/>
      </c>
      <c r="R295">
        <f>IF(OR(H295&lt;&gt;"Cash",P295="T",P295="D"),0,Q295)</f>
        <v/>
      </c>
      <c r="S295">
        <f>IF(R295=0,0,SUMIFS($R$18:$R$317,$B$18:$B$317,B295,$D$18:$D$317,D295))</f>
        <v/>
      </c>
      <c r="T295">
        <f>IF(OR(R295=0,E295=""),0,SUMIFS($R$18:$R$317,$E$18:$E$317,E295))</f>
        <v/>
      </c>
      <c r="U295">
        <f>IF(E295="","",IF(N(F295)&gt;0,F295,IFERROR(INDEX($F$18:$F$317,MATCH(E295,$E$18:$E$317,0)),"")))</f>
        <v/>
      </c>
      <c r="V295">
        <f>IF(OR(N295="",N295="OK",K295="Cancelled"),0,1)</f>
        <v/>
      </c>
    </row>
    <row r="296">
      <c r="B296" s="21" t="n"/>
      <c r="C296" s="22">
        <f>IF(B296="","",$E$10&amp;TEXT(N($E$11)+278,"000"))</f>
        <v/>
      </c>
      <c r="D296" s="14" t="n"/>
      <c r="E296" s="23" t="n"/>
      <c r="F296" s="24" t="n"/>
      <c r="G296" s="14" t="n"/>
      <c r="H296" s="14" t="n"/>
      <c r="I296" s="23" t="n"/>
      <c r="J296" s="24" t="n"/>
      <c r="K296" s="23" t="n"/>
      <c r="L296" s="25">
        <f>IF(OR(E296="",N(U296)=0),"",U296-SUMIFS(Q$18:Q296,E$18:E296,E296))</f>
        <v/>
      </c>
      <c r="M296" s="26">
        <f>IF(OR(N(J296)=0,K296="Cancelled"),"",IF(AND(N(J296)&gt;5000,P296&lt;&gt;"G"),"Yes: ₹1","No"))</f>
        <v/>
      </c>
      <c r="N296" s="27">
        <f>IF(AND(B296="",D296="",N(J296)=0),"",IF(B296="","Enter the date",IF(AND(ROW()&gt;18,B295=""),"Use the next empty row: a skipped row leaves a gap in the receipt numbers",IF(D296="","Enter who paid",IF(N(J296)=0,"Enter the amount",IF(G296="","Pick what the money was for",IF(P296="?","Pick what it was for from the list",IF(H296="","Pick how it was paid",IF(K296="Cancelled","Cancelled: keep this number unused and give a fresh receipt",IF(AND(H296&lt;&gt;"Cash",I296=""),"Enter the cheque no., UTR or UPI reference",IF(AND(L296&lt;&gt;"",N(L296)&lt;0),"More than the balance due on this invoice",IF(S296&gt;=200000,"₹2,00,000 or more in cash from this person today: barred, s.186",IF(T296&gt;=200000,"₹2,00,000 or more in cash against this invoice: barred, s.186",IF(AND(P296="T",H296="Cash",N(J296)&gt;=20000),"Loan of ₹20,000 or more in cash: barred, s.185",IF(AND(P296="D",H296="Cash",N(J296)&gt;=20000),"Cash deposit of ₹20,000 or more: ask your accountant whether s.185 applies",IF(AND(OR(P296="AG",P296="AS"),$E$9&lt;&gt;""),"Advance: also give a GST receipt voucher, s.31(3)(d) and Rule 50","OK"))))))))))))))))</f>
        <v/>
      </c>
      <c r="P296">
        <f>IF(G296="","",IFERROR(VLOOKUP(G296,Lists!$A$2:$B$9,2,FALSE),"?"))</f>
        <v/>
      </c>
      <c r="Q296">
        <f>IF(K296="Cancelled",0,N(J296))</f>
        <v/>
      </c>
      <c r="R296">
        <f>IF(OR(H296&lt;&gt;"Cash",P296="T",P296="D"),0,Q296)</f>
        <v/>
      </c>
      <c r="S296">
        <f>IF(R296=0,0,SUMIFS($R$18:$R$317,$B$18:$B$317,B296,$D$18:$D$317,D296))</f>
        <v/>
      </c>
      <c r="T296">
        <f>IF(OR(R296=0,E296=""),0,SUMIFS($R$18:$R$317,$E$18:$E$317,E296))</f>
        <v/>
      </c>
      <c r="U296">
        <f>IF(E296="","",IF(N(F296)&gt;0,F296,IFERROR(INDEX($F$18:$F$317,MATCH(E296,$E$18:$E$317,0)),"")))</f>
        <v/>
      </c>
      <c r="V296">
        <f>IF(OR(N296="",N296="OK",K296="Cancelled"),0,1)</f>
        <v/>
      </c>
    </row>
    <row r="297">
      <c r="B297" s="21" t="n"/>
      <c r="C297" s="22">
        <f>IF(B297="","",$E$10&amp;TEXT(N($E$11)+279,"000"))</f>
        <v/>
      </c>
      <c r="D297" s="14" t="n"/>
      <c r="E297" s="23" t="n"/>
      <c r="F297" s="24" t="n"/>
      <c r="G297" s="14" t="n"/>
      <c r="H297" s="14" t="n"/>
      <c r="I297" s="23" t="n"/>
      <c r="J297" s="24" t="n"/>
      <c r="K297" s="23" t="n"/>
      <c r="L297" s="25">
        <f>IF(OR(E297="",N(U297)=0),"",U297-SUMIFS(Q$18:Q297,E$18:E297,E297))</f>
        <v/>
      </c>
      <c r="M297" s="26">
        <f>IF(OR(N(J297)=0,K297="Cancelled"),"",IF(AND(N(J297)&gt;5000,P297&lt;&gt;"G"),"Yes: ₹1","No"))</f>
        <v/>
      </c>
      <c r="N297" s="27">
        <f>IF(AND(B297="",D297="",N(J297)=0),"",IF(B297="","Enter the date",IF(AND(ROW()&gt;18,B296=""),"Use the next empty row: a skipped row leaves a gap in the receipt numbers",IF(D297="","Enter who paid",IF(N(J297)=0,"Enter the amount",IF(G297="","Pick what the money was for",IF(P297="?","Pick what it was for from the list",IF(H297="","Pick how it was paid",IF(K297="Cancelled","Cancelled: keep this number unused and give a fresh receipt",IF(AND(H297&lt;&gt;"Cash",I297=""),"Enter the cheque no., UTR or UPI reference",IF(AND(L297&lt;&gt;"",N(L297)&lt;0),"More than the balance due on this invoice",IF(S297&gt;=200000,"₹2,00,000 or more in cash from this person today: barred, s.186",IF(T297&gt;=200000,"₹2,00,000 or more in cash against this invoice: barred, s.186",IF(AND(P297="T",H297="Cash",N(J297)&gt;=20000),"Loan of ₹20,000 or more in cash: barred, s.185",IF(AND(P297="D",H297="Cash",N(J297)&gt;=20000),"Cash deposit of ₹20,000 or more: ask your accountant whether s.185 applies",IF(AND(OR(P297="AG",P297="AS"),$E$9&lt;&gt;""),"Advance: also give a GST receipt voucher, s.31(3)(d) and Rule 50","OK"))))))))))))))))</f>
        <v/>
      </c>
      <c r="P297">
        <f>IF(G297="","",IFERROR(VLOOKUP(G297,Lists!$A$2:$B$9,2,FALSE),"?"))</f>
        <v/>
      </c>
      <c r="Q297">
        <f>IF(K297="Cancelled",0,N(J297))</f>
        <v/>
      </c>
      <c r="R297">
        <f>IF(OR(H297&lt;&gt;"Cash",P297="T",P297="D"),0,Q297)</f>
        <v/>
      </c>
      <c r="S297">
        <f>IF(R297=0,0,SUMIFS($R$18:$R$317,$B$18:$B$317,B297,$D$18:$D$317,D297))</f>
        <v/>
      </c>
      <c r="T297">
        <f>IF(OR(R297=0,E297=""),0,SUMIFS($R$18:$R$317,$E$18:$E$317,E297))</f>
        <v/>
      </c>
      <c r="U297">
        <f>IF(E297="","",IF(N(F297)&gt;0,F297,IFERROR(INDEX($F$18:$F$317,MATCH(E297,$E$18:$E$317,0)),"")))</f>
        <v/>
      </c>
      <c r="V297">
        <f>IF(OR(N297="",N297="OK",K297="Cancelled"),0,1)</f>
        <v/>
      </c>
    </row>
    <row r="298">
      <c r="B298" s="21" t="n"/>
      <c r="C298" s="22">
        <f>IF(B298="","",$E$10&amp;TEXT(N($E$11)+280,"000"))</f>
        <v/>
      </c>
      <c r="D298" s="14" t="n"/>
      <c r="E298" s="23" t="n"/>
      <c r="F298" s="24" t="n"/>
      <c r="G298" s="14" t="n"/>
      <c r="H298" s="14" t="n"/>
      <c r="I298" s="23" t="n"/>
      <c r="J298" s="24" t="n"/>
      <c r="K298" s="23" t="n"/>
      <c r="L298" s="25">
        <f>IF(OR(E298="",N(U298)=0),"",U298-SUMIFS(Q$18:Q298,E$18:E298,E298))</f>
        <v/>
      </c>
      <c r="M298" s="26">
        <f>IF(OR(N(J298)=0,K298="Cancelled"),"",IF(AND(N(J298)&gt;5000,P298&lt;&gt;"G"),"Yes: ₹1","No"))</f>
        <v/>
      </c>
      <c r="N298" s="27">
        <f>IF(AND(B298="",D298="",N(J298)=0),"",IF(B298="","Enter the date",IF(AND(ROW()&gt;18,B297=""),"Use the next empty row: a skipped row leaves a gap in the receipt numbers",IF(D298="","Enter who paid",IF(N(J298)=0,"Enter the amount",IF(G298="","Pick what the money was for",IF(P298="?","Pick what it was for from the list",IF(H298="","Pick how it was paid",IF(K298="Cancelled","Cancelled: keep this number unused and give a fresh receipt",IF(AND(H298&lt;&gt;"Cash",I298=""),"Enter the cheque no., UTR or UPI reference",IF(AND(L298&lt;&gt;"",N(L298)&lt;0),"More than the balance due on this invoice",IF(S298&gt;=200000,"₹2,00,000 or more in cash from this person today: barred, s.186",IF(T298&gt;=200000,"₹2,00,000 or more in cash against this invoice: barred, s.186",IF(AND(P298="T",H298="Cash",N(J298)&gt;=20000),"Loan of ₹20,000 or more in cash: barred, s.185",IF(AND(P298="D",H298="Cash",N(J298)&gt;=20000),"Cash deposit of ₹20,000 or more: ask your accountant whether s.185 applies",IF(AND(OR(P298="AG",P298="AS"),$E$9&lt;&gt;""),"Advance: also give a GST receipt voucher, s.31(3)(d) and Rule 50","OK"))))))))))))))))</f>
        <v/>
      </c>
      <c r="P298">
        <f>IF(G298="","",IFERROR(VLOOKUP(G298,Lists!$A$2:$B$9,2,FALSE),"?"))</f>
        <v/>
      </c>
      <c r="Q298">
        <f>IF(K298="Cancelled",0,N(J298))</f>
        <v/>
      </c>
      <c r="R298">
        <f>IF(OR(H298&lt;&gt;"Cash",P298="T",P298="D"),0,Q298)</f>
        <v/>
      </c>
      <c r="S298">
        <f>IF(R298=0,0,SUMIFS($R$18:$R$317,$B$18:$B$317,B298,$D$18:$D$317,D298))</f>
        <v/>
      </c>
      <c r="T298">
        <f>IF(OR(R298=0,E298=""),0,SUMIFS($R$18:$R$317,$E$18:$E$317,E298))</f>
        <v/>
      </c>
      <c r="U298">
        <f>IF(E298="","",IF(N(F298)&gt;0,F298,IFERROR(INDEX($F$18:$F$317,MATCH(E298,$E$18:$E$317,0)),"")))</f>
        <v/>
      </c>
      <c r="V298">
        <f>IF(OR(N298="",N298="OK",K298="Cancelled"),0,1)</f>
        <v/>
      </c>
    </row>
    <row r="299">
      <c r="B299" s="21" t="n"/>
      <c r="C299" s="22">
        <f>IF(B299="","",$E$10&amp;TEXT(N($E$11)+281,"000"))</f>
        <v/>
      </c>
      <c r="D299" s="14" t="n"/>
      <c r="E299" s="23" t="n"/>
      <c r="F299" s="24" t="n"/>
      <c r="G299" s="14" t="n"/>
      <c r="H299" s="14" t="n"/>
      <c r="I299" s="23" t="n"/>
      <c r="J299" s="24" t="n"/>
      <c r="K299" s="23" t="n"/>
      <c r="L299" s="25">
        <f>IF(OR(E299="",N(U299)=0),"",U299-SUMIFS(Q$18:Q299,E$18:E299,E299))</f>
        <v/>
      </c>
      <c r="M299" s="26">
        <f>IF(OR(N(J299)=0,K299="Cancelled"),"",IF(AND(N(J299)&gt;5000,P299&lt;&gt;"G"),"Yes: ₹1","No"))</f>
        <v/>
      </c>
      <c r="N299" s="27">
        <f>IF(AND(B299="",D299="",N(J299)=0),"",IF(B299="","Enter the date",IF(AND(ROW()&gt;18,B298=""),"Use the next empty row: a skipped row leaves a gap in the receipt numbers",IF(D299="","Enter who paid",IF(N(J299)=0,"Enter the amount",IF(G299="","Pick what the money was for",IF(P299="?","Pick what it was for from the list",IF(H299="","Pick how it was paid",IF(K299="Cancelled","Cancelled: keep this number unused and give a fresh receipt",IF(AND(H299&lt;&gt;"Cash",I299=""),"Enter the cheque no., UTR or UPI reference",IF(AND(L299&lt;&gt;"",N(L299)&lt;0),"More than the balance due on this invoice",IF(S299&gt;=200000,"₹2,00,000 or more in cash from this person today: barred, s.186",IF(T299&gt;=200000,"₹2,00,000 or more in cash against this invoice: barred, s.186",IF(AND(P299="T",H299="Cash",N(J299)&gt;=20000),"Loan of ₹20,000 or more in cash: barred, s.185",IF(AND(P299="D",H299="Cash",N(J299)&gt;=20000),"Cash deposit of ₹20,000 or more: ask your accountant whether s.185 applies",IF(AND(OR(P299="AG",P299="AS"),$E$9&lt;&gt;""),"Advance: also give a GST receipt voucher, s.31(3)(d) and Rule 50","OK"))))))))))))))))</f>
        <v/>
      </c>
      <c r="P299">
        <f>IF(G299="","",IFERROR(VLOOKUP(G299,Lists!$A$2:$B$9,2,FALSE),"?"))</f>
        <v/>
      </c>
      <c r="Q299">
        <f>IF(K299="Cancelled",0,N(J299))</f>
        <v/>
      </c>
      <c r="R299">
        <f>IF(OR(H299&lt;&gt;"Cash",P299="T",P299="D"),0,Q299)</f>
        <v/>
      </c>
      <c r="S299">
        <f>IF(R299=0,0,SUMIFS($R$18:$R$317,$B$18:$B$317,B299,$D$18:$D$317,D299))</f>
        <v/>
      </c>
      <c r="T299">
        <f>IF(OR(R299=0,E299=""),0,SUMIFS($R$18:$R$317,$E$18:$E$317,E299))</f>
        <v/>
      </c>
      <c r="U299">
        <f>IF(E299="","",IF(N(F299)&gt;0,F299,IFERROR(INDEX($F$18:$F$317,MATCH(E299,$E$18:$E$317,0)),"")))</f>
        <v/>
      </c>
      <c r="V299">
        <f>IF(OR(N299="",N299="OK",K299="Cancelled"),0,1)</f>
        <v/>
      </c>
    </row>
    <row r="300">
      <c r="B300" s="21" t="n"/>
      <c r="C300" s="22">
        <f>IF(B300="","",$E$10&amp;TEXT(N($E$11)+282,"000"))</f>
        <v/>
      </c>
      <c r="D300" s="14" t="n"/>
      <c r="E300" s="23" t="n"/>
      <c r="F300" s="24" t="n"/>
      <c r="G300" s="14" t="n"/>
      <c r="H300" s="14" t="n"/>
      <c r="I300" s="23" t="n"/>
      <c r="J300" s="24" t="n"/>
      <c r="K300" s="23" t="n"/>
      <c r="L300" s="25">
        <f>IF(OR(E300="",N(U300)=0),"",U300-SUMIFS(Q$18:Q300,E$18:E300,E300))</f>
        <v/>
      </c>
      <c r="M300" s="26">
        <f>IF(OR(N(J300)=0,K300="Cancelled"),"",IF(AND(N(J300)&gt;5000,P300&lt;&gt;"G"),"Yes: ₹1","No"))</f>
        <v/>
      </c>
      <c r="N300" s="27">
        <f>IF(AND(B300="",D300="",N(J300)=0),"",IF(B300="","Enter the date",IF(AND(ROW()&gt;18,B299=""),"Use the next empty row: a skipped row leaves a gap in the receipt numbers",IF(D300="","Enter who paid",IF(N(J300)=0,"Enter the amount",IF(G300="","Pick what the money was for",IF(P300="?","Pick what it was for from the list",IF(H300="","Pick how it was paid",IF(K300="Cancelled","Cancelled: keep this number unused and give a fresh receipt",IF(AND(H300&lt;&gt;"Cash",I300=""),"Enter the cheque no., UTR or UPI reference",IF(AND(L300&lt;&gt;"",N(L300)&lt;0),"More than the balance due on this invoice",IF(S300&gt;=200000,"₹2,00,000 or more in cash from this person today: barred, s.186",IF(T300&gt;=200000,"₹2,00,000 or more in cash against this invoice: barred, s.186",IF(AND(P300="T",H300="Cash",N(J300)&gt;=20000),"Loan of ₹20,000 or more in cash: barred, s.185",IF(AND(P300="D",H300="Cash",N(J300)&gt;=20000),"Cash deposit of ₹20,000 or more: ask your accountant whether s.185 applies",IF(AND(OR(P300="AG",P300="AS"),$E$9&lt;&gt;""),"Advance: also give a GST receipt voucher, s.31(3)(d) and Rule 50","OK"))))))))))))))))</f>
        <v/>
      </c>
      <c r="P300">
        <f>IF(G300="","",IFERROR(VLOOKUP(G300,Lists!$A$2:$B$9,2,FALSE),"?"))</f>
        <v/>
      </c>
      <c r="Q300">
        <f>IF(K300="Cancelled",0,N(J300))</f>
        <v/>
      </c>
      <c r="R300">
        <f>IF(OR(H300&lt;&gt;"Cash",P300="T",P300="D"),0,Q300)</f>
        <v/>
      </c>
      <c r="S300">
        <f>IF(R300=0,0,SUMIFS($R$18:$R$317,$B$18:$B$317,B300,$D$18:$D$317,D300))</f>
        <v/>
      </c>
      <c r="T300">
        <f>IF(OR(R300=0,E300=""),0,SUMIFS($R$18:$R$317,$E$18:$E$317,E300))</f>
        <v/>
      </c>
      <c r="U300">
        <f>IF(E300="","",IF(N(F300)&gt;0,F300,IFERROR(INDEX($F$18:$F$317,MATCH(E300,$E$18:$E$317,0)),"")))</f>
        <v/>
      </c>
      <c r="V300">
        <f>IF(OR(N300="",N300="OK",K300="Cancelled"),0,1)</f>
        <v/>
      </c>
    </row>
    <row r="301">
      <c r="B301" s="21" t="n"/>
      <c r="C301" s="22">
        <f>IF(B301="","",$E$10&amp;TEXT(N($E$11)+283,"000"))</f>
        <v/>
      </c>
      <c r="D301" s="14" t="n"/>
      <c r="E301" s="23" t="n"/>
      <c r="F301" s="24" t="n"/>
      <c r="G301" s="14" t="n"/>
      <c r="H301" s="14" t="n"/>
      <c r="I301" s="23" t="n"/>
      <c r="J301" s="24" t="n"/>
      <c r="K301" s="23" t="n"/>
      <c r="L301" s="25">
        <f>IF(OR(E301="",N(U301)=0),"",U301-SUMIFS(Q$18:Q301,E$18:E301,E301))</f>
        <v/>
      </c>
      <c r="M301" s="26">
        <f>IF(OR(N(J301)=0,K301="Cancelled"),"",IF(AND(N(J301)&gt;5000,P301&lt;&gt;"G"),"Yes: ₹1","No"))</f>
        <v/>
      </c>
      <c r="N301" s="27">
        <f>IF(AND(B301="",D301="",N(J301)=0),"",IF(B301="","Enter the date",IF(AND(ROW()&gt;18,B300=""),"Use the next empty row: a skipped row leaves a gap in the receipt numbers",IF(D301="","Enter who paid",IF(N(J301)=0,"Enter the amount",IF(G301="","Pick what the money was for",IF(P301="?","Pick what it was for from the list",IF(H301="","Pick how it was paid",IF(K301="Cancelled","Cancelled: keep this number unused and give a fresh receipt",IF(AND(H301&lt;&gt;"Cash",I301=""),"Enter the cheque no., UTR or UPI reference",IF(AND(L301&lt;&gt;"",N(L301)&lt;0),"More than the balance due on this invoice",IF(S301&gt;=200000,"₹2,00,000 or more in cash from this person today: barred, s.186",IF(T301&gt;=200000,"₹2,00,000 or more in cash against this invoice: barred, s.186",IF(AND(P301="T",H301="Cash",N(J301)&gt;=20000),"Loan of ₹20,000 or more in cash: barred, s.185",IF(AND(P301="D",H301="Cash",N(J301)&gt;=20000),"Cash deposit of ₹20,000 or more: ask your accountant whether s.185 applies",IF(AND(OR(P301="AG",P301="AS"),$E$9&lt;&gt;""),"Advance: also give a GST receipt voucher, s.31(3)(d) and Rule 50","OK"))))))))))))))))</f>
        <v/>
      </c>
      <c r="P301">
        <f>IF(G301="","",IFERROR(VLOOKUP(G301,Lists!$A$2:$B$9,2,FALSE),"?"))</f>
        <v/>
      </c>
      <c r="Q301">
        <f>IF(K301="Cancelled",0,N(J301))</f>
        <v/>
      </c>
      <c r="R301">
        <f>IF(OR(H301&lt;&gt;"Cash",P301="T",P301="D"),0,Q301)</f>
        <v/>
      </c>
      <c r="S301">
        <f>IF(R301=0,0,SUMIFS($R$18:$R$317,$B$18:$B$317,B301,$D$18:$D$317,D301))</f>
        <v/>
      </c>
      <c r="T301">
        <f>IF(OR(R301=0,E301=""),0,SUMIFS($R$18:$R$317,$E$18:$E$317,E301))</f>
        <v/>
      </c>
      <c r="U301">
        <f>IF(E301="","",IF(N(F301)&gt;0,F301,IFERROR(INDEX($F$18:$F$317,MATCH(E301,$E$18:$E$317,0)),"")))</f>
        <v/>
      </c>
      <c r="V301">
        <f>IF(OR(N301="",N301="OK",K301="Cancelled"),0,1)</f>
        <v/>
      </c>
    </row>
    <row r="302">
      <c r="B302" s="21" t="n"/>
      <c r="C302" s="22">
        <f>IF(B302="","",$E$10&amp;TEXT(N($E$11)+284,"000"))</f>
        <v/>
      </c>
      <c r="D302" s="14" t="n"/>
      <c r="E302" s="23" t="n"/>
      <c r="F302" s="24" t="n"/>
      <c r="G302" s="14" t="n"/>
      <c r="H302" s="14" t="n"/>
      <c r="I302" s="23" t="n"/>
      <c r="J302" s="24" t="n"/>
      <c r="K302" s="23" t="n"/>
      <c r="L302" s="25">
        <f>IF(OR(E302="",N(U302)=0),"",U302-SUMIFS(Q$18:Q302,E$18:E302,E302))</f>
        <v/>
      </c>
      <c r="M302" s="26">
        <f>IF(OR(N(J302)=0,K302="Cancelled"),"",IF(AND(N(J302)&gt;5000,P302&lt;&gt;"G"),"Yes: ₹1","No"))</f>
        <v/>
      </c>
      <c r="N302" s="27">
        <f>IF(AND(B302="",D302="",N(J302)=0),"",IF(B302="","Enter the date",IF(AND(ROW()&gt;18,B301=""),"Use the next empty row: a skipped row leaves a gap in the receipt numbers",IF(D302="","Enter who paid",IF(N(J302)=0,"Enter the amount",IF(G302="","Pick what the money was for",IF(P302="?","Pick what it was for from the list",IF(H302="","Pick how it was paid",IF(K302="Cancelled","Cancelled: keep this number unused and give a fresh receipt",IF(AND(H302&lt;&gt;"Cash",I302=""),"Enter the cheque no., UTR or UPI reference",IF(AND(L302&lt;&gt;"",N(L302)&lt;0),"More than the balance due on this invoice",IF(S302&gt;=200000,"₹2,00,000 or more in cash from this person today: barred, s.186",IF(T302&gt;=200000,"₹2,00,000 or more in cash against this invoice: barred, s.186",IF(AND(P302="T",H302="Cash",N(J302)&gt;=20000),"Loan of ₹20,000 or more in cash: barred, s.185",IF(AND(P302="D",H302="Cash",N(J302)&gt;=20000),"Cash deposit of ₹20,000 or more: ask your accountant whether s.185 applies",IF(AND(OR(P302="AG",P302="AS"),$E$9&lt;&gt;""),"Advance: also give a GST receipt voucher, s.31(3)(d) and Rule 50","OK"))))))))))))))))</f>
        <v/>
      </c>
      <c r="P302">
        <f>IF(G302="","",IFERROR(VLOOKUP(G302,Lists!$A$2:$B$9,2,FALSE),"?"))</f>
        <v/>
      </c>
      <c r="Q302">
        <f>IF(K302="Cancelled",0,N(J302))</f>
        <v/>
      </c>
      <c r="R302">
        <f>IF(OR(H302&lt;&gt;"Cash",P302="T",P302="D"),0,Q302)</f>
        <v/>
      </c>
      <c r="S302">
        <f>IF(R302=0,0,SUMIFS($R$18:$R$317,$B$18:$B$317,B302,$D$18:$D$317,D302))</f>
        <v/>
      </c>
      <c r="T302">
        <f>IF(OR(R302=0,E302=""),0,SUMIFS($R$18:$R$317,$E$18:$E$317,E302))</f>
        <v/>
      </c>
      <c r="U302">
        <f>IF(E302="","",IF(N(F302)&gt;0,F302,IFERROR(INDEX($F$18:$F$317,MATCH(E302,$E$18:$E$317,0)),"")))</f>
        <v/>
      </c>
      <c r="V302">
        <f>IF(OR(N302="",N302="OK",K302="Cancelled"),0,1)</f>
        <v/>
      </c>
    </row>
    <row r="303">
      <c r="B303" s="21" t="n"/>
      <c r="C303" s="22">
        <f>IF(B303="","",$E$10&amp;TEXT(N($E$11)+285,"000"))</f>
        <v/>
      </c>
      <c r="D303" s="14" t="n"/>
      <c r="E303" s="23" t="n"/>
      <c r="F303" s="24" t="n"/>
      <c r="G303" s="14" t="n"/>
      <c r="H303" s="14" t="n"/>
      <c r="I303" s="23" t="n"/>
      <c r="J303" s="24" t="n"/>
      <c r="K303" s="23" t="n"/>
      <c r="L303" s="25">
        <f>IF(OR(E303="",N(U303)=0),"",U303-SUMIFS(Q$18:Q303,E$18:E303,E303))</f>
        <v/>
      </c>
      <c r="M303" s="26">
        <f>IF(OR(N(J303)=0,K303="Cancelled"),"",IF(AND(N(J303)&gt;5000,P303&lt;&gt;"G"),"Yes: ₹1","No"))</f>
        <v/>
      </c>
      <c r="N303" s="27">
        <f>IF(AND(B303="",D303="",N(J303)=0),"",IF(B303="","Enter the date",IF(AND(ROW()&gt;18,B302=""),"Use the next empty row: a skipped row leaves a gap in the receipt numbers",IF(D303="","Enter who paid",IF(N(J303)=0,"Enter the amount",IF(G303="","Pick what the money was for",IF(P303="?","Pick what it was for from the list",IF(H303="","Pick how it was paid",IF(K303="Cancelled","Cancelled: keep this number unused and give a fresh receipt",IF(AND(H303&lt;&gt;"Cash",I303=""),"Enter the cheque no., UTR or UPI reference",IF(AND(L303&lt;&gt;"",N(L303)&lt;0),"More than the balance due on this invoice",IF(S303&gt;=200000,"₹2,00,000 or more in cash from this person today: barred, s.186",IF(T303&gt;=200000,"₹2,00,000 or more in cash against this invoice: barred, s.186",IF(AND(P303="T",H303="Cash",N(J303)&gt;=20000),"Loan of ₹20,000 or more in cash: barred, s.185",IF(AND(P303="D",H303="Cash",N(J303)&gt;=20000),"Cash deposit of ₹20,000 or more: ask your accountant whether s.185 applies",IF(AND(OR(P303="AG",P303="AS"),$E$9&lt;&gt;""),"Advance: also give a GST receipt voucher, s.31(3)(d) and Rule 50","OK"))))))))))))))))</f>
        <v/>
      </c>
      <c r="P303">
        <f>IF(G303="","",IFERROR(VLOOKUP(G303,Lists!$A$2:$B$9,2,FALSE),"?"))</f>
        <v/>
      </c>
      <c r="Q303">
        <f>IF(K303="Cancelled",0,N(J303))</f>
        <v/>
      </c>
      <c r="R303">
        <f>IF(OR(H303&lt;&gt;"Cash",P303="T",P303="D"),0,Q303)</f>
        <v/>
      </c>
      <c r="S303">
        <f>IF(R303=0,0,SUMIFS($R$18:$R$317,$B$18:$B$317,B303,$D$18:$D$317,D303))</f>
        <v/>
      </c>
      <c r="T303">
        <f>IF(OR(R303=0,E303=""),0,SUMIFS($R$18:$R$317,$E$18:$E$317,E303))</f>
        <v/>
      </c>
      <c r="U303">
        <f>IF(E303="","",IF(N(F303)&gt;0,F303,IFERROR(INDEX($F$18:$F$317,MATCH(E303,$E$18:$E$317,0)),"")))</f>
        <v/>
      </c>
      <c r="V303">
        <f>IF(OR(N303="",N303="OK",K303="Cancelled"),0,1)</f>
        <v/>
      </c>
    </row>
    <row r="304">
      <c r="B304" s="21" t="n"/>
      <c r="C304" s="22">
        <f>IF(B304="","",$E$10&amp;TEXT(N($E$11)+286,"000"))</f>
        <v/>
      </c>
      <c r="D304" s="14" t="n"/>
      <c r="E304" s="23" t="n"/>
      <c r="F304" s="24" t="n"/>
      <c r="G304" s="14" t="n"/>
      <c r="H304" s="14" t="n"/>
      <c r="I304" s="23" t="n"/>
      <c r="J304" s="24" t="n"/>
      <c r="K304" s="23" t="n"/>
      <c r="L304" s="25">
        <f>IF(OR(E304="",N(U304)=0),"",U304-SUMIFS(Q$18:Q304,E$18:E304,E304))</f>
        <v/>
      </c>
      <c r="M304" s="26">
        <f>IF(OR(N(J304)=0,K304="Cancelled"),"",IF(AND(N(J304)&gt;5000,P304&lt;&gt;"G"),"Yes: ₹1","No"))</f>
        <v/>
      </c>
      <c r="N304" s="27">
        <f>IF(AND(B304="",D304="",N(J304)=0),"",IF(B304="","Enter the date",IF(AND(ROW()&gt;18,B303=""),"Use the next empty row: a skipped row leaves a gap in the receipt numbers",IF(D304="","Enter who paid",IF(N(J304)=0,"Enter the amount",IF(G304="","Pick what the money was for",IF(P304="?","Pick what it was for from the list",IF(H304="","Pick how it was paid",IF(K304="Cancelled","Cancelled: keep this number unused and give a fresh receipt",IF(AND(H304&lt;&gt;"Cash",I304=""),"Enter the cheque no., UTR or UPI reference",IF(AND(L304&lt;&gt;"",N(L304)&lt;0),"More than the balance due on this invoice",IF(S304&gt;=200000,"₹2,00,000 or more in cash from this person today: barred, s.186",IF(T304&gt;=200000,"₹2,00,000 or more in cash against this invoice: barred, s.186",IF(AND(P304="T",H304="Cash",N(J304)&gt;=20000),"Loan of ₹20,000 or more in cash: barred, s.185",IF(AND(P304="D",H304="Cash",N(J304)&gt;=20000),"Cash deposit of ₹20,000 or more: ask your accountant whether s.185 applies",IF(AND(OR(P304="AG",P304="AS"),$E$9&lt;&gt;""),"Advance: also give a GST receipt voucher, s.31(3)(d) and Rule 50","OK"))))))))))))))))</f>
        <v/>
      </c>
      <c r="P304">
        <f>IF(G304="","",IFERROR(VLOOKUP(G304,Lists!$A$2:$B$9,2,FALSE),"?"))</f>
        <v/>
      </c>
      <c r="Q304">
        <f>IF(K304="Cancelled",0,N(J304))</f>
        <v/>
      </c>
      <c r="R304">
        <f>IF(OR(H304&lt;&gt;"Cash",P304="T",P304="D"),0,Q304)</f>
        <v/>
      </c>
      <c r="S304">
        <f>IF(R304=0,0,SUMIFS($R$18:$R$317,$B$18:$B$317,B304,$D$18:$D$317,D304))</f>
        <v/>
      </c>
      <c r="T304">
        <f>IF(OR(R304=0,E304=""),0,SUMIFS($R$18:$R$317,$E$18:$E$317,E304))</f>
        <v/>
      </c>
      <c r="U304">
        <f>IF(E304="","",IF(N(F304)&gt;0,F304,IFERROR(INDEX($F$18:$F$317,MATCH(E304,$E$18:$E$317,0)),"")))</f>
        <v/>
      </c>
      <c r="V304">
        <f>IF(OR(N304="",N304="OK",K304="Cancelled"),0,1)</f>
        <v/>
      </c>
    </row>
    <row r="305">
      <c r="B305" s="21" t="n"/>
      <c r="C305" s="22">
        <f>IF(B305="","",$E$10&amp;TEXT(N($E$11)+287,"000"))</f>
        <v/>
      </c>
      <c r="D305" s="14" t="n"/>
      <c r="E305" s="23" t="n"/>
      <c r="F305" s="24" t="n"/>
      <c r="G305" s="14" t="n"/>
      <c r="H305" s="14" t="n"/>
      <c r="I305" s="23" t="n"/>
      <c r="J305" s="24" t="n"/>
      <c r="K305" s="23" t="n"/>
      <c r="L305" s="25">
        <f>IF(OR(E305="",N(U305)=0),"",U305-SUMIFS(Q$18:Q305,E$18:E305,E305))</f>
        <v/>
      </c>
      <c r="M305" s="26">
        <f>IF(OR(N(J305)=0,K305="Cancelled"),"",IF(AND(N(J305)&gt;5000,P305&lt;&gt;"G"),"Yes: ₹1","No"))</f>
        <v/>
      </c>
      <c r="N305" s="27">
        <f>IF(AND(B305="",D305="",N(J305)=0),"",IF(B305="","Enter the date",IF(AND(ROW()&gt;18,B304=""),"Use the next empty row: a skipped row leaves a gap in the receipt numbers",IF(D305="","Enter who paid",IF(N(J305)=0,"Enter the amount",IF(G305="","Pick what the money was for",IF(P305="?","Pick what it was for from the list",IF(H305="","Pick how it was paid",IF(K305="Cancelled","Cancelled: keep this number unused and give a fresh receipt",IF(AND(H305&lt;&gt;"Cash",I305=""),"Enter the cheque no., UTR or UPI reference",IF(AND(L305&lt;&gt;"",N(L305)&lt;0),"More than the balance due on this invoice",IF(S305&gt;=200000,"₹2,00,000 or more in cash from this person today: barred, s.186",IF(T305&gt;=200000,"₹2,00,000 or more in cash against this invoice: barred, s.186",IF(AND(P305="T",H305="Cash",N(J305)&gt;=20000),"Loan of ₹20,000 or more in cash: barred, s.185",IF(AND(P305="D",H305="Cash",N(J305)&gt;=20000),"Cash deposit of ₹20,000 or more: ask your accountant whether s.185 applies",IF(AND(OR(P305="AG",P305="AS"),$E$9&lt;&gt;""),"Advance: also give a GST receipt voucher, s.31(3)(d) and Rule 50","OK"))))))))))))))))</f>
        <v/>
      </c>
      <c r="P305">
        <f>IF(G305="","",IFERROR(VLOOKUP(G305,Lists!$A$2:$B$9,2,FALSE),"?"))</f>
        <v/>
      </c>
      <c r="Q305">
        <f>IF(K305="Cancelled",0,N(J305))</f>
        <v/>
      </c>
      <c r="R305">
        <f>IF(OR(H305&lt;&gt;"Cash",P305="T",P305="D"),0,Q305)</f>
        <v/>
      </c>
      <c r="S305">
        <f>IF(R305=0,0,SUMIFS($R$18:$R$317,$B$18:$B$317,B305,$D$18:$D$317,D305))</f>
        <v/>
      </c>
      <c r="T305">
        <f>IF(OR(R305=0,E305=""),0,SUMIFS($R$18:$R$317,$E$18:$E$317,E305))</f>
        <v/>
      </c>
      <c r="U305">
        <f>IF(E305="","",IF(N(F305)&gt;0,F305,IFERROR(INDEX($F$18:$F$317,MATCH(E305,$E$18:$E$317,0)),"")))</f>
        <v/>
      </c>
      <c r="V305">
        <f>IF(OR(N305="",N305="OK",K305="Cancelled"),0,1)</f>
        <v/>
      </c>
    </row>
    <row r="306">
      <c r="B306" s="21" t="n"/>
      <c r="C306" s="22">
        <f>IF(B306="","",$E$10&amp;TEXT(N($E$11)+288,"000"))</f>
        <v/>
      </c>
      <c r="D306" s="14" t="n"/>
      <c r="E306" s="23" t="n"/>
      <c r="F306" s="24" t="n"/>
      <c r="G306" s="14" t="n"/>
      <c r="H306" s="14" t="n"/>
      <c r="I306" s="23" t="n"/>
      <c r="J306" s="24" t="n"/>
      <c r="K306" s="23" t="n"/>
      <c r="L306" s="25">
        <f>IF(OR(E306="",N(U306)=0),"",U306-SUMIFS(Q$18:Q306,E$18:E306,E306))</f>
        <v/>
      </c>
      <c r="M306" s="26">
        <f>IF(OR(N(J306)=0,K306="Cancelled"),"",IF(AND(N(J306)&gt;5000,P306&lt;&gt;"G"),"Yes: ₹1","No"))</f>
        <v/>
      </c>
      <c r="N306" s="27">
        <f>IF(AND(B306="",D306="",N(J306)=0),"",IF(B306="","Enter the date",IF(AND(ROW()&gt;18,B305=""),"Use the next empty row: a skipped row leaves a gap in the receipt numbers",IF(D306="","Enter who paid",IF(N(J306)=0,"Enter the amount",IF(G306="","Pick what the money was for",IF(P306="?","Pick what it was for from the list",IF(H306="","Pick how it was paid",IF(K306="Cancelled","Cancelled: keep this number unused and give a fresh receipt",IF(AND(H306&lt;&gt;"Cash",I306=""),"Enter the cheque no., UTR or UPI reference",IF(AND(L306&lt;&gt;"",N(L306)&lt;0),"More than the balance due on this invoice",IF(S306&gt;=200000,"₹2,00,000 or more in cash from this person today: barred, s.186",IF(T306&gt;=200000,"₹2,00,000 or more in cash against this invoice: barred, s.186",IF(AND(P306="T",H306="Cash",N(J306)&gt;=20000),"Loan of ₹20,000 or more in cash: barred, s.185",IF(AND(P306="D",H306="Cash",N(J306)&gt;=20000),"Cash deposit of ₹20,000 or more: ask your accountant whether s.185 applies",IF(AND(OR(P306="AG",P306="AS"),$E$9&lt;&gt;""),"Advance: also give a GST receipt voucher, s.31(3)(d) and Rule 50","OK"))))))))))))))))</f>
        <v/>
      </c>
      <c r="P306">
        <f>IF(G306="","",IFERROR(VLOOKUP(G306,Lists!$A$2:$B$9,2,FALSE),"?"))</f>
        <v/>
      </c>
      <c r="Q306">
        <f>IF(K306="Cancelled",0,N(J306))</f>
        <v/>
      </c>
      <c r="R306">
        <f>IF(OR(H306&lt;&gt;"Cash",P306="T",P306="D"),0,Q306)</f>
        <v/>
      </c>
      <c r="S306">
        <f>IF(R306=0,0,SUMIFS($R$18:$R$317,$B$18:$B$317,B306,$D$18:$D$317,D306))</f>
        <v/>
      </c>
      <c r="T306">
        <f>IF(OR(R306=0,E306=""),0,SUMIFS($R$18:$R$317,$E$18:$E$317,E306))</f>
        <v/>
      </c>
      <c r="U306">
        <f>IF(E306="","",IF(N(F306)&gt;0,F306,IFERROR(INDEX($F$18:$F$317,MATCH(E306,$E$18:$E$317,0)),"")))</f>
        <v/>
      </c>
      <c r="V306">
        <f>IF(OR(N306="",N306="OK",K306="Cancelled"),0,1)</f>
        <v/>
      </c>
    </row>
    <row r="307">
      <c r="B307" s="21" t="n"/>
      <c r="C307" s="22">
        <f>IF(B307="","",$E$10&amp;TEXT(N($E$11)+289,"000"))</f>
        <v/>
      </c>
      <c r="D307" s="14" t="n"/>
      <c r="E307" s="23" t="n"/>
      <c r="F307" s="24" t="n"/>
      <c r="G307" s="14" t="n"/>
      <c r="H307" s="14" t="n"/>
      <c r="I307" s="23" t="n"/>
      <c r="J307" s="24" t="n"/>
      <c r="K307" s="23" t="n"/>
      <c r="L307" s="25">
        <f>IF(OR(E307="",N(U307)=0),"",U307-SUMIFS(Q$18:Q307,E$18:E307,E307))</f>
        <v/>
      </c>
      <c r="M307" s="26">
        <f>IF(OR(N(J307)=0,K307="Cancelled"),"",IF(AND(N(J307)&gt;5000,P307&lt;&gt;"G"),"Yes: ₹1","No"))</f>
        <v/>
      </c>
      <c r="N307" s="27">
        <f>IF(AND(B307="",D307="",N(J307)=0),"",IF(B307="","Enter the date",IF(AND(ROW()&gt;18,B306=""),"Use the next empty row: a skipped row leaves a gap in the receipt numbers",IF(D307="","Enter who paid",IF(N(J307)=0,"Enter the amount",IF(G307="","Pick what the money was for",IF(P307="?","Pick what it was for from the list",IF(H307="","Pick how it was paid",IF(K307="Cancelled","Cancelled: keep this number unused and give a fresh receipt",IF(AND(H307&lt;&gt;"Cash",I307=""),"Enter the cheque no., UTR or UPI reference",IF(AND(L307&lt;&gt;"",N(L307)&lt;0),"More than the balance due on this invoice",IF(S307&gt;=200000,"₹2,00,000 or more in cash from this person today: barred, s.186",IF(T307&gt;=200000,"₹2,00,000 or more in cash against this invoice: barred, s.186",IF(AND(P307="T",H307="Cash",N(J307)&gt;=20000),"Loan of ₹20,000 or more in cash: barred, s.185",IF(AND(P307="D",H307="Cash",N(J307)&gt;=20000),"Cash deposit of ₹20,000 or more: ask your accountant whether s.185 applies",IF(AND(OR(P307="AG",P307="AS"),$E$9&lt;&gt;""),"Advance: also give a GST receipt voucher, s.31(3)(d) and Rule 50","OK"))))))))))))))))</f>
        <v/>
      </c>
      <c r="P307">
        <f>IF(G307="","",IFERROR(VLOOKUP(G307,Lists!$A$2:$B$9,2,FALSE),"?"))</f>
        <v/>
      </c>
      <c r="Q307">
        <f>IF(K307="Cancelled",0,N(J307))</f>
        <v/>
      </c>
      <c r="R307">
        <f>IF(OR(H307&lt;&gt;"Cash",P307="T",P307="D"),0,Q307)</f>
        <v/>
      </c>
      <c r="S307">
        <f>IF(R307=0,0,SUMIFS($R$18:$R$317,$B$18:$B$317,B307,$D$18:$D$317,D307))</f>
        <v/>
      </c>
      <c r="T307">
        <f>IF(OR(R307=0,E307=""),0,SUMIFS($R$18:$R$317,$E$18:$E$317,E307))</f>
        <v/>
      </c>
      <c r="U307">
        <f>IF(E307="","",IF(N(F307)&gt;0,F307,IFERROR(INDEX($F$18:$F$317,MATCH(E307,$E$18:$E$317,0)),"")))</f>
        <v/>
      </c>
      <c r="V307">
        <f>IF(OR(N307="",N307="OK",K307="Cancelled"),0,1)</f>
        <v/>
      </c>
    </row>
    <row r="308">
      <c r="B308" s="21" t="n"/>
      <c r="C308" s="22">
        <f>IF(B308="","",$E$10&amp;TEXT(N($E$11)+290,"000"))</f>
        <v/>
      </c>
      <c r="D308" s="14" t="n"/>
      <c r="E308" s="23" t="n"/>
      <c r="F308" s="24" t="n"/>
      <c r="G308" s="14" t="n"/>
      <c r="H308" s="14" t="n"/>
      <c r="I308" s="23" t="n"/>
      <c r="J308" s="24" t="n"/>
      <c r="K308" s="23" t="n"/>
      <c r="L308" s="25">
        <f>IF(OR(E308="",N(U308)=0),"",U308-SUMIFS(Q$18:Q308,E$18:E308,E308))</f>
        <v/>
      </c>
      <c r="M308" s="26">
        <f>IF(OR(N(J308)=0,K308="Cancelled"),"",IF(AND(N(J308)&gt;5000,P308&lt;&gt;"G"),"Yes: ₹1","No"))</f>
        <v/>
      </c>
      <c r="N308" s="27">
        <f>IF(AND(B308="",D308="",N(J308)=0),"",IF(B308="","Enter the date",IF(AND(ROW()&gt;18,B307=""),"Use the next empty row: a skipped row leaves a gap in the receipt numbers",IF(D308="","Enter who paid",IF(N(J308)=0,"Enter the amount",IF(G308="","Pick what the money was for",IF(P308="?","Pick what it was for from the list",IF(H308="","Pick how it was paid",IF(K308="Cancelled","Cancelled: keep this number unused and give a fresh receipt",IF(AND(H308&lt;&gt;"Cash",I308=""),"Enter the cheque no., UTR or UPI reference",IF(AND(L308&lt;&gt;"",N(L308)&lt;0),"More than the balance due on this invoice",IF(S308&gt;=200000,"₹2,00,000 or more in cash from this person today: barred, s.186",IF(T308&gt;=200000,"₹2,00,000 or more in cash against this invoice: barred, s.186",IF(AND(P308="T",H308="Cash",N(J308)&gt;=20000),"Loan of ₹20,000 or more in cash: barred, s.185",IF(AND(P308="D",H308="Cash",N(J308)&gt;=20000),"Cash deposit of ₹20,000 or more: ask your accountant whether s.185 applies",IF(AND(OR(P308="AG",P308="AS"),$E$9&lt;&gt;""),"Advance: also give a GST receipt voucher, s.31(3)(d) and Rule 50","OK"))))))))))))))))</f>
        <v/>
      </c>
      <c r="P308">
        <f>IF(G308="","",IFERROR(VLOOKUP(G308,Lists!$A$2:$B$9,2,FALSE),"?"))</f>
        <v/>
      </c>
      <c r="Q308">
        <f>IF(K308="Cancelled",0,N(J308))</f>
        <v/>
      </c>
      <c r="R308">
        <f>IF(OR(H308&lt;&gt;"Cash",P308="T",P308="D"),0,Q308)</f>
        <v/>
      </c>
      <c r="S308">
        <f>IF(R308=0,0,SUMIFS($R$18:$R$317,$B$18:$B$317,B308,$D$18:$D$317,D308))</f>
        <v/>
      </c>
      <c r="T308">
        <f>IF(OR(R308=0,E308=""),0,SUMIFS($R$18:$R$317,$E$18:$E$317,E308))</f>
        <v/>
      </c>
      <c r="U308">
        <f>IF(E308="","",IF(N(F308)&gt;0,F308,IFERROR(INDEX($F$18:$F$317,MATCH(E308,$E$18:$E$317,0)),"")))</f>
        <v/>
      </c>
      <c r="V308">
        <f>IF(OR(N308="",N308="OK",K308="Cancelled"),0,1)</f>
        <v/>
      </c>
    </row>
    <row r="309">
      <c r="B309" s="21" t="n"/>
      <c r="C309" s="22">
        <f>IF(B309="","",$E$10&amp;TEXT(N($E$11)+291,"000"))</f>
        <v/>
      </c>
      <c r="D309" s="14" t="n"/>
      <c r="E309" s="23" t="n"/>
      <c r="F309" s="24" t="n"/>
      <c r="G309" s="14" t="n"/>
      <c r="H309" s="14" t="n"/>
      <c r="I309" s="23" t="n"/>
      <c r="J309" s="24" t="n"/>
      <c r="K309" s="23" t="n"/>
      <c r="L309" s="25">
        <f>IF(OR(E309="",N(U309)=0),"",U309-SUMIFS(Q$18:Q309,E$18:E309,E309))</f>
        <v/>
      </c>
      <c r="M309" s="26">
        <f>IF(OR(N(J309)=0,K309="Cancelled"),"",IF(AND(N(J309)&gt;5000,P309&lt;&gt;"G"),"Yes: ₹1","No"))</f>
        <v/>
      </c>
      <c r="N309" s="27">
        <f>IF(AND(B309="",D309="",N(J309)=0),"",IF(B309="","Enter the date",IF(AND(ROW()&gt;18,B308=""),"Use the next empty row: a skipped row leaves a gap in the receipt numbers",IF(D309="","Enter who paid",IF(N(J309)=0,"Enter the amount",IF(G309="","Pick what the money was for",IF(P309="?","Pick what it was for from the list",IF(H309="","Pick how it was paid",IF(K309="Cancelled","Cancelled: keep this number unused and give a fresh receipt",IF(AND(H309&lt;&gt;"Cash",I309=""),"Enter the cheque no., UTR or UPI reference",IF(AND(L309&lt;&gt;"",N(L309)&lt;0),"More than the balance due on this invoice",IF(S309&gt;=200000,"₹2,00,000 or more in cash from this person today: barred, s.186",IF(T309&gt;=200000,"₹2,00,000 or more in cash against this invoice: barred, s.186",IF(AND(P309="T",H309="Cash",N(J309)&gt;=20000),"Loan of ₹20,000 or more in cash: barred, s.185",IF(AND(P309="D",H309="Cash",N(J309)&gt;=20000),"Cash deposit of ₹20,000 or more: ask your accountant whether s.185 applies",IF(AND(OR(P309="AG",P309="AS"),$E$9&lt;&gt;""),"Advance: also give a GST receipt voucher, s.31(3)(d) and Rule 50","OK"))))))))))))))))</f>
        <v/>
      </c>
      <c r="P309">
        <f>IF(G309="","",IFERROR(VLOOKUP(G309,Lists!$A$2:$B$9,2,FALSE),"?"))</f>
        <v/>
      </c>
      <c r="Q309">
        <f>IF(K309="Cancelled",0,N(J309))</f>
        <v/>
      </c>
      <c r="R309">
        <f>IF(OR(H309&lt;&gt;"Cash",P309="T",P309="D"),0,Q309)</f>
        <v/>
      </c>
      <c r="S309">
        <f>IF(R309=0,0,SUMIFS($R$18:$R$317,$B$18:$B$317,B309,$D$18:$D$317,D309))</f>
        <v/>
      </c>
      <c r="T309">
        <f>IF(OR(R309=0,E309=""),0,SUMIFS($R$18:$R$317,$E$18:$E$317,E309))</f>
        <v/>
      </c>
      <c r="U309">
        <f>IF(E309="","",IF(N(F309)&gt;0,F309,IFERROR(INDEX($F$18:$F$317,MATCH(E309,$E$18:$E$317,0)),"")))</f>
        <v/>
      </c>
      <c r="V309">
        <f>IF(OR(N309="",N309="OK",K309="Cancelled"),0,1)</f>
        <v/>
      </c>
    </row>
    <row r="310">
      <c r="B310" s="21" t="n"/>
      <c r="C310" s="22">
        <f>IF(B310="","",$E$10&amp;TEXT(N($E$11)+292,"000"))</f>
        <v/>
      </c>
      <c r="D310" s="14" t="n"/>
      <c r="E310" s="23" t="n"/>
      <c r="F310" s="24" t="n"/>
      <c r="G310" s="14" t="n"/>
      <c r="H310" s="14" t="n"/>
      <c r="I310" s="23" t="n"/>
      <c r="J310" s="24" t="n"/>
      <c r="K310" s="23" t="n"/>
      <c r="L310" s="25">
        <f>IF(OR(E310="",N(U310)=0),"",U310-SUMIFS(Q$18:Q310,E$18:E310,E310))</f>
        <v/>
      </c>
      <c r="M310" s="26">
        <f>IF(OR(N(J310)=0,K310="Cancelled"),"",IF(AND(N(J310)&gt;5000,P310&lt;&gt;"G"),"Yes: ₹1","No"))</f>
        <v/>
      </c>
      <c r="N310" s="27">
        <f>IF(AND(B310="",D310="",N(J310)=0),"",IF(B310="","Enter the date",IF(AND(ROW()&gt;18,B309=""),"Use the next empty row: a skipped row leaves a gap in the receipt numbers",IF(D310="","Enter who paid",IF(N(J310)=0,"Enter the amount",IF(G310="","Pick what the money was for",IF(P310="?","Pick what it was for from the list",IF(H310="","Pick how it was paid",IF(K310="Cancelled","Cancelled: keep this number unused and give a fresh receipt",IF(AND(H310&lt;&gt;"Cash",I310=""),"Enter the cheque no., UTR or UPI reference",IF(AND(L310&lt;&gt;"",N(L310)&lt;0),"More than the balance due on this invoice",IF(S310&gt;=200000,"₹2,00,000 or more in cash from this person today: barred, s.186",IF(T310&gt;=200000,"₹2,00,000 or more in cash against this invoice: barred, s.186",IF(AND(P310="T",H310="Cash",N(J310)&gt;=20000),"Loan of ₹20,000 or more in cash: barred, s.185",IF(AND(P310="D",H310="Cash",N(J310)&gt;=20000),"Cash deposit of ₹20,000 or more: ask your accountant whether s.185 applies",IF(AND(OR(P310="AG",P310="AS"),$E$9&lt;&gt;""),"Advance: also give a GST receipt voucher, s.31(3)(d) and Rule 50","OK"))))))))))))))))</f>
        <v/>
      </c>
      <c r="P310">
        <f>IF(G310="","",IFERROR(VLOOKUP(G310,Lists!$A$2:$B$9,2,FALSE),"?"))</f>
        <v/>
      </c>
      <c r="Q310">
        <f>IF(K310="Cancelled",0,N(J310))</f>
        <v/>
      </c>
      <c r="R310">
        <f>IF(OR(H310&lt;&gt;"Cash",P310="T",P310="D"),0,Q310)</f>
        <v/>
      </c>
      <c r="S310">
        <f>IF(R310=0,0,SUMIFS($R$18:$R$317,$B$18:$B$317,B310,$D$18:$D$317,D310))</f>
        <v/>
      </c>
      <c r="T310">
        <f>IF(OR(R310=0,E310=""),0,SUMIFS($R$18:$R$317,$E$18:$E$317,E310))</f>
        <v/>
      </c>
      <c r="U310">
        <f>IF(E310="","",IF(N(F310)&gt;0,F310,IFERROR(INDEX($F$18:$F$317,MATCH(E310,$E$18:$E$317,0)),"")))</f>
        <v/>
      </c>
      <c r="V310">
        <f>IF(OR(N310="",N310="OK",K310="Cancelled"),0,1)</f>
        <v/>
      </c>
    </row>
    <row r="311">
      <c r="B311" s="21" t="n"/>
      <c r="C311" s="22">
        <f>IF(B311="","",$E$10&amp;TEXT(N($E$11)+293,"000"))</f>
        <v/>
      </c>
      <c r="D311" s="14" t="n"/>
      <c r="E311" s="23" t="n"/>
      <c r="F311" s="24" t="n"/>
      <c r="G311" s="14" t="n"/>
      <c r="H311" s="14" t="n"/>
      <c r="I311" s="23" t="n"/>
      <c r="J311" s="24" t="n"/>
      <c r="K311" s="23" t="n"/>
      <c r="L311" s="25">
        <f>IF(OR(E311="",N(U311)=0),"",U311-SUMIFS(Q$18:Q311,E$18:E311,E311))</f>
        <v/>
      </c>
      <c r="M311" s="26">
        <f>IF(OR(N(J311)=0,K311="Cancelled"),"",IF(AND(N(J311)&gt;5000,P311&lt;&gt;"G"),"Yes: ₹1","No"))</f>
        <v/>
      </c>
      <c r="N311" s="27">
        <f>IF(AND(B311="",D311="",N(J311)=0),"",IF(B311="","Enter the date",IF(AND(ROW()&gt;18,B310=""),"Use the next empty row: a skipped row leaves a gap in the receipt numbers",IF(D311="","Enter who paid",IF(N(J311)=0,"Enter the amount",IF(G311="","Pick what the money was for",IF(P311="?","Pick what it was for from the list",IF(H311="","Pick how it was paid",IF(K311="Cancelled","Cancelled: keep this number unused and give a fresh receipt",IF(AND(H311&lt;&gt;"Cash",I311=""),"Enter the cheque no., UTR or UPI reference",IF(AND(L311&lt;&gt;"",N(L311)&lt;0),"More than the balance due on this invoice",IF(S311&gt;=200000,"₹2,00,000 or more in cash from this person today: barred, s.186",IF(T311&gt;=200000,"₹2,00,000 or more in cash against this invoice: barred, s.186",IF(AND(P311="T",H311="Cash",N(J311)&gt;=20000),"Loan of ₹20,000 or more in cash: barred, s.185",IF(AND(P311="D",H311="Cash",N(J311)&gt;=20000),"Cash deposit of ₹20,000 or more: ask your accountant whether s.185 applies",IF(AND(OR(P311="AG",P311="AS"),$E$9&lt;&gt;""),"Advance: also give a GST receipt voucher, s.31(3)(d) and Rule 50","OK"))))))))))))))))</f>
        <v/>
      </c>
      <c r="P311">
        <f>IF(G311="","",IFERROR(VLOOKUP(G311,Lists!$A$2:$B$9,2,FALSE),"?"))</f>
        <v/>
      </c>
      <c r="Q311">
        <f>IF(K311="Cancelled",0,N(J311))</f>
        <v/>
      </c>
      <c r="R311">
        <f>IF(OR(H311&lt;&gt;"Cash",P311="T",P311="D"),0,Q311)</f>
        <v/>
      </c>
      <c r="S311">
        <f>IF(R311=0,0,SUMIFS($R$18:$R$317,$B$18:$B$317,B311,$D$18:$D$317,D311))</f>
        <v/>
      </c>
      <c r="T311">
        <f>IF(OR(R311=0,E311=""),0,SUMIFS($R$18:$R$317,$E$18:$E$317,E311))</f>
        <v/>
      </c>
      <c r="U311">
        <f>IF(E311="","",IF(N(F311)&gt;0,F311,IFERROR(INDEX($F$18:$F$317,MATCH(E311,$E$18:$E$317,0)),"")))</f>
        <v/>
      </c>
      <c r="V311">
        <f>IF(OR(N311="",N311="OK",K311="Cancelled"),0,1)</f>
        <v/>
      </c>
    </row>
    <row r="312">
      <c r="B312" s="21" t="n"/>
      <c r="C312" s="22">
        <f>IF(B312="","",$E$10&amp;TEXT(N($E$11)+294,"000"))</f>
        <v/>
      </c>
      <c r="D312" s="14" t="n"/>
      <c r="E312" s="23" t="n"/>
      <c r="F312" s="24" t="n"/>
      <c r="G312" s="14" t="n"/>
      <c r="H312" s="14" t="n"/>
      <c r="I312" s="23" t="n"/>
      <c r="J312" s="24" t="n"/>
      <c r="K312" s="23" t="n"/>
      <c r="L312" s="25">
        <f>IF(OR(E312="",N(U312)=0),"",U312-SUMIFS(Q$18:Q312,E$18:E312,E312))</f>
        <v/>
      </c>
      <c r="M312" s="26">
        <f>IF(OR(N(J312)=0,K312="Cancelled"),"",IF(AND(N(J312)&gt;5000,P312&lt;&gt;"G"),"Yes: ₹1","No"))</f>
        <v/>
      </c>
      <c r="N312" s="27">
        <f>IF(AND(B312="",D312="",N(J312)=0),"",IF(B312="","Enter the date",IF(AND(ROW()&gt;18,B311=""),"Use the next empty row: a skipped row leaves a gap in the receipt numbers",IF(D312="","Enter who paid",IF(N(J312)=0,"Enter the amount",IF(G312="","Pick what the money was for",IF(P312="?","Pick what it was for from the list",IF(H312="","Pick how it was paid",IF(K312="Cancelled","Cancelled: keep this number unused and give a fresh receipt",IF(AND(H312&lt;&gt;"Cash",I312=""),"Enter the cheque no., UTR or UPI reference",IF(AND(L312&lt;&gt;"",N(L312)&lt;0),"More than the balance due on this invoice",IF(S312&gt;=200000,"₹2,00,000 or more in cash from this person today: barred, s.186",IF(T312&gt;=200000,"₹2,00,000 or more in cash against this invoice: barred, s.186",IF(AND(P312="T",H312="Cash",N(J312)&gt;=20000),"Loan of ₹20,000 or more in cash: barred, s.185",IF(AND(P312="D",H312="Cash",N(J312)&gt;=20000),"Cash deposit of ₹20,000 or more: ask your accountant whether s.185 applies",IF(AND(OR(P312="AG",P312="AS"),$E$9&lt;&gt;""),"Advance: also give a GST receipt voucher, s.31(3)(d) and Rule 50","OK"))))))))))))))))</f>
        <v/>
      </c>
      <c r="P312">
        <f>IF(G312="","",IFERROR(VLOOKUP(G312,Lists!$A$2:$B$9,2,FALSE),"?"))</f>
        <v/>
      </c>
      <c r="Q312">
        <f>IF(K312="Cancelled",0,N(J312))</f>
        <v/>
      </c>
      <c r="R312">
        <f>IF(OR(H312&lt;&gt;"Cash",P312="T",P312="D"),0,Q312)</f>
        <v/>
      </c>
      <c r="S312">
        <f>IF(R312=0,0,SUMIFS($R$18:$R$317,$B$18:$B$317,B312,$D$18:$D$317,D312))</f>
        <v/>
      </c>
      <c r="T312">
        <f>IF(OR(R312=0,E312=""),0,SUMIFS($R$18:$R$317,$E$18:$E$317,E312))</f>
        <v/>
      </c>
      <c r="U312">
        <f>IF(E312="","",IF(N(F312)&gt;0,F312,IFERROR(INDEX($F$18:$F$317,MATCH(E312,$E$18:$E$317,0)),"")))</f>
        <v/>
      </c>
      <c r="V312">
        <f>IF(OR(N312="",N312="OK",K312="Cancelled"),0,1)</f>
        <v/>
      </c>
    </row>
    <row r="313">
      <c r="B313" s="21" t="n"/>
      <c r="C313" s="22">
        <f>IF(B313="","",$E$10&amp;TEXT(N($E$11)+295,"000"))</f>
        <v/>
      </c>
      <c r="D313" s="14" t="n"/>
      <c r="E313" s="23" t="n"/>
      <c r="F313" s="24" t="n"/>
      <c r="G313" s="14" t="n"/>
      <c r="H313" s="14" t="n"/>
      <c r="I313" s="23" t="n"/>
      <c r="J313" s="24" t="n"/>
      <c r="K313" s="23" t="n"/>
      <c r="L313" s="25">
        <f>IF(OR(E313="",N(U313)=0),"",U313-SUMIFS(Q$18:Q313,E$18:E313,E313))</f>
        <v/>
      </c>
      <c r="M313" s="26">
        <f>IF(OR(N(J313)=0,K313="Cancelled"),"",IF(AND(N(J313)&gt;5000,P313&lt;&gt;"G"),"Yes: ₹1","No"))</f>
        <v/>
      </c>
      <c r="N313" s="27">
        <f>IF(AND(B313="",D313="",N(J313)=0),"",IF(B313="","Enter the date",IF(AND(ROW()&gt;18,B312=""),"Use the next empty row: a skipped row leaves a gap in the receipt numbers",IF(D313="","Enter who paid",IF(N(J313)=0,"Enter the amount",IF(G313="","Pick what the money was for",IF(P313="?","Pick what it was for from the list",IF(H313="","Pick how it was paid",IF(K313="Cancelled","Cancelled: keep this number unused and give a fresh receipt",IF(AND(H313&lt;&gt;"Cash",I313=""),"Enter the cheque no., UTR or UPI reference",IF(AND(L313&lt;&gt;"",N(L313)&lt;0),"More than the balance due on this invoice",IF(S313&gt;=200000,"₹2,00,000 or more in cash from this person today: barred, s.186",IF(T313&gt;=200000,"₹2,00,000 or more in cash against this invoice: barred, s.186",IF(AND(P313="T",H313="Cash",N(J313)&gt;=20000),"Loan of ₹20,000 or more in cash: barred, s.185",IF(AND(P313="D",H313="Cash",N(J313)&gt;=20000),"Cash deposit of ₹20,000 or more: ask your accountant whether s.185 applies",IF(AND(OR(P313="AG",P313="AS"),$E$9&lt;&gt;""),"Advance: also give a GST receipt voucher, s.31(3)(d) and Rule 50","OK"))))))))))))))))</f>
        <v/>
      </c>
      <c r="P313">
        <f>IF(G313="","",IFERROR(VLOOKUP(G313,Lists!$A$2:$B$9,2,FALSE),"?"))</f>
        <v/>
      </c>
      <c r="Q313">
        <f>IF(K313="Cancelled",0,N(J313))</f>
        <v/>
      </c>
      <c r="R313">
        <f>IF(OR(H313&lt;&gt;"Cash",P313="T",P313="D"),0,Q313)</f>
        <v/>
      </c>
      <c r="S313">
        <f>IF(R313=0,0,SUMIFS($R$18:$R$317,$B$18:$B$317,B313,$D$18:$D$317,D313))</f>
        <v/>
      </c>
      <c r="T313">
        <f>IF(OR(R313=0,E313=""),0,SUMIFS($R$18:$R$317,$E$18:$E$317,E313))</f>
        <v/>
      </c>
      <c r="U313">
        <f>IF(E313="","",IF(N(F313)&gt;0,F313,IFERROR(INDEX($F$18:$F$317,MATCH(E313,$E$18:$E$317,0)),"")))</f>
        <v/>
      </c>
      <c r="V313">
        <f>IF(OR(N313="",N313="OK",K313="Cancelled"),0,1)</f>
        <v/>
      </c>
    </row>
    <row r="314">
      <c r="B314" s="21" t="n"/>
      <c r="C314" s="22">
        <f>IF(B314="","",$E$10&amp;TEXT(N($E$11)+296,"000"))</f>
        <v/>
      </c>
      <c r="D314" s="14" t="n"/>
      <c r="E314" s="23" t="n"/>
      <c r="F314" s="24" t="n"/>
      <c r="G314" s="14" t="n"/>
      <c r="H314" s="14" t="n"/>
      <c r="I314" s="23" t="n"/>
      <c r="J314" s="24" t="n"/>
      <c r="K314" s="23" t="n"/>
      <c r="L314" s="25">
        <f>IF(OR(E314="",N(U314)=0),"",U314-SUMIFS(Q$18:Q314,E$18:E314,E314))</f>
        <v/>
      </c>
      <c r="M314" s="26">
        <f>IF(OR(N(J314)=0,K314="Cancelled"),"",IF(AND(N(J314)&gt;5000,P314&lt;&gt;"G"),"Yes: ₹1","No"))</f>
        <v/>
      </c>
      <c r="N314" s="27">
        <f>IF(AND(B314="",D314="",N(J314)=0),"",IF(B314="","Enter the date",IF(AND(ROW()&gt;18,B313=""),"Use the next empty row: a skipped row leaves a gap in the receipt numbers",IF(D314="","Enter who paid",IF(N(J314)=0,"Enter the amount",IF(G314="","Pick what the money was for",IF(P314="?","Pick what it was for from the list",IF(H314="","Pick how it was paid",IF(K314="Cancelled","Cancelled: keep this number unused and give a fresh receipt",IF(AND(H314&lt;&gt;"Cash",I314=""),"Enter the cheque no., UTR or UPI reference",IF(AND(L314&lt;&gt;"",N(L314)&lt;0),"More than the balance due on this invoice",IF(S314&gt;=200000,"₹2,00,000 or more in cash from this person today: barred, s.186",IF(T314&gt;=200000,"₹2,00,000 or more in cash against this invoice: barred, s.186",IF(AND(P314="T",H314="Cash",N(J314)&gt;=20000),"Loan of ₹20,000 or more in cash: barred, s.185",IF(AND(P314="D",H314="Cash",N(J314)&gt;=20000),"Cash deposit of ₹20,000 or more: ask your accountant whether s.185 applies",IF(AND(OR(P314="AG",P314="AS"),$E$9&lt;&gt;""),"Advance: also give a GST receipt voucher, s.31(3)(d) and Rule 50","OK"))))))))))))))))</f>
        <v/>
      </c>
      <c r="P314">
        <f>IF(G314="","",IFERROR(VLOOKUP(G314,Lists!$A$2:$B$9,2,FALSE),"?"))</f>
        <v/>
      </c>
      <c r="Q314">
        <f>IF(K314="Cancelled",0,N(J314))</f>
        <v/>
      </c>
      <c r="R314">
        <f>IF(OR(H314&lt;&gt;"Cash",P314="T",P314="D"),0,Q314)</f>
        <v/>
      </c>
      <c r="S314">
        <f>IF(R314=0,0,SUMIFS($R$18:$R$317,$B$18:$B$317,B314,$D$18:$D$317,D314))</f>
        <v/>
      </c>
      <c r="T314">
        <f>IF(OR(R314=0,E314=""),0,SUMIFS($R$18:$R$317,$E$18:$E$317,E314))</f>
        <v/>
      </c>
      <c r="U314">
        <f>IF(E314="","",IF(N(F314)&gt;0,F314,IFERROR(INDEX($F$18:$F$317,MATCH(E314,$E$18:$E$317,0)),"")))</f>
        <v/>
      </c>
      <c r="V314">
        <f>IF(OR(N314="",N314="OK",K314="Cancelled"),0,1)</f>
        <v/>
      </c>
    </row>
    <row r="315">
      <c r="B315" s="21" t="n"/>
      <c r="C315" s="22">
        <f>IF(B315="","",$E$10&amp;TEXT(N($E$11)+297,"000"))</f>
        <v/>
      </c>
      <c r="D315" s="14" t="n"/>
      <c r="E315" s="23" t="n"/>
      <c r="F315" s="24" t="n"/>
      <c r="G315" s="14" t="n"/>
      <c r="H315" s="14" t="n"/>
      <c r="I315" s="23" t="n"/>
      <c r="J315" s="24" t="n"/>
      <c r="K315" s="23" t="n"/>
      <c r="L315" s="25">
        <f>IF(OR(E315="",N(U315)=0),"",U315-SUMIFS(Q$18:Q315,E$18:E315,E315))</f>
        <v/>
      </c>
      <c r="M315" s="26">
        <f>IF(OR(N(J315)=0,K315="Cancelled"),"",IF(AND(N(J315)&gt;5000,P315&lt;&gt;"G"),"Yes: ₹1","No"))</f>
        <v/>
      </c>
      <c r="N315" s="27">
        <f>IF(AND(B315="",D315="",N(J315)=0),"",IF(B315="","Enter the date",IF(AND(ROW()&gt;18,B314=""),"Use the next empty row: a skipped row leaves a gap in the receipt numbers",IF(D315="","Enter who paid",IF(N(J315)=0,"Enter the amount",IF(G315="","Pick what the money was for",IF(P315="?","Pick what it was for from the list",IF(H315="","Pick how it was paid",IF(K315="Cancelled","Cancelled: keep this number unused and give a fresh receipt",IF(AND(H315&lt;&gt;"Cash",I315=""),"Enter the cheque no., UTR or UPI reference",IF(AND(L315&lt;&gt;"",N(L315)&lt;0),"More than the balance due on this invoice",IF(S315&gt;=200000,"₹2,00,000 or more in cash from this person today: barred, s.186",IF(T315&gt;=200000,"₹2,00,000 or more in cash against this invoice: barred, s.186",IF(AND(P315="T",H315="Cash",N(J315)&gt;=20000),"Loan of ₹20,000 or more in cash: barred, s.185",IF(AND(P315="D",H315="Cash",N(J315)&gt;=20000),"Cash deposit of ₹20,000 or more: ask your accountant whether s.185 applies",IF(AND(OR(P315="AG",P315="AS"),$E$9&lt;&gt;""),"Advance: also give a GST receipt voucher, s.31(3)(d) and Rule 50","OK"))))))))))))))))</f>
        <v/>
      </c>
      <c r="P315">
        <f>IF(G315="","",IFERROR(VLOOKUP(G315,Lists!$A$2:$B$9,2,FALSE),"?"))</f>
        <v/>
      </c>
      <c r="Q315">
        <f>IF(K315="Cancelled",0,N(J315))</f>
        <v/>
      </c>
      <c r="R315">
        <f>IF(OR(H315&lt;&gt;"Cash",P315="T",P315="D"),0,Q315)</f>
        <v/>
      </c>
      <c r="S315">
        <f>IF(R315=0,0,SUMIFS($R$18:$R$317,$B$18:$B$317,B315,$D$18:$D$317,D315))</f>
        <v/>
      </c>
      <c r="T315">
        <f>IF(OR(R315=0,E315=""),0,SUMIFS($R$18:$R$317,$E$18:$E$317,E315))</f>
        <v/>
      </c>
      <c r="U315">
        <f>IF(E315="","",IF(N(F315)&gt;0,F315,IFERROR(INDEX($F$18:$F$317,MATCH(E315,$E$18:$E$317,0)),"")))</f>
        <v/>
      </c>
      <c r="V315">
        <f>IF(OR(N315="",N315="OK",K315="Cancelled"),0,1)</f>
        <v/>
      </c>
    </row>
    <row r="316">
      <c r="B316" s="21" t="n"/>
      <c r="C316" s="22">
        <f>IF(B316="","",$E$10&amp;TEXT(N($E$11)+298,"000"))</f>
        <v/>
      </c>
      <c r="D316" s="14" t="n"/>
      <c r="E316" s="23" t="n"/>
      <c r="F316" s="24" t="n"/>
      <c r="G316" s="14" t="n"/>
      <c r="H316" s="14" t="n"/>
      <c r="I316" s="23" t="n"/>
      <c r="J316" s="24" t="n"/>
      <c r="K316" s="23" t="n"/>
      <c r="L316" s="25">
        <f>IF(OR(E316="",N(U316)=0),"",U316-SUMIFS(Q$18:Q316,E$18:E316,E316))</f>
        <v/>
      </c>
      <c r="M316" s="26">
        <f>IF(OR(N(J316)=0,K316="Cancelled"),"",IF(AND(N(J316)&gt;5000,P316&lt;&gt;"G"),"Yes: ₹1","No"))</f>
        <v/>
      </c>
      <c r="N316" s="27">
        <f>IF(AND(B316="",D316="",N(J316)=0),"",IF(B316="","Enter the date",IF(AND(ROW()&gt;18,B315=""),"Use the next empty row: a skipped row leaves a gap in the receipt numbers",IF(D316="","Enter who paid",IF(N(J316)=0,"Enter the amount",IF(G316="","Pick what the money was for",IF(P316="?","Pick what it was for from the list",IF(H316="","Pick how it was paid",IF(K316="Cancelled","Cancelled: keep this number unused and give a fresh receipt",IF(AND(H316&lt;&gt;"Cash",I316=""),"Enter the cheque no., UTR or UPI reference",IF(AND(L316&lt;&gt;"",N(L316)&lt;0),"More than the balance due on this invoice",IF(S316&gt;=200000,"₹2,00,000 or more in cash from this person today: barred, s.186",IF(T316&gt;=200000,"₹2,00,000 or more in cash against this invoice: barred, s.186",IF(AND(P316="T",H316="Cash",N(J316)&gt;=20000),"Loan of ₹20,000 or more in cash: barred, s.185",IF(AND(P316="D",H316="Cash",N(J316)&gt;=20000),"Cash deposit of ₹20,000 or more: ask your accountant whether s.185 applies",IF(AND(OR(P316="AG",P316="AS"),$E$9&lt;&gt;""),"Advance: also give a GST receipt voucher, s.31(3)(d) and Rule 50","OK"))))))))))))))))</f>
        <v/>
      </c>
      <c r="P316">
        <f>IF(G316="","",IFERROR(VLOOKUP(G316,Lists!$A$2:$B$9,2,FALSE),"?"))</f>
        <v/>
      </c>
      <c r="Q316">
        <f>IF(K316="Cancelled",0,N(J316))</f>
        <v/>
      </c>
      <c r="R316">
        <f>IF(OR(H316&lt;&gt;"Cash",P316="T",P316="D"),0,Q316)</f>
        <v/>
      </c>
      <c r="S316">
        <f>IF(R316=0,0,SUMIFS($R$18:$R$317,$B$18:$B$317,B316,$D$18:$D$317,D316))</f>
        <v/>
      </c>
      <c r="T316">
        <f>IF(OR(R316=0,E316=""),0,SUMIFS($R$18:$R$317,$E$18:$E$317,E316))</f>
        <v/>
      </c>
      <c r="U316">
        <f>IF(E316="","",IF(N(F316)&gt;0,F316,IFERROR(INDEX($F$18:$F$317,MATCH(E316,$E$18:$E$317,0)),"")))</f>
        <v/>
      </c>
      <c r="V316">
        <f>IF(OR(N316="",N316="OK",K316="Cancelled"),0,1)</f>
        <v/>
      </c>
    </row>
    <row r="317">
      <c r="B317" s="21" t="n"/>
      <c r="C317" s="22">
        <f>IF(B317="","",$E$10&amp;TEXT(N($E$11)+299,"000"))</f>
        <v/>
      </c>
      <c r="D317" s="14" t="n"/>
      <c r="E317" s="23" t="n"/>
      <c r="F317" s="24" t="n"/>
      <c r="G317" s="14" t="n"/>
      <c r="H317" s="14" t="n"/>
      <c r="I317" s="23" t="n"/>
      <c r="J317" s="24" t="n"/>
      <c r="K317" s="23" t="n"/>
      <c r="L317" s="25">
        <f>IF(OR(E317="",N(U317)=0),"",U317-SUMIFS(Q$18:Q317,E$18:E317,E317))</f>
        <v/>
      </c>
      <c r="M317" s="26">
        <f>IF(OR(N(J317)=0,K317="Cancelled"),"",IF(AND(N(J317)&gt;5000,P317&lt;&gt;"G"),"Yes: ₹1","No"))</f>
        <v/>
      </c>
      <c r="N317" s="27">
        <f>IF(AND(B317="",D317="",N(J317)=0),"",IF(B317="","Enter the date",IF(AND(ROW()&gt;18,B316=""),"Use the next empty row: a skipped row leaves a gap in the receipt numbers",IF(D317="","Enter who paid",IF(N(J317)=0,"Enter the amount",IF(G317="","Pick what the money was for",IF(P317="?","Pick what it was for from the list",IF(H317="","Pick how it was paid",IF(K317="Cancelled","Cancelled: keep this number unused and give a fresh receipt",IF(AND(H317&lt;&gt;"Cash",I317=""),"Enter the cheque no., UTR or UPI reference",IF(AND(L317&lt;&gt;"",N(L317)&lt;0),"More than the balance due on this invoice",IF(S317&gt;=200000,"₹2,00,000 or more in cash from this person today: barred, s.186",IF(T317&gt;=200000,"₹2,00,000 or more in cash against this invoice: barred, s.186",IF(AND(P317="T",H317="Cash",N(J317)&gt;=20000),"Loan of ₹20,000 or more in cash: barred, s.185",IF(AND(P317="D",H317="Cash",N(J317)&gt;=20000),"Cash deposit of ₹20,000 or more: ask your accountant whether s.185 applies",IF(AND(OR(P317="AG",P317="AS"),$E$9&lt;&gt;""),"Advance: also give a GST receipt voucher, s.31(3)(d) and Rule 50","OK"))))))))))))))))</f>
        <v/>
      </c>
      <c r="P317">
        <f>IF(G317="","",IFERROR(VLOOKUP(G317,Lists!$A$2:$B$9,2,FALSE),"?"))</f>
        <v/>
      </c>
      <c r="Q317">
        <f>IF(K317="Cancelled",0,N(J317))</f>
        <v/>
      </c>
      <c r="R317">
        <f>IF(OR(H317&lt;&gt;"Cash",P317="T",P317="D"),0,Q317)</f>
        <v/>
      </c>
      <c r="S317">
        <f>IF(R317=0,0,SUMIFS($R$18:$R$317,$B$18:$B$317,B317,$D$18:$D$317,D317))</f>
        <v/>
      </c>
      <c r="T317">
        <f>IF(OR(R317=0,E317=""),0,SUMIFS($R$18:$R$317,$E$18:$E$317,E317))</f>
        <v/>
      </c>
      <c r="U317">
        <f>IF(E317="","",IF(N(F317)&gt;0,F317,IFERROR(INDEX($F$18:$F$317,MATCH(E317,$E$18:$E$317,0)),"")))</f>
        <v/>
      </c>
      <c r="V317">
        <f>IF(OR(N317="",N317="OK",K317="Cancelled"),0,1)</f>
        <v/>
      </c>
    </row>
    <row r="318" ht="18" customHeight="1">
      <c r="B318" s="28" t="inlineStr">
        <is>
          <t>Total</t>
        </is>
      </c>
      <c r="C318" s="29" t="n"/>
      <c r="D318" s="29" t="n"/>
      <c r="E318" s="29" t="n"/>
      <c r="F318" s="29" t="n"/>
      <c r="G318" s="29" t="n"/>
      <c r="H318" s="29" t="n"/>
      <c r="I318" s="29" t="n"/>
      <c r="J318" s="30">
        <f>SUM($Q$18:$Q$317)</f>
        <v/>
      </c>
      <c r="K318" s="29" t="n"/>
      <c r="L318" s="29" t="n"/>
      <c r="M318" s="29" t="n"/>
      <c r="N318" s="29" t="n"/>
    </row>
    <row r="319" ht="16" customHeight="1">
      <c r="B319" s="11" t="inlineStr">
        <is>
          <t>The total leaves out cancelled receipts.</t>
        </is>
      </c>
    </row>
    <row r="320"/>
    <row r="321" ht="16" customHeight="1">
      <c r="B321" s="8" t="inlineStr">
        <is>
          <t>General guidance, not legal or tax advice. Stamp rules are from the Indian Stamp Act, 1899; cash limits from the Income-tax Act, 2025; the receipt voucher from the CGST Act, 2017. The Receipt Rules sheet sets out each one.</t>
        </is>
      </c>
      <c r="C321" s="9" t="n"/>
      <c r="D321" s="9" t="n"/>
      <c r="E321" s="9" t="n"/>
      <c r="F321" s="9" t="n"/>
      <c r="G321" s="9" t="n"/>
      <c r="H321" s="9" t="n"/>
      <c r="I321" s="9" t="n"/>
      <c r="J321" s="9" t="n"/>
      <c r="K321" s="9" t="n"/>
      <c r="L321" s="9" t="n"/>
      <c r="M321" s="9" t="n"/>
      <c r="N321" s="9" t="n"/>
    </row>
    <row r="322"/>
    <row r="323" ht="16" customHeight="1">
      <c r="B3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25">
    <mergeCell ref="B11:D11"/>
    <mergeCell ref="B8:D8"/>
    <mergeCell ref="B319:N319"/>
    <mergeCell ref="E7:H7"/>
    <mergeCell ref="E14:F14"/>
    <mergeCell ref="B15:N15"/>
    <mergeCell ref="B10:D10"/>
    <mergeCell ref="B5:N5"/>
    <mergeCell ref="B9:D9"/>
    <mergeCell ref="B14:C14"/>
    <mergeCell ref="B3:N3"/>
    <mergeCell ref="B6:D6"/>
    <mergeCell ref="B321:N321"/>
    <mergeCell ref="E8:H8"/>
    <mergeCell ref="B12:N12"/>
    <mergeCell ref="B323:N323"/>
    <mergeCell ref="B7:D7"/>
    <mergeCell ref="K14:L14"/>
    <mergeCell ref="B2:N2"/>
    <mergeCell ref="E10:H10"/>
    <mergeCell ref="E9:H9"/>
    <mergeCell ref="E6:H6"/>
    <mergeCell ref="B13:N13"/>
    <mergeCell ref="H14:I14"/>
    <mergeCell ref="E11:H11"/>
  </mergeCells>
  <dataValidations count="7">
    <dataValidation sqref="B18:B317" showDropDown="0" showInputMessage="0" showErrorMessage="1" allowBlank="1" errorTitle="Enter a date" error="Enter a date, for example 01-Apr-2026." type="date" operator="between">
      <formula1>DATE(2000,1,1)</formula1>
      <formula2>DATE(2100,12,31)</formula2>
    </dataValidation>
    <dataValidation sqref="F18:F317" showDropDown="0" showInputMessage="0" showErrorMessage="1" allowBlank="1" errorTitle="Enter an amount" error="Enter the amount in rupees as a number, with no minus sign." type="decimal" operator="greaterThanOrEqual">
      <formula1>0</formula1>
    </dataValidation>
    <dataValidation sqref="J18:J317" showDropDown="0" showInputMessage="0" showErrorMessage="1" allowBlank="1" errorTitle="Enter an amount" error="Enter the amount in rupees as a number, with no minus sign." type="decimal" operator="greaterThanOrEqual">
      <formula1>0</formula1>
    </dataValidation>
    <dataValidation sqref="G18:G317" showDropDown="0" showInputMessage="0" showErrorMessage="1" allowBlank="1" errorTitle="Pick from the list" error="Pick an option from the drop-down list." type="list">
      <formula1>=Lists!$A$2:$A$9</formula1>
    </dataValidation>
    <dataValidation sqref="H18:H317" showDropDown="0" showInputMessage="0" showErrorMessage="1" allowBlank="1" errorTitle="Pick from the list" error="Pick an option from the drop-down list." type="list">
      <formula1>=Lists!$C$2:$C$7</formula1>
    </dataValidation>
    <dataValidation sqref="K18:K317" showDropDown="0" showInputMessage="0" showErrorMessage="1" allowBlank="1" errorTitle="Pick from the list" error="Pick an option from the drop-down list." type="list">
      <formula1>=Lists!$A$12:$A$12</formula1>
    </dataValidation>
    <dataValidation sqref="E11" showDropDown="0" showInputMessage="0" showErrorMessage="1" allowBlank="1" errorTitle="Enter a number" error="Enter a whole number, such as 1." type="whole" operator="between">
      <formula1>1</formula1>
      <formula2>99999</formula2>
    </dataValidation>
  </dataValidations>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B2:L41"/>
  <sheetViews>
    <sheetView showGridLines="0" workbookViewId="0">
      <selection activeCell="A1" sqref="A1"/>
    </sheetView>
  </sheetViews>
  <sheetFormatPr baseColWidth="8" defaultRowHeight="15"/>
  <cols>
    <col width="2" customWidth="1" min="1" max="1"/>
    <col width="20" customWidth="1" min="2" max="2"/>
    <col width="14" customWidth="1" min="3" max="3"/>
    <col width="14" customWidth="1" min="4" max="4"/>
    <col width="14" customWidth="1" min="5" max="5"/>
    <col width="14" customWidth="1" min="6" max="6"/>
    <col width="14" customWidth="1" min="7" max="7"/>
    <col width="16" customWidth="1" min="8" max="8"/>
    <col width="2" customWidth="1" min="9" max="9"/>
    <col hidden="1" width="12" customWidth="1" min="11" max="11"/>
    <col hidden="1"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s>
  <sheetData>
    <row r="2">
      <c r="B2" s="1" t="inlineStr">
        <is>
          <t>PRINT A RECEIPT</t>
        </is>
      </c>
      <c r="K2" s="31" t="inlineStr">
        <is>
          <t>row</t>
        </is>
      </c>
      <c r="L2" s="32">
        <f>IF($D$4="","",IFERROR(MATCH($D$4,'Example Register'!$C$18:$C$317,0),""))</f>
        <v/>
      </c>
    </row>
    <row r="3">
      <c r="B3" s="11" t="inlineStr">
        <is>
          <t>Pick the receipt number, then print this sheet. You get a customer copy and an office copy on one A4 page. Rows 2 to 5 do not print.</t>
        </is>
      </c>
      <c r="K3" s="31" t="inlineStr">
        <is>
          <t>date</t>
        </is>
      </c>
      <c r="L3" s="32">
        <f>IF($L$2="","",INDEX('Example Register'!$B$18:$B$317,$L$2))</f>
        <v/>
      </c>
    </row>
    <row r="4">
      <c r="B4" s="12" t="inlineStr">
        <is>
          <t>Receipt number to print</t>
        </is>
      </c>
      <c r="C4" s="13" t="n"/>
      <c r="D4" s="33" t="inlineStr">
        <is>
          <t>MR/26-27/001</t>
        </is>
      </c>
      <c r="E4" s="15" t="n"/>
      <c r="K4" s="31" t="inlineStr">
        <is>
          <t>who</t>
        </is>
      </c>
      <c r="L4" s="32">
        <f>IF($L$2="","",INDEX('Example Register'!$D$18:$D$317,$L$2)&amp;"")</f>
        <v/>
      </c>
    </row>
    <row r="5">
      <c r="K5" s="31" t="inlineStr">
        <is>
          <t>inv</t>
        </is>
      </c>
      <c r="L5" s="32">
        <f>IF($L$2="","",INDEX('Example Register'!$E$18:$E$317,$L$2)&amp;"")</f>
        <v/>
      </c>
    </row>
    <row r="6" ht="24" customHeight="1">
      <c r="B6" s="34">
        <f>IF('Example Register'!$E$6="","Name of the business",'Example Register'!$E$6)</f>
        <v/>
      </c>
      <c r="K6" s="31" t="inlineStr">
        <is>
          <t>for</t>
        </is>
      </c>
      <c r="L6" s="32">
        <f>IF($L$2="","",INDEX('Example Register'!$G$18:$G$317,$L$2)&amp;"")</f>
        <v/>
      </c>
    </row>
    <row r="7">
      <c r="B7" s="35">
        <f>TRIM('Example Register'!$E$7&amp;IF('Example Register'!$E$8="",""," | Phone: "&amp;'Example Register'!$E$8))</f>
        <v/>
      </c>
      <c r="K7" s="31" t="inlineStr">
        <is>
          <t>mode</t>
        </is>
      </c>
      <c r="L7" s="32">
        <f>IF($L$2="","",INDEX('Example Register'!$H$18:$H$317,$L$2)&amp;"")</f>
        <v/>
      </c>
    </row>
    <row r="8">
      <c r="B8" s="35">
        <f>IF('Example Register'!$E$9="","","GSTIN: "&amp;'Example Register'!$E$9)</f>
        <v/>
      </c>
      <c r="K8" s="31" t="inlineStr">
        <is>
          <t>ref</t>
        </is>
      </c>
      <c r="L8" s="32">
        <f>IF($L$2="","",INDEX('Example Register'!$I$18:$I$317,$L$2)&amp;"")</f>
        <v/>
      </c>
    </row>
    <row r="9" ht="22" customHeight="1">
      <c r="B9" s="3" t="inlineStr">
        <is>
          <t xml:space="preserve">  MONEY RECEIPT</t>
        </is>
      </c>
      <c r="C9" s="4" t="n"/>
      <c r="D9" s="4" t="n"/>
      <c r="E9" s="4" t="n"/>
      <c r="F9" s="4" t="n"/>
      <c r="G9" s="36">
        <f>IF($L$10="Cancelled","CANCELLED","Customer copy")</f>
        <v/>
      </c>
      <c r="H9" s="4" t="n"/>
      <c r="K9" s="31" t="inlineStr">
        <is>
          <t>amt</t>
        </is>
      </c>
      <c r="L9" s="32">
        <f>IF($L$2="","",INDEX('Example Register'!$J$18:$J$317,$L$2))</f>
        <v/>
      </c>
    </row>
    <row r="10" ht="20" customHeight="1">
      <c r="B10" s="12" t="inlineStr">
        <is>
          <t>Receipt no.</t>
        </is>
      </c>
      <c r="C10" s="37">
        <f>$D$4</f>
        <v/>
      </c>
      <c r="D10" s="7" t="n"/>
      <c r="F10" s="12" t="inlineStr">
        <is>
          <t>Date</t>
        </is>
      </c>
      <c r="G10" s="38">
        <f>IF($L$3="","",$L$3)</f>
        <v/>
      </c>
      <c r="H10" s="7" t="n"/>
      <c r="K10" s="31" t="inlineStr">
        <is>
          <t>canc</t>
        </is>
      </c>
      <c r="L10" s="32">
        <f>IF($L$2="","",INDEX('Example Register'!$K$18:$K$317,$L$2)&amp;"")</f>
        <v/>
      </c>
    </row>
    <row r="11" ht="30" customHeight="1">
      <c r="B11" s="12" t="inlineStr">
        <is>
          <t>Received with thanks from</t>
        </is>
      </c>
      <c r="C11" s="39">
        <f>$L$4</f>
        <v/>
      </c>
      <c r="D11" s="7" t="n"/>
      <c r="E11" s="7" t="n"/>
      <c r="F11" s="7" t="n"/>
      <c r="G11" s="7" t="n"/>
      <c r="H11" s="7" t="n"/>
      <c r="K11" s="31" t="inlineStr">
        <is>
          <t>bal</t>
        </is>
      </c>
      <c r="L11" s="32">
        <f>IF($L$2="","",INDEX('Example Register'!$L$18:$L$317,$L$2))</f>
        <v/>
      </c>
    </row>
    <row r="12" ht="30" customHeight="1">
      <c r="B12" s="12" t="inlineStr">
        <is>
          <t>The sum of</t>
        </is>
      </c>
      <c r="C12" s="39">
        <f>$L$21</f>
        <v/>
      </c>
      <c r="D12" s="7" t="n"/>
      <c r="E12" s="7" t="n"/>
      <c r="F12" s="7" t="n"/>
      <c r="G12" s="7" t="n"/>
      <c r="H12" s="7" t="n"/>
      <c r="K12" s="31" t="inlineStr">
        <is>
          <t>stamp</t>
        </is>
      </c>
      <c r="L12" s="32">
        <f>IF($L$2="","",INDEX('Example Register'!$M$18:$M$317,$L$2)&amp;"")</f>
        <v/>
      </c>
    </row>
    <row r="13" ht="30" customHeight="1">
      <c r="B13" s="12" t="inlineStr">
        <is>
          <t>Paid by</t>
        </is>
      </c>
      <c r="C13" s="39">
        <f>IF($L$7="","",$L$7&amp;IF($L$8="","",", ref. "&amp;$L$8)&amp;IF(OR($L$7="Cheque",$L$7="Demand draft")," (subject to realisation)",""))</f>
        <v/>
      </c>
      <c r="D13" s="7" t="n"/>
      <c r="E13" s="7" t="n"/>
      <c r="F13" s="7" t="n"/>
      <c r="G13" s="7" t="n"/>
      <c r="H13" s="7" t="n"/>
      <c r="K13" s="31" t="inlineStr">
        <is>
          <t>check</t>
        </is>
      </c>
      <c r="L13" s="32">
        <f>IF($L$2="","",INDEX('Example Register'!$N$18:$N$317,$L$2)&amp;"")</f>
        <v/>
      </c>
    </row>
    <row r="14" ht="30" customHeight="1">
      <c r="B14" s="12" t="inlineStr">
        <is>
          <t>Towards</t>
        </is>
      </c>
      <c r="C14" s="39">
        <f>IF($L$6="","",IF($L$5="",$L$6,IF($L$6="Payment against invoice","Payment against invoice no. "&amp;$L$5,$L$6&amp;", invoice no. "&amp;$L$5)))</f>
        <v/>
      </c>
      <c r="D14" s="7" t="n"/>
      <c r="E14" s="7" t="n"/>
      <c r="F14" s="7" t="n"/>
      <c r="G14" s="7" t="n"/>
      <c r="H14" s="7" t="n"/>
      <c r="K14" s="31" t="inlineStr">
        <is>
          <t>a</t>
        </is>
      </c>
      <c r="L14" s="32">
        <f>IF($L$9="",0,ROUND(N($L$9),2))</f>
        <v/>
      </c>
    </row>
    <row r="15" ht="26" customHeight="1">
      <c r="B15" s="12" t="inlineStr">
        <is>
          <t>Amount (₹)</t>
        </is>
      </c>
      <c r="C15" s="40">
        <f>IF($L$9="","",$L$9)</f>
        <v/>
      </c>
      <c r="D15" s="7" t="n"/>
      <c r="E15" s="41">
        <f>IF($L$11="","","Balance due on the invoice")</f>
        <v/>
      </c>
      <c r="G15" s="42">
        <f>IF($L$11="","",$L$11)</f>
        <v/>
      </c>
      <c r="K15" s="31" t="inlineStr">
        <is>
          <t>cr</t>
        </is>
      </c>
      <c r="L15" s="32">
        <f>INT($L$14/10000000)</f>
        <v/>
      </c>
    </row>
    <row r="16">
      <c r="K16" s="31" t="inlineStr">
        <is>
          <t>lk</t>
        </is>
      </c>
      <c r="L16" s="32">
        <f>INT(MOD(INT($L$14),10000000)/100000)</f>
        <v/>
      </c>
    </row>
    <row r="17">
      <c r="B17" s="43">
        <f>IF(LEFT($L$12,3)="Yes","Affix a ₹1 revenue stamp here and sign across it","")</f>
        <v/>
      </c>
      <c r="F17" s="44">
        <f>"For "&amp;IF('Example Register'!$E$6="","the business",'Example Register'!$E$6)</f>
        <v/>
      </c>
      <c r="K17" s="31" t="inlineStr">
        <is>
          <t>th</t>
        </is>
      </c>
      <c r="L17" s="32">
        <f>INT(MOD(INT($L$14),100000)/1000)</f>
        <v/>
      </c>
    </row>
    <row r="18" ht="40" customHeight="1">
      <c r="K18" s="31" t="inlineStr">
        <is>
          <t>hu</t>
        </is>
      </c>
      <c r="L18" s="32">
        <f>INT(MOD(INT($L$14),1000)/100)</f>
        <v/>
      </c>
    </row>
    <row r="19">
      <c r="F19" s="35" t="inlineStr">
        <is>
          <t>Authorised signatory</t>
        </is>
      </c>
      <c r="K19" s="31" t="inlineStr">
        <is>
          <t>te</t>
        </is>
      </c>
      <c r="L19" s="32">
        <f>MOD(INT($L$14),100)</f>
        <v/>
      </c>
    </row>
    <row r="20">
      <c r="K20" s="31" t="inlineStr">
        <is>
          <t>ps</t>
        </is>
      </c>
      <c r="L20" s="32">
        <f>ROUND(($L$14-INT($L$14))*100,0)</f>
        <v/>
      </c>
    </row>
    <row r="21">
      <c r="B21" s="10" t="inlineStr">
        <is>
          <t>- - - - - - - - - - - - - - - - - - - - - - - -  cut here  - - - - - - - - - - - - - - - - - - - - - - - -</t>
        </is>
      </c>
      <c r="K21" s="31" t="inlineStr">
        <is>
          <t>words</t>
        </is>
      </c>
      <c r="L21" s="32">
        <f>IF($L$14=0,"",IF($L$14&gt;=1000000000,"(amount too large to write in words)","Rupees "&amp;PROPER(TRIM(IF($L$15&gt;0,VLOOKUP($L$15,Lists!$D$2:$E$101,2,FALSE)&amp;" crore ","")&amp;IF($L$16&gt;0,VLOOKUP($L$16,Lists!$D$2:$E$101,2,FALSE)&amp;" lakh ","")&amp;IF($L$17&gt;0,VLOOKUP($L$17,Lists!$D$2:$E$101,2,FALSE)&amp;" thousand ","")&amp;IF($L$18&gt;0,VLOOKUP($L$18,Lists!$D$2:$E$101,2,FALSE)&amp;" hundred ","")&amp;IF($L$19&gt;0,VLOOKUP($L$19,Lists!$D$2:$E$101,2,FALSE),"")&amp;IF(INT($L$14)=0,"zero","")))&amp;IF($L$20&gt;0," and "&amp;PROPER(VLOOKUP($L$20,Lists!$D$2:$E$101,2,FALSE))&amp;" Paise","")&amp;" Only"))</f>
        <v/>
      </c>
    </row>
    <row r="23" ht="24" customHeight="1">
      <c r="B23" s="34">
        <f>IF('Example Register'!$E$6="","Name of the business",'Example Register'!$E$6)</f>
        <v/>
      </c>
    </row>
    <row r="24">
      <c r="B24" s="35">
        <f>TRIM('Example Register'!$E$7&amp;IF('Example Register'!$E$8="",""," | Phone: "&amp;'Example Register'!$E$8))</f>
        <v/>
      </c>
    </row>
    <row r="25">
      <c r="B25" s="35">
        <f>IF('Example Register'!$E$9="","","GSTIN: "&amp;'Example Register'!$E$9)</f>
        <v/>
      </c>
    </row>
    <row r="26" ht="22" customHeight="1">
      <c r="B26" s="3" t="inlineStr">
        <is>
          <t xml:space="preserve">  MONEY RECEIPT</t>
        </is>
      </c>
      <c r="C26" s="4" t="n"/>
      <c r="D26" s="4" t="n"/>
      <c r="E26" s="4" t="n"/>
      <c r="F26" s="4" t="n"/>
      <c r="G26" s="36">
        <f>IF($L$10="Cancelled","CANCELLED","Office copy")</f>
        <v/>
      </c>
      <c r="H26" s="4" t="n"/>
    </row>
    <row r="27" ht="20" customHeight="1">
      <c r="B27" s="12" t="inlineStr">
        <is>
          <t>Receipt no.</t>
        </is>
      </c>
      <c r="C27" s="37">
        <f>$D$4</f>
        <v/>
      </c>
      <c r="D27" s="7" t="n"/>
      <c r="F27" s="12" t="inlineStr">
        <is>
          <t>Date</t>
        </is>
      </c>
      <c r="G27" s="38">
        <f>IF($L$3="","",$L$3)</f>
        <v/>
      </c>
      <c r="H27" s="7" t="n"/>
    </row>
    <row r="28" ht="30" customHeight="1">
      <c r="B28" s="12" t="inlineStr">
        <is>
          <t>Received with thanks from</t>
        </is>
      </c>
      <c r="C28" s="39">
        <f>$L$4</f>
        <v/>
      </c>
      <c r="D28" s="7" t="n"/>
      <c r="E28" s="7" t="n"/>
      <c r="F28" s="7" t="n"/>
      <c r="G28" s="7" t="n"/>
      <c r="H28" s="7" t="n"/>
    </row>
    <row r="29" ht="30" customHeight="1">
      <c r="B29" s="12" t="inlineStr">
        <is>
          <t>The sum of</t>
        </is>
      </c>
      <c r="C29" s="39">
        <f>$L$21</f>
        <v/>
      </c>
      <c r="D29" s="7" t="n"/>
      <c r="E29" s="7" t="n"/>
      <c r="F29" s="7" t="n"/>
      <c r="G29" s="7" t="n"/>
      <c r="H29" s="7" t="n"/>
    </row>
    <row r="30" ht="30" customHeight="1">
      <c r="B30" s="12" t="inlineStr">
        <is>
          <t>Paid by</t>
        </is>
      </c>
      <c r="C30" s="39">
        <f>IF($L$7="","",$L$7&amp;IF($L$8="","",", ref. "&amp;$L$8)&amp;IF(OR($L$7="Cheque",$L$7="Demand draft")," (subject to realisation)",""))</f>
        <v/>
      </c>
      <c r="D30" s="7" t="n"/>
      <c r="E30" s="7" t="n"/>
      <c r="F30" s="7" t="n"/>
      <c r="G30" s="7" t="n"/>
      <c r="H30" s="7" t="n"/>
    </row>
    <row r="31" ht="30" customHeight="1">
      <c r="B31" s="12" t="inlineStr">
        <is>
          <t>Towards</t>
        </is>
      </c>
      <c r="C31" s="39">
        <f>IF($L$6="","",IF($L$5="",$L$6,IF($L$6="Payment against invoice","Payment against invoice no. "&amp;$L$5,$L$6&amp;", invoice no. "&amp;$L$5)))</f>
        <v/>
      </c>
      <c r="D31" s="7" t="n"/>
      <c r="E31" s="7" t="n"/>
      <c r="F31" s="7" t="n"/>
      <c r="G31" s="7" t="n"/>
      <c r="H31" s="7" t="n"/>
    </row>
    <row r="32" ht="26" customHeight="1">
      <c r="B32" s="12" t="inlineStr">
        <is>
          <t>Amount (₹)</t>
        </is>
      </c>
      <c r="C32" s="40">
        <f>IF($L$9="","",$L$9)</f>
        <v/>
      </c>
      <c r="D32" s="7" t="n"/>
      <c r="E32" s="41">
        <f>IF($L$11="","","Balance due on the invoice")</f>
        <v/>
      </c>
      <c r="G32" s="42">
        <f>IF($L$11="","",$L$11)</f>
        <v/>
      </c>
    </row>
    <row r="34">
      <c r="B34" s="43">
        <f>IF(LEFT($L$12,3)="Yes","₹1 revenue stamp: on the customer copy","")</f>
        <v/>
      </c>
      <c r="F34" s="44">
        <f>"For "&amp;IF('Example Register'!$E$6="","the business",'Example Register'!$E$6)</f>
        <v/>
      </c>
    </row>
    <row r="35" ht="40" customHeight="1"/>
    <row r="36">
      <c r="F36" s="35" t="inlineStr">
        <is>
          <t>Authorised signatory</t>
        </is>
      </c>
    </row>
    <row r="38">
      <c r="B38" s="16">
        <f>IF($D$4="","Pick a receipt number above.",IF($L$2="","No receipt with that number in the register.","Check for this receipt: "&amp;$L$13))</f>
        <v/>
      </c>
    </row>
    <row r="39">
      <c r="B39" s="11" t="inlineStr">
        <is>
          <t>This line sits below the print area, so it never prints on the receipt.</t>
        </is>
      </c>
    </row>
    <row r="41">
      <c r="B4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2">
    <mergeCell ref="F36:H36"/>
    <mergeCell ref="C15:D15"/>
    <mergeCell ref="G27:H27"/>
    <mergeCell ref="B17:D17"/>
    <mergeCell ref="B6:H6"/>
    <mergeCell ref="B24:H24"/>
    <mergeCell ref="C31:H31"/>
    <mergeCell ref="F17:H17"/>
    <mergeCell ref="C12:H12"/>
    <mergeCell ref="B34:D34"/>
    <mergeCell ref="C11:H11"/>
    <mergeCell ref="C10:D10"/>
    <mergeCell ref="B41:H41"/>
    <mergeCell ref="G10:H10"/>
    <mergeCell ref="B7:H7"/>
    <mergeCell ref="B25:H25"/>
    <mergeCell ref="B3:H3"/>
    <mergeCell ref="E15:F15"/>
    <mergeCell ref="C28:H28"/>
    <mergeCell ref="C13:H13"/>
    <mergeCell ref="G15:H15"/>
    <mergeCell ref="B21:H21"/>
    <mergeCell ref="C27:D27"/>
    <mergeCell ref="B39:H39"/>
    <mergeCell ref="B2:H2"/>
    <mergeCell ref="D4:E4"/>
    <mergeCell ref="B9:F9"/>
    <mergeCell ref="G26:H26"/>
    <mergeCell ref="C30:H30"/>
    <mergeCell ref="B23:H23"/>
    <mergeCell ref="F34:H34"/>
    <mergeCell ref="B8:H8"/>
    <mergeCell ref="C32:D32"/>
    <mergeCell ref="F19:H19"/>
    <mergeCell ref="C14:H14"/>
    <mergeCell ref="E32:F32"/>
    <mergeCell ref="G32:H32"/>
    <mergeCell ref="B38:H38"/>
    <mergeCell ref="C29:H29"/>
    <mergeCell ref="G9:H9"/>
    <mergeCell ref="B26:F26"/>
    <mergeCell ref="B4:C4"/>
  </mergeCells>
  <dataValidations count="1">
    <dataValidation sqref="D4" showDropDown="0" showInputMessage="0" showErrorMessage="0" allowBlank="1" type="list">
      <formula1>='Example Register'!$C$18:$C$317</formula1>
    </dataValidation>
  </dataValidations>
  <pageMargins left="0.4" right="0.4" top="0.4" bottom="0.4" header="0.5" footer="0.5"/>
  <pageSetup orientation="portrait" paperSize="9" fitToHeight="1" fitToWidth="1"/>
</worksheet>
</file>

<file path=xl/worksheets/sheet7.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cols>
    <col width="40" customWidth="1" min="1" max="1"/>
    <col width="8" customWidth="1" min="2" max="2"/>
    <col width="4" customWidth="1" min="3" max="3"/>
    <col width="6" customWidth="1" min="4" max="4"/>
    <col width="22" customWidth="1" min="5" max="5"/>
  </cols>
  <sheetData>
    <row r="1">
      <c r="A1" s="3" t="inlineStr">
        <is>
          <t>Received for</t>
        </is>
      </c>
      <c r="B1" s="3" t="inlineStr">
        <is>
          <t>Kind</t>
        </is>
      </c>
      <c r="C1" s="3" t="inlineStr">
        <is>
          <t>Mode</t>
        </is>
      </c>
      <c r="D1" s="3" t="inlineStr">
        <is>
          <t>No.</t>
        </is>
      </c>
      <c r="E1" s="3" t="inlineStr">
        <is>
          <t>In words</t>
        </is>
      </c>
    </row>
    <row r="2">
      <c r="A2" s="39" t="inlineStr">
        <is>
          <t>Payment against invoice</t>
        </is>
      </c>
      <c r="B2" s="39" t="inlineStr">
        <is>
          <t>P</t>
        </is>
      </c>
      <c r="C2" s="39" t="inlineStr">
        <is>
          <t>Cash</t>
        </is>
      </c>
      <c r="D2" s="32" t="n">
        <v>0</v>
      </c>
      <c r="E2" s="32" t="inlineStr">
        <is>
          <t>zero</t>
        </is>
      </c>
    </row>
    <row r="3">
      <c r="A3" s="39" t="inlineStr">
        <is>
          <t>Advance for goods</t>
        </is>
      </c>
      <c r="B3" s="39" t="inlineStr">
        <is>
          <t>AG</t>
        </is>
      </c>
      <c r="C3" s="39" t="inlineStr">
        <is>
          <t>UPI</t>
        </is>
      </c>
      <c r="D3" s="32" t="n">
        <v>1</v>
      </c>
      <c r="E3" s="32" t="inlineStr">
        <is>
          <t>one</t>
        </is>
      </c>
    </row>
    <row r="4">
      <c r="A4" s="39" t="inlineStr">
        <is>
          <t>Advance for services</t>
        </is>
      </c>
      <c r="B4" s="39" t="inlineStr">
        <is>
          <t>AS</t>
        </is>
      </c>
      <c r="C4" s="39" t="inlineStr">
        <is>
          <t>Card</t>
        </is>
      </c>
      <c r="D4" s="32" t="n">
        <v>2</v>
      </c>
      <c r="E4" s="32" t="inlineStr">
        <is>
          <t>two</t>
        </is>
      </c>
    </row>
    <row r="5">
      <c r="A5" s="39" t="inlineStr">
        <is>
          <t>Rent received</t>
        </is>
      </c>
      <c r="B5" s="39" t="inlineStr">
        <is>
          <t>P</t>
        </is>
      </c>
      <c r="C5" s="39" t="inlineStr">
        <is>
          <t>Cheque</t>
        </is>
      </c>
      <c r="D5" s="32" t="n">
        <v>3</v>
      </c>
      <c r="E5" s="32" t="inlineStr">
        <is>
          <t>three</t>
        </is>
      </c>
    </row>
    <row r="6">
      <c r="A6" s="39" t="inlineStr">
        <is>
          <t>Security deposit received</t>
        </is>
      </c>
      <c r="B6" s="39" t="inlineStr">
        <is>
          <t>D</t>
        </is>
      </c>
      <c r="C6" s="39" t="inlineStr">
        <is>
          <t>Demand draft</t>
        </is>
      </c>
      <c r="D6" s="32" t="n">
        <v>4</v>
      </c>
      <c r="E6" s="32" t="inlineStr">
        <is>
          <t>four</t>
        </is>
      </c>
    </row>
    <row r="7">
      <c r="A7" s="39" t="inlineStr">
        <is>
          <t>Loan received</t>
        </is>
      </c>
      <c r="B7" s="39" t="inlineStr">
        <is>
          <t>T</t>
        </is>
      </c>
      <c r="C7" s="39" t="inlineStr">
        <is>
          <t>Bank transfer (NEFT, RTGS, IMPS)</t>
        </is>
      </c>
      <c r="D7" s="32" t="n">
        <v>5</v>
      </c>
      <c r="E7" s="32" t="inlineStr">
        <is>
          <t>five</t>
        </is>
      </c>
    </row>
    <row r="8">
      <c r="A8" s="39" t="inlineStr">
        <is>
          <t>Gift or donation (nothing given in return)</t>
        </is>
      </c>
      <c r="B8" s="39" t="inlineStr">
        <is>
          <t>G</t>
        </is>
      </c>
      <c r="D8" s="32" t="n">
        <v>6</v>
      </c>
      <c r="E8" s="32" t="inlineStr">
        <is>
          <t>six</t>
        </is>
      </c>
    </row>
    <row r="9">
      <c r="A9" s="39" t="inlineStr">
        <is>
          <t>Other receipt</t>
        </is>
      </c>
      <c r="B9" s="39" t="inlineStr">
        <is>
          <t>P</t>
        </is>
      </c>
      <c r="D9" s="32" t="n">
        <v>7</v>
      </c>
      <c r="E9" s="32" t="inlineStr">
        <is>
          <t>seven</t>
        </is>
      </c>
    </row>
    <row r="10">
      <c r="D10" s="32" t="n">
        <v>8</v>
      </c>
      <c r="E10" s="32" t="inlineStr">
        <is>
          <t>eight</t>
        </is>
      </c>
    </row>
    <row r="11">
      <c r="D11" s="32" t="n">
        <v>9</v>
      </c>
      <c r="E11" s="32" t="inlineStr">
        <is>
          <t>nine</t>
        </is>
      </c>
    </row>
    <row r="12">
      <c r="A12" s="39" t="inlineStr">
        <is>
          <t>Cancelled</t>
        </is>
      </c>
      <c r="D12" s="32" t="n">
        <v>10</v>
      </c>
      <c r="E12" s="32" t="inlineStr">
        <is>
          <t>ten</t>
        </is>
      </c>
    </row>
    <row r="13">
      <c r="D13" s="32" t="n">
        <v>11</v>
      </c>
      <c r="E13" s="32" t="inlineStr">
        <is>
          <t>eleven</t>
        </is>
      </c>
    </row>
    <row r="14">
      <c r="D14" s="32" t="n">
        <v>12</v>
      </c>
      <c r="E14" s="32" t="inlineStr">
        <is>
          <t>twelve</t>
        </is>
      </c>
    </row>
    <row r="15">
      <c r="D15" s="32" t="n">
        <v>13</v>
      </c>
      <c r="E15" s="32" t="inlineStr">
        <is>
          <t>thirteen</t>
        </is>
      </c>
    </row>
    <row r="16">
      <c r="D16" s="32" t="n">
        <v>14</v>
      </c>
      <c r="E16" s="32" t="inlineStr">
        <is>
          <t>fourteen</t>
        </is>
      </c>
    </row>
    <row r="17">
      <c r="D17" s="32" t="n">
        <v>15</v>
      </c>
      <c r="E17" s="32" t="inlineStr">
        <is>
          <t>fifteen</t>
        </is>
      </c>
    </row>
    <row r="18">
      <c r="D18" s="32" t="n">
        <v>16</v>
      </c>
      <c r="E18" s="32" t="inlineStr">
        <is>
          <t>sixteen</t>
        </is>
      </c>
    </row>
    <row r="19">
      <c r="D19" s="32" t="n">
        <v>17</v>
      </c>
      <c r="E19" s="32" t="inlineStr">
        <is>
          <t>seventeen</t>
        </is>
      </c>
    </row>
    <row r="20">
      <c r="D20" s="32" t="n">
        <v>18</v>
      </c>
      <c r="E20" s="32" t="inlineStr">
        <is>
          <t>eighteen</t>
        </is>
      </c>
    </row>
    <row r="21">
      <c r="D21" s="32" t="n">
        <v>19</v>
      </c>
      <c r="E21" s="32" t="inlineStr">
        <is>
          <t>nineteen</t>
        </is>
      </c>
    </row>
    <row r="22">
      <c r="D22" s="32" t="n">
        <v>20</v>
      </c>
      <c r="E22" s="32" t="inlineStr">
        <is>
          <t>twenty</t>
        </is>
      </c>
    </row>
    <row r="23">
      <c r="D23" s="32" t="n">
        <v>21</v>
      </c>
      <c r="E23" s="32" t="inlineStr">
        <is>
          <t>twenty-one</t>
        </is>
      </c>
    </row>
    <row r="24">
      <c r="D24" s="32" t="n">
        <v>22</v>
      </c>
      <c r="E24" s="32" t="inlineStr">
        <is>
          <t>twenty-two</t>
        </is>
      </c>
    </row>
    <row r="25">
      <c r="D25" s="32" t="n">
        <v>23</v>
      </c>
      <c r="E25" s="32" t="inlineStr">
        <is>
          <t>twenty-three</t>
        </is>
      </c>
    </row>
    <row r="26">
      <c r="D26" s="32" t="n">
        <v>24</v>
      </c>
      <c r="E26" s="32" t="inlineStr">
        <is>
          <t>twenty-four</t>
        </is>
      </c>
    </row>
    <row r="27">
      <c r="D27" s="32" t="n">
        <v>25</v>
      </c>
      <c r="E27" s="32" t="inlineStr">
        <is>
          <t>twenty-five</t>
        </is>
      </c>
    </row>
    <row r="28">
      <c r="D28" s="32" t="n">
        <v>26</v>
      </c>
      <c r="E28" s="32" t="inlineStr">
        <is>
          <t>twenty-six</t>
        </is>
      </c>
    </row>
    <row r="29">
      <c r="D29" s="32" t="n">
        <v>27</v>
      </c>
      <c r="E29" s="32" t="inlineStr">
        <is>
          <t>twenty-seven</t>
        </is>
      </c>
    </row>
    <row r="30">
      <c r="D30" s="32" t="n">
        <v>28</v>
      </c>
      <c r="E30" s="32" t="inlineStr">
        <is>
          <t>twenty-eight</t>
        </is>
      </c>
    </row>
    <row r="31">
      <c r="D31" s="32" t="n">
        <v>29</v>
      </c>
      <c r="E31" s="32" t="inlineStr">
        <is>
          <t>twenty-nine</t>
        </is>
      </c>
    </row>
    <row r="32">
      <c r="D32" s="32" t="n">
        <v>30</v>
      </c>
      <c r="E32" s="32" t="inlineStr">
        <is>
          <t>thirty</t>
        </is>
      </c>
    </row>
    <row r="33">
      <c r="D33" s="32" t="n">
        <v>31</v>
      </c>
      <c r="E33" s="32" t="inlineStr">
        <is>
          <t>thirty-one</t>
        </is>
      </c>
    </row>
    <row r="34">
      <c r="D34" s="32" t="n">
        <v>32</v>
      </c>
      <c r="E34" s="32" t="inlineStr">
        <is>
          <t>thirty-two</t>
        </is>
      </c>
    </row>
    <row r="35">
      <c r="D35" s="32" t="n">
        <v>33</v>
      </c>
      <c r="E35" s="32" t="inlineStr">
        <is>
          <t>thirty-three</t>
        </is>
      </c>
    </row>
    <row r="36">
      <c r="D36" s="32" t="n">
        <v>34</v>
      </c>
      <c r="E36" s="32" t="inlineStr">
        <is>
          <t>thirty-four</t>
        </is>
      </c>
    </row>
    <row r="37">
      <c r="D37" s="32" t="n">
        <v>35</v>
      </c>
      <c r="E37" s="32" t="inlineStr">
        <is>
          <t>thirty-five</t>
        </is>
      </c>
    </row>
    <row r="38">
      <c r="D38" s="32" t="n">
        <v>36</v>
      </c>
      <c r="E38" s="32" t="inlineStr">
        <is>
          <t>thirty-six</t>
        </is>
      </c>
    </row>
    <row r="39">
      <c r="D39" s="32" t="n">
        <v>37</v>
      </c>
      <c r="E39" s="32" t="inlineStr">
        <is>
          <t>thirty-seven</t>
        </is>
      </c>
    </row>
    <row r="40">
      <c r="D40" s="32" t="n">
        <v>38</v>
      </c>
      <c r="E40" s="32" t="inlineStr">
        <is>
          <t>thirty-eight</t>
        </is>
      </c>
    </row>
    <row r="41">
      <c r="D41" s="32" t="n">
        <v>39</v>
      </c>
      <c r="E41" s="32" t="inlineStr">
        <is>
          <t>thirty-nine</t>
        </is>
      </c>
    </row>
    <row r="42">
      <c r="D42" s="32" t="n">
        <v>40</v>
      </c>
      <c r="E42" s="32" t="inlineStr">
        <is>
          <t>forty</t>
        </is>
      </c>
    </row>
    <row r="43">
      <c r="D43" s="32" t="n">
        <v>41</v>
      </c>
      <c r="E43" s="32" t="inlineStr">
        <is>
          <t>forty-one</t>
        </is>
      </c>
    </row>
    <row r="44">
      <c r="D44" s="32" t="n">
        <v>42</v>
      </c>
      <c r="E44" s="32" t="inlineStr">
        <is>
          <t>forty-two</t>
        </is>
      </c>
    </row>
    <row r="45">
      <c r="D45" s="32" t="n">
        <v>43</v>
      </c>
      <c r="E45" s="32" t="inlineStr">
        <is>
          <t>forty-three</t>
        </is>
      </c>
    </row>
    <row r="46">
      <c r="D46" s="32" t="n">
        <v>44</v>
      </c>
      <c r="E46" s="32" t="inlineStr">
        <is>
          <t>forty-four</t>
        </is>
      </c>
    </row>
    <row r="47">
      <c r="D47" s="32" t="n">
        <v>45</v>
      </c>
      <c r="E47" s="32" t="inlineStr">
        <is>
          <t>forty-five</t>
        </is>
      </c>
    </row>
    <row r="48">
      <c r="D48" s="32" t="n">
        <v>46</v>
      </c>
      <c r="E48" s="32" t="inlineStr">
        <is>
          <t>forty-six</t>
        </is>
      </c>
    </row>
    <row r="49">
      <c r="D49" s="32" t="n">
        <v>47</v>
      </c>
      <c r="E49" s="32" t="inlineStr">
        <is>
          <t>forty-seven</t>
        </is>
      </c>
    </row>
    <row r="50">
      <c r="D50" s="32" t="n">
        <v>48</v>
      </c>
      <c r="E50" s="32" t="inlineStr">
        <is>
          <t>forty-eight</t>
        </is>
      </c>
    </row>
    <row r="51">
      <c r="D51" s="32" t="n">
        <v>49</v>
      </c>
      <c r="E51" s="32" t="inlineStr">
        <is>
          <t>forty-nine</t>
        </is>
      </c>
    </row>
    <row r="52">
      <c r="D52" s="32" t="n">
        <v>50</v>
      </c>
      <c r="E52" s="32" t="inlineStr">
        <is>
          <t>fifty</t>
        </is>
      </c>
    </row>
    <row r="53">
      <c r="D53" s="32" t="n">
        <v>51</v>
      </c>
      <c r="E53" s="32" t="inlineStr">
        <is>
          <t>fifty-one</t>
        </is>
      </c>
    </row>
    <row r="54">
      <c r="D54" s="32" t="n">
        <v>52</v>
      </c>
      <c r="E54" s="32" t="inlineStr">
        <is>
          <t>fifty-two</t>
        </is>
      </c>
    </row>
    <row r="55">
      <c r="D55" s="32" t="n">
        <v>53</v>
      </c>
      <c r="E55" s="32" t="inlineStr">
        <is>
          <t>fifty-three</t>
        </is>
      </c>
    </row>
    <row r="56">
      <c r="D56" s="32" t="n">
        <v>54</v>
      </c>
      <c r="E56" s="32" t="inlineStr">
        <is>
          <t>fifty-four</t>
        </is>
      </c>
    </row>
    <row r="57">
      <c r="D57" s="32" t="n">
        <v>55</v>
      </c>
      <c r="E57" s="32" t="inlineStr">
        <is>
          <t>fifty-five</t>
        </is>
      </c>
    </row>
    <row r="58">
      <c r="D58" s="32" t="n">
        <v>56</v>
      </c>
      <c r="E58" s="32" t="inlineStr">
        <is>
          <t>fifty-six</t>
        </is>
      </c>
    </row>
    <row r="59">
      <c r="D59" s="32" t="n">
        <v>57</v>
      </c>
      <c r="E59" s="32" t="inlineStr">
        <is>
          <t>fifty-seven</t>
        </is>
      </c>
    </row>
    <row r="60">
      <c r="D60" s="32" t="n">
        <v>58</v>
      </c>
      <c r="E60" s="32" t="inlineStr">
        <is>
          <t>fifty-eight</t>
        </is>
      </c>
    </row>
    <row r="61">
      <c r="D61" s="32" t="n">
        <v>59</v>
      </c>
      <c r="E61" s="32" t="inlineStr">
        <is>
          <t>fifty-nine</t>
        </is>
      </c>
    </row>
    <row r="62">
      <c r="D62" s="32" t="n">
        <v>60</v>
      </c>
      <c r="E62" s="32" t="inlineStr">
        <is>
          <t>sixty</t>
        </is>
      </c>
    </row>
    <row r="63">
      <c r="D63" s="32" t="n">
        <v>61</v>
      </c>
      <c r="E63" s="32" t="inlineStr">
        <is>
          <t>sixty-one</t>
        </is>
      </c>
    </row>
    <row r="64">
      <c r="D64" s="32" t="n">
        <v>62</v>
      </c>
      <c r="E64" s="32" t="inlineStr">
        <is>
          <t>sixty-two</t>
        </is>
      </c>
    </row>
    <row r="65">
      <c r="D65" s="32" t="n">
        <v>63</v>
      </c>
      <c r="E65" s="32" t="inlineStr">
        <is>
          <t>sixty-three</t>
        </is>
      </c>
    </row>
    <row r="66">
      <c r="D66" s="32" t="n">
        <v>64</v>
      </c>
      <c r="E66" s="32" t="inlineStr">
        <is>
          <t>sixty-four</t>
        </is>
      </c>
    </row>
    <row r="67">
      <c r="D67" s="32" t="n">
        <v>65</v>
      </c>
      <c r="E67" s="32" t="inlineStr">
        <is>
          <t>sixty-five</t>
        </is>
      </c>
    </row>
    <row r="68">
      <c r="D68" s="32" t="n">
        <v>66</v>
      </c>
      <c r="E68" s="32" t="inlineStr">
        <is>
          <t>sixty-six</t>
        </is>
      </c>
    </row>
    <row r="69">
      <c r="D69" s="32" t="n">
        <v>67</v>
      </c>
      <c r="E69" s="32" t="inlineStr">
        <is>
          <t>sixty-seven</t>
        </is>
      </c>
    </row>
    <row r="70">
      <c r="D70" s="32" t="n">
        <v>68</v>
      </c>
      <c r="E70" s="32" t="inlineStr">
        <is>
          <t>sixty-eight</t>
        </is>
      </c>
    </row>
    <row r="71">
      <c r="D71" s="32" t="n">
        <v>69</v>
      </c>
      <c r="E71" s="32" t="inlineStr">
        <is>
          <t>sixty-nine</t>
        </is>
      </c>
    </row>
    <row r="72">
      <c r="D72" s="32" t="n">
        <v>70</v>
      </c>
      <c r="E72" s="32" t="inlineStr">
        <is>
          <t>seventy</t>
        </is>
      </c>
    </row>
    <row r="73">
      <c r="D73" s="32" t="n">
        <v>71</v>
      </c>
      <c r="E73" s="32" t="inlineStr">
        <is>
          <t>seventy-one</t>
        </is>
      </c>
    </row>
    <row r="74">
      <c r="D74" s="32" t="n">
        <v>72</v>
      </c>
      <c r="E74" s="32" t="inlineStr">
        <is>
          <t>seventy-two</t>
        </is>
      </c>
    </row>
    <row r="75">
      <c r="D75" s="32" t="n">
        <v>73</v>
      </c>
      <c r="E75" s="32" t="inlineStr">
        <is>
          <t>seventy-three</t>
        </is>
      </c>
    </row>
    <row r="76">
      <c r="D76" s="32" t="n">
        <v>74</v>
      </c>
      <c r="E76" s="32" t="inlineStr">
        <is>
          <t>seventy-four</t>
        </is>
      </c>
    </row>
    <row r="77">
      <c r="D77" s="32" t="n">
        <v>75</v>
      </c>
      <c r="E77" s="32" t="inlineStr">
        <is>
          <t>seventy-five</t>
        </is>
      </c>
    </row>
    <row r="78">
      <c r="D78" s="32" t="n">
        <v>76</v>
      </c>
      <c r="E78" s="32" t="inlineStr">
        <is>
          <t>seventy-six</t>
        </is>
      </c>
    </row>
    <row r="79">
      <c r="D79" s="32" t="n">
        <v>77</v>
      </c>
      <c r="E79" s="32" t="inlineStr">
        <is>
          <t>seventy-seven</t>
        </is>
      </c>
    </row>
    <row r="80">
      <c r="D80" s="32" t="n">
        <v>78</v>
      </c>
      <c r="E80" s="32" t="inlineStr">
        <is>
          <t>seventy-eight</t>
        </is>
      </c>
    </row>
    <row r="81">
      <c r="D81" s="32" t="n">
        <v>79</v>
      </c>
      <c r="E81" s="32" t="inlineStr">
        <is>
          <t>seventy-nine</t>
        </is>
      </c>
    </row>
    <row r="82">
      <c r="D82" s="32" t="n">
        <v>80</v>
      </c>
      <c r="E82" s="32" t="inlineStr">
        <is>
          <t>eighty</t>
        </is>
      </c>
    </row>
    <row r="83">
      <c r="D83" s="32" t="n">
        <v>81</v>
      </c>
      <c r="E83" s="32" t="inlineStr">
        <is>
          <t>eighty-one</t>
        </is>
      </c>
    </row>
    <row r="84">
      <c r="D84" s="32" t="n">
        <v>82</v>
      </c>
      <c r="E84" s="32" t="inlineStr">
        <is>
          <t>eighty-two</t>
        </is>
      </c>
    </row>
    <row r="85">
      <c r="D85" s="32" t="n">
        <v>83</v>
      </c>
      <c r="E85" s="32" t="inlineStr">
        <is>
          <t>eighty-three</t>
        </is>
      </c>
    </row>
    <row r="86">
      <c r="D86" s="32" t="n">
        <v>84</v>
      </c>
      <c r="E86" s="32" t="inlineStr">
        <is>
          <t>eighty-four</t>
        </is>
      </c>
    </row>
    <row r="87">
      <c r="D87" s="32" t="n">
        <v>85</v>
      </c>
      <c r="E87" s="32" t="inlineStr">
        <is>
          <t>eighty-five</t>
        </is>
      </c>
    </row>
    <row r="88">
      <c r="D88" s="32" t="n">
        <v>86</v>
      </c>
      <c r="E88" s="32" t="inlineStr">
        <is>
          <t>eighty-six</t>
        </is>
      </c>
    </row>
    <row r="89">
      <c r="D89" s="32" t="n">
        <v>87</v>
      </c>
      <c r="E89" s="32" t="inlineStr">
        <is>
          <t>eighty-seven</t>
        </is>
      </c>
    </row>
    <row r="90">
      <c r="D90" s="32" t="n">
        <v>88</v>
      </c>
      <c r="E90" s="32" t="inlineStr">
        <is>
          <t>eighty-eight</t>
        </is>
      </c>
    </row>
    <row r="91">
      <c r="D91" s="32" t="n">
        <v>89</v>
      </c>
      <c r="E91" s="32" t="inlineStr">
        <is>
          <t>eighty-nine</t>
        </is>
      </c>
    </row>
    <row r="92">
      <c r="D92" s="32" t="n">
        <v>90</v>
      </c>
      <c r="E92" s="32" t="inlineStr">
        <is>
          <t>ninety</t>
        </is>
      </c>
    </row>
    <row r="93">
      <c r="D93" s="32" t="n">
        <v>91</v>
      </c>
      <c r="E93" s="32" t="inlineStr">
        <is>
          <t>ninety-one</t>
        </is>
      </c>
    </row>
    <row r="94">
      <c r="D94" s="32" t="n">
        <v>92</v>
      </c>
      <c r="E94" s="32" t="inlineStr">
        <is>
          <t>ninety-two</t>
        </is>
      </c>
    </row>
    <row r="95">
      <c r="D95" s="32" t="n">
        <v>93</v>
      </c>
      <c r="E95" s="32" t="inlineStr">
        <is>
          <t>ninety-three</t>
        </is>
      </c>
    </row>
    <row r="96">
      <c r="D96" s="32" t="n">
        <v>94</v>
      </c>
      <c r="E96" s="32" t="inlineStr">
        <is>
          <t>ninety-four</t>
        </is>
      </c>
    </row>
    <row r="97">
      <c r="D97" s="32" t="n">
        <v>95</v>
      </c>
      <c r="E97" s="32" t="inlineStr">
        <is>
          <t>ninety-five</t>
        </is>
      </c>
    </row>
    <row r="98">
      <c r="D98" s="32" t="n">
        <v>96</v>
      </c>
      <c r="E98" s="32" t="inlineStr">
        <is>
          <t>ninety-six</t>
        </is>
      </c>
    </row>
    <row r="99">
      <c r="D99" s="32" t="n">
        <v>97</v>
      </c>
      <c r="E99" s="32" t="inlineStr">
        <is>
          <t>ninety-seven</t>
        </is>
      </c>
    </row>
    <row r="100">
      <c r="D100" s="32" t="n">
        <v>98</v>
      </c>
      <c r="E100" s="32" t="inlineStr">
        <is>
          <t>ninety-eight</t>
        </is>
      </c>
    </row>
    <row r="101">
      <c r="D101" s="32" t="n">
        <v>99</v>
      </c>
      <c r="E101" s="32" t="inlineStr">
        <is>
          <t>ninety-nine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2026-10-28T07:30:06Z</dcterms:created>
  <dcterms:modified xmlns:dcterms="http://purl.org/dc/terms/" xmlns:xsi="http://www.w3.org/2001/XMLSchema-instance" xsi:type="dcterms:W3CDTF">2026-10-28T07:30:06Z</dcterms:modified>
</cp:coreProperties>
</file>