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Parties" sheetId="2" state="visible" r:id="rId2"/>
    <sheet xmlns:r="http://schemas.openxmlformats.org/officeDocument/2006/relationships" name="Entries" sheetId="3" state="visible" r:id="rId3"/>
    <sheet xmlns:r="http://schemas.openxmlformats.org/officeDocument/2006/relationships" name="Ledger Account" sheetId="4" state="visible" r:id="rId4"/>
    <sheet xmlns:r="http://schemas.openxmlformats.org/officeDocument/2006/relationships" name="Outstanding" sheetId="5" state="visible" r:id="rId5"/>
    <sheet xmlns:r="http://schemas.openxmlformats.org/officeDocument/2006/relationships" name="Ledger Rules" sheetId="6" state="visible" r:id="rId6"/>
    <sheet xmlns:r="http://schemas.openxmlformats.org/officeDocument/2006/relationships" name="Example Parties" sheetId="7" state="visible" r:id="rId7"/>
    <sheet xmlns:r="http://schemas.openxmlformats.org/officeDocument/2006/relationships" name="Example Entries" sheetId="8" state="visible" r:id="rId8"/>
    <sheet xmlns:r="http://schemas.openxmlformats.org/officeDocument/2006/relationships" name="Example Ledger" sheetId="9" state="visible" r:id="rId9"/>
    <sheet xmlns:r="http://schemas.openxmlformats.org/officeDocument/2006/relationships" name="Example Outstanding" sheetId="10" state="visible" r:id="rId10"/>
    <sheet xmlns:r="http://schemas.openxmlformats.org/officeDocument/2006/relationships" name="Lists" sheetId="11" state="hidden" r:id="rId11"/>
  </sheets>
  <definedNames>
    <definedName name="_xlnm.Print_Area" localSheetId="0">'Instructions'!$A$1:$D$40</definedName>
    <definedName name="_xlnm.Print_Titles" localSheetId="1">'Parties'!$12:$12</definedName>
    <definedName name="_xlnm.Print_Area" localSheetId="1">'Parties'!$A$1:$K$116</definedName>
    <definedName name="_xlnm.Print_Titles" localSheetId="2">'Entries'!$6:$6</definedName>
    <definedName name="_xlnm.Print_Area" localSheetId="2">'Entries'!$A$1:$O$511</definedName>
    <definedName name="_xlnm.Print_Titles" localSheetId="3">'Ledger Account'!$13:$13</definedName>
    <definedName name="_xlnm.Print_Area" localSheetId="3">'Ledger Account'!$A$8:$H$81</definedName>
    <definedName name="_xlnm.Print_Titles" localSheetId="4">'Outstanding'!$7:$7</definedName>
    <definedName name="_xlnm.Print_Area" localSheetId="4">'Outstanding'!$A$1:$N$120</definedName>
    <definedName name="_xlnm.Print_Titles" localSheetId="5">'Ledger Rules'!$5:$5</definedName>
    <definedName name="_xlnm.Print_Area" localSheetId="5">'Ledger Rules'!$A$1:$E$21</definedName>
    <definedName name="_xlnm.Print_Titles" localSheetId="6">'Example Parties'!$12:$12</definedName>
    <definedName name="_xlnm.Print_Area" localSheetId="6">'Example Parties'!$A$1:$K$116</definedName>
    <definedName name="_xlnm.Print_Titles" localSheetId="7">'Example Entries'!$6:$6</definedName>
    <definedName name="_xlnm.Print_Area" localSheetId="7">'Example Entries'!$A$1:$O$511</definedName>
    <definedName name="_xlnm.Print_Titles" localSheetId="8">'Example Ledger'!$13:$13</definedName>
    <definedName name="_xlnm.Print_Area" localSheetId="8">'Example Ledger'!$A$8:$H$81</definedName>
    <definedName name="_xlnm.Print_Titles" localSheetId="9">'Example Outstanding'!$7:$7</definedName>
    <definedName name="_xlnm.Print_Area" localSheetId="9">'Example Outstanding'!$A$1:$N$120</definedName>
  </definedNames>
  <calcPr calcId="124519" fullCalcOnLoad="1"/>
</workbook>
</file>

<file path=xl/styles.xml><?xml version="1.0" encoding="utf-8"?>
<styleSheet xmlns="http://schemas.openxmlformats.org/spreadsheetml/2006/main">
  <numFmts count="6">
    <numFmt numFmtId="164" formatCode="DD-MMM-YYYY"/>
    <numFmt numFmtId="165" formatCode="#,##,##0;(#,##,##0);&quot;&quot;"/>
    <numFmt numFmtId="166" formatCode="0;-0;&quot;&quot;"/>
    <numFmt numFmtId="167" formatCode="#,##,##0;(#,##,##0);&quot;-&quot;"/>
    <numFmt numFmtId="168" formatCode="#,##,##0&quot; Dr&quot;;#,##,##0&quot; Cr&quot;;&quot;-&quot;"/>
    <numFmt numFmtId="169" formatCode="yyyy-mm-dd"/>
  </numFmts>
  <fonts count="10">
    <font>
      <name val="Calibri"/>
      <family val="2"/>
      <color theme="1"/>
      <sz val="11"/>
      <scheme val="minor"/>
    </font>
    <font>
      <name val="Calibri"/>
      <b val="1"/>
      <color rgb="00FFFFFF"/>
      <sz val="11"/>
    </font>
    <font>
      <name val="Calibri"/>
      <color rgb="001F2937"/>
      <sz val="10"/>
    </font>
    <font>
      <name val="Calibri"/>
      <b val="1"/>
      <color rgb="001F2937"/>
      <sz val="16"/>
    </font>
    <font>
      <name val="Calibri"/>
      <i val="1"/>
      <color rgb="006B7280"/>
      <sz val="9"/>
    </font>
    <font>
      <name val="Calibri"/>
      <b val="1"/>
      <color rgb="001F2937"/>
      <sz val="10"/>
    </font>
    <font>
      <name val="Calibri"/>
      <b val="1"/>
      <color rgb="00C52031"/>
      <sz val="9"/>
    </font>
    <font>
      <name val="Calibri"/>
      <b val="1"/>
      <color rgb="001F2937"/>
      <sz val="12"/>
    </font>
    <font>
      <name val="Calibri"/>
      <b val="1"/>
      <color rgb="001F2937"/>
      <sz val="14"/>
    </font>
    <font>
      <name val="Calibri"/>
      <b val="1"/>
      <color rgb="00C52031"/>
      <sz val="12"/>
    </font>
  </fonts>
  <fills count="7">
    <fill>
      <patternFill/>
    </fill>
    <fill>
      <patternFill patternType="gray125"/>
    </fill>
    <fill>
      <patternFill patternType="solid">
        <fgColor rgb="00C52031"/>
        <bgColor rgb="00C52031"/>
      </patternFill>
    </fill>
    <fill>
      <patternFill patternType="solid">
        <fgColor rgb="00F9FAFB"/>
        <bgColor rgb="00F9FAFB"/>
      </patternFill>
    </fill>
    <fill>
      <patternFill patternType="solid">
        <fgColor rgb="00FFF4C2"/>
        <bgColor rgb="00FFF4C2"/>
      </patternFill>
    </fill>
    <fill>
      <patternFill patternType="solid">
        <fgColor rgb="001F2937"/>
        <bgColor rgb="001F2937"/>
      </patternFill>
    </fill>
    <fill>
      <patternFill patternType="solid">
        <fgColor rgb="00F3F4F6"/>
        <bgColor rgb="00F3F4F6"/>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55">
    <xf numFmtId="0" fontId="0" fillId="0" borderId="0" pivotButton="0" quotePrefix="0" xfId="0"/>
    <xf numFmtId="0" fontId="3" fillId="0" borderId="0" applyAlignment="1" pivotButton="0" quotePrefix="0" xfId="0">
      <alignment horizontal="left" vertical="center" wrapText="1"/>
    </xf>
    <xf numFmtId="0" fontId="9" fillId="0" borderId="0" applyAlignment="1" pivotButton="0" quotePrefix="0" xfId="0">
      <alignment horizontal="left" vertical="center" wrapText="1"/>
    </xf>
    <xf numFmtId="0" fontId="1" fillId="2" borderId="0" applyAlignment="1" pivotButton="0" quotePrefix="0" xfId="0">
      <alignment horizontal="left" vertical="center" wrapText="1"/>
    </xf>
    <xf numFmtId="0" fontId="0" fillId="2" borderId="0" pivotButton="0" quotePrefix="0" xfId="0"/>
    <xf numFmtId="0" fontId="5" fillId="3" borderId="1" applyAlignment="1" pivotButton="0" quotePrefix="0" xfId="0">
      <alignment horizontal="left" vertical="top" wrapText="1"/>
    </xf>
    <xf numFmtId="0" fontId="2" fillId="0" borderId="1" applyAlignment="1" pivotButton="0" quotePrefix="0" xfId="0">
      <alignment horizontal="left" vertical="top" wrapText="1"/>
    </xf>
    <xf numFmtId="0" fontId="0" fillId="0" borderId="1" pivotButton="0" quotePrefix="0" xfId="0"/>
    <xf numFmtId="0" fontId="4" fillId="6" borderId="0" applyAlignment="1" pivotButton="0" quotePrefix="0" xfId="0">
      <alignment horizontal="left" vertical="top" wrapText="1"/>
    </xf>
    <xf numFmtId="0" fontId="0" fillId="6" borderId="0" pivotButton="0" quotePrefix="0" xfId="0"/>
    <xf numFmtId="0" fontId="4" fillId="0" borderId="0" applyAlignment="1" pivotButton="0" quotePrefix="0" xfId="0">
      <alignment horizontal="center" vertical="center" wrapText="1"/>
    </xf>
    <xf numFmtId="0" fontId="4" fillId="0" borderId="0" applyAlignment="1" pivotButton="0" quotePrefix="0" xfId="0">
      <alignment horizontal="left" vertical="center" wrapText="1"/>
    </xf>
    <xf numFmtId="0" fontId="5" fillId="3" borderId="1" applyAlignment="1" pivotButton="0" quotePrefix="0" xfId="0">
      <alignment horizontal="left" vertical="center" wrapText="1"/>
    </xf>
    <xf numFmtId="0" fontId="0" fillId="3" borderId="1" pivotButton="0" quotePrefix="0" xfId="0"/>
    <xf numFmtId="0" fontId="2" fillId="4" borderId="1" applyAlignment="1" applyProtection="1" pivotButton="0" quotePrefix="0" xfId="0">
      <alignment horizontal="left" vertical="center" wrapText="1"/>
      <protection locked="0" hidden="0"/>
    </xf>
    <xf numFmtId="0" fontId="0" fillId="4" borderId="1" applyProtection="1" pivotButton="0" quotePrefix="0" xfId="0">
      <protection locked="0" hidden="0"/>
    </xf>
    <xf numFmtId="164" fontId="2" fillId="4" borderId="1" applyAlignment="1" applyProtection="1" pivotButton="0" quotePrefix="0" xfId="0">
      <alignment horizontal="left" vertical="center" wrapText="1"/>
      <protection locked="0" hidden="0"/>
    </xf>
    <xf numFmtId="164" fontId="5" fillId="0" borderId="1" applyAlignment="1" pivotButton="0" quotePrefix="0" xfId="0">
      <alignment horizontal="left" vertical="center" wrapText="1"/>
    </xf>
    <xf numFmtId="10" fontId="2" fillId="4" borderId="1" applyAlignment="1" applyProtection="1" pivotButton="0" quotePrefix="0" xfId="0">
      <alignment horizontal="left" vertical="center" wrapText="1"/>
      <protection locked="0" hidden="0"/>
    </xf>
    <xf numFmtId="0" fontId="1" fillId="5" borderId="1" applyAlignment="1" pivotButton="0" quotePrefix="0" xfId="0">
      <alignment horizontal="center" vertical="center" wrapText="1"/>
    </xf>
    <xf numFmtId="0" fontId="2" fillId="4" borderId="1" applyAlignment="1" applyProtection="1" pivotButton="0" quotePrefix="0" xfId="0">
      <alignment horizontal="center" vertical="center" wrapText="1"/>
      <protection locked="0" hidden="0"/>
    </xf>
    <xf numFmtId="1" fontId="2" fillId="4" borderId="1" applyAlignment="1" applyProtection="1" pivotButton="0" quotePrefix="0" xfId="0">
      <alignment horizontal="center" vertical="center" wrapText="1"/>
      <protection locked="0" hidden="0"/>
    </xf>
    <xf numFmtId="165" fontId="2" fillId="4" borderId="1" applyAlignment="1" applyProtection="1" pivotButton="0" quotePrefix="0" xfId="0">
      <alignment horizontal="right" vertical="center"/>
      <protection locked="0" hidden="0"/>
    </xf>
    <xf numFmtId="0" fontId="6" fillId="0" borderId="1" applyAlignment="1" pivotButton="0" quotePrefix="0" xfId="0">
      <alignment horizontal="left" vertical="center" wrapText="1"/>
    </xf>
    <xf numFmtId="164" fontId="2" fillId="4" borderId="1" applyAlignment="1" applyProtection="1" pivotButton="0" quotePrefix="0" xfId="0">
      <alignment horizontal="center" vertical="center" wrapText="1"/>
      <protection locked="0" hidden="0"/>
    </xf>
    <xf numFmtId="165" fontId="2" fillId="0" borderId="1" applyAlignment="1" pivotButton="0" quotePrefix="0" xfId="0">
      <alignment horizontal="right" vertical="center"/>
    </xf>
    <xf numFmtId="164" fontId="2" fillId="0" borderId="1" applyAlignment="1" pivotButton="0" quotePrefix="0" xfId="0">
      <alignment horizontal="center" vertical="center" wrapText="1"/>
    </xf>
    <xf numFmtId="165" fontId="5" fillId="0" borderId="1" applyAlignment="1" pivotButton="0" quotePrefix="0" xfId="0">
      <alignment horizontal="right" vertical="center"/>
    </xf>
    <xf numFmtId="166" fontId="2" fillId="0" borderId="1" applyAlignment="1" pivotButton="0" quotePrefix="0" xfId="0">
      <alignment horizontal="center" vertical="center" wrapText="1"/>
    </xf>
    <xf numFmtId="0" fontId="5" fillId="6" borderId="1" applyAlignment="1" pivotButton="0" quotePrefix="0" xfId="0">
      <alignment horizontal="left" vertical="center" wrapText="1"/>
    </xf>
    <xf numFmtId="0" fontId="0" fillId="6" borderId="1" pivotButton="0" quotePrefix="0" xfId="0"/>
    <xf numFmtId="167" fontId="5" fillId="6" borderId="1" applyAlignment="1" pivotButton="0" quotePrefix="0" xfId="0">
      <alignment horizontal="right" vertical="center"/>
    </xf>
    <xf numFmtId="0" fontId="5" fillId="4" borderId="1" applyAlignment="1" applyProtection="1" pivotButton="0" quotePrefix="0" xfId="0">
      <alignment horizontal="left" vertical="center" wrapText="1"/>
      <protection locked="0" hidden="0"/>
    </xf>
    <xf numFmtId="164" fontId="5" fillId="4" borderId="1" applyAlignment="1" applyProtection="1" pivotButton="0" quotePrefix="0" xfId="0">
      <alignment horizontal="left" vertical="center" wrapText="1"/>
      <protection locked="0" hidden="0"/>
    </xf>
    <xf numFmtId="0" fontId="8" fillId="0" borderId="0" applyAlignment="1" pivotButton="0" quotePrefix="0" xfId="0">
      <alignment horizontal="center" vertical="center" wrapText="1"/>
    </xf>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5" fillId="0" borderId="1" applyAlignment="1" pivotButton="0" quotePrefix="0" xfId="0">
      <alignment horizontal="left" vertical="center" wrapText="1"/>
    </xf>
    <xf numFmtId="168" fontId="5" fillId="0" borderId="1" applyAlignment="1" pivotButton="0" quotePrefix="0" xfId="0">
      <alignment horizontal="right" vertical="center"/>
    </xf>
    <xf numFmtId="0" fontId="2" fillId="0" borderId="1" applyAlignment="1" pivotButton="0" quotePrefix="0" xfId="0">
      <alignment horizontal="left" vertical="center" wrapText="1"/>
    </xf>
    <xf numFmtId="0" fontId="2" fillId="0" borderId="1" applyAlignment="1" pivotButton="0" quotePrefix="0" xfId="0">
      <alignment horizontal="center" vertical="center" wrapText="1"/>
    </xf>
    <xf numFmtId="168" fontId="2" fillId="0" borderId="1" applyAlignment="1" pivotButton="0" quotePrefix="0" xfId="0">
      <alignment horizontal="right" vertical="center"/>
    </xf>
    <xf numFmtId="164" fontId="5" fillId="6" borderId="1" applyAlignment="1" pivotButton="0" quotePrefix="0" xfId="0">
      <alignment horizontal="center" vertical="center" wrapText="1"/>
    </xf>
    <xf numFmtId="168" fontId="5" fillId="6" borderId="1" applyAlignment="1" pivotButton="0" quotePrefix="0" xfId="0">
      <alignment horizontal="right" vertical="center"/>
    </xf>
    <xf numFmtId="0" fontId="2" fillId="0" borderId="0" applyAlignment="1" pivotButton="0" quotePrefix="0" xfId="0">
      <alignment horizontal="left" vertical="top" wrapText="1"/>
    </xf>
    <xf numFmtId="0" fontId="5" fillId="0" borderId="0" applyAlignment="1" pivotButton="0" quotePrefix="0" xfId="0">
      <alignment horizontal="left" vertical="center" wrapText="1"/>
    </xf>
    <xf numFmtId="0" fontId="2" fillId="0" borderId="0" applyAlignment="1" pivotButton="0" quotePrefix="0" xfId="0">
      <alignment horizontal="left" vertical="center" wrapText="1"/>
    </xf>
    <xf numFmtId="0" fontId="6" fillId="0" borderId="0" applyAlignment="1" pivotButton="0" quotePrefix="0" xfId="0">
      <alignment horizontal="left" vertical="center" wrapText="1"/>
    </xf>
    <xf numFmtId="164" fontId="5" fillId="4" borderId="1" applyAlignment="1" applyProtection="1" pivotButton="0" quotePrefix="0" xfId="0">
      <alignment horizontal="center" vertical="center" wrapText="1"/>
      <protection locked="0" hidden="0"/>
    </xf>
    <xf numFmtId="167" fontId="2" fillId="0" borderId="1" applyAlignment="1" pivotButton="0" quotePrefix="0" xfId="0">
      <alignment horizontal="right" vertical="center"/>
    </xf>
    <xf numFmtId="167" fontId="5" fillId="0" borderId="1" applyAlignment="1" pivotButton="0" quotePrefix="0" xfId="0">
      <alignment horizontal="right" vertical="center"/>
    </xf>
    <xf numFmtId="168" fontId="7" fillId="0" borderId="1" applyAlignment="1" pivotButton="0" quotePrefix="0" xfId="0">
      <alignment horizontal="right" vertical="center"/>
    </xf>
    <xf numFmtId="167" fontId="7" fillId="0" borderId="1" applyAlignment="1" pivotButton="0" quotePrefix="0" xfId="0">
      <alignment horizontal="right" vertical="center"/>
    </xf>
    <xf numFmtId="0" fontId="4" fillId="0" borderId="0" applyAlignment="1" pivotButton="0" quotePrefix="0" xfId="0">
      <alignment horizontal="left" vertical="top"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40"/>
  <sheetViews>
    <sheetView showGridLines="0" workbookViewId="0">
      <selection activeCell="A1" sqref="A1"/>
    </sheetView>
  </sheetViews>
  <sheetFormatPr baseColWidth="8" defaultRowHeight="15"/>
  <cols>
    <col width="3" customWidth="1" min="1" max="1"/>
    <col width="26" customWidth="1" min="2" max="2"/>
    <col width="88" customWidth="1" min="3" max="3"/>
    <col width="3" customWidth="1" min="4" max="4"/>
  </cols>
  <sheetData>
    <row r="1"/>
    <row r="2" ht="26" customHeight="1">
      <c r="B2" s="1" t="inlineStr">
        <is>
          <t>Ledger Account Format in Excel</t>
        </is>
      </c>
    </row>
    <row r="3" ht="20" customHeight="1">
      <c r="B3" s="2" t="inlineStr">
        <is>
          <t>Debtor and creditor ledgers from one list of entries, with ageing and the MSME 45-day check</t>
        </is>
      </c>
    </row>
    <row r="4"/>
    <row r="5" ht="19" customHeight="1">
      <c r="B5" s="3" t="inlineStr">
        <is>
          <t xml:space="preserve">  READ THIS FIRST</t>
        </is>
      </c>
      <c r="C5" s="4" t="n"/>
    </row>
    <row r="6" ht="31" customHeight="1">
      <c r="B6" s="5" t="inlineStr">
        <is>
          <t>Enter once, read anywhere</t>
        </is>
      </c>
      <c r="C6" s="6" t="inlineStr">
        <is>
          <t>Each bill, receipt, payment or note is one row on the Entries sheet. Every party's ledger, balance and ageing comes from those rows, so nothing is copied by hand.</t>
        </is>
      </c>
    </row>
    <row r="7" ht="57" customHeight="1">
      <c r="B7" s="5" t="inlineStr">
        <is>
          <t>15 days, not 45</t>
        </is>
      </c>
      <c r="C7" s="6" t="inlineStr">
        <is>
          <t>For a micro or small supplier with Udyam registration, payment is due within 15 days of receiving the goods or services unless you agreed a term in writing, and a written term cannot go past 45 days (MSMED Act, s.15). Late bills carry compound interest at three times the RBI Bank Rate (s.16).</t>
        </is>
      </c>
    </row>
    <row r="8" ht="44" customHeight="1">
      <c r="B8" s="5" t="inlineStr">
        <is>
          <t>Year end matters</t>
        </is>
      </c>
      <c r="C8" s="6" t="inlineStr">
        <is>
          <t>A bill to a micro or small supplier that is past due and unpaid at the year end is not deductible that year (Income-tax Act, 2025, s.37(2)(g), which was s.43B(h)). The Outstanding sheet shows the amount before the year closes.</t>
        </is>
      </c>
    </row>
    <row r="9" ht="44" customHeight="1">
      <c r="B9" s="5" t="inlineStr">
        <is>
          <t>Oldest bill first</t>
        </is>
      </c>
      <c r="C9" s="6" t="inlineStr">
        <is>
          <t>A receipt or payment clears the oldest open bill of that party first, by date, which is how ageing and overdue days are worked out. A late entry is fine; the printed ledger lists entries in the order they were typed, so keep to date order where you can.</t>
        </is>
      </c>
    </row>
    <row r="10"/>
    <row r="11" ht="19" customHeight="1">
      <c r="B11" s="3" t="inlineStr">
        <is>
          <t xml:space="preserve">  WHAT IS IN THIS WORKBOOK</t>
        </is>
      </c>
      <c r="C11" s="4" t="n"/>
    </row>
    <row r="12" ht="44" customHeight="1">
      <c r="B12" s="5" t="inlineStr">
        <is>
          <t>Parties</t>
        </is>
      </c>
      <c r="C12" s="6" t="inlineStr">
        <is>
          <t>Your customers and suppliers, once each: debtor or creditor, GSTIN, MSME status, Udyam number, credit days agreed in writing and opening balance. Also the set-up: business name, financial year and the RBI Bank Rate. 100 parties.</t>
        </is>
      </c>
    </row>
    <row r="13" ht="31" customHeight="1">
      <c r="B13" s="5" t="inlineStr">
        <is>
          <t>Entries</t>
        </is>
      </c>
      <c r="C13" s="6" t="inlineStr">
        <is>
          <t>Every bill, receipt, payment, credit note, debit note and journal, by date. Debit and credit, the due date, what is unpaid and the days overdue work themselves out. 500 rows.</t>
        </is>
      </c>
    </row>
    <row r="14" ht="31" customHeight="1">
      <c r="B14" s="5" t="inlineStr">
        <is>
          <t>Ledger Account</t>
        </is>
      </c>
      <c r="C14" s="6" t="inlineStr">
        <is>
          <t>Pick a party and a period and print the account: opening balance, every entry, a running balance in Dr or Cr, the closing balance and a balance confirmation for the party to sign.</t>
        </is>
      </c>
    </row>
    <row r="15" ht="44" customHeight="1">
      <c r="B15" s="5" t="inlineStr">
        <is>
          <t>Outstanding</t>
        </is>
      </c>
      <c r="C15" s="6" t="inlineStr">
        <is>
          <t>Every party's balance, unpaid bills by age (0-30, 31-60, 61-90 and over 90 days), what is past due, the MSMED interest estimate, and the year-end figures for micro and small suppliers.</t>
        </is>
      </c>
    </row>
    <row r="16" ht="18" customHeight="1">
      <c r="B16" s="5" t="inlineStr">
        <is>
          <t>Ledger Rules</t>
        </is>
      </c>
      <c r="C16" s="6" t="inlineStr">
        <is>
          <t>The eleven provisions behind the due dates and the checks, quoted or summarised.</t>
        </is>
      </c>
    </row>
    <row r="17" ht="44" customHeight="1">
      <c r="B17" s="5" t="inlineStr">
        <is>
          <t>Example Parties, Example Entries, Example Ledger, Example Outstanding</t>
        </is>
      </c>
      <c r="C17" s="6" t="inlineStr">
        <is>
          <t>Seven months at a made-up distributor, filled in. Two supplier bills are past due on purpose and one supplier is a trader, so you can see what each check looks like.</t>
        </is>
      </c>
    </row>
    <row r="18"/>
    <row r="19" ht="19" customHeight="1">
      <c r="B19" s="3" t="inlineStr">
        <is>
          <t xml:space="preserve">  HOW TO USE IT</t>
        </is>
      </c>
      <c r="C19" s="4" t="n"/>
    </row>
    <row r="20" ht="18" customHeight="1">
      <c r="B20" s="5" t="inlineStr">
        <is>
          <t>Step 1</t>
        </is>
      </c>
      <c r="C20" s="6" t="inlineStr">
        <is>
          <t>Open the four Example sheets first. They show a filled set and what each check looks like.</t>
        </is>
      </c>
    </row>
    <row r="21" ht="44" customHeight="1">
      <c r="B21" s="5" t="inlineStr">
        <is>
          <t>Step 2</t>
        </is>
      </c>
      <c r="C21" s="6" t="inlineStr">
        <is>
          <t>On Parties, fill the set-up: business name, the date your financial year starts, whether you are a micro or small enterprise with Udyam registration, and the RBI Bank Rate (rbi.org.in shows it on the home page).</t>
        </is>
      </c>
    </row>
    <row r="22" ht="44" customHeight="1">
      <c r="B22" s="5" t="inlineStr">
        <is>
          <t>Step 3</t>
        </is>
      </c>
      <c r="C22" s="6" t="inlineStr">
        <is>
          <t>List every customer and supplier once. For each supplier, ask whether they are micro or small and for their Udyam Registration Number. Enter credit days only if they are agreed in writing.</t>
        </is>
      </c>
    </row>
    <row r="23" ht="18" customHeight="1">
      <c r="B23" s="5" t="inlineStr">
        <is>
          <t>Step 4</t>
        </is>
      </c>
      <c r="C23" s="6" t="inlineStr">
        <is>
          <t>Enter the opening balance of each party as Dr (they owe you) or Cr (you owe them).</t>
        </is>
      </c>
    </row>
    <row r="24" ht="44" customHeight="1">
      <c r="B24" s="5" t="inlineStr">
        <is>
          <t>Step 5</t>
        </is>
      </c>
      <c r="C24" s="6" t="inlineStr">
        <is>
          <t>On Entries, add every bill, receipt, payment and note in date order. For a purchase bill, add the date the goods or services were received if it differs from the bill date: the MSMED clock starts then.</t>
        </is>
      </c>
    </row>
    <row r="25" ht="18" customHeight="1">
      <c r="B25" s="5" t="inlineStr">
        <is>
          <t>Step 6</t>
        </is>
      </c>
      <c r="C25" s="6" t="inlineStr">
        <is>
          <t>Read the Check column. Anything other than OK is explained on the Ledger Rules sheet.</t>
        </is>
      </c>
    </row>
    <row r="26" ht="31" customHeight="1">
      <c r="B26" s="5" t="inlineStr">
        <is>
          <t>Step 7</t>
        </is>
      </c>
      <c r="C26" s="6" t="inlineStr">
        <is>
          <t>To see who owes what, set the As at date on Outstanding. To send a party their account, pick them on Ledger Account, set the period and print it.</t>
        </is>
      </c>
    </row>
    <row r="27" ht="44" customHeight="1">
      <c r="B27" s="5" t="inlineStr">
        <is>
          <t>Step 8</t>
        </is>
      </c>
      <c r="C27" s="6" t="inlineStr">
        <is>
          <t>Before the year end, look at the year-end box on Outstanding: paying those bills before the year closes keeps the deduction in this year. Bills to micro and small suppliers that fall due after the year end are safest paid by their due dates.</t>
        </is>
      </c>
    </row>
    <row r="28" ht="31" customHeight="1">
      <c r="B28" s="5" t="inlineStr">
        <is>
          <t>Step 9</t>
        </is>
      </c>
      <c r="C28" s="6" t="inlineStr">
        <is>
          <t>Use one file per financial year. For the next year, save a copy, clear the entries and enter the closing balances as opening balances.</t>
        </is>
      </c>
    </row>
    <row r="29"/>
    <row r="30" ht="19" customHeight="1">
      <c r="B30" s="3" t="inlineStr">
        <is>
          <t xml:space="preserve">  WHAT THIS WORKBOOK DOES NOT DO</t>
        </is>
      </c>
      <c r="C30" s="4" t="n"/>
    </row>
    <row r="31" ht="31" customHeight="1">
      <c r="B31" s="6" t="inlineStr">
        <is>
          <t>•  It works out interest on bills still unpaid. For a bill already paid late, the interest for the late days is not worked out; ask your accountant.</t>
        </is>
      </c>
      <c r="C31" s="7" t="n"/>
    </row>
    <row r="32" ht="31" customHeight="1">
      <c r="B32" s="6" t="inlineStr">
        <is>
          <t>•  It does not check whether a supplier's Udyam registration is genuine or still valid, or what category it shows. Keep a copy of the certificate.</t>
        </is>
      </c>
      <c r="C32" s="7" t="n"/>
    </row>
    <row r="33" ht="31" customHeight="1">
      <c r="B33" s="6" t="inlineStr">
        <is>
          <t>•  It does not know about objections to goods. If you objected in writing within 15 days, acceptance moves to the day the objection was removed: enter that date as the received-on date.</t>
        </is>
      </c>
      <c r="C33" s="7" t="n"/>
    </row>
    <row r="34" ht="31" customHeight="1">
      <c r="B34" s="6" t="inlineStr">
        <is>
          <t>•  Opening balances are matched first but carry no due date, so an old unpaid bill brought forward is never shown as past due. Enter old open bills as purchase bills or sale invoices instead if you need their due dates.</t>
        </is>
      </c>
      <c r="C34" s="7" t="n"/>
    </row>
    <row r="35" ht="31" customHeight="1">
      <c r="B35" s="6" t="inlineStr">
        <is>
          <t>•  It is not a full set of accounts: no profit and loss, no GST return, no bank reconciliation. Your accountant posts these balances to the books.</t>
        </is>
      </c>
      <c r="C35" s="7" t="n"/>
    </row>
    <row r="36" ht="18" customHeight="1">
      <c r="B36" s="6" t="inlineStr">
        <is>
          <t>•  General guidance, not legal or tax advice.</t>
        </is>
      </c>
      <c r="C36" s="7" t="n"/>
    </row>
    <row r="37"/>
    <row r="38" ht="28" customHeight="1">
      <c r="B38" s="8" t="inlineStr">
        <is>
          <t>Yellow cells are for you to fill. Every other cell is worked out and locked; the sheets have no password, so Review &gt; Unprotect Sheet opens them if you need to. Amounts are in rupees.</t>
        </is>
      </c>
      <c r="C38" s="9" t="n"/>
    </row>
    <row r="39"/>
    <row r="40" ht="16" customHeight="1">
      <c r="B40"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4">
    <mergeCell ref="B30:C30"/>
    <mergeCell ref="B2:C2"/>
    <mergeCell ref="B38:C38"/>
    <mergeCell ref="B33:C33"/>
    <mergeCell ref="B11:C11"/>
    <mergeCell ref="B3:C3"/>
    <mergeCell ref="B19:C19"/>
    <mergeCell ref="B5:C5"/>
    <mergeCell ref="B34:C34"/>
    <mergeCell ref="B36:C36"/>
    <mergeCell ref="B32:C32"/>
    <mergeCell ref="B31:C31"/>
    <mergeCell ref="B40:C40"/>
    <mergeCell ref="B35:C35"/>
  </mergeCells>
  <pageMargins left="0.3" right="0.3" top="0.4" bottom="0.4"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Q116"/>
  <sheetViews>
    <sheetView workbookViewId="0">
      <pane xSplit="2" ySplit="12" topLeftCell="C13" activePane="bottomRight" state="frozen"/>
      <selection pane="topRight"/>
      <selection pane="bottomLeft"/>
      <selection pane="bottomRight" activeCell="A1" sqref="A1"/>
    </sheetView>
  </sheetViews>
  <sheetFormatPr baseColWidth="8" defaultRowHeight="15"/>
  <cols>
    <col width="2" customWidth="1" min="1" max="1"/>
    <col width="30" customWidth="1" min="2" max="2"/>
    <col width="13" customWidth="1" min="3" max="3"/>
    <col width="18" customWidth="1" min="4" max="4"/>
    <col width="30" customWidth="1" min="5" max="5"/>
    <col width="26" customWidth="1" min="6" max="6"/>
    <col width="12" customWidth="1" min="7" max="7"/>
    <col width="14" customWidth="1" min="8" max="8"/>
    <col width="8" customWidth="1" min="9" max="9"/>
    <col width="50" customWidth="1" min="10" max="10"/>
    <col width="2"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s>
  <sheetData>
    <row r="1"/>
    <row r="2" ht="26" customHeight="1">
      <c r="B2" s="1" t="inlineStr">
        <is>
          <t>PARTIES  (debtors and creditors)</t>
        </is>
      </c>
    </row>
    <row r="3" ht="16" customHeight="1">
      <c r="B3" s="11" t="inlineStr">
        <is>
          <t>One row per customer or supplier, entered once. The ledger, the due dates and the MSME checks all read from here.</t>
        </is>
      </c>
    </row>
    <row r="4"/>
    <row r="5" ht="19" customHeight="1">
      <c r="B5" s="3" t="inlineStr">
        <is>
          <t xml:space="preserve">  SET UP</t>
        </is>
      </c>
      <c r="C5" s="4" t="n"/>
      <c r="D5" s="4" t="n"/>
      <c r="E5" s="4" t="n"/>
      <c r="F5" s="4" t="n"/>
      <c r="G5" s="4" t="n"/>
      <c r="H5" s="4" t="n"/>
      <c r="I5" s="4" t="n"/>
      <c r="J5" s="4" t="n"/>
    </row>
    <row r="6" ht="18" customHeight="1">
      <c r="B6" s="12" t="inlineStr">
        <is>
          <t>Name of the business</t>
        </is>
      </c>
      <c r="C6" s="13" t="n"/>
      <c r="D6" s="13" t="n"/>
      <c r="E6" s="14" t="n"/>
      <c r="F6" s="15" t="n"/>
    </row>
    <row r="7" ht="18" customHeight="1">
      <c r="B7" s="12" t="inlineStr">
        <is>
          <t>Financial year starts on (usually 01-Apr)</t>
        </is>
      </c>
      <c r="C7" s="13" t="n"/>
      <c r="D7" s="13" t="n"/>
      <c r="E7" s="16" t="n"/>
      <c r="F7" s="15" t="n"/>
    </row>
    <row r="8" ht="18" customHeight="1">
      <c r="B8" s="12" t="inlineStr">
        <is>
          <t>Financial year ends on</t>
        </is>
      </c>
      <c r="C8" s="13" t="n"/>
      <c r="D8" s="13" t="n"/>
      <c r="E8" s="17">
        <f>IF($E$7="","",EDATE($E$7,12)-1)</f>
        <v/>
      </c>
      <c r="F8" s="7" t="n"/>
    </row>
    <row r="9" ht="18" customHeight="1">
      <c r="B9" s="12" t="inlineStr">
        <is>
          <t>Are you a micro or small enterprise with Udyam registration?</t>
        </is>
      </c>
      <c r="C9" s="13" t="n"/>
      <c r="D9" s="13" t="n"/>
      <c r="E9" s="14" t="n"/>
      <c r="F9" s="15" t="n"/>
    </row>
    <row r="10" ht="28" customHeight="1">
      <c r="B10" s="12" t="inlineStr">
        <is>
          <t>RBI Bank Rate (MSMED interest is three times this)</t>
        </is>
      </c>
      <c r="C10" s="13" t="n"/>
      <c r="D10" s="13" t="n"/>
      <c r="E10" s="18" t="n">
        <v>0.0575</v>
      </c>
      <c r="F10" s="15" t="n"/>
      <c r="G10" s="11" t="inlineStr">
        <is>
          <t>5.75% on rbi.org.in as on 27-Oct-2026. The RBI changes it; check before relying on the interest.</t>
        </is>
      </c>
    </row>
    <row r="11"/>
    <row r="12" ht="63" customHeight="1">
      <c r="B12" s="19" t="inlineStr">
        <is>
          <t>Party name</t>
        </is>
      </c>
      <c r="C12" s="19" t="inlineStr">
        <is>
          <t>Debtor or creditor</t>
        </is>
      </c>
      <c r="D12" s="19" t="inlineStr">
        <is>
          <t>GSTIN (optional)</t>
        </is>
      </c>
      <c r="E12" s="19" t="inlineStr">
        <is>
          <t>MSME status</t>
        </is>
      </c>
      <c r="F12" s="19" t="inlineStr">
        <is>
          <t>Udyam Registration No.</t>
        </is>
      </c>
      <c r="G12" s="19" t="inlineStr">
        <is>
          <t>Credit days agreed in writing</t>
        </is>
      </c>
      <c r="H12" s="19" t="inlineStr">
        <is>
          <t>Opening balance</t>
        </is>
      </c>
      <c r="I12" s="19" t="inlineStr">
        <is>
          <t>Dr or Cr</t>
        </is>
      </c>
      <c r="J12" s="19" t="inlineStr">
        <is>
          <t>Check</t>
        </is>
      </c>
    </row>
    <row r="13">
      <c r="B13" s="14" t="n"/>
      <c r="C13" s="20" t="n"/>
      <c r="D13" s="20" t="n"/>
      <c r="E13" s="14" t="n"/>
      <c r="F13" s="20" t="n"/>
      <c r="G13" s="21" t="n"/>
      <c r="H13" s="22" t="n"/>
      <c r="I13" s="20" t="n"/>
      <c r="J13" s="23">
        <f>IF(AND(B13="",C13="",N(H13)=0),"",IF(B13="","Enter the party name",IF(COUNTIF($B$13:$B$112,B13)&gt;1,"This name is used twice: enter each party once",IF(C13="","Pick Debtor or Creditor",IF(AND(N(H13)&gt;0,I13=""),"Pick Dr or Cr for the opening balance",IF(AND(L13=1,N(G13)&gt;45),"Over 45 days: the MSMED Act caps a written term at 45, so the book uses 45",IF(AND(L13=1,F13=""),"Ask for the Udyam Registration Number",IF(LEFT(E13,6)="Trader","Traders are MSMEs for bank lending only: ask your accountant before using the 45-day rule",IF(AND(C13="Creditor",LEFT(E13,6)="Medium"),"Medium enterprise: the MSMED payment rules do not apply",IF(AND(C13="Creditor",E13=""),"Ask the supplier whether they are a micro or small enterprise","OK"))))))))))</f>
        <v/>
      </c>
      <c r="L13">
        <f>IF(E13="",0,IFERROR(VLOOKUP(E13,Lists!$H$2:$I$6,2,FALSE),0))</f>
        <v/>
      </c>
      <c r="M13">
        <f>IF(N(H13)=0,0,IF(I13="Cr",-N(H13),N(H13)))</f>
        <v/>
      </c>
      <c r="N13">
        <f>IF(C13="Debtor",MAX(0,M13),IF(C13="Creditor",MAX(0,-M13),0))</f>
        <v/>
      </c>
      <c r="O13">
        <f>IF(C13="Debtor",MAX(0,-M13),IF(C13="Creditor",MAX(0,M13),0))</f>
        <v/>
      </c>
      <c r="P13">
        <f>IF(OR(AND(C13="Creditor",L13=1),AND(C13="Debtor",$E$9="Yes")),1,0)</f>
        <v/>
      </c>
      <c r="Q13">
        <f>IF(P13=1,IF(G13="",15,MIN(N(G13),45)),IF(G13="","",N(G13)))</f>
        <v/>
      </c>
    </row>
    <row r="14">
      <c r="B14" s="14" t="n"/>
      <c r="C14" s="20" t="n"/>
      <c r="D14" s="20" t="n"/>
      <c r="E14" s="14" t="n"/>
      <c r="F14" s="20" t="n"/>
      <c r="G14" s="21" t="n"/>
      <c r="H14" s="22" t="n"/>
      <c r="I14" s="20" t="n"/>
      <c r="J14" s="23">
        <f>IF(AND(B14="",C14="",N(H14)=0),"",IF(B14="","Enter the party name",IF(COUNTIF($B$13:$B$112,B14)&gt;1,"This name is used twice: enter each party once",IF(C14="","Pick Debtor or Creditor",IF(AND(N(H14)&gt;0,I14=""),"Pick Dr or Cr for the opening balance",IF(AND(L14=1,N(G14)&gt;45),"Over 45 days: the MSMED Act caps a written term at 45, so the book uses 45",IF(AND(L14=1,F14=""),"Ask for the Udyam Registration Number",IF(LEFT(E14,6)="Trader","Traders are MSMEs for bank lending only: ask your accountant before using the 45-day rule",IF(AND(C14="Creditor",LEFT(E14,6)="Medium"),"Medium enterprise: the MSMED payment rules do not apply",IF(AND(C14="Creditor",E14=""),"Ask the supplier whether they are a micro or small enterprise","OK"))))))))))</f>
        <v/>
      </c>
      <c r="L14">
        <f>IF(E14="",0,IFERROR(VLOOKUP(E14,Lists!$H$2:$I$6,2,FALSE),0))</f>
        <v/>
      </c>
      <c r="M14">
        <f>IF(N(H14)=0,0,IF(I14="Cr",-N(H14),N(H14)))</f>
        <v/>
      </c>
      <c r="N14">
        <f>IF(C14="Debtor",MAX(0,M14),IF(C14="Creditor",MAX(0,-M14),0))</f>
        <v/>
      </c>
      <c r="O14">
        <f>IF(C14="Debtor",MAX(0,-M14),IF(C14="Creditor",MAX(0,M14),0))</f>
        <v/>
      </c>
      <c r="P14">
        <f>IF(OR(AND(C14="Creditor",L14=1),AND(C14="Debtor",$E$9="Yes")),1,0)</f>
        <v/>
      </c>
      <c r="Q14">
        <f>IF(P14=1,IF(G14="",15,MIN(N(G14),45)),IF(G14="","",N(G14)))</f>
        <v/>
      </c>
    </row>
    <row r="15">
      <c r="B15" s="14" t="n"/>
      <c r="C15" s="20" t="n"/>
      <c r="D15" s="20" t="n"/>
      <c r="E15" s="14" t="n"/>
      <c r="F15" s="20" t="n"/>
      <c r="G15" s="21" t="n"/>
      <c r="H15" s="22" t="n"/>
      <c r="I15" s="20" t="n"/>
      <c r="J15" s="23">
        <f>IF(AND(B15="",C15="",N(H15)=0),"",IF(B15="","Enter the party name",IF(COUNTIF($B$13:$B$112,B15)&gt;1,"This name is used twice: enter each party once",IF(C15="","Pick Debtor or Creditor",IF(AND(N(H15)&gt;0,I15=""),"Pick Dr or Cr for the opening balance",IF(AND(L15=1,N(G15)&gt;45),"Over 45 days: the MSMED Act caps a written term at 45, so the book uses 45",IF(AND(L15=1,F15=""),"Ask for the Udyam Registration Number",IF(LEFT(E15,6)="Trader","Traders are MSMEs for bank lending only: ask your accountant before using the 45-day rule",IF(AND(C15="Creditor",LEFT(E15,6)="Medium"),"Medium enterprise: the MSMED payment rules do not apply",IF(AND(C15="Creditor",E15=""),"Ask the supplier whether they are a micro or small enterprise","OK"))))))))))</f>
        <v/>
      </c>
      <c r="L15">
        <f>IF(E15="",0,IFERROR(VLOOKUP(E15,Lists!$H$2:$I$6,2,FALSE),0))</f>
        <v/>
      </c>
      <c r="M15">
        <f>IF(N(H15)=0,0,IF(I15="Cr",-N(H15),N(H15)))</f>
        <v/>
      </c>
      <c r="N15">
        <f>IF(C15="Debtor",MAX(0,M15),IF(C15="Creditor",MAX(0,-M15),0))</f>
        <v/>
      </c>
      <c r="O15">
        <f>IF(C15="Debtor",MAX(0,-M15),IF(C15="Creditor",MAX(0,M15),0))</f>
        <v/>
      </c>
      <c r="P15">
        <f>IF(OR(AND(C15="Creditor",L15=1),AND(C15="Debtor",$E$9="Yes")),1,0)</f>
        <v/>
      </c>
      <c r="Q15">
        <f>IF(P15=1,IF(G15="",15,MIN(N(G15),45)),IF(G15="","",N(G15)))</f>
        <v/>
      </c>
    </row>
    <row r="16">
      <c r="B16" s="14" t="n"/>
      <c r="C16" s="20" t="n"/>
      <c r="D16" s="20" t="n"/>
      <c r="E16" s="14" t="n"/>
      <c r="F16" s="20" t="n"/>
      <c r="G16" s="21" t="n"/>
      <c r="H16" s="22" t="n"/>
      <c r="I16" s="20" t="n"/>
      <c r="J16" s="23">
        <f>IF(AND(B16="",C16="",N(H16)=0),"",IF(B16="","Enter the party name",IF(COUNTIF($B$13:$B$112,B16)&gt;1,"This name is used twice: enter each party once",IF(C16="","Pick Debtor or Creditor",IF(AND(N(H16)&gt;0,I16=""),"Pick Dr or Cr for the opening balance",IF(AND(L16=1,N(G16)&gt;45),"Over 45 days: the MSMED Act caps a written term at 45, so the book uses 45",IF(AND(L16=1,F16=""),"Ask for the Udyam Registration Number",IF(LEFT(E16,6)="Trader","Traders are MSMEs for bank lending only: ask your accountant before using the 45-day rule",IF(AND(C16="Creditor",LEFT(E16,6)="Medium"),"Medium enterprise: the MSMED payment rules do not apply",IF(AND(C16="Creditor",E16=""),"Ask the supplier whether they are a micro or small enterprise","OK"))))))))))</f>
        <v/>
      </c>
      <c r="L16">
        <f>IF(E16="",0,IFERROR(VLOOKUP(E16,Lists!$H$2:$I$6,2,FALSE),0))</f>
        <v/>
      </c>
      <c r="M16">
        <f>IF(N(H16)=0,0,IF(I16="Cr",-N(H16),N(H16)))</f>
        <v/>
      </c>
      <c r="N16">
        <f>IF(C16="Debtor",MAX(0,M16),IF(C16="Creditor",MAX(0,-M16),0))</f>
        <v/>
      </c>
      <c r="O16">
        <f>IF(C16="Debtor",MAX(0,-M16),IF(C16="Creditor",MAX(0,M16),0))</f>
        <v/>
      </c>
      <c r="P16">
        <f>IF(OR(AND(C16="Creditor",L16=1),AND(C16="Debtor",$E$9="Yes")),1,0)</f>
        <v/>
      </c>
      <c r="Q16">
        <f>IF(P16=1,IF(G16="",15,MIN(N(G16),45)),IF(G16="","",N(G16)))</f>
        <v/>
      </c>
    </row>
    <row r="17">
      <c r="B17" s="14" t="n"/>
      <c r="C17" s="20" t="n"/>
      <c r="D17" s="20" t="n"/>
      <c r="E17" s="14" t="n"/>
      <c r="F17" s="20" t="n"/>
      <c r="G17" s="21" t="n"/>
      <c r="H17" s="22" t="n"/>
      <c r="I17" s="20" t="n"/>
      <c r="J17" s="23">
        <f>IF(AND(B17="",C17="",N(H17)=0),"",IF(B17="","Enter the party name",IF(COUNTIF($B$13:$B$112,B17)&gt;1,"This name is used twice: enter each party once",IF(C17="","Pick Debtor or Creditor",IF(AND(N(H17)&gt;0,I17=""),"Pick Dr or Cr for the opening balance",IF(AND(L17=1,N(G17)&gt;45),"Over 45 days: the MSMED Act caps a written term at 45, so the book uses 45",IF(AND(L17=1,F17=""),"Ask for the Udyam Registration Number",IF(LEFT(E17,6)="Trader","Traders are MSMEs for bank lending only: ask your accountant before using the 45-day rule",IF(AND(C17="Creditor",LEFT(E17,6)="Medium"),"Medium enterprise: the MSMED payment rules do not apply",IF(AND(C17="Creditor",E17=""),"Ask the supplier whether they are a micro or small enterprise","OK"))))))))))</f>
        <v/>
      </c>
      <c r="L17">
        <f>IF(E17="",0,IFERROR(VLOOKUP(E17,Lists!$H$2:$I$6,2,FALSE),0))</f>
        <v/>
      </c>
      <c r="M17">
        <f>IF(N(H17)=0,0,IF(I17="Cr",-N(H17),N(H17)))</f>
        <v/>
      </c>
      <c r="N17">
        <f>IF(C17="Debtor",MAX(0,M17),IF(C17="Creditor",MAX(0,-M17),0))</f>
        <v/>
      </c>
      <c r="O17">
        <f>IF(C17="Debtor",MAX(0,-M17),IF(C17="Creditor",MAX(0,M17),0))</f>
        <v/>
      </c>
      <c r="P17">
        <f>IF(OR(AND(C17="Creditor",L17=1),AND(C17="Debtor",$E$9="Yes")),1,0)</f>
        <v/>
      </c>
      <c r="Q17">
        <f>IF(P17=1,IF(G17="",15,MIN(N(G17),45)),IF(G17="","",N(G17)))</f>
        <v/>
      </c>
    </row>
    <row r="18">
      <c r="B18" s="14" t="n"/>
      <c r="C18" s="20" t="n"/>
      <c r="D18" s="20" t="n"/>
      <c r="E18" s="14" t="n"/>
      <c r="F18" s="20" t="n"/>
      <c r="G18" s="21" t="n"/>
      <c r="H18" s="22" t="n"/>
      <c r="I18" s="20" t="n"/>
      <c r="J18" s="23">
        <f>IF(AND(B18="",C18="",N(H18)=0),"",IF(B18="","Enter the party name",IF(COUNTIF($B$13:$B$112,B18)&gt;1,"This name is used twice: enter each party once",IF(C18="","Pick Debtor or Creditor",IF(AND(N(H18)&gt;0,I18=""),"Pick Dr or Cr for the opening balance",IF(AND(L18=1,N(G18)&gt;45),"Over 45 days: the MSMED Act caps a written term at 45, so the book uses 45",IF(AND(L18=1,F18=""),"Ask for the Udyam Registration Number",IF(LEFT(E18,6)="Trader","Traders are MSMEs for bank lending only: ask your accountant before using the 45-day rule",IF(AND(C18="Creditor",LEFT(E18,6)="Medium"),"Medium enterprise: the MSMED payment rules do not apply",IF(AND(C18="Creditor",E18=""),"Ask the supplier whether they are a micro or small enterprise","OK"))))))))))</f>
        <v/>
      </c>
      <c r="L18">
        <f>IF(E18="",0,IFERROR(VLOOKUP(E18,Lists!$H$2:$I$6,2,FALSE),0))</f>
        <v/>
      </c>
      <c r="M18">
        <f>IF(N(H18)=0,0,IF(I18="Cr",-N(H18),N(H18)))</f>
        <v/>
      </c>
      <c r="N18">
        <f>IF(C18="Debtor",MAX(0,M18),IF(C18="Creditor",MAX(0,-M18),0))</f>
        <v/>
      </c>
      <c r="O18">
        <f>IF(C18="Debtor",MAX(0,-M18),IF(C18="Creditor",MAX(0,M18),0))</f>
        <v/>
      </c>
      <c r="P18">
        <f>IF(OR(AND(C18="Creditor",L18=1),AND(C18="Debtor",$E$9="Yes")),1,0)</f>
        <v/>
      </c>
      <c r="Q18">
        <f>IF(P18=1,IF(G18="",15,MIN(N(G18),45)),IF(G18="","",N(G18)))</f>
        <v/>
      </c>
    </row>
    <row r="19">
      <c r="B19" s="14" t="n"/>
      <c r="C19" s="20" t="n"/>
      <c r="D19" s="20" t="n"/>
      <c r="E19" s="14" t="n"/>
      <c r="F19" s="20" t="n"/>
      <c r="G19" s="21" t="n"/>
      <c r="H19" s="22" t="n"/>
      <c r="I19" s="20" t="n"/>
      <c r="J19" s="23">
        <f>IF(AND(B19="",C19="",N(H19)=0),"",IF(B19="","Enter the party name",IF(COUNTIF($B$13:$B$112,B19)&gt;1,"This name is used twice: enter each party once",IF(C19="","Pick Debtor or Creditor",IF(AND(N(H19)&gt;0,I19=""),"Pick Dr or Cr for the opening balance",IF(AND(L19=1,N(G19)&gt;45),"Over 45 days: the MSMED Act caps a written term at 45, so the book uses 45",IF(AND(L19=1,F19=""),"Ask for the Udyam Registration Number",IF(LEFT(E19,6)="Trader","Traders are MSMEs for bank lending only: ask your accountant before using the 45-day rule",IF(AND(C19="Creditor",LEFT(E19,6)="Medium"),"Medium enterprise: the MSMED payment rules do not apply",IF(AND(C19="Creditor",E19=""),"Ask the supplier whether they are a micro or small enterprise","OK"))))))))))</f>
        <v/>
      </c>
      <c r="L19">
        <f>IF(E19="",0,IFERROR(VLOOKUP(E19,Lists!$H$2:$I$6,2,FALSE),0))</f>
        <v/>
      </c>
      <c r="M19">
        <f>IF(N(H19)=0,0,IF(I19="Cr",-N(H19),N(H19)))</f>
        <v/>
      </c>
      <c r="N19">
        <f>IF(C19="Debtor",MAX(0,M19),IF(C19="Creditor",MAX(0,-M19),0))</f>
        <v/>
      </c>
      <c r="O19">
        <f>IF(C19="Debtor",MAX(0,-M19),IF(C19="Creditor",MAX(0,M19),0))</f>
        <v/>
      </c>
      <c r="P19">
        <f>IF(OR(AND(C19="Creditor",L19=1),AND(C19="Debtor",$E$9="Yes")),1,0)</f>
        <v/>
      </c>
      <c r="Q19">
        <f>IF(P19=1,IF(G19="",15,MIN(N(G19),45)),IF(G19="","",N(G19)))</f>
        <v/>
      </c>
    </row>
    <row r="20">
      <c r="B20" s="14" t="n"/>
      <c r="C20" s="20" t="n"/>
      <c r="D20" s="20" t="n"/>
      <c r="E20" s="14" t="n"/>
      <c r="F20" s="20" t="n"/>
      <c r="G20" s="21" t="n"/>
      <c r="H20" s="22" t="n"/>
      <c r="I20" s="20" t="n"/>
      <c r="J20" s="23">
        <f>IF(AND(B20="",C20="",N(H20)=0),"",IF(B20="","Enter the party name",IF(COUNTIF($B$13:$B$112,B20)&gt;1,"This name is used twice: enter each party once",IF(C20="","Pick Debtor or Creditor",IF(AND(N(H20)&gt;0,I20=""),"Pick Dr or Cr for the opening balance",IF(AND(L20=1,N(G20)&gt;45),"Over 45 days: the MSMED Act caps a written term at 45, so the book uses 45",IF(AND(L20=1,F20=""),"Ask for the Udyam Registration Number",IF(LEFT(E20,6)="Trader","Traders are MSMEs for bank lending only: ask your accountant before using the 45-day rule",IF(AND(C20="Creditor",LEFT(E20,6)="Medium"),"Medium enterprise: the MSMED payment rules do not apply",IF(AND(C20="Creditor",E20=""),"Ask the supplier whether they are a micro or small enterprise","OK"))))))))))</f>
        <v/>
      </c>
      <c r="L20">
        <f>IF(E20="",0,IFERROR(VLOOKUP(E20,Lists!$H$2:$I$6,2,FALSE),0))</f>
        <v/>
      </c>
      <c r="M20">
        <f>IF(N(H20)=0,0,IF(I20="Cr",-N(H20),N(H20)))</f>
        <v/>
      </c>
      <c r="N20">
        <f>IF(C20="Debtor",MAX(0,M20),IF(C20="Creditor",MAX(0,-M20),0))</f>
        <v/>
      </c>
      <c r="O20">
        <f>IF(C20="Debtor",MAX(0,-M20),IF(C20="Creditor",MAX(0,M20),0))</f>
        <v/>
      </c>
      <c r="P20">
        <f>IF(OR(AND(C20="Creditor",L20=1),AND(C20="Debtor",$E$9="Yes")),1,0)</f>
        <v/>
      </c>
      <c r="Q20">
        <f>IF(P20=1,IF(G20="",15,MIN(N(G20),45)),IF(G20="","",N(G20)))</f>
        <v/>
      </c>
    </row>
    <row r="21">
      <c r="B21" s="14" t="n"/>
      <c r="C21" s="20" t="n"/>
      <c r="D21" s="20" t="n"/>
      <c r="E21" s="14" t="n"/>
      <c r="F21" s="20" t="n"/>
      <c r="G21" s="21" t="n"/>
      <c r="H21" s="22" t="n"/>
      <c r="I21" s="20" t="n"/>
      <c r="J21" s="23">
        <f>IF(AND(B21="",C21="",N(H21)=0),"",IF(B21="","Enter the party name",IF(COUNTIF($B$13:$B$112,B21)&gt;1,"This name is used twice: enter each party once",IF(C21="","Pick Debtor or Creditor",IF(AND(N(H21)&gt;0,I21=""),"Pick Dr or Cr for the opening balance",IF(AND(L21=1,N(G21)&gt;45),"Over 45 days: the MSMED Act caps a written term at 45, so the book uses 45",IF(AND(L21=1,F21=""),"Ask for the Udyam Registration Number",IF(LEFT(E21,6)="Trader","Traders are MSMEs for bank lending only: ask your accountant before using the 45-day rule",IF(AND(C21="Creditor",LEFT(E21,6)="Medium"),"Medium enterprise: the MSMED payment rules do not apply",IF(AND(C21="Creditor",E21=""),"Ask the supplier whether they are a micro or small enterprise","OK"))))))))))</f>
        <v/>
      </c>
      <c r="L21">
        <f>IF(E21="",0,IFERROR(VLOOKUP(E21,Lists!$H$2:$I$6,2,FALSE),0))</f>
        <v/>
      </c>
      <c r="M21">
        <f>IF(N(H21)=0,0,IF(I21="Cr",-N(H21),N(H21)))</f>
        <v/>
      </c>
      <c r="N21">
        <f>IF(C21="Debtor",MAX(0,M21),IF(C21="Creditor",MAX(0,-M21),0))</f>
        <v/>
      </c>
      <c r="O21">
        <f>IF(C21="Debtor",MAX(0,-M21),IF(C21="Creditor",MAX(0,M21),0))</f>
        <v/>
      </c>
      <c r="P21">
        <f>IF(OR(AND(C21="Creditor",L21=1),AND(C21="Debtor",$E$9="Yes")),1,0)</f>
        <v/>
      </c>
      <c r="Q21">
        <f>IF(P21=1,IF(G21="",15,MIN(N(G21),45)),IF(G21="","",N(G21)))</f>
        <v/>
      </c>
    </row>
    <row r="22">
      <c r="B22" s="14" t="n"/>
      <c r="C22" s="20" t="n"/>
      <c r="D22" s="20" t="n"/>
      <c r="E22" s="14" t="n"/>
      <c r="F22" s="20" t="n"/>
      <c r="G22" s="21" t="n"/>
      <c r="H22" s="22" t="n"/>
      <c r="I22" s="20" t="n"/>
      <c r="J22" s="23">
        <f>IF(AND(B22="",C22="",N(H22)=0),"",IF(B22="","Enter the party name",IF(COUNTIF($B$13:$B$112,B22)&gt;1,"This name is used twice: enter each party once",IF(C22="","Pick Debtor or Creditor",IF(AND(N(H22)&gt;0,I22=""),"Pick Dr or Cr for the opening balance",IF(AND(L22=1,N(G22)&gt;45),"Over 45 days: the MSMED Act caps a written term at 45, so the book uses 45",IF(AND(L22=1,F22=""),"Ask for the Udyam Registration Number",IF(LEFT(E22,6)="Trader","Traders are MSMEs for bank lending only: ask your accountant before using the 45-day rule",IF(AND(C22="Creditor",LEFT(E22,6)="Medium"),"Medium enterprise: the MSMED payment rules do not apply",IF(AND(C22="Creditor",E22=""),"Ask the supplier whether they are a micro or small enterprise","OK"))))))))))</f>
        <v/>
      </c>
      <c r="L22">
        <f>IF(E22="",0,IFERROR(VLOOKUP(E22,Lists!$H$2:$I$6,2,FALSE),0))</f>
        <v/>
      </c>
      <c r="M22">
        <f>IF(N(H22)=0,0,IF(I22="Cr",-N(H22),N(H22)))</f>
        <v/>
      </c>
      <c r="N22">
        <f>IF(C22="Debtor",MAX(0,M22),IF(C22="Creditor",MAX(0,-M22),0))</f>
        <v/>
      </c>
      <c r="O22">
        <f>IF(C22="Debtor",MAX(0,-M22),IF(C22="Creditor",MAX(0,M22),0))</f>
        <v/>
      </c>
      <c r="P22">
        <f>IF(OR(AND(C22="Creditor",L22=1),AND(C22="Debtor",$E$9="Yes")),1,0)</f>
        <v/>
      </c>
      <c r="Q22">
        <f>IF(P22=1,IF(G22="",15,MIN(N(G22),45)),IF(G22="","",N(G22)))</f>
        <v/>
      </c>
    </row>
    <row r="23">
      <c r="B23" s="14" t="n"/>
      <c r="C23" s="20" t="n"/>
      <c r="D23" s="20" t="n"/>
      <c r="E23" s="14" t="n"/>
      <c r="F23" s="20" t="n"/>
      <c r="G23" s="21" t="n"/>
      <c r="H23" s="22" t="n"/>
      <c r="I23" s="20" t="n"/>
      <c r="J23" s="23">
        <f>IF(AND(B23="",C23="",N(H23)=0),"",IF(B23="","Enter the party name",IF(COUNTIF($B$13:$B$112,B23)&gt;1,"This name is used twice: enter each party once",IF(C23="","Pick Debtor or Creditor",IF(AND(N(H23)&gt;0,I23=""),"Pick Dr or Cr for the opening balance",IF(AND(L23=1,N(G23)&gt;45),"Over 45 days: the MSMED Act caps a written term at 45, so the book uses 45",IF(AND(L23=1,F23=""),"Ask for the Udyam Registration Number",IF(LEFT(E23,6)="Trader","Traders are MSMEs for bank lending only: ask your accountant before using the 45-day rule",IF(AND(C23="Creditor",LEFT(E23,6)="Medium"),"Medium enterprise: the MSMED payment rules do not apply",IF(AND(C23="Creditor",E23=""),"Ask the supplier whether they are a micro or small enterprise","OK"))))))))))</f>
        <v/>
      </c>
      <c r="L23">
        <f>IF(E23="",0,IFERROR(VLOOKUP(E23,Lists!$H$2:$I$6,2,FALSE),0))</f>
        <v/>
      </c>
      <c r="M23">
        <f>IF(N(H23)=0,0,IF(I23="Cr",-N(H23),N(H23)))</f>
        <v/>
      </c>
      <c r="N23">
        <f>IF(C23="Debtor",MAX(0,M23),IF(C23="Creditor",MAX(0,-M23),0))</f>
        <v/>
      </c>
      <c r="O23">
        <f>IF(C23="Debtor",MAX(0,-M23),IF(C23="Creditor",MAX(0,M23),0))</f>
        <v/>
      </c>
      <c r="P23">
        <f>IF(OR(AND(C23="Creditor",L23=1),AND(C23="Debtor",$E$9="Yes")),1,0)</f>
        <v/>
      </c>
      <c r="Q23">
        <f>IF(P23=1,IF(G23="",15,MIN(N(G23),45)),IF(G23="","",N(G23)))</f>
        <v/>
      </c>
    </row>
    <row r="24">
      <c r="B24" s="14" t="n"/>
      <c r="C24" s="20" t="n"/>
      <c r="D24" s="20" t="n"/>
      <c r="E24" s="14" t="n"/>
      <c r="F24" s="20" t="n"/>
      <c r="G24" s="21" t="n"/>
      <c r="H24" s="22" t="n"/>
      <c r="I24" s="20" t="n"/>
      <c r="J24" s="23">
        <f>IF(AND(B24="",C24="",N(H24)=0),"",IF(B24="","Enter the party name",IF(COUNTIF($B$13:$B$112,B24)&gt;1,"This name is used twice: enter each party once",IF(C24="","Pick Debtor or Creditor",IF(AND(N(H24)&gt;0,I24=""),"Pick Dr or Cr for the opening balance",IF(AND(L24=1,N(G24)&gt;45),"Over 45 days: the MSMED Act caps a written term at 45, so the book uses 45",IF(AND(L24=1,F24=""),"Ask for the Udyam Registration Number",IF(LEFT(E24,6)="Trader","Traders are MSMEs for bank lending only: ask your accountant before using the 45-day rule",IF(AND(C24="Creditor",LEFT(E24,6)="Medium"),"Medium enterprise: the MSMED payment rules do not apply",IF(AND(C24="Creditor",E24=""),"Ask the supplier whether they are a micro or small enterprise","OK"))))))))))</f>
        <v/>
      </c>
      <c r="L24">
        <f>IF(E24="",0,IFERROR(VLOOKUP(E24,Lists!$H$2:$I$6,2,FALSE),0))</f>
        <v/>
      </c>
      <c r="M24">
        <f>IF(N(H24)=0,0,IF(I24="Cr",-N(H24),N(H24)))</f>
        <v/>
      </c>
      <c r="N24">
        <f>IF(C24="Debtor",MAX(0,M24),IF(C24="Creditor",MAX(0,-M24),0))</f>
        <v/>
      </c>
      <c r="O24">
        <f>IF(C24="Debtor",MAX(0,-M24),IF(C24="Creditor",MAX(0,M24),0))</f>
        <v/>
      </c>
      <c r="P24">
        <f>IF(OR(AND(C24="Creditor",L24=1),AND(C24="Debtor",$E$9="Yes")),1,0)</f>
        <v/>
      </c>
      <c r="Q24">
        <f>IF(P24=1,IF(G24="",15,MIN(N(G24),45)),IF(G24="","",N(G24)))</f>
        <v/>
      </c>
    </row>
    <row r="25">
      <c r="B25" s="14" t="n"/>
      <c r="C25" s="20" t="n"/>
      <c r="D25" s="20" t="n"/>
      <c r="E25" s="14" t="n"/>
      <c r="F25" s="20" t="n"/>
      <c r="G25" s="21" t="n"/>
      <c r="H25" s="22" t="n"/>
      <c r="I25" s="20" t="n"/>
      <c r="J25" s="23">
        <f>IF(AND(B25="",C25="",N(H25)=0),"",IF(B25="","Enter the party name",IF(COUNTIF($B$13:$B$112,B25)&gt;1,"This name is used twice: enter each party once",IF(C25="","Pick Debtor or Creditor",IF(AND(N(H25)&gt;0,I25=""),"Pick Dr or Cr for the opening balance",IF(AND(L25=1,N(G25)&gt;45),"Over 45 days: the MSMED Act caps a written term at 45, so the book uses 45",IF(AND(L25=1,F25=""),"Ask for the Udyam Registration Number",IF(LEFT(E25,6)="Trader","Traders are MSMEs for bank lending only: ask your accountant before using the 45-day rule",IF(AND(C25="Creditor",LEFT(E25,6)="Medium"),"Medium enterprise: the MSMED payment rules do not apply",IF(AND(C25="Creditor",E25=""),"Ask the supplier whether they are a micro or small enterprise","OK"))))))))))</f>
        <v/>
      </c>
      <c r="L25">
        <f>IF(E25="",0,IFERROR(VLOOKUP(E25,Lists!$H$2:$I$6,2,FALSE),0))</f>
        <v/>
      </c>
      <c r="M25">
        <f>IF(N(H25)=0,0,IF(I25="Cr",-N(H25),N(H25)))</f>
        <v/>
      </c>
      <c r="N25">
        <f>IF(C25="Debtor",MAX(0,M25),IF(C25="Creditor",MAX(0,-M25),0))</f>
        <v/>
      </c>
      <c r="O25">
        <f>IF(C25="Debtor",MAX(0,-M25),IF(C25="Creditor",MAX(0,M25),0))</f>
        <v/>
      </c>
      <c r="P25">
        <f>IF(OR(AND(C25="Creditor",L25=1),AND(C25="Debtor",$E$9="Yes")),1,0)</f>
        <v/>
      </c>
      <c r="Q25">
        <f>IF(P25=1,IF(G25="",15,MIN(N(G25),45)),IF(G25="","",N(G25)))</f>
        <v/>
      </c>
    </row>
    <row r="26">
      <c r="B26" s="14" t="n"/>
      <c r="C26" s="20" t="n"/>
      <c r="D26" s="20" t="n"/>
      <c r="E26" s="14" t="n"/>
      <c r="F26" s="20" t="n"/>
      <c r="G26" s="21" t="n"/>
      <c r="H26" s="22" t="n"/>
      <c r="I26" s="20" t="n"/>
      <c r="J26" s="23">
        <f>IF(AND(B26="",C26="",N(H26)=0),"",IF(B26="","Enter the party name",IF(COUNTIF($B$13:$B$112,B26)&gt;1,"This name is used twice: enter each party once",IF(C26="","Pick Debtor or Creditor",IF(AND(N(H26)&gt;0,I26=""),"Pick Dr or Cr for the opening balance",IF(AND(L26=1,N(G26)&gt;45),"Over 45 days: the MSMED Act caps a written term at 45, so the book uses 45",IF(AND(L26=1,F26=""),"Ask for the Udyam Registration Number",IF(LEFT(E26,6)="Trader","Traders are MSMEs for bank lending only: ask your accountant before using the 45-day rule",IF(AND(C26="Creditor",LEFT(E26,6)="Medium"),"Medium enterprise: the MSMED payment rules do not apply",IF(AND(C26="Creditor",E26=""),"Ask the supplier whether they are a micro or small enterprise","OK"))))))))))</f>
        <v/>
      </c>
      <c r="L26">
        <f>IF(E26="",0,IFERROR(VLOOKUP(E26,Lists!$H$2:$I$6,2,FALSE),0))</f>
        <v/>
      </c>
      <c r="M26">
        <f>IF(N(H26)=0,0,IF(I26="Cr",-N(H26),N(H26)))</f>
        <v/>
      </c>
      <c r="N26">
        <f>IF(C26="Debtor",MAX(0,M26),IF(C26="Creditor",MAX(0,-M26),0))</f>
        <v/>
      </c>
      <c r="O26">
        <f>IF(C26="Debtor",MAX(0,-M26),IF(C26="Creditor",MAX(0,M26),0))</f>
        <v/>
      </c>
      <c r="P26">
        <f>IF(OR(AND(C26="Creditor",L26=1),AND(C26="Debtor",$E$9="Yes")),1,0)</f>
        <v/>
      </c>
      <c r="Q26">
        <f>IF(P26=1,IF(G26="",15,MIN(N(G26),45)),IF(G26="","",N(G26)))</f>
        <v/>
      </c>
    </row>
    <row r="27">
      <c r="B27" s="14" t="n"/>
      <c r="C27" s="20" t="n"/>
      <c r="D27" s="20" t="n"/>
      <c r="E27" s="14" t="n"/>
      <c r="F27" s="20" t="n"/>
      <c r="G27" s="21" t="n"/>
      <c r="H27" s="22" t="n"/>
      <c r="I27" s="20" t="n"/>
      <c r="J27" s="23">
        <f>IF(AND(B27="",C27="",N(H27)=0),"",IF(B27="","Enter the party name",IF(COUNTIF($B$13:$B$112,B27)&gt;1,"This name is used twice: enter each party once",IF(C27="","Pick Debtor or Creditor",IF(AND(N(H27)&gt;0,I27=""),"Pick Dr or Cr for the opening balance",IF(AND(L27=1,N(G27)&gt;45),"Over 45 days: the MSMED Act caps a written term at 45, so the book uses 45",IF(AND(L27=1,F27=""),"Ask for the Udyam Registration Number",IF(LEFT(E27,6)="Trader","Traders are MSMEs for bank lending only: ask your accountant before using the 45-day rule",IF(AND(C27="Creditor",LEFT(E27,6)="Medium"),"Medium enterprise: the MSMED payment rules do not apply",IF(AND(C27="Creditor",E27=""),"Ask the supplier whether they are a micro or small enterprise","OK"))))))))))</f>
        <v/>
      </c>
      <c r="L27">
        <f>IF(E27="",0,IFERROR(VLOOKUP(E27,Lists!$H$2:$I$6,2,FALSE),0))</f>
        <v/>
      </c>
      <c r="M27">
        <f>IF(N(H27)=0,0,IF(I27="Cr",-N(H27),N(H27)))</f>
        <v/>
      </c>
      <c r="N27">
        <f>IF(C27="Debtor",MAX(0,M27),IF(C27="Creditor",MAX(0,-M27),0))</f>
        <v/>
      </c>
      <c r="O27">
        <f>IF(C27="Debtor",MAX(0,-M27),IF(C27="Creditor",MAX(0,M27),0))</f>
        <v/>
      </c>
      <c r="P27">
        <f>IF(OR(AND(C27="Creditor",L27=1),AND(C27="Debtor",$E$9="Yes")),1,0)</f>
        <v/>
      </c>
      <c r="Q27">
        <f>IF(P27=1,IF(G27="",15,MIN(N(G27),45)),IF(G27="","",N(G27)))</f>
        <v/>
      </c>
    </row>
    <row r="28">
      <c r="B28" s="14" t="n"/>
      <c r="C28" s="20" t="n"/>
      <c r="D28" s="20" t="n"/>
      <c r="E28" s="14" t="n"/>
      <c r="F28" s="20" t="n"/>
      <c r="G28" s="21" t="n"/>
      <c r="H28" s="22" t="n"/>
      <c r="I28" s="20" t="n"/>
      <c r="J28" s="23">
        <f>IF(AND(B28="",C28="",N(H28)=0),"",IF(B28="","Enter the party name",IF(COUNTIF($B$13:$B$112,B28)&gt;1,"This name is used twice: enter each party once",IF(C28="","Pick Debtor or Creditor",IF(AND(N(H28)&gt;0,I28=""),"Pick Dr or Cr for the opening balance",IF(AND(L28=1,N(G28)&gt;45),"Over 45 days: the MSMED Act caps a written term at 45, so the book uses 45",IF(AND(L28=1,F28=""),"Ask for the Udyam Registration Number",IF(LEFT(E28,6)="Trader","Traders are MSMEs for bank lending only: ask your accountant before using the 45-day rule",IF(AND(C28="Creditor",LEFT(E28,6)="Medium"),"Medium enterprise: the MSMED payment rules do not apply",IF(AND(C28="Creditor",E28=""),"Ask the supplier whether they are a micro or small enterprise","OK"))))))))))</f>
        <v/>
      </c>
      <c r="L28">
        <f>IF(E28="",0,IFERROR(VLOOKUP(E28,Lists!$H$2:$I$6,2,FALSE),0))</f>
        <v/>
      </c>
      <c r="M28">
        <f>IF(N(H28)=0,0,IF(I28="Cr",-N(H28),N(H28)))</f>
        <v/>
      </c>
      <c r="N28">
        <f>IF(C28="Debtor",MAX(0,M28),IF(C28="Creditor",MAX(0,-M28),0))</f>
        <v/>
      </c>
      <c r="O28">
        <f>IF(C28="Debtor",MAX(0,-M28),IF(C28="Creditor",MAX(0,M28),0))</f>
        <v/>
      </c>
      <c r="P28">
        <f>IF(OR(AND(C28="Creditor",L28=1),AND(C28="Debtor",$E$9="Yes")),1,0)</f>
        <v/>
      </c>
      <c r="Q28">
        <f>IF(P28=1,IF(G28="",15,MIN(N(G28),45)),IF(G28="","",N(G28)))</f>
        <v/>
      </c>
    </row>
    <row r="29">
      <c r="B29" s="14" t="n"/>
      <c r="C29" s="20" t="n"/>
      <c r="D29" s="20" t="n"/>
      <c r="E29" s="14" t="n"/>
      <c r="F29" s="20" t="n"/>
      <c r="G29" s="21" t="n"/>
      <c r="H29" s="22" t="n"/>
      <c r="I29" s="20" t="n"/>
      <c r="J29" s="23">
        <f>IF(AND(B29="",C29="",N(H29)=0),"",IF(B29="","Enter the party name",IF(COUNTIF($B$13:$B$112,B29)&gt;1,"This name is used twice: enter each party once",IF(C29="","Pick Debtor or Creditor",IF(AND(N(H29)&gt;0,I29=""),"Pick Dr or Cr for the opening balance",IF(AND(L29=1,N(G29)&gt;45),"Over 45 days: the MSMED Act caps a written term at 45, so the book uses 45",IF(AND(L29=1,F29=""),"Ask for the Udyam Registration Number",IF(LEFT(E29,6)="Trader","Traders are MSMEs for bank lending only: ask your accountant before using the 45-day rule",IF(AND(C29="Creditor",LEFT(E29,6)="Medium"),"Medium enterprise: the MSMED payment rules do not apply",IF(AND(C29="Creditor",E29=""),"Ask the supplier whether they are a micro or small enterprise","OK"))))))))))</f>
        <v/>
      </c>
      <c r="L29">
        <f>IF(E29="",0,IFERROR(VLOOKUP(E29,Lists!$H$2:$I$6,2,FALSE),0))</f>
        <v/>
      </c>
      <c r="M29">
        <f>IF(N(H29)=0,0,IF(I29="Cr",-N(H29),N(H29)))</f>
        <v/>
      </c>
      <c r="N29">
        <f>IF(C29="Debtor",MAX(0,M29),IF(C29="Creditor",MAX(0,-M29),0))</f>
        <v/>
      </c>
      <c r="O29">
        <f>IF(C29="Debtor",MAX(0,-M29),IF(C29="Creditor",MAX(0,M29),0))</f>
        <v/>
      </c>
      <c r="P29">
        <f>IF(OR(AND(C29="Creditor",L29=1),AND(C29="Debtor",$E$9="Yes")),1,0)</f>
        <v/>
      </c>
      <c r="Q29">
        <f>IF(P29=1,IF(G29="",15,MIN(N(G29),45)),IF(G29="","",N(G29)))</f>
        <v/>
      </c>
    </row>
    <row r="30">
      <c r="B30" s="14" t="n"/>
      <c r="C30" s="20" t="n"/>
      <c r="D30" s="20" t="n"/>
      <c r="E30" s="14" t="n"/>
      <c r="F30" s="20" t="n"/>
      <c r="G30" s="21" t="n"/>
      <c r="H30" s="22" t="n"/>
      <c r="I30" s="20" t="n"/>
      <c r="J30" s="23">
        <f>IF(AND(B30="",C30="",N(H30)=0),"",IF(B30="","Enter the party name",IF(COUNTIF($B$13:$B$112,B30)&gt;1,"This name is used twice: enter each party once",IF(C30="","Pick Debtor or Creditor",IF(AND(N(H30)&gt;0,I30=""),"Pick Dr or Cr for the opening balance",IF(AND(L30=1,N(G30)&gt;45),"Over 45 days: the MSMED Act caps a written term at 45, so the book uses 45",IF(AND(L30=1,F30=""),"Ask for the Udyam Registration Number",IF(LEFT(E30,6)="Trader","Traders are MSMEs for bank lending only: ask your accountant before using the 45-day rule",IF(AND(C30="Creditor",LEFT(E30,6)="Medium"),"Medium enterprise: the MSMED payment rules do not apply",IF(AND(C30="Creditor",E30=""),"Ask the supplier whether they are a micro or small enterprise","OK"))))))))))</f>
        <v/>
      </c>
      <c r="L30">
        <f>IF(E30="",0,IFERROR(VLOOKUP(E30,Lists!$H$2:$I$6,2,FALSE),0))</f>
        <v/>
      </c>
      <c r="M30">
        <f>IF(N(H30)=0,0,IF(I30="Cr",-N(H30),N(H30)))</f>
        <v/>
      </c>
      <c r="N30">
        <f>IF(C30="Debtor",MAX(0,M30),IF(C30="Creditor",MAX(0,-M30),0))</f>
        <v/>
      </c>
      <c r="O30">
        <f>IF(C30="Debtor",MAX(0,-M30),IF(C30="Creditor",MAX(0,M30),0))</f>
        <v/>
      </c>
      <c r="P30">
        <f>IF(OR(AND(C30="Creditor",L30=1),AND(C30="Debtor",$E$9="Yes")),1,0)</f>
        <v/>
      </c>
      <c r="Q30">
        <f>IF(P30=1,IF(G30="",15,MIN(N(G30),45)),IF(G30="","",N(G30)))</f>
        <v/>
      </c>
    </row>
    <row r="31">
      <c r="B31" s="14" t="n"/>
      <c r="C31" s="20" t="n"/>
      <c r="D31" s="20" t="n"/>
      <c r="E31" s="14" t="n"/>
      <c r="F31" s="20" t="n"/>
      <c r="G31" s="21" t="n"/>
      <c r="H31" s="22" t="n"/>
      <c r="I31" s="20" t="n"/>
      <c r="J31" s="23">
        <f>IF(AND(B31="",C31="",N(H31)=0),"",IF(B31="","Enter the party name",IF(COUNTIF($B$13:$B$112,B31)&gt;1,"This name is used twice: enter each party once",IF(C31="","Pick Debtor or Creditor",IF(AND(N(H31)&gt;0,I31=""),"Pick Dr or Cr for the opening balance",IF(AND(L31=1,N(G31)&gt;45),"Over 45 days: the MSMED Act caps a written term at 45, so the book uses 45",IF(AND(L31=1,F31=""),"Ask for the Udyam Registration Number",IF(LEFT(E31,6)="Trader","Traders are MSMEs for bank lending only: ask your accountant before using the 45-day rule",IF(AND(C31="Creditor",LEFT(E31,6)="Medium"),"Medium enterprise: the MSMED payment rules do not apply",IF(AND(C31="Creditor",E31=""),"Ask the supplier whether they are a micro or small enterprise","OK"))))))))))</f>
        <v/>
      </c>
      <c r="L31">
        <f>IF(E31="",0,IFERROR(VLOOKUP(E31,Lists!$H$2:$I$6,2,FALSE),0))</f>
        <v/>
      </c>
      <c r="M31">
        <f>IF(N(H31)=0,0,IF(I31="Cr",-N(H31),N(H31)))</f>
        <v/>
      </c>
      <c r="N31">
        <f>IF(C31="Debtor",MAX(0,M31),IF(C31="Creditor",MAX(0,-M31),0))</f>
        <v/>
      </c>
      <c r="O31">
        <f>IF(C31="Debtor",MAX(0,-M31),IF(C31="Creditor",MAX(0,M31),0))</f>
        <v/>
      </c>
      <c r="P31">
        <f>IF(OR(AND(C31="Creditor",L31=1),AND(C31="Debtor",$E$9="Yes")),1,0)</f>
        <v/>
      </c>
      <c r="Q31">
        <f>IF(P31=1,IF(G31="",15,MIN(N(G31),45)),IF(G31="","",N(G31)))</f>
        <v/>
      </c>
    </row>
    <row r="32">
      <c r="B32" s="14" t="n"/>
      <c r="C32" s="20" t="n"/>
      <c r="D32" s="20" t="n"/>
      <c r="E32" s="14" t="n"/>
      <c r="F32" s="20" t="n"/>
      <c r="G32" s="21" t="n"/>
      <c r="H32" s="22" t="n"/>
      <c r="I32" s="20" t="n"/>
      <c r="J32" s="23">
        <f>IF(AND(B32="",C32="",N(H32)=0),"",IF(B32="","Enter the party name",IF(COUNTIF($B$13:$B$112,B32)&gt;1,"This name is used twice: enter each party once",IF(C32="","Pick Debtor or Creditor",IF(AND(N(H32)&gt;0,I32=""),"Pick Dr or Cr for the opening balance",IF(AND(L32=1,N(G32)&gt;45),"Over 45 days: the MSMED Act caps a written term at 45, so the book uses 45",IF(AND(L32=1,F32=""),"Ask for the Udyam Registration Number",IF(LEFT(E32,6)="Trader","Traders are MSMEs for bank lending only: ask your accountant before using the 45-day rule",IF(AND(C32="Creditor",LEFT(E32,6)="Medium"),"Medium enterprise: the MSMED payment rules do not apply",IF(AND(C32="Creditor",E32=""),"Ask the supplier whether they are a micro or small enterprise","OK"))))))))))</f>
        <v/>
      </c>
      <c r="L32">
        <f>IF(E32="",0,IFERROR(VLOOKUP(E32,Lists!$H$2:$I$6,2,FALSE),0))</f>
        <v/>
      </c>
      <c r="M32">
        <f>IF(N(H32)=0,0,IF(I32="Cr",-N(H32),N(H32)))</f>
        <v/>
      </c>
      <c r="N32">
        <f>IF(C32="Debtor",MAX(0,M32),IF(C32="Creditor",MAX(0,-M32),0))</f>
        <v/>
      </c>
      <c r="O32">
        <f>IF(C32="Debtor",MAX(0,-M32),IF(C32="Creditor",MAX(0,M32),0))</f>
        <v/>
      </c>
      <c r="P32">
        <f>IF(OR(AND(C32="Creditor",L32=1),AND(C32="Debtor",$E$9="Yes")),1,0)</f>
        <v/>
      </c>
      <c r="Q32">
        <f>IF(P32=1,IF(G32="",15,MIN(N(G32),45)),IF(G32="","",N(G32)))</f>
        <v/>
      </c>
    </row>
    <row r="33">
      <c r="B33" s="14" t="n"/>
      <c r="C33" s="20" t="n"/>
      <c r="D33" s="20" t="n"/>
      <c r="E33" s="14" t="n"/>
      <c r="F33" s="20" t="n"/>
      <c r="G33" s="21" t="n"/>
      <c r="H33" s="22" t="n"/>
      <c r="I33" s="20" t="n"/>
      <c r="J33" s="23">
        <f>IF(AND(B33="",C33="",N(H33)=0),"",IF(B33="","Enter the party name",IF(COUNTIF($B$13:$B$112,B33)&gt;1,"This name is used twice: enter each party once",IF(C33="","Pick Debtor or Creditor",IF(AND(N(H33)&gt;0,I33=""),"Pick Dr or Cr for the opening balance",IF(AND(L33=1,N(G33)&gt;45),"Over 45 days: the MSMED Act caps a written term at 45, so the book uses 45",IF(AND(L33=1,F33=""),"Ask for the Udyam Registration Number",IF(LEFT(E33,6)="Trader","Traders are MSMEs for bank lending only: ask your accountant before using the 45-day rule",IF(AND(C33="Creditor",LEFT(E33,6)="Medium"),"Medium enterprise: the MSMED payment rules do not apply",IF(AND(C33="Creditor",E33=""),"Ask the supplier whether they are a micro or small enterprise","OK"))))))))))</f>
        <v/>
      </c>
      <c r="L33">
        <f>IF(E33="",0,IFERROR(VLOOKUP(E33,Lists!$H$2:$I$6,2,FALSE),0))</f>
        <v/>
      </c>
      <c r="M33">
        <f>IF(N(H33)=0,0,IF(I33="Cr",-N(H33),N(H33)))</f>
        <v/>
      </c>
      <c r="N33">
        <f>IF(C33="Debtor",MAX(0,M33),IF(C33="Creditor",MAX(0,-M33),0))</f>
        <v/>
      </c>
      <c r="O33">
        <f>IF(C33="Debtor",MAX(0,-M33),IF(C33="Creditor",MAX(0,M33),0))</f>
        <v/>
      </c>
      <c r="P33">
        <f>IF(OR(AND(C33="Creditor",L33=1),AND(C33="Debtor",$E$9="Yes")),1,0)</f>
        <v/>
      </c>
      <c r="Q33">
        <f>IF(P33=1,IF(G33="",15,MIN(N(G33),45)),IF(G33="","",N(G33)))</f>
        <v/>
      </c>
    </row>
    <row r="34">
      <c r="B34" s="14" t="n"/>
      <c r="C34" s="20" t="n"/>
      <c r="D34" s="20" t="n"/>
      <c r="E34" s="14" t="n"/>
      <c r="F34" s="20" t="n"/>
      <c r="G34" s="21" t="n"/>
      <c r="H34" s="22" t="n"/>
      <c r="I34" s="20" t="n"/>
      <c r="J34" s="23">
        <f>IF(AND(B34="",C34="",N(H34)=0),"",IF(B34="","Enter the party name",IF(COUNTIF($B$13:$B$112,B34)&gt;1,"This name is used twice: enter each party once",IF(C34="","Pick Debtor or Creditor",IF(AND(N(H34)&gt;0,I34=""),"Pick Dr or Cr for the opening balance",IF(AND(L34=1,N(G34)&gt;45),"Over 45 days: the MSMED Act caps a written term at 45, so the book uses 45",IF(AND(L34=1,F34=""),"Ask for the Udyam Registration Number",IF(LEFT(E34,6)="Trader","Traders are MSMEs for bank lending only: ask your accountant before using the 45-day rule",IF(AND(C34="Creditor",LEFT(E34,6)="Medium"),"Medium enterprise: the MSMED payment rules do not apply",IF(AND(C34="Creditor",E34=""),"Ask the supplier whether they are a micro or small enterprise","OK"))))))))))</f>
        <v/>
      </c>
      <c r="L34">
        <f>IF(E34="",0,IFERROR(VLOOKUP(E34,Lists!$H$2:$I$6,2,FALSE),0))</f>
        <v/>
      </c>
      <c r="M34">
        <f>IF(N(H34)=0,0,IF(I34="Cr",-N(H34),N(H34)))</f>
        <v/>
      </c>
      <c r="N34">
        <f>IF(C34="Debtor",MAX(0,M34),IF(C34="Creditor",MAX(0,-M34),0))</f>
        <v/>
      </c>
      <c r="O34">
        <f>IF(C34="Debtor",MAX(0,-M34),IF(C34="Creditor",MAX(0,M34),0))</f>
        <v/>
      </c>
      <c r="P34">
        <f>IF(OR(AND(C34="Creditor",L34=1),AND(C34="Debtor",$E$9="Yes")),1,0)</f>
        <v/>
      </c>
      <c r="Q34">
        <f>IF(P34=1,IF(G34="",15,MIN(N(G34),45)),IF(G34="","",N(G34)))</f>
        <v/>
      </c>
    </row>
    <row r="35">
      <c r="B35" s="14" t="n"/>
      <c r="C35" s="20" t="n"/>
      <c r="D35" s="20" t="n"/>
      <c r="E35" s="14" t="n"/>
      <c r="F35" s="20" t="n"/>
      <c r="G35" s="21" t="n"/>
      <c r="H35" s="22" t="n"/>
      <c r="I35" s="20" t="n"/>
      <c r="J35" s="23">
        <f>IF(AND(B35="",C35="",N(H35)=0),"",IF(B35="","Enter the party name",IF(COUNTIF($B$13:$B$112,B35)&gt;1,"This name is used twice: enter each party once",IF(C35="","Pick Debtor or Creditor",IF(AND(N(H35)&gt;0,I35=""),"Pick Dr or Cr for the opening balance",IF(AND(L35=1,N(G35)&gt;45),"Over 45 days: the MSMED Act caps a written term at 45, so the book uses 45",IF(AND(L35=1,F35=""),"Ask for the Udyam Registration Number",IF(LEFT(E35,6)="Trader","Traders are MSMEs for bank lending only: ask your accountant before using the 45-day rule",IF(AND(C35="Creditor",LEFT(E35,6)="Medium"),"Medium enterprise: the MSMED payment rules do not apply",IF(AND(C35="Creditor",E35=""),"Ask the supplier whether they are a micro or small enterprise","OK"))))))))))</f>
        <v/>
      </c>
      <c r="L35">
        <f>IF(E35="",0,IFERROR(VLOOKUP(E35,Lists!$H$2:$I$6,2,FALSE),0))</f>
        <v/>
      </c>
      <c r="M35">
        <f>IF(N(H35)=0,0,IF(I35="Cr",-N(H35),N(H35)))</f>
        <v/>
      </c>
      <c r="N35">
        <f>IF(C35="Debtor",MAX(0,M35),IF(C35="Creditor",MAX(0,-M35),0))</f>
        <v/>
      </c>
      <c r="O35">
        <f>IF(C35="Debtor",MAX(0,-M35),IF(C35="Creditor",MAX(0,M35),0))</f>
        <v/>
      </c>
      <c r="P35">
        <f>IF(OR(AND(C35="Creditor",L35=1),AND(C35="Debtor",$E$9="Yes")),1,0)</f>
        <v/>
      </c>
      <c r="Q35">
        <f>IF(P35=1,IF(G35="",15,MIN(N(G35),45)),IF(G35="","",N(G35)))</f>
        <v/>
      </c>
    </row>
    <row r="36">
      <c r="B36" s="14" t="n"/>
      <c r="C36" s="20" t="n"/>
      <c r="D36" s="20" t="n"/>
      <c r="E36" s="14" t="n"/>
      <c r="F36" s="20" t="n"/>
      <c r="G36" s="21" t="n"/>
      <c r="H36" s="22" t="n"/>
      <c r="I36" s="20" t="n"/>
      <c r="J36" s="23">
        <f>IF(AND(B36="",C36="",N(H36)=0),"",IF(B36="","Enter the party name",IF(COUNTIF($B$13:$B$112,B36)&gt;1,"This name is used twice: enter each party once",IF(C36="","Pick Debtor or Creditor",IF(AND(N(H36)&gt;0,I36=""),"Pick Dr or Cr for the opening balance",IF(AND(L36=1,N(G36)&gt;45),"Over 45 days: the MSMED Act caps a written term at 45, so the book uses 45",IF(AND(L36=1,F36=""),"Ask for the Udyam Registration Number",IF(LEFT(E36,6)="Trader","Traders are MSMEs for bank lending only: ask your accountant before using the 45-day rule",IF(AND(C36="Creditor",LEFT(E36,6)="Medium"),"Medium enterprise: the MSMED payment rules do not apply",IF(AND(C36="Creditor",E36=""),"Ask the supplier whether they are a micro or small enterprise","OK"))))))))))</f>
        <v/>
      </c>
      <c r="L36">
        <f>IF(E36="",0,IFERROR(VLOOKUP(E36,Lists!$H$2:$I$6,2,FALSE),0))</f>
        <v/>
      </c>
      <c r="M36">
        <f>IF(N(H36)=0,0,IF(I36="Cr",-N(H36),N(H36)))</f>
        <v/>
      </c>
      <c r="N36">
        <f>IF(C36="Debtor",MAX(0,M36),IF(C36="Creditor",MAX(0,-M36),0))</f>
        <v/>
      </c>
      <c r="O36">
        <f>IF(C36="Debtor",MAX(0,-M36),IF(C36="Creditor",MAX(0,M36),0))</f>
        <v/>
      </c>
      <c r="P36">
        <f>IF(OR(AND(C36="Creditor",L36=1),AND(C36="Debtor",$E$9="Yes")),1,0)</f>
        <v/>
      </c>
      <c r="Q36">
        <f>IF(P36=1,IF(G36="",15,MIN(N(G36),45)),IF(G36="","",N(G36)))</f>
        <v/>
      </c>
    </row>
    <row r="37">
      <c r="B37" s="14" t="n"/>
      <c r="C37" s="20" t="n"/>
      <c r="D37" s="20" t="n"/>
      <c r="E37" s="14" t="n"/>
      <c r="F37" s="20" t="n"/>
      <c r="G37" s="21" t="n"/>
      <c r="H37" s="22" t="n"/>
      <c r="I37" s="20" t="n"/>
      <c r="J37" s="23">
        <f>IF(AND(B37="",C37="",N(H37)=0),"",IF(B37="","Enter the party name",IF(COUNTIF($B$13:$B$112,B37)&gt;1,"This name is used twice: enter each party once",IF(C37="","Pick Debtor or Creditor",IF(AND(N(H37)&gt;0,I37=""),"Pick Dr or Cr for the opening balance",IF(AND(L37=1,N(G37)&gt;45),"Over 45 days: the MSMED Act caps a written term at 45, so the book uses 45",IF(AND(L37=1,F37=""),"Ask for the Udyam Registration Number",IF(LEFT(E37,6)="Trader","Traders are MSMEs for bank lending only: ask your accountant before using the 45-day rule",IF(AND(C37="Creditor",LEFT(E37,6)="Medium"),"Medium enterprise: the MSMED payment rules do not apply",IF(AND(C37="Creditor",E37=""),"Ask the supplier whether they are a micro or small enterprise","OK"))))))))))</f>
        <v/>
      </c>
      <c r="L37">
        <f>IF(E37="",0,IFERROR(VLOOKUP(E37,Lists!$H$2:$I$6,2,FALSE),0))</f>
        <v/>
      </c>
      <c r="M37">
        <f>IF(N(H37)=0,0,IF(I37="Cr",-N(H37),N(H37)))</f>
        <v/>
      </c>
      <c r="N37">
        <f>IF(C37="Debtor",MAX(0,M37),IF(C37="Creditor",MAX(0,-M37),0))</f>
        <v/>
      </c>
      <c r="O37">
        <f>IF(C37="Debtor",MAX(0,-M37),IF(C37="Creditor",MAX(0,M37),0))</f>
        <v/>
      </c>
      <c r="P37">
        <f>IF(OR(AND(C37="Creditor",L37=1),AND(C37="Debtor",$E$9="Yes")),1,0)</f>
        <v/>
      </c>
      <c r="Q37">
        <f>IF(P37=1,IF(G37="",15,MIN(N(G37),45)),IF(G37="","",N(G37)))</f>
        <v/>
      </c>
    </row>
    <row r="38">
      <c r="B38" s="14" t="n"/>
      <c r="C38" s="20" t="n"/>
      <c r="D38" s="20" t="n"/>
      <c r="E38" s="14" t="n"/>
      <c r="F38" s="20" t="n"/>
      <c r="G38" s="21" t="n"/>
      <c r="H38" s="22" t="n"/>
      <c r="I38" s="20" t="n"/>
      <c r="J38" s="23">
        <f>IF(AND(B38="",C38="",N(H38)=0),"",IF(B38="","Enter the party name",IF(COUNTIF($B$13:$B$112,B38)&gt;1,"This name is used twice: enter each party once",IF(C38="","Pick Debtor or Creditor",IF(AND(N(H38)&gt;0,I38=""),"Pick Dr or Cr for the opening balance",IF(AND(L38=1,N(G38)&gt;45),"Over 45 days: the MSMED Act caps a written term at 45, so the book uses 45",IF(AND(L38=1,F38=""),"Ask for the Udyam Registration Number",IF(LEFT(E38,6)="Trader","Traders are MSMEs for bank lending only: ask your accountant before using the 45-day rule",IF(AND(C38="Creditor",LEFT(E38,6)="Medium"),"Medium enterprise: the MSMED payment rules do not apply",IF(AND(C38="Creditor",E38=""),"Ask the supplier whether they are a micro or small enterprise","OK"))))))))))</f>
        <v/>
      </c>
      <c r="L38">
        <f>IF(E38="",0,IFERROR(VLOOKUP(E38,Lists!$H$2:$I$6,2,FALSE),0))</f>
        <v/>
      </c>
      <c r="M38">
        <f>IF(N(H38)=0,0,IF(I38="Cr",-N(H38),N(H38)))</f>
        <v/>
      </c>
      <c r="N38">
        <f>IF(C38="Debtor",MAX(0,M38),IF(C38="Creditor",MAX(0,-M38),0))</f>
        <v/>
      </c>
      <c r="O38">
        <f>IF(C38="Debtor",MAX(0,-M38),IF(C38="Creditor",MAX(0,M38),0))</f>
        <v/>
      </c>
      <c r="P38">
        <f>IF(OR(AND(C38="Creditor",L38=1),AND(C38="Debtor",$E$9="Yes")),1,0)</f>
        <v/>
      </c>
      <c r="Q38">
        <f>IF(P38=1,IF(G38="",15,MIN(N(G38),45)),IF(G38="","",N(G38)))</f>
        <v/>
      </c>
    </row>
    <row r="39">
      <c r="B39" s="14" t="n"/>
      <c r="C39" s="20" t="n"/>
      <c r="D39" s="20" t="n"/>
      <c r="E39" s="14" t="n"/>
      <c r="F39" s="20" t="n"/>
      <c r="G39" s="21" t="n"/>
      <c r="H39" s="22" t="n"/>
      <c r="I39" s="20" t="n"/>
      <c r="J39" s="23">
        <f>IF(AND(B39="",C39="",N(H39)=0),"",IF(B39="","Enter the party name",IF(COUNTIF($B$13:$B$112,B39)&gt;1,"This name is used twice: enter each party once",IF(C39="","Pick Debtor or Creditor",IF(AND(N(H39)&gt;0,I39=""),"Pick Dr or Cr for the opening balance",IF(AND(L39=1,N(G39)&gt;45),"Over 45 days: the MSMED Act caps a written term at 45, so the book uses 45",IF(AND(L39=1,F39=""),"Ask for the Udyam Registration Number",IF(LEFT(E39,6)="Trader","Traders are MSMEs for bank lending only: ask your accountant before using the 45-day rule",IF(AND(C39="Creditor",LEFT(E39,6)="Medium"),"Medium enterprise: the MSMED payment rules do not apply",IF(AND(C39="Creditor",E39=""),"Ask the supplier whether they are a micro or small enterprise","OK"))))))))))</f>
        <v/>
      </c>
      <c r="L39">
        <f>IF(E39="",0,IFERROR(VLOOKUP(E39,Lists!$H$2:$I$6,2,FALSE),0))</f>
        <v/>
      </c>
      <c r="M39">
        <f>IF(N(H39)=0,0,IF(I39="Cr",-N(H39),N(H39)))</f>
        <v/>
      </c>
      <c r="N39">
        <f>IF(C39="Debtor",MAX(0,M39),IF(C39="Creditor",MAX(0,-M39),0))</f>
        <v/>
      </c>
      <c r="O39">
        <f>IF(C39="Debtor",MAX(0,-M39),IF(C39="Creditor",MAX(0,M39),0))</f>
        <v/>
      </c>
      <c r="P39">
        <f>IF(OR(AND(C39="Creditor",L39=1),AND(C39="Debtor",$E$9="Yes")),1,0)</f>
        <v/>
      </c>
      <c r="Q39">
        <f>IF(P39=1,IF(G39="",15,MIN(N(G39),45)),IF(G39="","",N(G39)))</f>
        <v/>
      </c>
    </row>
    <row r="40">
      <c r="B40" s="14" t="n"/>
      <c r="C40" s="20" t="n"/>
      <c r="D40" s="20" t="n"/>
      <c r="E40" s="14" t="n"/>
      <c r="F40" s="20" t="n"/>
      <c r="G40" s="21" t="n"/>
      <c r="H40" s="22" t="n"/>
      <c r="I40" s="20" t="n"/>
      <c r="J40" s="23">
        <f>IF(AND(B40="",C40="",N(H40)=0),"",IF(B40="","Enter the party name",IF(COUNTIF($B$13:$B$112,B40)&gt;1,"This name is used twice: enter each party once",IF(C40="","Pick Debtor or Creditor",IF(AND(N(H40)&gt;0,I40=""),"Pick Dr or Cr for the opening balance",IF(AND(L40=1,N(G40)&gt;45),"Over 45 days: the MSMED Act caps a written term at 45, so the book uses 45",IF(AND(L40=1,F40=""),"Ask for the Udyam Registration Number",IF(LEFT(E40,6)="Trader","Traders are MSMEs for bank lending only: ask your accountant before using the 45-day rule",IF(AND(C40="Creditor",LEFT(E40,6)="Medium"),"Medium enterprise: the MSMED payment rules do not apply",IF(AND(C40="Creditor",E40=""),"Ask the supplier whether they are a micro or small enterprise","OK"))))))))))</f>
        <v/>
      </c>
      <c r="L40">
        <f>IF(E40="",0,IFERROR(VLOOKUP(E40,Lists!$H$2:$I$6,2,FALSE),0))</f>
        <v/>
      </c>
      <c r="M40">
        <f>IF(N(H40)=0,0,IF(I40="Cr",-N(H40),N(H40)))</f>
        <v/>
      </c>
      <c r="N40">
        <f>IF(C40="Debtor",MAX(0,M40),IF(C40="Creditor",MAX(0,-M40),0))</f>
        <v/>
      </c>
      <c r="O40">
        <f>IF(C40="Debtor",MAX(0,-M40),IF(C40="Creditor",MAX(0,M40),0))</f>
        <v/>
      </c>
      <c r="P40">
        <f>IF(OR(AND(C40="Creditor",L40=1),AND(C40="Debtor",$E$9="Yes")),1,0)</f>
        <v/>
      </c>
      <c r="Q40">
        <f>IF(P40=1,IF(G40="",15,MIN(N(G40),45)),IF(G40="","",N(G40)))</f>
        <v/>
      </c>
    </row>
    <row r="41">
      <c r="B41" s="14" t="n"/>
      <c r="C41" s="20" t="n"/>
      <c r="D41" s="20" t="n"/>
      <c r="E41" s="14" t="n"/>
      <c r="F41" s="20" t="n"/>
      <c r="G41" s="21" t="n"/>
      <c r="H41" s="22" t="n"/>
      <c r="I41" s="20" t="n"/>
      <c r="J41" s="23">
        <f>IF(AND(B41="",C41="",N(H41)=0),"",IF(B41="","Enter the party name",IF(COUNTIF($B$13:$B$112,B41)&gt;1,"This name is used twice: enter each party once",IF(C41="","Pick Debtor or Creditor",IF(AND(N(H41)&gt;0,I41=""),"Pick Dr or Cr for the opening balance",IF(AND(L41=1,N(G41)&gt;45),"Over 45 days: the MSMED Act caps a written term at 45, so the book uses 45",IF(AND(L41=1,F41=""),"Ask for the Udyam Registration Number",IF(LEFT(E41,6)="Trader","Traders are MSMEs for bank lending only: ask your accountant before using the 45-day rule",IF(AND(C41="Creditor",LEFT(E41,6)="Medium"),"Medium enterprise: the MSMED payment rules do not apply",IF(AND(C41="Creditor",E41=""),"Ask the supplier whether they are a micro or small enterprise","OK"))))))))))</f>
        <v/>
      </c>
      <c r="L41">
        <f>IF(E41="",0,IFERROR(VLOOKUP(E41,Lists!$H$2:$I$6,2,FALSE),0))</f>
        <v/>
      </c>
      <c r="M41">
        <f>IF(N(H41)=0,0,IF(I41="Cr",-N(H41),N(H41)))</f>
        <v/>
      </c>
      <c r="N41">
        <f>IF(C41="Debtor",MAX(0,M41),IF(C41="Creditor",MAX(0,-M41),0))</f>
        <v/>
      </c>
      <c r="O41">
        <f>IF(C41="Debtor",MAX(0,-M41),IF(C41="Creditor",MAX(0,M41),0))</f>
        <v/>
      </c>
      <c r="P41">
        <f>IF(OR(AND(C41="Creditor",L41=1),AND(C41="Debtor",$E$9="Yes")),1,0)</f>
        <v/>
      </c>
      <c r="Q41">
        <f>IF(P41=1,IF(G41="",15,MIN(N(G41),45)),IF(G41="","",N(G41)))</f>
        <v/>
      </c>
    </row>
    <row r="42">
      <c r="B42" s="14" t="n"/>
      <c r="C42" s="20" t="n"/>
      <c r="D42" s="20" t="n"/>
      <c r="E42" s="14" t="n"/>
      <c r="F42" s="20" t="n"/>
      <c r="G42" s="21" t="n"/>
      <c r="H42" s="22" t="n"/>
      <c r="I42" s="20" t="n"/>
      <c r="J42" s="23">
        <f>IF(AND(B42="",C42="",N(H42)=0),"",IF(B42="","Enter the party name",IF(COUNTIF($B$13:$B$112,B42)&gt;1,"This name is used twice: enter each party once",IF(C42="","Pick Debtor or Creditor",IF(AND(N(H42)&gt;0,I42=""),"Pick Dr or Cr for the opening balance",IF(AND(L42=1,N(G42)&gt;45),"Over 45 days: the MSMED Act caps a written term at 45, so the book uses 45",IF(AND(L42=1,F42=""),"Ask for the Udyam Registration Number",IF(LEFT(E42,6)="Trader","Traders are MSMEs for bank lending only: ask your accountant before using the 45-day rule",IF(AND(C42="Creditor",LEFT(E42,6)="Medium"),"Medium enterprise: the MSMED payment rules do not apply",IF(AND(C42="Creditor",E42=""),"Ask the supplier whether they are a micro or small enterprise","OK"))))))))))</f>
        <v/>
      </c>
      <c r="L42">
        <f>IF(E42="",0,IFERROR(VLOOKUP(E42,Lists!$H$2:$I$6,2,FALSE),0))</f>
        <v/>
      </c>
      <c r="M42">
        <f>IF(N(H42)=0,0,IF(I42="Cr",-N(H42),N(H42)))</f>
        <v/>
      </c>
      <c r="N42">
        <f>IF(C42="Debtor",MAX(0,M42),IF(C42="Creditor",MAX(0,-M42),0))</f>
        <v/>
      </c>
      <c r="O42">
        <f>IF(C42="Debtor",MAX(0,-M42),IF(C42="Creditor",MAX(0,M42),0))</f>
        <v/>
      </c>
      <c r="P42">
        <f>IF(OR(AND(C42="Creditor",L42=1),AND(C42="Debtor",$E$9="Yes")),1,0)</f>
        <v/>
      </c>
      <c r="Q42">
        <f>IF(P42=1,IF(G42="",15,MIN(N(G42),45)),IF(G42="","",N(G42)))</f>
        <v/>
      </c>
    </row>
    <row r="43">
      <c r="B43" s="14" t="n"/>
      <c r="C43" s="20" t="n"/>
      <c r="D43" s="20" t="n"/>
      <c r="E43" s="14" t="n"/>
      <c r="F43" s="20" t="n"/>
      <c r="G43" s="21" t="n"/>
      <c r="H43" s="22" t="n"/>
      <c r="I43" s="20" t="n"/>
      <c r="J43" s="23">
        <f>IF(AND(B43="",C43="",N(H43)=0),"",IF(B43="","Enter the party name",IF(COUNTIF($B$13:$B$112,B43)&gt;1,"This name is used twice: enter each party once",IF(C43="","Pick Debtor or Creditor",IF(AND(N(H43)&gt;0,I43=""),"Pick Dr or Cr for the opening balance",IF(AND(L43=1,N(G43)&gt;45),"Over 45 days: the MSMED Act caps a written term at 45, so the book uses 45",IF(AND(L43=1,F43=""),"Ask for the Udyam Registration Number",IF(LEFT(E43,6)="Trader","Traders are MSMEs for bank lending only: ask your accountant before using the 45-day rule",IF(AND(C43="Creditor",LEFT(E43,6)="Medium"),"Medium enterprise: the MSMED payment rules do not apply",IF(AND(C43="Creditor",E43=""),"Ask the supplier whether they are a micro or small enterprise","OK"))))))))))</f>
        <v/>
      </c>
      <c r="L43">
        <f>IF(E43="",0,IFERROR(VLOOKUP(E43,Lists!$H$2:$I$6,2,FALSE),0))</f>
        <v/>
      </c>
      <c r="M43">
        <f>IF(N(H43)=0,0,IF(I43="Cr",-N(H43),N(H43)))</f>
        <v/>
      </c>
      <c r="N43">
        <f>IF(C43="Debtor",MAX(0,M43),IF(C43="Creditor",MAX(0,-M43),0))</f>
        <v/>
      </c>
      <c r="O43">
        <f>IF(C43="Debtor",MAX(0,-M43),IF(C43="Creditor",MAX(0,M43),0))</f>
        <v/>
      </c>
      <c r="P43">
        <f>IF(OR(AND(C43="Creditor",L43=1),AND(C43="Debtor",$E$9="Yes")),1,0)</f>
        <v/>
      </c>
      <c r="Q43">
        <f>IF(P43=1,IF(G43="",15,MIN(N(G43),45)),IF(G43="","",N(G43)))</f>
        <v/>
      </c>
    </row>
    <row r="44">
      <c r="B44" s="14" t="n"/>
      <c r="C44" s="20" t="n"/>
      <c r="D44" s="20" t="n"/>
      <c r="E44" s="14" t="n"/>
      <c r="F44" s="20" t="n"/>
      <c r="G44" s="21" t="n"/>
      <c r="H44" s="22" t="n"/>
      <c r="I44" s="20" t="n"/>
      <c r="J44" s="23">
        <f>IF(AND(B44="",C44="",N(H44)=0),"",IF(B44="","Enter the party name",IF(COUNTIF($B$13:$B$112,B44)&gt;1,"This name is used twice: enter each party once",IF(C44="","Pick Debtor or Creditor",IF(AND(N(H44)&gt;0,I44=""),"Pick Dr or Cr for the opening balance",IF(AND(L44=1,N(G44)&gt;45),"Over 45 days: the MSMED Act caps a written term at 45, so the book uses 45",IF(AND(L44=1,F44=""),"Ask for the Udyam Registration Number",IF(LEFT(E44,6)="Trader","Traders are MSMEs for bank lending only: ask your accountant before using the 45-day rule",IF(AND(C44="Creditor",LEFT(E44,6)="Medium"),"Medium enterprise: the MSMED payment rules do not apply",IF(AND(C44="Creditor",E44=""),"Ask the supplier whether they are a micro or small enterprise","OK"))))))))))</f>
        <v/>
      </c>
      <c r="L44">
        <f>IF(E44="",0,IFERROR(VLOOKUP(E44,Lists!$H$2:$I$6,2,FALSE),0))</f>
        <v/>
      </c>
      <c r="M44">
        <f>IF(N(H44)=0,0,IF(I44="Cr",-N(H44),N(H44)))</f>
        <v/>
      </c>
      <c r="N44">
        <f>IF(C44="Debtor",MAX(0,M44),IF(C44="Creditor",MAX(0,-M44),0))</f>
        <v/>
      </c>
      <c r="O44">
        <f>IF(C44="Debtor",MAX(0,-M44),IF(C44="Creditor",MAX(0,M44),0))</f>
        <v/>
      </c>
      <c r="P44">
        <f>IF(OR(AND(C44="Creditor",L44=1),AND(C44="Debtor",$E$9="Yes")),1,0)</f>
        <v/>
      </c>
      <c r="Q44">
        <f>IF(P44=1,IF(G44="",15,MIN(N(G44),45)),IF(G44="","",N(G44)))</f>
        <v/>
      </c>
    </row>
    <row r="45">
      <c r="B45" s="14" t="n"/>
      <c r="C45" s="20" t="n"/>
      <c r="D45" s="20" t="n"/>
      <c r="E45" s="14" t="n"/>
      <c r="F45" s="20" t="n"/>
      <c r="G45" s="21" t="n"/>
      <c r="H45" s="22" t="n"/>
      <c r="I45" s="20" t="n"/>
      <c r="J45" s="23">
        <f>IF(AND(B45="",C45="",N(H45)=0),"",IF(B45="","Enter the party name",IF(COUNTIF($B$13:$B$112,B45)&gt;1,"This name is used twice: enter each party once",IF(C45="","Pick Debtor or Creditor",IF(AND(N(H45)&gt;0,I45=""),"Pick Dr or Cr for the opening balance",IF(AND(L45=1,N(G45)&gt;45),"Over 45 days: the MSMED Act caps a written term at 45, so the book uses 45",IF(AND(L45=1,F45=""),"Ask for the Udyam Registration Number",IF(LEFT(E45,6)="Trader","Traders are MSMEs for bank lending only: ask your accountant before using the 45-day rule",IF(AND(C45="Creditor",LEFT(E45,6)="Medium"),"Medium enterprise: the MSMED payment rules do not apply",IF(AND(C45="Creditor",E45=""),"Ask the supplier whether they are a micro or small enterprise","OK"))))))))))</f>
        <v/>
      </c>
      <c r="L45">
        <f>IF(E45="",0,IFERROR(VLOOKUP(E45,Lists!$H$2:$I$6,2,FALSE),0))</f>
        <v/>
      </c>
      <c r="M45">
        <f>IF(N(H45)=0,0,IF(I45="Cr",-N(H45),N(H45)))</f>
        <v/>
      </c>
      <c r="N45">
        <f>IF(C45="Debtor",MAX(0,M45),IF(C45="Creditor",MAX(0,-M45),0))</f>
        <v/>
      </c>
      <c r="O45">
        <f>IF(C45="Debtor",MAX(0,-M45),IF(C45="Creditor",MAX(0,M45),0))</f>
        <v/>
      </c>
      <c r="P45">
        <f>IF(OR(AND(C45="Creditor",L45=1),AND(C45="Debtor",$E$9="Yes")),1,0)</f>
        <v/>
      </c>
      <c r="Q45">
        <f>IF(P45=1,IF(G45="",15,MIN(N(G45),45)),IF(G45="","",N(G45)))</f>
        <v/>
      </c>
    </row>
    <row r="46">
      <c r="B46" s="14" t="n"/>
      <c r="C46" s="20" t="n"/>
      <c r="D46" s="20" t="n"/>
      <c r="E46" s="14" t="n"/>
      <c r="F46" s="20" t="n"/>
      <c r="G46" s="21" t="n"/>
      <c r="H46" s="22" t="n"/>
      <c r="I46" s="20" t="n"/>
      <c r="J46" s="23">
        <f>IF(AND(B46="",C46="",N(H46)=0),"",IF(B46="","Enter the party name",IF(COUNTIF($B$13:$B$112,B46)&gt;1,"This name is used twice: enter each party once",IF(C46="","Pick Debtor or Creditor",IF(AND(N(H46)&gt;0,I46=""),"Pick Dr or Cr for the opening balance",IF(AND(L46=1,N(G46)&gt;45),"Over 45 days: the MSMED Act caps a written term at 45, so the book uses 45",IF(AND(L46=1,F46=""),"Ask for the Udyam Registration Number",IF(LEFT(E46,6)="Trader","Traders are MSMEs for bank lending only: ask your accountant before using the 45-day rule",IF(AND(C46="Creditor",LEFT(E46,6)="Medium"),"Medium enterprise: the MSMED payment rules do not apply",IF(AND(C46="Creditor",E46=""),"Ask the supplier whether they are a micro or small enterprise","OK"))))))))))</f>
        <v/>
      </c>
      <c r="L46">
        <f>IF(E46="",0,IFERROR(VLOOKUP(E46,Lists!$H$2:$I$6,2,FALSE),0))</f>
        <v/>
      </c>
      <c r="M46">
        <f>IF(N(H46)=0,0,IF(I46="Cr",-N(H46),N(H46)))</f>
        <v/>
      </c>
      <c r="N46">
        <f>IF(C46="Debtor",MAX(0,M46),IF(C46="Creditor",MAX(0,-M46),0))</f>
        <v/>
      </c>
      <c r="O46">
        <f>IF(C46="Debtor",MAX(0,-M46),IF(C46="Creditor",MAX(0,M46),0))</f>
        <v/>
      </c>
      <c r="P46">
        <f>IF(OR(AND(C46="Creditor",L46=1),AND(C46="Debtor",$E$9="Yes")),1,0)</f>
        <v/>
      </c>
      <c r="Q46">
        <f>IF(P46=1,IF(G46="",15,MIN(N(G46),45)),IF(G46="","",N(G46)))</f>
        <v/>
      </c>
    </row>
    <row r="47">
      <c r="B47" s="14" t="n"/>
      <c r="C47" s="20" t="n"/>
      <c r="D47" s="20" t="n"/>
      <c r="E47" s="14" t="n"/>
      <c r="F47" s="20" t="n"/>
      <c r="G47" s="21" t="n"/>
      <c r="H47" s="22" t="n"/>
      <c r="I47" s="20" t="n"/>
      <c r="J47" s="23">
        <f>IF(AND(B47="",C47="",N(H47)=0),"",IF(B47="","Enter the party name",IF(COUNTIF($B$13:$B$112,B47)&gt;1,"This name is used twice: enter each party once",IF(C47="","Pick Debtor or Creditor",IF(AND(N(H47)&gt;0,I47=""),"Pick Dr or Cr for the opening balance",IF(AND(L47=1,N(G47)&gt;45),"Over 45 days: the MSMED Act caps a written term at 45, so the book uses 45",IF(AND(L47=1,F47=""),"Ask for the Udyam Registration Number",IF(LEFT(E47,6)="Trader","Traders are MSMEs for bank lending only: ask your accountant before using the 45-day rule",IF(AND(C47="Creditor",LEFT(E47,6)="Medium"),"Medium enterprise: the MSMED payment rules do not apply",IF(AND(C47="Creditor",E47=""),"Ask the supplier whether they are a micro or small enterprise","OK"))))))))))</f>
        <v/>
      </c>
      <c r="L47">
        <f>IF(E47="",0,IFERROR(VLOOKUP(E47,Lists!$H$2:$I$6,2,FALSE),0))</f>
        <v/>
      </c>
      <c r="M47">
        <f>IF(N(H47)=0,0,IF(I47="Cr",-N(H47),N(H47)))</f>
        <v/>
      </c>
      <c r="N47">
        <f>IF(C47="Debtor",MAX(0,M47),IF(C47="Creditor",MAX(0,-M47),0))</f>
        <v/>
      </c>
      <c r="O47">
        <f>IF(C47="Debtor",MAX(0,-M47),IF(C47="Creditor",MAX(0,M47),0))</f>
        <v/>
      </c>
      <c r="P47">
        <f>IF(OR(AND(C47="Creditor",L47=1),AND(C47="Debtor",$E$9="Yes")),1,0)</f>
        <v/>
      </c>
      <c r="Q47">
        <f>IF(P47=1,IF(G47="",15,MIN(N(G47),45)),IF(G47="","",N(G47)))</f>
        <v/>
      </c>
    </row>
    <row r="48">
      <c r="B48" s="14" t="n"/>
      <c r="C48" s="20" t="n"/>
      <c r="D48" s="20" t="n"/>
      <c r="E48" s="14" t="n"/>
      <c r="F48" s="20" t="n"/>
      <c r="G48" s="21" t="n"/>
      <c r="H48" s="22" t="n"/>
      <c r="I48" s="20" t="n"/>
      <c r="J48" s="23">
        <f>IF(AND(B48="",C48="",N(H48)=0),"",IF(B48="","Enter the party name",IF(COUNTIF($B$13:$B$112,B48)&gt;1,"This name is used twice: enter each party once",IF(C48="","Pick Debtor or Creditor",IF(AND(N(H48)&gt;0,I48=""),"Pick Dr or Cr for the opening balance",IF(AND(L48=1,N(G48)&gt;45),"Over 45 days: the MSMED Act caps a written term at 45, so the book uses 45",IF(AND(L48=1,F48=""),"Ask for the Udyam Registration Number",IF(LEFT(E48,6)="Trader","Traders are MSMEs for bank lending only: ask your accountant before using the 45-day rule",IF(AND(C48="Creditor",LEFT(E48,6)="Medium"),"Medium enterprise: the MSMED payment rules do not apply",IF(AND(C48="Creditor",E48=""),"Ask the supplier whether they are a micro or small enterprise","OK"))))))))))</f>
        <v/>
      </c>
      <c r="L48">
        <f>IF(E48="",0,IFERROR(VLOOKUP(E48,Lists!$H$2:$I$6,2,FALSE),0))</f>
        <v/>
      </c>
      <c r="M48">
        <f>IF(N(H48)=0,0,IF(I48="Cr",-N(H48),N(H48)))</f>
        <v/>
      </c>
      <c r="N48">
        <f>IF(C48="Debtor",MAX(0,M48),IF(C48="Creditor",MAX(0,-M48),0))</f>
        <v/>
      </c>
      <c r="O48">
        <f>IF(C48="Debtor",MAX(0,-M48),IF(C48="Creditor",MAX(0,M48),0))</f>
        <v/>
      </c>
      <c r="P48">
        <f>IF(OR(AND(C48="Creditor",L48=1),AND(C48="Debtor",$E$9="Yes")),1,0)</f>
        <v/>
      </c>
      <c r="Q48">
        <f>IF(P48=1,IF(G48="",15,MIN(N(G48),45)),IF(G48="","",N(G48)))</f>
        <v/>
      </c>
    </row>
    <row r="49">
      <c r="B49" s="14" t="n"/>
      <c r="C49" s="20" t="n"/>
      <c r="D49" s="20" t="n"/>
      <c r="E49" s="14" t="n"/>
      <c r="F49" s="20" t="n"/>
      <c r="G49" s="21" t="n"/>
      <c r="H49" s="22" t="n"/>
      <c r="I49" s="20" t="n"/>
      <c r="J49" s="23">
        <f>IF(AND(B49="",C49="",N(H49)=0),"",IF(B49="","Enter the party name",IF(COUNTIF($B$13:$B$112,B49)&gt;1,"This name is used twice: enter each party once",IF(C49="","Pick Debtor or Creditor",IF(AND(N(H49)&gt;0,I49=""),"Pick Dr or Cr for the opening balance",IF(AND(L49=1,N(G49)&gt;45),"Over 45 days: the MSMED Act caps a written term at 45, so the book uses 45",IF(AND(L49=1,F49=""),"Ask for the Udyam Registration Number",IF(LEFT(E49,6)="Trader","Traders are MSMEs for bank lending only: ask your accountant before using the 45-day rule",IF(AND(C49="Creditor",LEFT(E49,6)="Medium"),"Medium enterprise: the MSMED payment rules do not apply",IF(AND(C49="Creditor",E49=""),"Ask the supplier whether they are a micro or small enterprise","OK"))))))))))</f>
        <v/>
      </c>
      <c r="L49">
        <f>IF(E49="",0,IFERROR(VLOOKUP(E49,Lists!$H$2:$I$6,2,FALSE),0))</f>
        <v/>
      </c>
      <c r="M49">
        <f>IF(N(H49)=0,0,IF(I49="Cr",-N(H49),N(H49)))</f>
        <v/>
      </c>
      <c r="N49">
        <f>IF(C49="Debtor",MAX(0,M49),IF(C49="Creditor",MAX(0,-M49),0))</f>
        <v/>
      </c>
      <c r="O49">
        <f>IF(C49="Debtor",MAX(0,-M49),IF(C49="Creditor",MAX(0,M49),0))</f>
        <v/>
      </c>
      <c r="P49">
        <f>IF(OR(AND(C49="Creditor",L49=1),AND(C49="Debtor",$E$9="Yes")),1,0)</f>
        <v/>
      </c>
      <c r="Q49">
        <f>IF(P49=1,IF(G49="",15,MIN(N(G49),45)),IF(G49="","",N(G49)))</f>
        <v/>
      </c>
    </row>
    <row r="50">
      <c r="B50" s="14" t="n"/>
      <c r="C50" s="20" t="n"/>
      <c r="D50" s="20" t="n"/>
      <c r="E50" s="14" t="n"/>
      <c r="F50" s="20" t="n"/>
      <c r="G50" s="21" t="n"/>
      <c r="H50" s="22" t="n"/>
      <c r="I50" s="20" t="n"/>
      <c r="J50" s="23">
        <f>IF(AND(B50="",C50="",N(H50)=0),"",IF(B50="","Enter the party name",IF(COUNTIF($B$13:$B$112,B50)&gt;1,"This name is used twice: enter each party once",IF(C50="","Pick Debtor or Creditor",IF(AND(N(H50)&gt;0,I50=""),"Pick Dr or Cr for the opening balance",IF(AND(L50=1,N(G50)&gt;45),"Over 45 days: the MSMED Act caps a written term at 45, so the book uses 45",IF(AND(L50=1,F50=""),"Ask for the Udyam Registration Number",IF(LEFT(E50,6)="Trader","Traders are MSMEs for bank lending only: ask your accountant before using the 45-day rule",IF(AND(C50="Creditor",LEFT(E50,6)="Medium"),"Medium enterprise: the MSMED payment rules do not apply",IF(AND(C50="Creditor",E50=""),"Ask the supplier whether they are a micro or small enterprise","OK"))))))))))</f>
        <v/>
      </c>
      <c r="L50">
        <f>IF(E50="",0,IFERROR(VLOOKUP(E50,Lists!$H$2:$I$6,2,FALSE),0))</f>
        <v/>
      </c>
      <c r="M50">
        <f>IF(N(H50)=0,0,IF(I50="Cr",-N(H50),N(H50)))</f>
        <v/>
      </c>
      <c r="N50">
        <f>IF(C50="Debtor",MAX(0,M50),IF(C50="Creditor",MAX(0,-M50),0))</f>
        <v/>
      </c>
      <c r="O50">
        <f>IF(C50="Debtor",MAX(0,-M50),IF(C50="Creditor",MAX(0,M50),0))</f>
        <v/>
      </c>
      <c r="P50">
        <f>IF(OR(AND(C50="Creditor",L50=1),AND(C50="Debtor",$E$9="Yes")),1,0)</f>
        <v/>
      </c>
      <c r="Q50">
        <f>IF(P50=1,IF(G50="",15,MIN(N(G50),45)),IF(G50="","",N(G50)))</f>
        <v/>
      </c>
    </row>
    <row r="51">
      <c r="B51" s="14" t="n"/>
      <c r="C51" s="20" t="n"/>
      <c r="D51" s="20" t="n"/>
      <c r="E51" s="14" t="n"/>
      <c r="F51" s="20" t="n"/>
      <c r="G51" s="21" t="n"/>
      <c r="H51" s="22" t="n"/>
      <c r="I51" s="20" t="n"/>
      <c r="J51" s="23">
        <f>IF(AND(B51="",C51="",N(H51)=0),"",IF(B51="","Enter the party name",IF(COUNTIF($B$13:$B$112,B51)&gt;1,"This name is used twice: enter each party once",IF(C51="","Pick Debtor or Creditor",IF(AND(N(H51)&gt;0,I51=""),"Pick Dr or Cr for the opening balance",IF(AND(L51=1,N(G51)&gt;45),"Over 45 days: the MSMED Act caps a written term at 45, so the book uses 45",IF(AND(L51=1,F51=""),"Ask for the Udyam Registration Number",IF(LEFT(E51,6)="Trader","Traders are MSMEs for bank lending only: ask your accountant before using the 45-day rule",IF(AND(C51="Creditor",LEFT(E51,6)="Medium"),"Medium enterprise: the MSMED payment rules do not apply",IF(AND(C51="Creditor",E51=""),"Ask the supplier whether they are a micro or small enterprise","OK"))))))))))</f>
        <v/>
      </c>
      <c r="L51">
        <f>IF(E51="",0,IFERROR(VLOOKUP(E51,Lists!$H$2:$I$6,2,FALSE),0))</f>
        <v/>
      </c>
      <c r="M51">
        <f>IF(N(H51)=0,0,IF(I51="Cr",-N(H51),N(H51)))</f>
        <v/>
      </c>
      <c r="N51">
        <f>IF(C51="Debtor",MAX(0,M51),IF(C51="Creditor",MAX(0,-M51),0))</f>
        <v/>
      </c>
      <c r="O51">
        <f>IF(C51="Debtor",MAX(0,-M51),IF(C51="Creditor",MAX(0,M51),0))</f>
        <v/>
      </c>
      <c r="P51">
        <f>IF(OR(AND(C51="Creditor",L51=1),AND(C51="Debtor",$E$9="Yes")),1,0)</f>
        <v/>
      </c>
      <c r="Q51">
        <f>IF(P51=1,IF(G51="",15,MIN(N(G51),45)),IF(G51="","",N(G51)))</f>
        <v/>
      </c>
    </row>
    <row r="52">
      <c r="B52" s="14" t="n"/>
      <c r="C52" s="20" t="n"/>
      <c r="D52" s="20" t="n"/>
      <c r="E52" s="14" t="n"/>
      <c r="F52" s="20" t="n"/>
      <c r="G52" s="21" t="n"/>
      <c r="H52" s="22" t="n"/>
      <c r="I52" s="20" t="n"/>
      <c r="J52" s="23">
        <f>IF(AND(B52="",C52="",N(H52)=0),"",IF(B52="","Enter the party name",IF(COUNTIF($B$13:$B$112,B52)&gt;1,"This name is used twice: enter each party once",IF(C52="","Pick Debtor or Creditor",IF(AND(N(H52)&gt;0,I52=""),"Pick Dr or Cr for the opening balance",IF(AND(L52=1,N(G52)&gt;45),"Over 45 days: the MSMED Act caps a written term at 45, so the book uses 45",IF(AND(L52=1,F52=""),"Ask for the Udyam Registration Number",IF(LEFT(E52,6)="Trader","Traders are MSMEs for bank lending only: ask your accountant before using the 45-day rule",IF(AND(C52="Creditor",LEFT(E52,6)="Medium"),"Medium enterprise: the MSMED payment rules do not apply",IF(AND(C52="Creditor",E52=""),"Ask the supplier whether they are a micro or small enterprise","OK"))))))))))</f>
        <v/>
      </c>
      <c r="L52">
        <f>IF(E52="",0,IFERROR(VLOOKUP(E52,Lists!$H$2:$I$6,2,FALSE),0))</f>
        <v/>
      </c>
      <c r="M52">
        <f>IF(N(H52)=0,0,IF(I52="Cr",-N(H52),N(H52)))</f>
        <v/>
      </c>
      <c r="N52">
        <f>IF(C52="Debtor",MAX(0,M52),IF(C52="Creditor",MAX(0,-M52),0))</f>
        <v/>
      </c>
      <c r="O52">
        <f>IF(C52="Debtor",MAX(0,-M52),IF(C52="Creditor",MAX(0,M52),0))</f>
        <v/>
      </c>
      <c r="P52">
        <f>IF(OR(AND(C52="Creditor",L52=1),AND(C52="Debtor",$E$9="Yes")),1,0)</f>
        <v/>
      </c>
      <c r="Q52">
        <f>IF(P52=1,IF(G52="",15,MIN(N(G52),45)),IF(G52="","",N(G52)))</f>
        <v/>
      </c>
    </row>
    <row r="53">
      <c r="B53" s="14" t="n"/>
      <c r="C53" s="20" t="n"/>
      <c r="D53" s="20" t="n"/>
      <c r="E53" s="14" t="n"/>
      <c r="F53" s="20" t="n"/>
      <c r="G53" s="21" t="n"/>
      <c r="H53" s="22" t="n"/>
      <c r="I53" s="20" t="n"/>
      <c r="J53" s="23">
        <f>IF(AND(B53="",C53="",N(H53)=0),"",IF(B53="","Enter the party name",IF(COUNTIF($B$13:$B$112,B53)&gt;1,"This name is used twice: enter each party once",IF(C53="","Pick Debtor or Creditor",IF(AND(N(H53)&gt;0,I53=""),"Pick Dr or Cr for the opening balance",IF(AND(L53=1,N(G53)&gt;45),"Over 45 days: the MSMED Act caps a written term at 45, so the book uses 45",IF(AND(L53=1,F53=""),"Ask for the Udyam Registration Number",IF(LEFT(E53,6)="Trader","Traders are MSMEs for bank lending only: ask your accountant before using the 45-day rule",IF(AND(C53="Creditor",LEFT(E53,6)="Medium"),"Medium enterprise: the MSMED payment rules do not apply",IF(AND(C53="Creditor",E53=""),"Ask the supplier whether they are a micro or small enterprise","OK"))))))))))</f>
        <v/>
      </c>
      <c r="L53">
        <f>IF(E53="",0,IFERROR(VLOOKUP(E53,Lists!$H$2:$I$6,2,FALSE),0))</f>
        <v/>
      </c>
      <c r="M53">
        <f>IF(N(H53)=0,0,IF(I53="Cr",-N(H53),N(H53)))</f>
        <v/>
      </c>
      <c r="N53">
        <f>IF(C53="Debtor",MAX(0,M53),IF(C53="Creditor",MAX(0,-M53),0))</f>
        <v/>
      </c>
      <c r="O53">
        <f>IF(C53="Debtor",MAX(0,-M53),IF(C53="Creditor",MAX(0,M53),0))</f>
        <v/>
      </c>
      <c r="P53">
        <f>IF(OR(AND(C53="Creditor",L53=1),AND(C53="Debtor",$E$9="Yes")),1,0)</f>
        <v/>
      </c>
      <c r="Q53">
        <f>IF(P53=1,IF(G53="",15,MIN(N(G53),45)),IF(G53="","",N(G53)))</f>
        <v/>
      </c>
    </row>
    <row r="54">
      <c r="B54" s="14" t="n"/>
      <c r="C54" s="20" t="n"/>
      <c r="D54" s="20" t="n"/>
      <c r="E54" s="14" t="n"/>
      <c r="F54" s="20" t="n"/>
      <c r="G54" s="21" t="n"/>
      <c r="H54" s="22" t="n"/>
      <c r="I54" s="20" t="n"/>
      <c r="J54" s="23">
        <f>IF(AND(B54="",C54="",N(H54)=0),"",IF(B54="","Enter the party name",IF(COUNTIF($B$13:$B$112,B54)&gt;1,"This name is used twice: enter each party once",IF(C54="","Pick Debtor or Creditor",IF(AND(N(H54)&gt;0,I54=""),"Pick Dr or Cr for the opening balance",IF(AND(L54=1,N(G54)&gt;45),"Over 45 days: the MSMED Act caps a written term at 45, so the book uses 45",IF(AND(L54=1,F54=""),"Ask for the Udyam Registration Number",IF(LEFT(E54,6)="Trader","Traders are MSMEs for bank lending only: ask your accountant before using the 45-day rule",IF(AND(C54="Creditor",LEFT(E54,6)="Medium"),"Medium enterprise: the MSMED payment rules do not apply",IF(AND(C54="Creditor",E54=""),"Ask the supplier whether they are a micro or small enterprise","OK"))))))))))</f>
        <v/>
      </c>
      <c r="L54">
        <f>IF(E54="",0,IFERROR(VLOOKUP(E54,Lists!$H$2:$I$6,2,FALSE),0))</f>
        <v/>
      </c>
      <c r="M54">
        <f>IF(N(H54)=0,0,IF(I54="Cr",-N(H54),N(H54)))</f>
        <v/>
      </c>
      <c r="N54">
        <f>IF(C54="Debtor",MAX(0,M54),IF(C54="Creditor",MAX(0,-M54),0))</f>
        <v/>
      </c>
      <c r="O54">
        <f>IF(C54="Debtor",MAX(0,-M54),IF(C54="Creditor",MAX(0,M54),0))</f>
        <v/>
      </c>
      <c r="P54">
        <f>IF(OR(AND(C54="Creditor",L54=1),AND(C54="Debtor",$E$9="Yes")),1,0)</f>
        <v/>
      </c>
      <c r="Q54">
        <f>IF(P54=1,IF(G54="",15,MIN(N(G54),45)),IF(G54="","",N(G54)))</f>
        <v/>
      </c>
    </row>
    <row r="55">
      <c r="B55" s="14" t="n"/>
      <c r="C55" s="20" t="n"/>
      <c r="D55" s="20" t="n"/>
      <c r="E55" s="14" t="n"/>
      <c r="F55" s="20" t="n"/>
      <c r="G55" s="21" t="n"/>
      <c r="H55" s="22" t="n"/>
      <c r="I55" s="20" t="n"/>
      <c r="J55" s="23">
        <f>IF(AND(B55="",C55="",N(H55)=0),"",IF(B55="","Enter the party name",IF(COUNTIF($B$13:$B$112,B55)&gt;1,"This name is used twice: enter each party once",IF(C55="","Pick Debtor or Creditor",IF(AND(N(H55)&gt;0,I55=""),"Pick Dr or Cr for the opening balance",IF(AND(L55=1,N(G55)&gt;45),"Over 45 days: the MSMED Act caps a written term at 45, so the book uses 45",IF(AND(L55=1,F55=""),"Ask for the Udyam Registration Number",IF(LEFT(E55,6)="Trader","Traders are MSMEs for bank lending only: ask your accountant before using the 45-day rule",IF(AND(C55="Creditor",LEFT(E55,6)="Medium"),"Medium enterprise: the MSMED payment rules do not apply",IF(AND(C55="Creditor",E55=""),"Ask the supplier whether they are a micro or small enterprise","OK"))))))))))</f>
        <v/>
      </c>
      <c r="L55">
        <f>IF(E55="",0,IFERROR(VLOOKUP(E55,Lists!$H$2:$I$6,2,FALSE),0))</f>
        <v/>
      </c>
      <c r="M55">
        <f>IF(N(H55)=0,0,IF(I55="Cr",-N(H55),N(H55)))</f>
        <v/>
      </c>
      <c r="N55">
        <f>IF(C55="Debtor",MAX(0,M55),IF(C55="Creditor",MAX(0,-M55),0))</f>
        <v/>
      </c>
      <c r="O55">
        <f>IF(C55="Debtor",MAX(0,-M55),IF(C55="Creditor",MAX(0,M55),0))</f>
        <v/>
      </c>
      <c r="P55">
        <f>IF(OR(AND(C55="Creditor",L55=1),AND(C55="Debtor",$E$9="Yes")),1,0)</f>
        <v/>
      </c>
      <c r="Q55">
        <f>IF(P55=1,IF(G55="",15,MIN(N(G55),45)),IF(G55="","",N(G55)))</f>
        <v/>
      </c>
    </row>
    <row r="56">
      <c r="B56" s="14" t="n"/>
      <c r="C56" s="20" t="n"/>
      <c r="D56" s="20" t="n"/>
      <c r="E56" s="14" t="n"/>
      <c r="F56" s="20" t="n"/>
      <c r="G56" s="21" t="n"/>
      <c r="H56" s="22" t="n"/>
      <c r="I56" s="20" t="n"/>
      <c r="J56" s="23">
        <f>IF(AND(B56="",C56="",N(H56)=0),"",IF(B56="","Enter the party name",IF(COUNTIF($B$13:$B$112,B56)&gt;1,"This name is used twice: enter each party once",IF(C56="","Pick Debtor or Creditor",IF(AND(N(H56)&gt;0,I56=""),"Pick Dr or Cr for the opening balance",IF(AND(L56=1,N(G56)&gt;45),"Over 45 days: the MSMED Act caps a written term at 45, so the book uses 45",IF(AND(L56=1,F56=""),"Ask for the Udyam Registration Number",IF(LEFT(E56,6)="Trader","Traders are MSMEs for bank lending only: ask your accountant before using the 45-day rule",IF(AND(C56="Creditor",LEFT(E56,6)="Medium"),"Medium enterprise: the MSMED payment rules do not apply",IF(AND(C56="Creditor",E56=""),"Ask the supplier whether they are a micro or small enterprise","OK"))))))))))</f>
        <v/>
      </c>
      <c r="L56">
        <f>IF(E56="",0,IFERROR(VLOOKUP(E56,Lists!$H$2:$I$6,2,FALSE),0))</f>
        <v/>
      </c>
      <c r="M56">
        <f>IF(N(H56)=0,0,IF(I56="Cr",-N(H56),N(H56)))</f>
        <v/>
      </c>
      <c r="N56">
        <f>IF(C56="Debtor",MAX(0,M56),IF(C56="Creditor",MAX(0,-M56),0))</f>
        <v/>
      </c>
      <c r="O56">
        <f>IF(C56="Debtor",MAX(0,-M56),IF(C56="Creditor",MAX(0,M56),0))</f>
        <v/>
      </c>
      <c r="P56">
        <f>IF(OR(AND(C56="Creditor",L56=1),AND(C56="Debtor",$E$9="Yes")),1,0)</f>
        <v/>
      </c>
      <c r="Q56">
        <f>IF(P56=1,IF(G56="",15,MIN(N(G56),45)),IF(G56="","",N(G56)))</f>
        <v/>
      </c>
    </row>
    <row r="57">
      <c r="B57" s="14" t="n"/>
      <c r="C57" s="20" t="n"/>
      <c r="D57" s="20" t="n"/>
      <c r="E57" s="14" t="n"/>
      <c r="F57" s="20" t="n"/>
      <c r="G57" s="21" t="n"/>
      <c r="H57" s="22" t="n"/>
      <c r="I57" s="20" t="n"/>
      <c r="J57" s="23">
        <f>IF(AND(B57="",C57="",N(H57)=0),"",IF(B57="","Enter the party name",IF(COUNTIF($B$13:$B$112,B57)&gt;1,"This name is used twice: enter each party once",IF(C57="","Pick Debtor or Creditor",IF(AND(N(H57)&gt;0,I57=""),"Pick Dr or Cr for the opening balance",IF(AND(L57=1,N(G57)&gt;45),"Over 45 days: the MSMED Act caps a written term at 45, so the book uses 45",IF(AND(L57=1,F57=""),"Ask for the Udyam Registration Number",IF(LEFT(E57,6)="Trader","Traders are MSMEs for bank lending only: ask your accountant before using the 45-day rule",IF(AND(C57="Creditor",LEFT(E57,6)="Medium"),"Medium enterprise: the MSMED payment rules do not apply",IF(AND(C57="Creditor",E57=""),"Ask the supplier whether they are a micro or small enterprise","OK"))))))))))</f>
        <v/>
      </c>
      <c r="L57">
        <f>IF(E57="",0,IFERROR(VLOOKUP(E57,Lists!$H$2:$I$6,2,FALSE),0))</f>
        <v/>
      </c>
      <c r="M57">
        <f>IF(N(H57)=0,0,IF(I57="Cr",-N(H57),N(H57)))</f>
        <v/>
      </c>
      <c r="N57">
        <f>IF(C57="Debtor",MAX(0,M57),IF(C57="Creditor",MAX(0,-M57),0))</f>
        <v/>
      </c>
      <c r="O57">
        <f>IF(C57="Debtor",MAX(0,-M57),IF(C57="Creditor",MAX(0,M57),0))</f>
        <v/>
      </c>
      <c r="P57">
        <f>IF(OR(AND(C57="Creditor",L57=1),AND(C57="Debtor",$E$9="Yes")),1,0)</f>
        <v/>
      </c>
      <c r="Q57">
        <f>IF(P57=1,IF(G57="",15,MIN(N(G57),45)),IF(G57="","",N(G57)))</f>
        <v/>
      </c>
    </row>
    <row r="58">
      <c r="B58" s="14" t="n"/>
      <c r="C58" s="20" t="n"/>
      <c r="D58" s="20" t="n"/>
      <c r="E58" s="14" t="n"/>
      <c r="F58" s="20" t="n"/>
      <c r="G58" s="21" t="n"/>
      <c r="H58" s="22" t="n"/>
      <c r="I58" s="20" t="n"/>
      <c r="J58" s="23">
        <f>IF(AND(B58="",C58="",N(H58)=0),"",IF(B58="","Enter the party name",IF(COUNTIF($B$13:$B$112,B58)&gt;1,"This name is used twice: enter each party once",IF(C58="","Pick Debtor or Creditor",IF(AND(N(H58)&gt;0,I58=""),"Pick Dr or Cr for the opening balance",IF(AND(L58=1,N(G58)&gt;45),"Over 45 days: the MSMED Act caps a written term at 45, so the book uses 45",IF(AND(L58=1,F58=""),"Ask for the Udyam Registration Number",IF(LEFT(E58,6)="Trader","Traders are MSMEs for bank lending only: ask your accountant before using the 45-day rule",IF(AND(C58="Creditor",LEFT(E58,6)="Medium"),"Medium enterprise: the MSMED payment rules do not apply",IF(AND(C58="Creditor",E58=""),"Ask the supplier whether they are a micro or small enterprise","OK"))))))))))</f>
        <v/>
      </c>
      <c r="L58">
        <f>IF(E58="",0,IFERROR(VLOOKUP(E58,Lists!$H$2:$I$6,2,FALSE),0))</f>
        <v/>
      </c>
      <c r="M58">
        <f>IF(N(H58)=0,0,IF(I58="Cr",-N(H58),N(H58)))</f>
        <v/>
      </c>
      <c r="N58">
        <f>IF(C58="Debtor",MAX(0,M58),IF(C58="Creditor",MAX(0,-M58),0))</f>
        <v/>
      </c>
      <c r="O58">
        <f>IF(C58="Debtor",MAX(0,-M58),IF(C58="Creditor",MAX(0,M58),0))</f>
        <v/>
      </c>
      <c r="P58">
        <f>IF(OR(AND(C58="Creditor",L58=1),AND(C58="Debtor",$E$9="Yes")),1,0)</f>
        <v/>
      </c>
      <c r="Q58">
        <f>IF(P58=1,IF(G58="",15,MIN(N(G58),45)),IF(G58="","",N(G58)))</f>
        <v/>
      </c>
    </row>
    <row r="59">
      <c r="B59" s="14" t="n"/>
      <c r="C59" s="20" t="n"/>
      <c r="D59" s="20" t="n"/>
      <c r="E59" s="14" t="n"/>
      <c r="F59" s="20" t="n"/>
      <c r="G59" s="21" t="n"/>
      <c r="H59" s="22" t="n"/>
      <c r="I59" s="20" t="n"/>
      <c r="J59" s="23">
        <f>IF(AND(B59="",C59="",N(H59)=0),"",IF(B59="","Enter the party name",IF(COUNTIF($B$13:$B$112,B59)&gt;1,"This name is used twice: enter each party once",IF(C59="","Pick Debtor or Creditor",IF(AND(N(H59)&gt;0,I59=""),"Pick Dr or Cr for the opening balance",IF(AND(L59=1,N(G59)&gt;45),"Over 45 days: the MSMED Act caps a written term at 45, so the book uses 45",IF(AND(L59=1,F59=""),"Ask for the Udyam Registration Number",IF(LEFT(E59,6)="Trader","Traders are MSMEs for bank lending only: ask your accountant before using the 45-day rule",IF(AND(C59="Creditor",LEFT(E59,6)="Medium"),"Medium enterprise: the MSMED payment rules do not apply",IF(AND(C59="Creditor",E59=""),"Ask the supplier whether they are a micro or small enterprise","OK"))))))))))</f>
        <v/>
      </c>
      <c r="L59">
        <f>IF(E59="",0,IFERROR(VLOOKUP(E59,Lists!$H$2:$I$6,2,FALSE),0))</f>
        <v/>
      </c>
      <c r="M59">
        <f>IF(N(H59)=0,0,IF(I59="Cr",-N(H59),N(H59)))</f>
        <v/>
      </c>
      <c r="N59">
        <f>IF(C59="Debtor",MAX(0,M59),IF(C59="Creditor",MAX(0,-M59),0))</f>
        <v/>
      </c>
      <c r="O59">
        <f>IF(C59="Debtor",MAX(0,-M59),IF(C59="Creditor",MAX(0,M59),0))</f>
        <v/>
      </c>
      <c r="P59">
        <f>IF(OR(AND(C59="Creditor",L59=1),AND(C59="Debtor",$E$9="Yes")),1,0)</f>
        <v/>
      </c>
      <c r="Q59">
        <f>IF(P59=1,IF(G59="",15,MIN(N(G59),45)),IF(G59="","",N(G59)))</f>
        <v/>
      </c>
    </row>
    <row r="60">
      <c r="B60" s="14" t="n"/>
      <c r="C60" s="20" t="n"/>
      <c r="D60" s="20" t="n"/>
      <c r="E60" s="14" t="n"/>
      <c r="F60" s="20" t="n"/>
      <c r="G60" s="21" t="n"/>
      <c r="H60" s="22" t="n"/>
      <c r="I60" s="20" t="n"/>
      <c r="J60" s="23">
        <f>IF(AND(B60="",C60="",N(H60)=0),"",IF(B60="","Enter the party name",IF(COUNTIF($B$13:$B$112,B60)&gt;1,"This name is used twice: enter each party once",IF(C60="","Pick Debtor or Creditor",IF(AND(N(H60)&gt;0,I60=""),"Pick Dr or Cr for the opening balance",IF(AND(L60=1,N(G60)&gt;45),"Over 45 days: the MSMED Act caps a written term at 45, so the book uses 45",IF(AND(L60=1,F60=""),"Ask for the Udyam Registration Number",IF(LEFT(E60,6)="Trader","Traders are MSMEs for bank lending only: ask your accountant before using the 45-day rule",IF(AND(C60="Creditor",LEFT(E60,6)="Medium"),"Medium enterprise: the MSMED payment rules do not apply",IF(AND(C60="Creditor",E60=""),"Ask the supplier whether they are a micro or small enterprise","OK"))))))))))</f>
        <v/>
      </c>
      <c r="L60">
        <f>IF(E60="",0,IFERROR(VLOOKUP(E60,Lists!$H$2:$I$6,2,FALSE),0))</f>
        <v/>
      </c>
      <c r="M60">
        <f>IF(N(H60)=0,0,IF(I60="Cr",-N(H60),N(H60)))</f>
        <v/>
      </c>
      <c r="N60">
        <f>IF(C60="Debtor",MAX(0,M60),IF(C60="Creditor",MAX(0,-M60),0))</f>
        <v/>
      </c>
      <c r="O60">
        <f>IF(C60="Debtor",MAX(0,-M60),IF(C60="Creditor",MAX(0,M60),0))</f>
        <v/>
      </c>
      <c r="P60">
        <f>IF(OR(AND(C60="Creditor",L60=1),AND(C60="Debtor",$E$9="Yes")),1,0)</f>
        <v/>
      </c>
      <c r="Q60">
        <f>IF(P60=1,IF(G60="",15,MIN(N(G60),45)),IF(G60="","",N(G60)))</f>
        <v/>
      </c>
    </row>
    <row r="61">
      <c r="B61" s="14" t="n"/>
      <c r="C61" s="20" t="n"/>
      <c r="D61" s="20" t="n"/>
      <c r="E61" s="14" t="n"/>
      <c r="F61" s="20" t="n"/>
      <c r="G61" s="21" t="n"/>
      <c r="H61" s="22" t="n"/>
      <c r="I61" s="20" t="n"/>
      <c r="J61" s="23">
        <f>IF(AND(B61="",C61="",N(H61)=0),"",IF(B61="","Enter the party name",IF(COUNTIF($B$13:$B$112,B61)&gt;1,"This name is used twice: enter each party once",IF(C61="","Pick Debtor or Creditor",IF(AND(N(H61)&gt;0,I61=""),"Pick Dr or Cr for the opening balance",IF(AND(L61=1,N(G61)&gt;45),"Over 45 days: the MSMED Act caps a written term at 45, so the book uses 45",IF(AND(L61=1,F61=""),"Ask for the Udyam Registration Number",IF(LEFT(E61,6)="Trader","Traders are MSMEs for bank lending only: ask your accountant before using the 45-day rule",IF(AND(C61="Creditor",LEFT(E61,6)="Medium"),"Medium enterprise: the MSMED payment rules do not apply",IF(AND(C61="Creditor",E61=""),"Ask the supplier whether they are a micro or small enterprise","OK"))))))))))</f>
        <v/>
      </c>
      <c r="L61">
        <f>IF(E61="",0,IFERROR(VLOOKUP(E61,Lists!$H$2:$I$6,2,FALSE),0))</f>
        <v/>
      </c>
      <c r="M61">
        <f>IF(N(H61)=0,0,IF(I61="Cr",-N(H61),N(H61)))</f>
        <v/>
      </c>
      <c r="N61">
        <f>IF(C61="Debtor",MAX(0,M61),IF(C61="Creditor",MAX(0,-M61),0))</f>
        <v/>
      </c>
      <c r="O61">
        <f>IF(C61="Debtor",MAX(0,-M61),IF(C61="Creditor",MAX(0,M61),0))</f>
        <v/>
      </c>
      <c r="P61">
        <f>IF(OR(AND(C61="Creditor",L61=1),AND(C61="Debtor",$E$9="Yes")),1,0)</f>
        <v/>
      </c>
      <c r="Q61">
        <f>IF(P61=1,IF(G61="",15,MIN(N(G61),45)),IF(G61="","",N(G61)))</f>
        <v/>
      </c>
    </row>
    <row r="62">
      <c r="B62" s="14" t="n"/>
      <c r="C62" s="20" t="n"/>
      <c r="D62" s="20" t="n"/>
      <c r="E62" s="14" t="n"/>
      <c r="F62" s="20" t="n"/>
      <c r="G62" s="21" t="n"/>
      <c r="H62" s="22" t="n"/>
      <c r="I62" s="20" t="n"/>
      <c r="J62" s="23">
        <f>IF(AND(B62="",C62="",N(H62)=0),"",IF(B62="","Enter the party name",IF(COUNTIF($B$13:$B$112,B62)&gt;1,"This name is used twice: enter each party once",IF(C62="","Pick Debtor or Creditor",IF(AND(N(H62)&gt;0,I62=""),"Pick Dr or Cr for the opening balance",IF(AND(L62=1,N(G62)&gt;45),"Over 45 days: the MSMED Act caps a written term at 45, so the book uses 45",IF(AND(L62=1,F62=""),"Ask for the Udyam Registration Number",IF(LEFT(E62,6)="Trader","Traders are MSMEs for bank lending only: ask your accountant before using the 45-day rule",IF(AND(C62="Creditor",LEFT(E62,6)="Medium"),"Medium enterprise: the MSMED payment rules do not apply",IF(AND(C62="Creditor",E62=""),"Ask the supplier whether they are a micro or small enterprise","OK"))))))))))</f>
        <v/>
      </c>
      <c r="L62">
        <f>IF(E62="",0,IFERROR(VLOOKUP(E62,Lists!$H$2:$I$6,2,FALSE),0))</f>
        <v/>
      </c>
      <c r="M62">
        <f>IF(N(H62)=0,0,IF(I62="Cr",-N(H62),N(H62)))</f>
        <v/>
      </c>
      <c r="N62">
        <f>IF(C62="Debtor",MAX(0,M62),IF(C62="Creditor",MAX(0,-M62),0))</f>
        <v/>
      </c>
      <c r="O62">
        <f>IF(C62="Debtor",MAX(0,-M62),IF(C62="Creditor",MAX(0,M62),0))</f>
        <v/>
      </c>
      <c r="P62">
        <f>IF(OR(AND(C62="Creditor",L62=1),AND(C62="Debtor",$E$9="Yes")),1,0)</f>
        <v/>
      </c>
      <c r="Q62">
        <f>IF(P62=1,IF(G62="",15,MIN(N(G62),45)),IF(G62="","",N(G62)))</f>
        <v/>
      </c>
    </row>
    <row r="63">
      <c r="B63" s="14" t="n"/>
      <c r="C63" s="20" t="n"/>
      <c r="D63" s="20" t="n"/>
      <c r="E63" s="14" t="n"/>
      <c r="F63" s="20" t="n"/>
      <c r="G63" s="21" t="n"/>
      <c r="H63" s="22" t="n"/>
      <c r="I63" s="20" t="n"/>
      <c r="J63" s="23">
        <f>IF(AND(B63="",C63="",N(H63)=0),"",IF(B63="","Enter the party name",IF(COUNTIF($B$13:$B$112,B63)&gt;1,"This name is used twice: enter each party once",IF(C63="","Pick Debtor or Creditor",IF(AND(N(H63)&gt;0,I63=""),"Pick Dr or Cr for the opening balance",IF(AND(L63=1,N(G63)&gt;45),"Over 45 days: the MSMED Act caps a written term at 45, so the book uses 45",IF(AND(L63=1,F63=""),"Ask for the Udyam Registration Number",IF(LEFT(E63,6)="Trader","Traders are MSMEs for bank lending only: ask your accountant before using the 45-day rule",IF(AND(C63="Creditor",LEFT(E63,6)="Medium"),"Medium enterprise: the MSMED payment rules do not apply",IF(AND(C63="Creditor",E63=""),"Ask the supplier whether they are a micro or small enterprise","OK"))))))))))</f>
        <v/>
      </c>
      <c r="L63">
        <f>IF(E63="",0,IFERROR(VLOOKUP(E63,Lists!$H$2:$I$6,2,FALSE),0))</f>
        <v/>
      </c>
      <c r="M63">
        <f>IF(N(H63)=0,0,IF(I63="Cr",-N(H63),N(H63)))</f>
        <v/>
      </c>
      <c r="N63">
        <f>IF(C63="Debtor",MAX(0,M63),IF(C63="Creditor",MAX(0,-M63),0))</f>
        <v/>
      </c>
      <c r="O63">
        <f>IF(C63="Debtor",MAX(0,-M63),IF(C63="Creditor",MAX(0,M63),0))</f>
        <v/>
      </c>
      <c r="P63">
        <f>IF(OR(AND(C63="Creditor",L63=1),AND(C63="Debtor",$E$9="Yes")),1,0)</f>
        <v/>
      </c>
      <c r="Q63">
        <f>IF(P63=1,IF(G63="",15,MIN(N(G63),45)),IF(G63="","",N(G63)))</f>
        <v/>
      </c>
    </row>
    <row r="64">
      <c r="B64" s="14" t="n"/>
      <c r="C64" s="20" t="n"/>
      <c r="D64" s="20" t="n"/>
      <c r="E64" s="14" t="n"/>
      <c r="F64" s="20" t="n"/>
      <c r="G64" s="21" t="n"/>
      <c r="H64" s="22" t="n"/>
      <c r="I64" s="20" t="n"/>
      <c r="J64" s="23">
        <f>IF(AND(B64="",C64="",N(H64)=0),"",IF(B64="","Enter the party name",IF(COUNTIF($B$13:$B$112,B64)&gt;1,"This name is used twice: enter each party once",IF(C64="","Pick Debtor or Creditor",IF(AND(N(H64)&gt;0,I64=""),"Pick Dr or Cr for the opening balance",IF(AND(L64=1,N(G64)&gt;45),"Over 45 days: the MSMED Act caps a written term at 45, so the book uses 45",IF(AND(L64=1,F64=""),"Ask for the Udyam Registration Number",IF(LEFT(E64,6)="Trader","Traders are MSMEs for bank lending only: ask your accountant before using the 45-day rule",IF(AND(C64="Creditor",LEFT(E64,6)="Medium"),"Medium enterprise: the MSMED payment rules do not apply",IF(AND(C64="Creditor",E64=""),"Ask the supplier whether they are a micro or small enterprise","OK"))))))))))</f>
        <v/>
      </c>
      <c r="L64">
        <f>IF(E64="",0,IFERROR(VLOOKUP(E64,Lists!$H$2:$I$6,2,FALSE),0))</f>
        <v/>
      </c>
      <c r="M64">
        <f>IF(N(H64)=0,0,IF(I64="Cr",-N(H64),N(H64)))</f>
        <v/>
      </c>
      <c r="N64">
        <f>IF(C64="Debtor",MAX(0,M64),IF(C64="Creditor",MAX(0,-M64),0))</f>
        <v/>
      </c>
      <c r="O64">
        <f>IF(C64="Debtor",MAX(0,-M64),IF(C64="Creditor",MAX(0,M64),0))</f>
        <v/>
      </c>
      <c r="P64">
        <f>IF(OR(AND(C64="Creditor",L64=1),AND(C64="Debtor",$E$9="Yes")),1,0)</f>
        <v/>
      </c>
      <c r="Q64">
        <f>IF(P64=1,IF(G64="",15,MIN(N(G64),45)),IF(G64="","",N(G64)))</f>
        <v/>
      </c>
    </row>
    <row r="65">
      <c r="B65" s="14" t="n"/>
      <c r="C65" s="20" t="n"/>
      <c r="D65" s="20" t="n"/>
      <c r="E65" s="14" t="n"/>
      <c r="F65" s="20" t="n"/>
      <c r="G65" s="21" t="n"/>
      <c r="H65" s="22" t="n"/>
      <c r="I65" s="20" t="n"/>
      <c r="J65" s="23">
        <f>IF(AND(B65="",C65="",N(H65)=0),"",IF(B65="","Enter the party name",IF(COUNTIF($B$13:$B$112,B65)&gt;1,"This name is used twice: enter each party once",IF(C65="","Pick Debtor or Creditor",IF(AND(N(H65)&gt;0,I65=""),"Pick Dr or Cr for the opening balance",IF(AND(L65=1,N(G65)&gt;45),"Over 45 days: the MSMED Act caps a written term at 45, so the book uses 45",IF(AND(L65=1,F65=""),"Ask for the Udyam Registration Number",IF(LEFT(E65,6)="Trader","Traders are MSMEs for bank lending only: ask your accountant before using the 45-day rule",IF(AND(C65="Creditor",LEFT(E65,6)="Medium"),"Medium enterprise: the MSMED payment rules do not apply",IF(AND(C65="Creditor",E65=""),"Ask the supplier whether they are a micro or small enterprise","OK"))))))))))</f>
        <v/>
      </c>
      <c r="L65">
        <f>IF(E65="",0,IFERROR(VLOOKUP(E65,Lists!$H$2:$I$6,2,FALSE),0))</f>
        <v/>
      </c>
      <c r="M65">
        <f>IF(N(H65)=0,0,IF(I65="Cr",-N(H65),N(H65)))</f>
        <v/>
      </c>
      <c r="N65">
        <f>IF(C65="Debtor",MAX(0,M65),IF(C65="Creditor",MAX(0,-M65),0))</f>
        <v/>
      </c>
      <c r="O65">
        <f>IF(C65="Debtor",MAX(0,-M65),IF(C65="Creditor",MAX(0,M65),0))</f>
        <v/>
      </c>
      <c r="P65">
        <f>IF(OR(AND(C65="Creditor",L65=1),AND(C65="Debtor",$E$9="Yes")),1,0)</f>
        <v/>
      </c>
      <c r="Q65">
        <f>IF(P65=1,IF(G65="",15,MIN(N(G65),45)),IF(G65="","",N(G65)))</f>
        <v/>
      </c>
    </row>
    <row r="66">
      <c r="B66" s="14" t="n"/>
      <c r="C66" s="20" t="n"/>
      <c r="D66" s="20" t="n"/>
      <c r="E66" s="14" t="n"/>
      <c r="F66" s="20" t="n"/>
      <c r="G66" s="21" t="n"/>
      <c r="H66" s="22" t="n"/>
      <c r="I66" s="20" t="n"/>
      <c r="J66" s="23">
        <f>IF(AND(B66="",C66="",N(H66)=0),"",IF(B66="","Enter the party name",IF(COUNTIF($B$13:$B$112,B66)&gt;1,"This name is used twice: enter each party once",IF(C66="","Pick Debtor or Creditor",IF(AND(N(H66)&gt;0,I66=""),"Pick Dr or Cr for the opening balance",IF(AND(L66=1,N(G66)&gt;45),"Over 45 days: the MSMED Act caps a written term at 45, so the book uses 45",IF(AND(L66=1,F66=""),"Ask for the Udyam Registration Number",IF(LEFT(E66,6)="Trader","Traders are MSMEs for bank lending only: ask your accountant before using the 45-day rule",IF(AND(C66="Creditor",LEFT(E66,6)="Medium"),"Medium enterprise: the MSMED payment rules do not apply",IF(AND(C66="Creditor",E66=""),"Ask the supplier whether they are a micro or small enterprise","OK"))))))))))</f>
        <v/>
      </c>
      <c r="L66">
        <f>IF(E66="",0,IFERROR(VLOOKUP(E66,Lists!$H$2:$I$6,2,FALSE),0))</f>
        <v/>
      </c>
      <c r="M66">
        <f>IF(N(H66)=0,0,IF(I66="Cr",-N(H66),N(H66)))</f>
        <v/>
      </c>
      <c r="N66">
        <f>IF(C66="Debtor",MAX(0,M66),IF(C66="Creditor",MAX(0,-M66),0))</f>
        <v/>
      </c>
      <c r="O66">
        <f>IF(C66="Debtor",MAX(0,-M66),IF(C66="Creditor",MAX(0,M66),0))</f>
        <v/>
      </c>
      <c r="P66">
        <f>IF(OR(AND(C66="Creditor",L66=1),AND(C66="Debtor",$E$9="Yes")),1,0)</f>
        <v/>
      </c>
      <c r="Q66">
        <f>IF(P66=1,IF(G66="",15,MIN(N(G66),45)),IF(G66="","",N(G66)))</f>
        <v/>
      </c>
    </row>
    <row r="67">
      <c r="B67" s="14" t="n"/>
      <c r="C67" s="20" t="n"/>
      <c r="D67" s="20" t="n"/>
      <c r="E67" s="14" t="n"/>
      <c r="F67" s="20" t="n"/>
      <c r="G67" s="21" t="n"/>
      <c r="H67" s="22" t="n"/>
      <c r="I67" s="20" t="n"/>
      <c r="J67" s="23">
        <f>IF(AND(B67="",C67="",N(H67)=0),"",IF(B67="","Enter the party name",IF(COUNTIF($B$13:$B$112,B67)&gt;1,"This name is used twice: enter each party once",IF(C67="","Pick Debtor or Creditor",IF(AND(N(H67)&gt;0,I67=""),"Pick Dr or Cr for the opening balance",IF(AND(L67=1,N(G67)&gt;45),"Over 45 days: the MSMED Act caps a written term at 45, so the book uses 45",IF(AND(L67=1,F67=""),"Ask for the Udyam Registration Number",IF(LEFT(E67,6)="Trader","Traders are MSMEs for bank lending only: ask your accountant before using the 45-day rule",IF(AND(C67="Creditor",LEFT(E67,6)="Medium"),"Medium enterprise: the MSMED payment rules do not apply",IF(AND(C67="Creditor",E67=""),"Ask the supplier whether they are a micro or small enterprise","OK"))))))))))</f>
        <v/>
      </c>
      <c r="L67">
        <f>IF(E67="",0,IFERROR(VLOOKUP(E67,Lists!$H$2:$I$6,2,FALSE),0))</f>
        <v/>
      </c>
      <c r="M67">
        <f>IF(N(H67)=0,0,IF(I67="Cr",-N(H67),N(H67)))</f>
        <v/>
      </c>
      <c r="N67">
        <f>IF(C67="Debtor",MAX(0,M67),IF(C67="Creditor",MAX(0,-M67),0))</f>
        <v/>
      </c>
      <c r="O67">
        <f>IF(C67="Debtor",MAX(0,-M67),IF(C67="Creditor",MAX(0,M67),0))</f>
        <v/>
      </c>
      <c r="P67">
        <f>IF(OR(AND(C67="Creditor",L67=1),AND(C67="Debtor",$E$9="Yes")),1,0)</f>
        <v/>
      </c>
      <c r="Q67">
        <f>IF(P67=1,IF(G67="",15,MIN(N(G67),45)),IF(G67="","",N(G67)))</f>
        <v/>
      </c>
    </row>
    <row r="68">
      <c r="B68" s="14" t="n"/>
      <c r="C68" s="20" t="n"/>
      <c r="D68" s="20" t="n"/>
      <c r="E68" s="14" t="n"/>
      <c r="F68" s="20" t="n"/>
      <c r="G68" s="21" t="n"/>
      <c r="H68" s="22" t="n"/>
      <c r="I68" s="20" t="n"/>
      <c r="J68" s="23">
        <f>IF(AND(B68="",C68="",N(H68)=0),"",IF(B68="","Enter the party name",IF(COUNTIF($B$13:$B$112,B68)&gt;1,"This name is used twice: enter each party once",IF(C68="","Pick Debtor or Creditor",IF(AND(N(H68)&gt;0,I68=""),"Pick Dr or Cr for the opening balance",IF(AND(L68=1,N(G68)&gt;45),"Over 45 days: the MSMED Act caps a written term at 45, so the book uses 45",IF(AND(L68=1,F68=""),"Ask for the Udyam Registration Number",IF(LEFT(E68,6)="Trader","Traders are MSMEs for bank lending only: ask your accountant before using the 45-day rule",IF(AND(C68="Creditor",LEFT(E68,6)="Medium"),"Medium enterprise: the MSMED payment rules do not apply",IF(AND(C68="Creditor",E68=""),"Ask the supplier whether they are a micro or small enterprise","OK"))))))))))</f>
        <v/>
      </c>
      <c r="L68">
        <f>IF(E68="",0,IFERROR(VLOOKUP(E68,Lists!$H$2:$I$6,2,FALSE),0))</f>
        <v/>
      </c>
      <c r="M68">
        <f>IF(N(H68)=0,0,IF(I68="Cr",-N(H68),N(H68)))</f>
        <v/>
      </c>
      <c r="N68">
        <f>IF(C68="Debtor",MAX(0,M68),IF(C68="Creditor",MAX(0,-M68),0))</f>
        <v/>
      </c>
      <c r="O68">
        <f>IF(C68="Debtor",MAX(0,-M68),IF(C68="Creditor",MAX(0,M68),0))</f>
        <v/>
      </c>
      <c r="P68">
        <f>IF(OR(AND(C68="Creditor",L68=1),AND(C68="Debtor",$E$9="Yes")),1,0)</f>
        <v/>
      </c>
      <c r="Q68">
        <f>IF(P68=1,IF(G68="",15,MIN(N(G68),45)),IF(G68="","",N(G68)))</f>
        <v/>
      </c>
    </row>
    <row r="69">
      <c r="B69" s="14" t="n"/>
      <c r="C69" s="20" t="n"/>
      <c r="D69" s="20" t="n"/>
      <c r="E69" s="14" t="n"/>
      <c r="F69" s="20" t="n"/>
      <c r="G69" s="21" t="n"/>
      <c r="H69" s="22" t="n"/>
      <c r="I69" s="20" t="n"/>
      <c r="J69" s="23">
        <f>IF(AND(B69="",C69="",N(H69)=0),"",IF(B69="","Enter the party name",IF(COUNTIF($B$13:$B$112,B69)&gt;1,"This name is used twice: enter each party once",IF(C69="","Pick Debtor or Creditor",IF(AND(N(H69)&gt;0,I69=""),"Pick Dr or Cr for the opening balance",IF(AND(L69=1,N(G69)&gt;45),"Over 45 days: the MSMED Act caps a written term at 45, so the book uses 45",IF(AND(L69=1,F69=""),"Ask for the Udyam Registration Number",IF(LEFT(E69,6)="Trader","Traders are MSMEs for bank lending only: ask your accountant before using the 45-day rule",IF(AND(C69="Creditor",LEFT(E69,6)="Medium"),"Medium enterprise: the MSMED payment rules do not apply",IF(AND(C69="Creditor",E69=""),"Ask the supplier whether they are a micro or small enterprise","OK"))))))))))</f>
        <v/>
      </c>
      <c r="L69">
        <f>IF(E69="",0,IFERROR(VLOOKUP(E69,Lists!$H$2:$I$6,2,FALSE),0))</f>
        <v/>
      </c>
      <c r="M69">
        <f>IF(N(H69)=0,0,IF(I69="Cr",-N(H69),N(H69)))</f>
        <v/>
      </c>
      <c r="N69">
        <f>IF(C69="Debtor",MAX(0,M69),IF(C69="Creditor",MAX(0,-M69),0))</f>
        <v/>
      </c>
      <c r="O69">
        <f>IF(C69="Debtor",MAX(0,-M69),IF(C69="Creditor",MAX(0,M69),0))</f>
        <v/>
      </c>
      <c r="P69">
        <f>IF(OR(AND(C69="Creditor",L69=1),AND(C69="Debtor",$E$9="Yes")),1,0)</f>
        <v/>
      </c>
      <c r="Q69">
        <f>IF(P69=1,IF(G69="",15,MIN(N(G69),45)),IF(G69="","",N(G69)))</f>
        <v/>
      </c>
    </row>
    <row r="70">
      <c r="B70" s="14" t="n"/>
      <c r="C70" s="20" t="n"/>
      <c r="D70" s="20" t="n"/>
      <c r="E70" s="14" t="n"/>
      <c r="F70" s="20" t="n"/>
      <c r="G70" s="21" t="n"/>
      <c r="H70" s="22" t="n"/>
      <c r="I70" s="20" t="n"/>
      <c r="J70" s="23">
        <f>IF(AND(B70="",C70="",N(H70)=0),"",IF(B70="","Enter the party name",IF(COUNTIF($B$13:$B$112,B70)&gt;1,"This name is used twice: enter each party once",IF(C70="","Pick Debtor or Creditor",IF(AND(N(H70)&gt;0,I70=""),"Pick Dr or Cr for the opening balance",IF(AND(L70=1,N(G70)&gt;45),"Over 45 days: the MSMED Act caps a written term at 45, so the book uses 45",IF(AND(L70=1,F70=""),"Ask for the Udyam Registration Number",IF(LEFT(E70,6)="Trader","Traders are MSMEs for bank lending only: ask your accountant before using the 45-day rule",IF(AND(C70="Creditor",LEFT(E70,6)="Medium"),"Medium enterprise: the MSMED payment rules do not apply",IF(AND(C70="Creditor",E70=""),"Ask the supplier whether they are a micro or small enterprise","OK"))))))))))</f>
        <v/>
      </c>
      <c r="L70">
        <f>IF(E70="",0,IFERROR(VLOOKUP(E70,Lists!$H$2:$I$6,2,FALSE),0))</f>
        <v/>
      </c>
      <c r="M70">
        <f>IF(N(H70)=0,0,IF(I70="Cr",-N(H70),N(H70)))</f>
        <v/>
      </c>
      <c r="N70">
        <f>IF(C70="Debtor",MAX(0,M70),IF(C70="Creditor",MAX(0,-M70),0))</f>
        <v/>
      </c>
      <c r="O70">
        <f>IF(C70="Debtor",MAX(0,-M70),IF(C70="Creditor",MAX(0,M70),0))</f>
        <v/>
      </c>
      <c r="P70">
        <f>IF(OR(AND(C70="Creditor",L70=1),AND(C70="Debtor",$E$9="Yes")),1,0)</f>
        <v/>
      </c>
      <c r="Q70">
        <f>IF(P70=1,IF(G70="",15,MIN(N(G70),45)),IF(G70="","",N(G70)))</f>
        <v/>
      </c>
    </row>
    <row r="71">
      <c r="B71" s="14" t="n"/>
      <c r="C71" s="20" t="n"/>
      <c r="D71" s="20" t="n"/>
      <c r="E71" s="14" t="n"/>
      <c r="F71" s="20" t="n"/>
      <c r="G71" s="21" t="n"/>
      <c r="H71" s="22" t="n"/>
      <c r="I71" s="20" t="n"/>
      <c r="J71" s="23">
        <f>IF(AND(B71="",C71="",N(H71)=0),"",IF(B71="","Enter the party name",IF(COUNTIF($B$13:$B$112,B71)&gt;1,"This name is used twice: enter each party once",IF(C71="","Pick Debtor or Creditor",IF(AND(N(H71)&gt;0,I71=""),"Pick Dr or Cr for the opening balance",IF(AND(L71=1,N(G71)&gt;45),"Over 45 days: the MSMED Act caps a written term at 45, so the book uses 45",IF(AND(L71=1,F71=""),"Ask for the Udyam Registration Number",IF(LEFT(E71,6)="Trader","Traders are MSMEs for bank lending only: ask your accountant before using the 45-day rule",IF(AND(C71="Creditor",LEFT(E71,6)="Medium"),"Medium enterprise: the MSMED payment rules do not apply",IF(AND(C71="Creditor",E71=""),"Ask the supplier whether they are a micro or small enterprise","OK"))))))))))</f>
        <v/>
      </c>
      <c r="L71">
        <f>IF(E71="",0,IFERROR(VLOOKUP(E71,Lists!$H$2:$I$6,2,FALSE),0))</f>
        <v/>
      </c>
      <c r="M71">
        <f>IF(N(H71)=0,0,IF(I71="Cr",-N(H71),N(H71)))</f>
        <v/>
      </c>
      <c r="N71">
        <f>IF(C71="Debtor",MAX(0,M71),IF(C71="Creditor",MAX(0,-M71),0))</f>
        <v/>
      </c>
      <c r="O71">
        <f>IF(C71="Debtor",MAX(0,-M71),IF(C71="Creditor",MAX(0,M71),0))</f>
        <v/>
      </c>
      <c r="P71">
        <f>IF(OR(AND(C71="Creditor",L71=1),AND(C71="Debtor",$E$9="Yes")),1,0)</f>
        <v/>
      </c>
      <c r="Q71">
        <f>IF(P71=1,IF(G71="",15,MIN(N(G71),45)),IF(G71="","",N(G71)))</f>
        <v/>
      </c>
    </row>
    <row r="72">
      <c r="B72" s="14" t="n"/>
      <c r="C72" s="20" t="n"/>
      <c r="D72" s="20" t="n"/>
      <c r="E72" s="14" t="n"/>
      <c r="F72" s="20" t="n"/>
      <c r="G72" s="21" t="n"/>
      <c r="H72" s="22" t="n"/>
      <c r="I72" s="20" t="n"/>
      <c r="J72" s="23">
        <f>IF(AND(B72="",C72="",N(H72)=0),"",IF(B72="","Enter the party name",IF(COUNTIF($B$13:$B$112,B72)&gt;1,"This name is used twice: enter each party once",IF(C72="","Pick Debtor or Creditor",IF(AND(N(H72)&gt;0,I72=""),"Pick Dr or Cr for the opening balance",IF(AND(L72=1,N(G72)&gt;45),"Over 45 days: the MSMED Act caps a written term at 45, so the book uses 45",IF(AND(L72=1,F72=""),"Ask for the Udyam Registration Number",IF(LEFT(E72,6)="Trader","Traders are MSMEs for bank lending only: ask your accountant before using the 45-day rule",IF(AND(C72="Creditor",LEFT(E72,6)="Medium"),"Medium enterprise: the MSMED payment rules do not apply",IF(AND(C72="Creditor",E72=""),"Ask the supplier whether they are a micro or small enterprise","OK"))))))))))</f>
        <v/>
      </c>
      <c r="L72">
        <f>IF(E72="",0,IFERROR(VLOOKUP(E72,Lists!$H$2:$I$6,2,FALSE),0))</f>
        <v/>
      </c>
      <c r="M72">
        <f>IF(N(H72)=0,0,IF(I72="Cr",-N(H72),N(H72)))</f>
        <v/>
      </c>
      <c r="N72">
        <f>IF(C72="Debtor",MAX(0,M72),IF(C72="Creditor",MAX(0,-M72),0))</f>
        <v/>
      </c>
      <c r="O72">
        <f>IF(C72="Debtor",MAX(0,-M72),IF(C72="Creditor",MAX(0,M72),0))</f>
        <v/>
      </c>
      <c r="P72">
        <f>IF(OR(AND(C72="Creditor",L72=1),AND(C72="Debtor",$E$9="Yes")),1,0)</f>
        <v/>
      </c>
      <c r="Q72">
        <f>IF(P72=1,IF(G72="",15,MIN(N(G72),45)),IF(G72="","",N(G72)))</f>
        <v/>
      </c>
    </row>
    <row r="73">
      <c r="B73" s="14" t="n"/>
      <c r="C73" s="20" t="n"/>
      <c r="D73" s="20" t="n"/>
      <c r="E73" s="14" t="n"/>
      <c r="F73" s="20" t="n"/>
      <c r="G73" s="21" t="n"/>
      <c r="H73" s="22" t="n"/>
      <c r="I73" s="20" t="n"/>
      <c r="J73" s="23">
        <f>IF(AND(B73="",C73="",N(H73)=0),"",IF(B73="","Enter the party name",IF(COUNTIF($B$13:$B$112,B73)&gt;1,"This name is used twice: enter each party once",IF(C73="","Pick Debtor or Creditor",IF(AND(N(H73)&gt;0,I73=""),"Pick Dr or Cr for the opening balance",IF(AND(L73=1,N(G73)&gt;45),"Over 45 days: the MSMED Act caps a written term at 45, so the book uses 45",IF(AND(L73=1,F73=""),"Ask for the Udyam Registration Number",IF(LEFT(E73,6)="Trader","Traders are MSMEs for bank lending only: ask your accountant before using the 45-day rule",IF(AND(C73="Creditor",LEFT(E73,6)="Medium"),"Medium enterprise: the MSMED payment rules do not apply",IF(AND(C73="Creditor",E73=""),"Ask the supplier whether they are a micro or small enterprise","OK"))))))))))</f>
        <v/>
      </c>
      <c r="L73">
        <f>IF(E73="",0,IFERROR(VLOOKUP(E73,Lists!$H$2:$I$6,2,FALSE),0))</f>
        <v/>
      </c>
      <c r="M73">
        <f>IF(N(H73)=0,0,IF(I73="Cr",-N(H73),N(H73)))</f>
        <v/>
      </c>
      <c r="N73">
        <f>IF(C73="Debtor",MAX(0,M73),IF(C73="Creditor",MAX(0,-M73),0))</f>
        <v/>
      </c>
      <c r="O73">
        <f>IF(C73="Debtor",MAX(0,-M73),IF(C73="Creditor",MAX(0,M73),0))</f>
        <v/>
      </c>
      <c r="P73">
        <f>IF(OR(AND(C73="Creditor",L73=1),AND(C73="Debtor",$E$9="Yes")),1,0)</f>
        <v/>
      </c>
      <c r="Q73">
        <f>IF(P73=1,IF(G73="",15,MIN(N(G73),45)),IF(G73="","",N(G73)))</f>
        <v/>
      </c>
    </row>
    <row r="74">
      <c r="B74" s="14" t="n"/>
      <c r="C74" s="20" t="n"/>
      <c r="D74" s="20" t="n"/>
      <c r="E74" s="14" t="n"/>
      <c r="F74" s="20" t="n"/>
      <c r="G74" s="21" t="n"/>
      <c r="H74" s="22" t="n"/>
      <c r="I74" s="20" t="n"/>
      <c r="J74" s="23">
        <f>IF(AND(B74="",C74="",N(H74)=0),"",IF(B74="","Enter the party name",IF(COUNTIF($B$13:$B$112,B74)&gt;1,"This name is used twice: enter each party once",IF(C74="","Pick Debtor or Creditor",IF(AND(N(H74)&gt;0,I74=""),"Pick Dr or Cr for the opening balance",IF(AND(L74=1,N(G74)&gt;45),"Over 45 days: the MSMED Act caps a written term at 45, so the book uses 45",IF(AND(L74=1,F74=""),"Ask for the Udyam Registration Number",IF(LEFT(E74,6)="Trader","Traders are MSMEs for bank lending only: ask your accountant before using the 45-day rule",IF(AND(C74="Creditor",LEFT(E74,6)="Medium"),"Medium enterprise: the MSMED payment rules do not apply",IF(AND(C74="Creditor",E74=""),"Ask the supplier whether they are a micro or small enterprise","OK"))))))))))</f>
        <v/>
      </c>
      <c r="L74">
        <f>IF(E74="",0,IFERROR(VLOOKUP(E74,Lists!$H$2:$I$6,2,FALSE),0))</f>
        <v/>
      </c>
      <c r="M74">
        <f>IF(N(H74)=0,0,IF(I74="Cr",-N(H74),N(H74)))</f>
        <v/>
      </c>
      <c r="N74">
        <f>IF(C74="Debtor",MAX(0,M74),IF(C74="Creditor",MAX(0,-M74),0))</f>
        <v/>
      </c>
      <c r="O74">
        <f>IF(C74="Debtor",MAX(0,-M74),IF(C74="Creditor",MAX(0,M74),0))</f>
        <v/>
      </c>
      <c r="P74">
        <f>IF(OR(AND(C74="Creditor",L74=1),AND(C74="Debtor",$E$9="Yes")),1,0)</f>
        <v/>
      </c>
      <c r="Q74">
        <f>IF(P74=1,IF(G74="",15,MIN(N(G74),45)),IF(G74="","",N(G74)))</f>
        <v/>
      </c>
    </row>
    <row r="75">
      <c r="B75" s="14" t="n"/>
      <c r="C75" s="20" t="n"/>
      <c r="D75" s="20" t="n"/>
      <c r="E75" s="14" t="n"/>
      <c r="F75" s="20" t="n"/>
      <c r="G75" s="21" t="n"/>
      <c r="H75" s="22" t="n"/>
      <c r="I75" s="20" t="n"/>
      <c r="J75" s="23">
        <f>IF(AND(B75="",C75="",N(H75)=0),"",IF(B75="","Enter the party name",IF(COUNTIF($B$13:$B$112,B75)&gt;1,"This name is used twice: enter each party once",IF(C75="","Pick Debtor or Creditor",IF(AND(N(H75)&gt;0,I75=""),"Pick Dr or Cr for the opening balance",IF(AND(L75=1,N(G75)&gt;45),"Over 45 days: the MSMED Act caps a written term at 45, so the book uses 45",IF(AND(L75=1,F75=""),"Ask for the Udyam Registration Number",IF(LEFT(E75,6)="Trader","Traders are MSMEs for bank lending only: ask your accountant before using the 45-day rule",IF(AND(C75="Creditor",LEFT(E75,6)="Medium"),"Medium enterprise: the MSMED payment rules do not apply",IF(AND(C75="Creditor",E75=""),"Ask the supplier whether they are a micro or small enterprise","OK"))))))))))</f>
        <v/>
      </c>
      <c r="L75">
        <f>IF(E75="",0,IFERROR(VLOOKUP(E75,Lists!$H$2:$I$6,2,FALSE),0))</f>
        <v/>
      </c>
      <c r="M75">
        <f>IF(N(H75)=0,0,IF(I75="Cr",-N(H75),N(H75)))</f>
        <v/>
      </c>
      <c r="N75">
        <f>IF(C75="Debtor",MAX(0,M75),IF(C75="Creditor",MAX(0,-M75),0))</f>
        <v/>
      </c>
      <c r="O75">
        <f>IF(C75="Debtor",MAX(0,-M75),IF(C75="Creditor",MAX(0,M75),0))</f>
        <v/>
      </c>
      <c r="P75">
        <f>IF(OR(AND(C75="Creditor",L75=1),AND(C75="Debtor",$E$9="Yes")),1,0)</f>
        <v/>
      </c>
      <c r="Q75">
        <f>IF(P75=1,IF(G75="",15,MIN(N(G75),45)),IF(G75="","",N(G75)))</f>
        <v/>
      </c>
    </row>
    <row r="76">
      <c r="B76" s="14" t="n"/>
      <c r="C76" s="20" t="n"/>
      <c r="D76" s="20" t="n"/>
      <c r="E76" s="14" t="n"/>
      <c r="F76" s="20" t="n"/>
      <c r="G76" s="21" t="n"/>
      <c r="H76" s="22" t="n"/>
      <c r="I76" s="20" t="n"/>
      <c r="J76" s="23">
        <f>IF(AND(B76="",C76="",N(H76)=0),"",IF(B76="","Enter the party name",IF(COUNTIF($B$13:$B$112,B76)&gt;1,"This name is used twice: enter each party once",IF(C76="","Pick Debtor or Creditor",IF(AND(N(H76)&gt;0,I76=""),"Pick Dr or Cr for the opening balance",IF(AND(L76=1,N(G76)&gt;45),"Over 45 days: the MSMED Act caps a written term at 45, so the book uses 45",IF(AND(L76=1,F76=""),"Ask for the Udyam Registration Number",IF(LEFT(E76,6)="Trader","Traders are MSMEs for bank lending only: ask your accountant before using the 45-day rule",IF(AND(C76="Creditor",LEFT(E76,6)="Medium"),"Medium enterprise: the MSMED payment rules do not apply",IF(AND(C76="Creditor",E76=""),"Ask the supplier whether they are a micro or small enterprise","OK"))))))))))</f>
        <v/>
      </c>
      <c r="L76">
        <f>IF(E76="",0,IFERROR(VLOOKUP(E76,Lists!$H$2:$I$6,2,FALSE),0))</f>
        <v/>
      </c>
      <c r="M76">
        <f>IF(N(H76)=0,0,IF(I76="Cr",-N(H76),N(H76)))</f>
        <v/>
      </c>
      <c r="N76">
        <f>IF(C76="Debtor",MAX(0,M76),IF(C76="Creditor",MAX(0,-M76),0))</f>
        <v/>
      </c>
      <c r="O76">
        <f>IF(C76="Debtor",MAX(0,-M76),IF(C76="Creditor",MAX(0,M76),0))</f>
        <v/>
      </c>
      <c r="P76">
        <f>IF(OR(AND(C76="Creditor",L76=1),AND(C76="Debtor",$E$9="Yes")),1,0)</f>
        <v/>
      </c>
      <c r="Q76">
        <f>IF(P76=1,IF(G76="",15,MIN(N(G76),45)),IF(G76="","",N(G76)))</f>
        <v/>
      </c>
    </row>
    <row r="77">
      <c r="B77" s="14" t="n"/>
      <c r="C77" s="20" t="n"/>
      <c r="D77" s="20" t="n"/>
      <c r="E77" s="14" t="n"/>
      <c r="F77" s="20" t="n"/>
      <c r="G77" s="21" t="n"/>
      <c r="H77" s="22" t="n"/>
      <c r="I77" s="20" t="n"/>
      <c r="J77" s="23">
        <f>IF(AND(B77="",C77="",N(H77)=0),"",IF(B77="","Enter the party name",IF(COUNTIF($B$13:$B$112,B77)&gt;1,"This name is used twice: enter each party once",IF(C77="","Pick Debtor or Creditor",IF(AND(N(H77)&gt;0,I77=""),"Pick Dr or Cr for the opening balance",IF(AND(L77=1,N(G77)&gt;45),"Over 45 days: the MSMED Act caps a written term at 45, so the book uses 45",IF(AND(L77=1,F77=""),"Ask for the Udyam Registration Number",IF(LEFT(E77,6)="Trader","Traders are MSMEs for bank lending only: ask your accountant before using the 45-day rule",IF(AND(C77="Creditor",LEFT(E77,6)="Medium"),"Medium enterprise: the MSMED payment rules do not apply",IF(AND(C77="Creditor",E77=""),"Ask the supplier whether they are a micro or small enterprise","OK"))))))))))</f>
        <v/>
      </c>
      <c r="L77">
        <f>IF(E77="",0,IFERROR(VLOOKUP(E77,Lists!$H$2:$I$6,2,FALSE),0))</f>
        <v/>
      </c>
      <c r="M77">
        <f>IF(N(H77)=0,0,IF(I77="Cr",-N(H77),N(H77)))</f>
        <v/>
      </c>
      <c r="N77">
        <f>IF(C77="Debtor",MAX(0,M77),IF(C77="Creditor",MAX(0,-M77),0))</f>
        <v/>
      </c>
      <c r="O77">
        <f>IF(C77="Debtor",MAX(0,-M77),IF(C77="Creditor",MAX(0,M77),0))</f>
        <v/>
      </c>
      <c r="P77">
        <f>IF(OR(AND(C77="Creditor",L77=1),AND(C77="Debtor",$E$9="Yes")),1,0)</f>
        <v/>
      </c>
      <c r="Q77">
        <f>IF(P77=1,IF(G77="",15,MIN(N(G77),45)),IF(G77="","",N(G77)))</f>
        <v/>
      </c>
    </row>
    <row r="78">
      <c r="B78" s="14" t="n"/>
      <c r="C78" s="20" t="n"/>
      <c r="D78" s="20" t="n"/>
      <c r="E78" s="14" t="n"/>
      <c r="F78" s="20" t="n"/>
      <c r="G78" s="21" t="n"/>
      <c r="H78" s="22" t="n"/>
      <c r="I78" s="20" t="n"/>
      <c r="J78" s="23">
        <f>IF(AND(B78="",C78="",N(H78)=0),"",IF(B78="","Enter the party name",IF(COUNTIF($B$13:$B$112,B78)&gt;1,"This name is used twice: enter each party once",IF(C78="","Pick Debtor or Creditor",IF(AND(N(H78)&gt;0,I78=""),"Pick Dr or Cr for the opening balance",IF(AND(L78=1,N(G78)&gt;45),"Over 45 days: the MSMED Act caps a written term at 45, so the book uses 45",IF(AND(L78=1,F78=""),"Ask for the Udyam Registration Number",IF(LEFT(E78,6)="Trader","Traders are MSMEs for bank lending only: ask your accountant before using the 45-day rule",IF(AND(C78="Creditor",LEFT(E78,6)="Medium"),"Medium enterprise: the MSMED payment rules do not apply",IF(AND(C78="Creditor",E78=""),"Ask the supplier whether they are a micro or small enterprise","OK"))))))))))</f>
        <v/>
      </c>
      <c r="L78">
        <f>IF(E78="",0,IFERROR(VLOOKUP(E78,Lists!$H$2:$I$6,2,FALSE),0))</f>
        <v/>
      </c>
      <c r="M78">
        <f>IF(N(H78)=0,0,IF(I78="Cr",-N(H78),N(H78)))</f>
        <v/>
      </c>
      <c r="N78">
        <f>IF(C78="Debtor",MAX(0,M78),IF(C78="Creditor",MAX(0,-M78),0))</f>
        <v/>
      </c>
      <c r="O78">
        <f>IF(C78="Debtor",MAX(0,-M78),IF(C78="Creditor",MAX(0,M78),0))</f>
        <v/>
      </c>
      <c r="P78">
        <f>IF(OR(AND(C78="Creditor",L78=1),AND(C78="Debtor",$E$9="Yes")),1,0)</f>
        <v/>
      </c>
      <c r="Q78">
        <f>IF(P78=1,IF(G78="",15,MIN(N(G78),45)),IF(G78="","",N(G78)))</f>
        <v/>
      </c>
    </row>
    <row r="79">
      <c r="B79" s="14" t="n"/>
      <c r="C79" s="20" t="n"/>
      <c r="D79" s="20" t="n"/>
      <c r="E79" s="14" t="n"/>
      <c r="F79" s="20" t="n"/>
      <c r="G79" s="21" t="n"/>
      <c r="H79" s="22" t="n"/>
      <c r="I79" s="20" t="n"/>
      <c r="J79" s="23">
        <f>IF(AND(B79="",C79="",N(H79)=0),"",IF(B79="","Enter the party name",IF(COUNTIF($B$13:$B$112,B79)&gt;1,"This name is used twice: enter each party once",IF(C79="","Pick Debtor or Creditor",IF(AND(N(H79)&gt;0,I79=""),"Pick Dr or Cr for the opening balance",IF(AND(L79=1,N(G79)&gt;45),"Over 45 days: the MSMED Act caps a written term at 45, so the book uses 45",IF(AND(L79=1,F79=""),"Ask for the Udyam Registration Number",IF(LEFT(E79,6)="Trader","Traders are MSMEs for bank lending only: ask your accountant before using the 45-day rule",IF(AND(C79="Creditor",LEFT(E79,6)="Medium"),"Medium enterprise: the MSMED payment rules do not apply",IF(AND(C79="Creditor",E79=""),"Ask the supplier whether they are a micro or small enterprise","OK"))))))))))</f>
        <v/>
      </c>
      <c r="L79">
        <f>IF(E79="",0,IFERROR(VLOOKUP(E79,Lists!$H$2:$I$6,2,FALSE),0))</f>
        <v/>
      </c>
      <c r="M79">
        <f>IF(N(H79)=0,0,IF(I79="Cr",-N(H79),N(H79)))</f>
        <v/>
      </c>
      <c r="N79">
        <f>IF(C79="Debtor",MAX(0,M79),IF(C79="Creditor",MAX(0,-M79),0))</f>
        <v/>
      </c>
      <c r="O79">
        <f>IF(C79="Debtor",MAX(0,-M79),IF(C79="Creditor",MAX(0,M79),0))</f>
        <v/>
      </c>
      <c r="P79">
        <f>IF(OR(AND(C79="Creditor",L79=1),AND(C79="Debtor",$E$9="Yes")),1,0)</f>
        <v/>
      </c>
      <c r="Q79">
        <f>IF(P79=1,IF(G79="",15,MIN(N(G79),45)),IF(G79="","",N(G79)))</f>
        <v/>
      </c>
    </row>
    <row r="80">
      <c r="B80" s="14" t="n"/>
      <c r="C80" s="20" t="n"/>
      <c r="D80" s="20" t="n"/>
      <c r="E80" s="14" t="n"/>
      <c r="F80" s="20" t="n"/>
      <c r="G80" s="21" t="n"/>
      <c r="H80" s="22" t="n"/>
      <c r="I80" s="20" t="n"/>
      <c r="J80" s="23">
        <f>IF(AND(B80="",C80="",N(H80)=0),"",IF(B80="","Enter the party name",IF(COUNTIF($B$13:$B$112,B80)&gt;1,"This name is used twice: enter each party once",IF(C80="","Pick Debtor or Creditor",IF(AND(N(H80)&gt;0,I80=""),"Pick Dr or Cr for the opening balance",IF(AND(L80=1,N(G80)&gt;45),"Over 45 days: the MSMED Act caps a written term at 45, so the book uses 45",IF(AND(L80=1,F80=""),"Ask for the Udyam Registration Number",IF(LEFT(E80,6)="Trader","Traders are MSMEs for bank lending only: ask your accountant before using the 45-day rule",IF(AND(C80="Creditor",LEFT(E80,6)="Medium"),"Medium enterprise: the MSMED payment rules do not apply",IF(AND(C80="Creditor",E80=""),"Ask the supplier whether they are a micro or small enterprise","OK"))))))))))</f>
        <v/>
      </c>
      <c r="L80">
        <f>IF(E80="",0,IFERROR(VLOOKUP(E80,Lists!$H$2:$I$6,2,FALSE),0))</f>
        <v/>
      </c>
      <c r="M80">
        <f>IF(N(H80)=0,0,IF(I80="Cr",-N(H80),N(H80)))</f>
        <v/>
      </c>
      <c r="N80">
        <f>IF(C80="Debtor",MAX(0,M80),IF(C80="Creditor",MAX(0,-M80),0))</f>
        <v/>
      </c>
      <c r="O80">
        <f>IF(C80="Debtor",MAX(0,-M80),IF(C80="Creditor",MAX(0,M80),0))</f>
        <v/>
      </c>
      <c r="P80">
        <f>IF(OR(AND(C80="Creditor",L80=1),AND(C80="Debtor",$E$9="Yes")),1,0)</f>
        <v/>
      </c>
      <c r="Q80">
        <f>IF(P80=1,IF(G80="",15,MIN(N(G80),45)),IF(G80="","",N(G80)))</f>
        <v/>
      </c>
    </row>
    <row r="81">
      <c r="B81" s="14" t="n"/>
      <c r="C81" s="20" t="n"/>
      <c r="D81" s="20" t="n"/>
      <c r="E81" s="14" t="n"/>
      <c r="F81" s="20" t="n"/>
      <c r="G81" s="21" t="n"/>
      <c r="H81" s="22" t="n"/>
      <c r="I81" s="20" t="n"/>
      <c r="J81" s="23">
        <f>IF(AND(B81="",C81="",N(H81)=0),"",IF(B81="","Enter the party name",IF(COUNTIF($B$13:$B$112,B81)&gt;1,"This name is used twice: enter each party once",IF(C81="","Pick Debtor or Creditor",IF(AND(N(H81)&gt;0,I81=""),"Pick Dr or Cr for the opening balance",IF(AND(L81=1,N(G81)&gt;45),"Over 45 days: the MSMED Act caps a written term at 45, so the book uses 45",IF(AND(L81=1,F81=""),"Ask for the Udyam Registration Number",IF(LEFT(E81,6)="Trader","Traders are MSMEs for bank lending only: ask your accountant before using the 45-day rule",IF(AND(C81="Creditor",LEFT(E81,6)="Medium"),"Medium enterprise: the MSMED payment rules do not apply",IF(AND(C81="Creditor",E81=""),"Ask the supplier whether they are a micro or small enterprise","OK"))))))))))</f>
        <v/>
      </c>
      <c r="L81">
        <f>IF(E81="",0,IFERROR(VLOOKUP(E81,Lists!$H$2:$I$6,2,FALSE),0))</f>
        <v/>
      </c>
      <c r="M81">
        <f>IF(N(H81)=0,0,IF(I81="Cr",-N(H81),N(H81)))</f>
        <v/>
      </c>
      <c r="N81">
        <f>IF(C81="Debtor",MAX(0,M81),IF(C81="Creditor",MAX(0,-M81),0))</f>
        <v/>
      </c>
      <c r="O81">
        <f>IF(C81="Debtor",MAX(0,-M81),IF(C81="Creditor",MAX(0,M81),0))</f>
        <v/>
      </c>
      <c r="P81">
        <f>IF(OR(AND(C81="Creditor",L81=1),AND(C81="Debtor",$E$9="Yes")),1,0)</f>
        <v/>
      </c>
      <c r="Q81">
        <f>IF(P81=1,IF(G81="",15,MIN(N(G81),45)),IF(G81="","",N(G81)))</f>
        <v/>
      </c>
    </row>
    <row r="82">
      <c r="B82" s="14" t="n"/>
      <c r="C82" s="20" t="n"/>
      <c r="D82" s="20" t="n"/>
      <c r="E82" s="14" t="n"/>
      <c r="F82" s="20" t="n"/>
      <c r="G82" s="21" t="n"/>
      <c r="H82" s="22" t="n"/>
      <c r="I82" s="20" t="n"/>
      <c r="J82" s="23">
        <f>IF(AND(B82="",C82="",N(H82)=0),"",IF(B82="","Enter the party name",IF(COUNTIF($B$13:$B$112,B82)&gt;1,"This name is used twice: enter each party once",IF(C82="","Pick Debtor or Creditor",IF(AND(N(H82)&gt;0,I82=""),"Pick Dr or Cr for the opening balance",IF(AND(L82=1,N(G82)&gt;45),"Over 45 days: the MSMED Act caps a written term at 45, so the book uses 45",IF(AND(L82=1,F82=""),"Ask for the Udyam Registration Number",IF(LEFT(E82,6)="Trader","Traders are MSMEs for bank lending only: ask your accountant before using the 45-day rule",IF(AND(C82="Creditor",LEFT(E82,6)="Medium"),"Medium enterprise: the MSMED payment rules do not apply",IF(AND(C82="Creditor",E82=""),"Ask the supplier whether they are a micro or small enterprise","OK"))))))))))</f>
        <v/>
      </c>
      <c r="L82">
        <f>IF(E82="",0,IFERROR(VLOOKUP(E82,Lists!$H$2:$I$6,2,FALSE),0))</f>
        <v/>
      </c>
      <c r="M82">
        <f>IF(N(H82)=0,0,IF(I82="Cr",-N(H82),N(H82)))</f>
        <v/>
      </c>
      <c r="N82">
        <f>IF(C82="Debtor",MAX(0,M82),IF(C82="Creditor",MAX(0,-M82),0))</f>
        <v/>
      </c>
      <c r="O82">
        <f>IF(C82="Debtor",MAX(0,-M82),IF(C82="Creditor",MAX(0,M82),0))</f>
        <v/>
      </c>
      <c r="P82">
        <f>IF(OR(AND(C82="Creditor",L82=1),AND(C82="Debtor",$E$9="Yes")),1,0)</f>
        <v/>
      </c>
      <c r="Q82">
        <f>IF(P82=1,IF(G82="",15,MIN(N(G82),45)),IF(G82="","",N(G82)))</f>
        <v/>
      </c>
    </row>
    <row r="83">
      <c r="B83" s="14" t="n"/>
      <c r="C83" s="20" t="n"/>
      <c r="D83" s="20" t="n"/>
      <c r="E83" s="14" t="n"/>
      <c r="F83" s="20" t="n"/>
      <c r="G83" s="21" t="n"/>
      <c r="H83" s="22" t="n"/>
      <c r="I83" s="20" t="n"/>
      <c r="J83" s="23">
        <f>IF(AND(B83="",C83="",N(H83)=0),"",IF(B83="","Enter the party name",IF(COUNTIF($B$13:$B$112,B83)&gt;1,"This name is used twice: enter each party once",IF(C83="","Pick Debtor or Creditor",IF(AND(N(H83)&gt;0,I83=""),"Pick Dr or Cr for the opening balance",IF(AND(L83=1,N(G83)&gt;45),"Over 45 days: the MSMED Act caps a written term at 45, so the book uses 45",IF(AND(L83=1,F83=""),"Ask for the Udyam Registration Number",IF(LEFT(E83,6)="Trader","Traders are MSMEs for bank lending only: ask your accountant before using the 45-day rule",IF(AND(C83="Creditor",LEFT(E83,6)="Medium"),"Medium enterprise: the MSMED payment rules do not apply",IF(AND(C83="Creditor",E83=""),"Ask the supplier whether they are a micro or small enterprise","OK"))))))))))</f>
        <v/>
      </c>
      <c r="L83">
        <f>IF(E83="",0,IFERROR(VLOOKUP(E83,Lists!$H$2:$I$6,2,FALSE),0))</f>
        <v/>
      </c>
      <c r="M83">
        <f>IF(N(H83)=0,0,IF(I83="Cr",-N(H83),N(H83)))</f>
        <v/>
      </c>
      <c r="N83">
        <f>IF(C83="Debtor",MAX(0,M83),IF(C83="Creditor",MAX(0,-M83),0))</f>
        <v/>
      </c>
      <c r="O83">
        <f>IF(C83="Debtor",MAX(0,-M83),IF(C83="Creditor",MAX(0,M83),0))</f>
        <v/>
      </c>
      <c r="P83">
        <f>IF(OR(AND(C83="Creditor",L83=1),AND(C83="Debtor",$E$9="Yes")),1,0)</f>
        <v/>
      </c>
      <c r="Q83">
        <f>IF(P83=1,IF(G83="",15,MIN(N(G83),45)),IF(G83="","",N(G83)))</f>
        <v/>
      </c>
    </row>
    <row r="84">
      <c r="B84" s="14" t="n"/>
      <c r="C84" s="20" t="n"/>
      <c r="D84" s="20" t="n"/>
      <c r="E84" s="14" t="n"/>
      <c r="F84" s="20" t="n"/>
      <c r="G84" s="21" t="n"/>
      <c r="H84" s="22" t="n"/>
      <c r="I84" s="20" t="n"/>
      <c r="J84" s="23">
        <f>IF(AND(B84="",C84="",N(H84)=0),"",IF(B84="","Enter the party name",IF(COUNTIF($B$13:$B$112,B84)&gt;1,"This name is used twice: enter each party once",IF(C84="","Pick Debtor or Creditor",IF(AND(N(H84)&gt;0,I84=""),"Pick Dr or Cr for the opening balance",IF(AND(L84=1,N(G84)&gt;45),"Over 45 days: the MSMED Act caps a written term at 45, so the book uses 45",IF(AND(L84=1,F84=""),"Ask for the Udyam Registration Number",IF(LEFT(E84,6)="Trader","Traders are MSMEs for bank lending only: ask your accountant before using the 45-day rule",IF(AND(C84="Creditor",LEFT(E84,6)="Medium"),"Medium enterprise: the MSMED payment rules do not apply",IF(AND(C84="Creditor",E84=""),"Ask the supplier whether they are a micro or small enterprise","OK"))))))))))</f>
        <v/>
      </c>
      <c r="L84">
        <f>IF(E84="",0,IFERROR(VLOOKUP(E84,Lists!$H$2:$I$6,2,FALSE),0))</f>
        <v/>
      </c>
      <c r="M84">
        <f>IF(N(H84)=0,0,IF(I84="Cr",-N(H84),N(H84)))</f>
        <v/>
      </c>
      <c r="N84">
        <f>IF(C84="Debtor",MAX(0,M84),IF(C84="Creditor",MAX(0,-M84),0))</f>
        <v/>
      </c>
      <c r="O84">
        <f>IF(C84="Debtor",MAX(0,-M84),IF(C84="Creditor",MAX(0,M84),0))</f>
        <v/>
      </c>
      <c r="P84">
        <f>IF(OR(AND(C84="Creditor",L84=1),AND(C84="Debtor",$E$9="Yes")),1,0)</f>
        <v/>
      </c>
      <c r="Q84">
        <f>IF(P84=1,IF(G84="",15,MIN(N(G84),45)),IF(G84="","",N(G84)))</f>
        <v/>
      </c>
    </row>
    <row r="85">
      <c r="B85" s="14" t="n"/>
      <c r="C85" s="20" t="n"/>
      <c r="D85" s="20" t="n"/>
      <c r="E85" s="14" t="n"/>
      <c r="F85" s="20" t="n"/>
      <c r="G85" s="21" t="n"/>
      <c r="H85" s="22" t="n"/>
      <c r="I85" s="20" t="n"/>
      <c r="J85" s="23">
        <f>IF(AND(B85="",C85="",N(H85)=0),"",IF(B85="","Enter the party name",IF(COUNTIF($B$13:$B$112,B85)&gt;1,"This name is used twice: enter each party once",IF(C85="","Pick Debtor or Creditor",IF(AND(N(H85)&gt;0,I85=""),"Pick Dr or Cr for the opening balance",IF(AND(L85=1,N(G85)&gt;45),"Over 45 days: the MSMED Act caps a written term at 45, so the book uses 45",IF(AND(L85=1,F85=""),"Ask for the Udyam Registration Number",IF(LEFT(E85,6)="Trader","Traders are MSMEs for bank lending only: ask your accountant before using the 45-day rule",IF(AND(C85="Creditor",LEFT(E85,6)="Medium"),"Medium enterprise: the MSMED payment rules do not apply",IF(AND(C85="Creditor",E85=""),"Ask the supplier whether they are a micro or small enterprise","OK"))))))))))</f>
        <v/>
      </c>
      <c r="L85">
        <f>IF(E85="",0,IFERROR(VLOOKUP(E85,Lists!$H$2:$I$6,2,FALSE),0))</f>
        <v/>
      </c>
      <c r="M85">
        <f>IF(N(H85)=0,0,IF(I85="Cr",-N(H85),N(H85)))</f>
        <v/>
      </c>
      <c r="N85">
        <f>IF(C85="Debtor",MAX(0,M85),IF(C85="Creditor",MAX(0,-M85),0))</f>
        <v/>
      </c>
      <c r="O85">
        <f>IF(C85="Debtor",MAX(0,-M85),IF(C85="Creditor",MAX(0,M85),0))</f>
        <v/>
      </c>
      <c r="P85">
        <f>IF(OR(AND(C85="Creditor",L85=1),AND(C85="Debtor",$E$9="Yes")),1,0)</f>
        <v/>
      </c>
      <c r="Q85">
        <f>IF(P85=1,IF(G85="",15,MIN(N(G85),45)),IF(G85="","",N(G85)))</f>
        <v/>
      </c>
    </row>
    <row r="86">
      <c r="B86" s="14" t="n"/>
      <c r="C86" s="20" t="n"/>
      <c r="D86" s="20" t="n"/>
      <c r="E86" s="14" t="n"/>
      <c r="F86" s="20" t="n"/>
      <c r="G86" s="21" t="n"/>
      <c r="H86" s="22" t="n"/>
      <c r="I86" s="20" t="n"/>
      <c r="J86" s="23">
        <f>IF(AND(B86="",C86="",N(H86)=0),"",IF(B86="","Enter the party name",IF(COUNTIF($B$13:$B$112,B86)&gt;1,"This name is used twice: enter each party once",IF(C86="","Pick Debtor or Creditor",IF(AND(N(H86)&gt;0,I86=""),"Pick Dr or Cr for the opening balance",IF(AND(L86=1,N(G86)&gt;45),"Over 45 days: the MSMED Act caps a written term at 45, so the book uses 45",IF(AND(L86=1,F86=""),"Ask for the Udyam Registration Number",IF(LEFT(E86,6)="Trader","Traders are MSMEs for bank lending only: ask your accountant before using the 45-day rule",IF(AND(C86="Creditor",LEFT(E86,6)="Medium"),"Medium enterprise: the MSMED payment rules do not apply",IF(AND(C86="Creditor",E86=""),"Ask the supplier whether they are a micro or small enterprise","OK"))))))))))</f>
        <v/>
      </c>
      <c r="L86">
        <f>IF(E86="",0,IFERROR(VLOOKUP(E86,Lists!$H$2:$I$6,2,FALSE),0))</f>
        <v/>
      </c>
      <c r="M86">
        <f>IF(N(H86)=0,0,IF(I86="Cr",-N(H86),N(H86)))</f>
        <v/>
      </c>
      <c r="N86">
        <f>IF(C86="Debtor",MAX(0,M86),IF(C86="Creditor",MAX(0,-M86),0))</f>
        <v/>
      </c>
      <c r="O86">
        <f>IF(C86="Debtor",MAX(0,-M86),IF(C86="Creditor",MAX(0,M86),0))</f>
        <v/>
      </c>
      <c r="P86">
        <f>IF(OR(AND(C86="Creditor",L86=1),AND(C86="Debtor",$E$9="Yes")),1,0)</f>
        <v/>
      </c>
      <c r="Q86">
        <f>IF(P86=1,IF(G86="",15,MIN(N(G86),45)),IF(G86="","",N(G86)))</f>
        <v/>
      </c>
    </row>
    <row r="87">
      <c r="B87" s="14" t="n"/>
      <c r="C87" s="20" t="n"/>
      <c r="D87" s="20" t="n"/>
      <c r="E87" s="14" t="n"/>
      <c r="F87" s="20" t="n"/>
      <c r="G87" s="21" t="n"/>
      <c r="H87" s="22" t="n"/>
      <c r="I87" s="20" t="n"/>
      <c r="J87" s="23">
        <f>IF(AND(B87="",C87="",N(H87)=0),"",IF(B87="","Enter the party name",IF(COUNTIF($B$13:$B$112,B87)&gt;1,"This name is used twice: enter each party once",IF(C87="","Pick Debtor or Creditor",IF(AND(N(H87)&gt;0,I87=""),"Pick Dr or Cr for the opening balance",IF(AND(L87=1,N(G87)&gt;45),"Over 45 days: the MSMED Act caps a written term at 45, so the book uses 45",IF(AND(L87=1,F87=""),"Ask for the Udyam Registration Number",IF(LEFT(E87,6)="Trader","Traders are MSMEs for bank lending only: ask your accountant before using the 45-day rule",IF(AND(C87="Creditor",LEFT(E87,6)="Medium"),"Medium enterprise: the MSMED payment rules do not apply",IF(AND(C87="Creditor",E87=""),"Ask the supplier whether they are a micro or small enterprise","OK"))))))))))</f>
        <v/>
      </c>
      <c r="L87">
        <f>IF(E87="",0,IFERROR(VLOOKUP(E87,Lists!$H$2:$I$6,2,FALSE),0))</f>
        <v/>
      </c>
      <c r="M87">
        <f>IF(N(H87)=0,0,IF(I87="Cr",-N(H87),N(H87)))</f>
        <v/>
      </c>
      <c r="N87">
        <f>IF(C87="Debtor",MAX(0,M87),IF(C87="Creditor",MAX(0,-M87),0))</f>
        <v/>
      </c>
      <c r="O87">
        <f>IF(C87="Debtor",MAX(0,-M87),IF(C87="Creditor",MAX(0,M87),0))</f>
        <v/>
      </c>
      <c r="P87">
        <f>IF(OR(AND(C87="Creditor",L87=1),AND(C87="Debtor",$E$9="Yes")),1,0)</f>
        <v/>
      </c>
      <c r="Q87">
        <f>IF(P87=1,IF(G87="",15,MIN(N(G87),45)),IF(G87="","",N(G87)))</f>
        <v/>
      </c>
    </row>
    <row r="88">
      <c r="B88" s="14" t="n"/>
      <c r="C88" s="20" t="n"/>
      <c r="D88" s="20" t="n"/>
      <c r="E88" s="14" t="n"/>
      <c r="F88" s="20" t="n"/>
      <c r="G88" s="21" t="n"/>
      <c r="H88" s="22" t="n"/>
      <c r="I88" s="20" t="n"/>
      <c r="J88" s="23">
        <f>IF(AND(B88="",C88="",N(H88)=0),"",IF(B88="","Enter the party name",IF(COUNTIF($B$13:$B$112,B88)&gt;1,"This name is used twice: enter each party once",IF(C88="","Pick Debtor or Creditor",IF(AND(N(H88)&gt;0,I88=""),"Pick Dr or Cr for the opening balance",IF(AND(L88=1,N(G88)&gt;45),"Over 45 days: the MSMED Act caps a written term at 45, so the book uses 45",IF(AND(L88=1,F88=""),"Ask for the Udyam Registration Number",IF(LEFT(E88,6)="Trader","Traders are MSMEs for bank lending only: ask your accountant before using the 45-day rule",IF(AND(C88="Creditor",LEFT(E88,6)="Medium"),"Medium enterprise: the MSMED payment rules do not apply",IF(AND(C88="Creditor",E88=""),"Ask the supplier whether they are a micro or small enterprise","OK"))))))))))</f>
        <v/>
      </c>
      <c r="L88">
        <f>IF(E88="",0,IFERROR(VLOOKUP(E88,Lists!$H$2:$I$6,2,FALSE),0))</f>
        <v/>
      </c>
      <c r="M88">
        <f>IF(N(H88)=0,0,IF(I88="Cr",-N(H88),N(H88)))</f>
        <v/>
      </c>
      <c r="N88">
        <f>IF(C88="Debtor",MAX(0,M88),IF(C88="Creditor",MAX(0,-M88),0))</f>
        <v/>
      </c>
      <c r="O88">
        <f>IF(C88="Debtor",MAX(0,-M88),IF(C88="Creditor",MAX(0,M88),0))</f>
        <v/>
      </c>
      <c r="P88">
        <f>IF(OR(AND(C88="Creditor",L88=1),AND(C88="Debtor",$E$9="Yes")),1,0)</f>
        <v/>
      </c>
      <c r="Q88">
        <f>IF(P88=1,IF(G88="",15,MIN(N(G88),45)),IF(G88="","",N(G88)))</f>
        <v/>
      </c>
    </row>
    <row r="89">
      <c r="B89" s="14" t="n"/>
      <c r="C89" s="20" t="n"/>
      <c r="D89" s="20" t="n"/>
      <c r="E89" s="14" t="n"/>
      <c r="F89" s="20" t="n"/>
      <c r="G89" s="21" t="n"/>
      <c r="H89" s="22" t="n"/>
      <c r="I89" s="20" t="n"/>
      <c r="J89" s="23">
        <f>IF(AND(B89="",C89="",N(H89)=0),"",IF(B89="","Enter the party name",IF(COUNTIF($B$13:$B$112,B89)&gt;1,"This name is used twice: enter each party once",IF(C89="","Pick Debtor or Creditor",IF(AND(N(H89)&gt;0,I89=""),"Pick Dr or Cr for the opening balance",IF(AND(L89=1,N(G89)&gt;45),"Over 45 days: the MSMED Act caps a written term at 45, so the book uses 45",IF(AND(L89=1,F89=""),"Ask for the Udyam Registration Number",IF(LEFT(E89,6)="Trader","Traders are MSMEs for bank lending only: ask your accountant before using the 45-day rule",IF(AND(C89="Creditor",LEFT(E89,6)="Medium"),"Medium enterprise: the MSMED payment rules do not apply",IF(AND(C89="Creditor",E89=""),"Ask the supplier whether they are a micro or small enterprise","OK"))))))))))</f>
        <v/>
      </c>
      <c r="L89">
        <f>IF(E89="",0,IFERROR(VLOOKUP(E89,Lists!$H$2:$I$6,2,FALSE),0))</f>
        <v/>
      </c>
      <c r="M89">
        <f>IF(N(H89)=0,0,IF(I89="Cr",-N(H89),N(H89)))</f>
        <v/>
      </c>
      <c r="N89">
        <f>IF(C89="Debtor",MAX(0,M89),IF(C89="Creditor",MAX(0,-M89),0))</f>
        <v/>
      </c>
      <c r="O89">
        <f>IF(C89="Debtor",MAX(0,-M89),IF(C89="Creditor",MAX(0,M89),0))</f>
        <v/>
      </c>
      <c r="P89">
        <f>IF(OR(AND(C89="Creditor",L89=1),AND(C89="Debtor",$E$9="Yes")),1,0)</f>
        <v/>
      </c>
      <c r="Q89">
        <f>IF(P89=1,IF(G89="",15,MIN(N(G89),45)),IF(G89="","",N(G89)))</f>
        <v/>
      </c>
    </row>
    <row r="90">
      <c r="B90" s="14" t="n"/>
      <c r="C90" s="20" t="n"/>
      <c r="D90" s="20" t="n"/>
      <c r="E90" s="14" t="n"/>
      <c r="F90" s="20" t="n"/>
      <c r="G90" s="21" t="n"/>
      <c r="H90" s="22" t="n"/>
      <c r="I90" s="20" t="n"/>
      <c r="J90" s="23">
        <f>IF(AND(B90="",C90="",N(H90)=0),"",IF(B90="","Enter the party name",IF(COUNTIF($B$13:$B$112,B90)&gt;1,"This name is used twice: enter each party once",IF(C90="","Pick Debtor or Creditor",IF(AND(N(H90)&gt;0,I90=""),"Pick Dr or Cr for the opening balance",IF(AND(L90=1,N(G90)&gt;45),"Over 45 days: the MSMED Act caps a written term at 45, so the book uses 45",IF(AND(L90=1,F90=""),"Ask for the Udyam Registration Number",IF(LEFT(E90,6)="Trader","Traders are MSMEs for bank lending only: ask your accountant before using the 45-day rule",IF(AND(C90="Creditor",LEFT(E90,6)="Medium"),"Medium enterprise: the MSMED payment rules do not apply",IF(AND(C90="Creditor",E90=""),"Ask the supplier whether they are a micro or small enterprise","OK"))))))))))</f>
        <v/>
      </c>
      <c r="L90">
        <f>IF(E90="",0,IFERROR(VLOOKUP(E90,Lists!$H$2:$I$6,2,FALSE),0))</f>
        <v/>
      </c>
      <c r="M90">
        <f>IF(N(H90)=0,0,IF(I90="Cr",-N(H90),N(H90)))</f>
        <v/>
      </c>
      <c r="N90">
        <f>IF(C90="Debtor",MAX(0,M90),IF(C90="Creditor",MAX(0,-M90),0))</f>
        <v/>
      </c>
      <c r="O90">
        <f>IF(C90="Debtor",MAX(0,-M90),IF(C90="Creditor",MAX(0,M90),0))</f>
        <v/>
      </c>
      <c r="P90">
        <f>IF(OR(AND(C90="Creditor",L90=1),AND(C90="Debtor",$E$9="Yes")),1,0)</f>
        <v/>
      </c>
      <c r="Q90">
        <f>IF(P90=1,IF(G90="",15,MIN(N(G90),45)),IF(G90="","",N(G90)))</f>
        <v/>
      </c>
    </row>
    <row r="91">
      <c r="B91" s="14" t="n"/>
      <c r="C91" s="20" t="n"/>
      <c r="D91" s="20" t="n"/>
      <c r="E91" s="14" t="n"/>
      <c r="F91" s="20" t="n"/>
      <c r="G91" s="21" t="n"/>
      <c r="H91" s="22" t="n"/>
      <c r="I91" s="20" t="n"/>
      <c r="J91" s="23">
        <f>IF(AND(B91="",C91="",N(H91)=0),"",IF(B91="","Enter the party name",IF(COUNTIF($B$13:$B$112,B91)&gt;1,"This name is used twice: enter each party once",IF(C91="","Pick Debtor or Creditor",IF(AND(N(H91)&gt;0,I91=""),"Pick Dr or Cr for the opening balance",IF(AND(L91=1,N(G91)&gt;45),"Over 45 days: the MSMED Act caps a written term at 45, so the book uses 45",IF(AND(L91=1,F91=""),"Ask for the Udyam Registration Number",IF(LEFT(E91,6)="Trader","Traders are MSMEs for bank lending only: ask your accountant before using the 45-day rule",IF(AND(C91="Creditor",LEFT(E91,6)="Medium"),"Medium enterprise: the MSMED payment rules do not apply",IF(AND(C91="Creditor",E91=""),"Ask the supplier whether they are a micro or small enterprise","OK"))))))))))</f>
        <v/>
      </c>
      <c r="L91">
        <f>IF(E91="",0,IFERROR(VLOOKUP(E91,Lists!$H$2:$I$6,2,FALSE),0))</f>
        <v/>
      </c>
      <c r="M91">
        <f>IF(N(H91)=0,0,IF(I91="Cr",-N(H91),N(H91)))</f>
        <v/>
      </c>
      <c r="N91">
        <f>IF(C91="Debtor",MAX(0,M91),IF(C91="Creditor",MAX(0,-M91),0))</f>
        <v/>
      </c>
      <c r="O91">
        <f>IF(C91="Debtor",MAX(0,-M91),IF(C91="Creditor",MAX(0,M91),0))</f>
        <v/>
      </c>
      <c r="P91">
        <f>IF(OR(AND(C91="Creditor",L91=1),AND(C91="Debtor",$E$9="Yes")),1,0)</f>
        <v/>
      </c>
      <c r="Q91">
        <f>IF(P91=1,IF(G91="",15,MIN(N(G91),45)),IF(G91="","",N(G91)))</f>
        <v/>
      </c>
    </row>
    <row r="92">
      <c r="B92" s="14" t="n"/>
      <c r="C92" s="20" t="n"/>
      <c r="D92" s="20" t="n"/>
      <c r="E92" s="14" t="n"/>
      <c r="F92" s="20" t="n"/>
      <c r="G92" s="21" t="n"/>
      <c r="H92" s="22" t="n"/>
      <c r="I92" s="20" t="n"/>
      <c r="J92" s="23">
        <f>IF(AND(B92="",C92="",N(H92)=0),"",IF(B92="","Enter the party name",IF(COUNTIF($B$13:$B$112,B92)&gt;1,"This name is used twice: enter each party once",IF(C92="","Pick Debtor or Creditor",IF(AND(N(H92)&gt;0,I92=""),"Pick Dr or Cr for the opening balance",IF(AND(L92=1,N(G92)&gt;45),"Over 45 days: the MSMED Act caps a written term at 45, so the book uses 45",IF(AND(L92=1,F92=""),"Ask for the Udyam Registration Number",IF(LEFT(E92,6)="Trader","Traders are MSMEs for bank lending only: ask your accountant before using the 45-day rule",IF(AND(C92="Creditor",LEFT(E92,6)="Medium"),"Medium enterprise: the MSMED payment rules do not apply",IF(AND(C92="Creditor",E92=""),"Ask the supplier whether they are a micro or small enterprise","OK"))))))))))</f>
        <v/>
      </c>
      <c r="L92">
        <f>IF(E92="",0,IFERROR(VLOOKUP(E92,Lists!$H$2:$I$6,2,FALSE),0))</f>
        <v/>
      </c>
      <c r="M92">
        <f>IF(N(H92)=0,0,IF(I92="Cr",-N(H92),N(H92)))</f>
        <v/>
      </c>
      <c r="N92">
        <f>IF(C92="Debtor",MAX(0,M92),IF(C92="Creditor",MAX(0,-M92),0))</f>
        <v/>
      </c>
      <c r="O92">
        <f>IF(C92="Debtor",MAX(0,-M92),IF(C92="Creditor",MAX(0,M92),0))</f>
        <v/>
      </c>
      <c r="P92">
        <f>IF(OR(AND(C92="Creditor",L92=1),AND(C92="Debtor",$E$9="Yes")),1,0)</f>
        <v/>
      </c>
      <c r="Q92">
        <f>IF(P92=1,IF(G92="",15,MIN(N(G92),45)),IF(G92="","",N(G92)))</f>
        <v/>
      </c>
    </row>
    <row r="93">
      <c r="B93" s="14" t="n"/>
      <c r="C93" s="20" t="n"/>
      <c r="D93" s="20" t="n"/>
      <c r="E93" s="14" t="n"/>
      <c r="F93" s="20" t="n"/>
      <c r="G93" s="21" t="n"/>
      <c r="H93" s="22" t="n"/>
      <c r="I93" s="20" t="n"/>
      <c r="J93" s="23">
        <f>IF(AND(B93="",C93="",N(H93)=0),"",IF(B93="","Enter the party name",IF(COUNTIF($B$13:$B$112,B93)&gt;1,"This name is used twice: enter each party once",IF(C93="","Pick Debtor or Creditor",IF(AND(N(H93)&gt;0,I93=""),"Pick Dr or Cr for the opening balance",IF(AND(L93=1,N(G93)&gt;45),"Over 45 days: the MSMED Act caps a written term at 45, so the book uses 45",IF(AND(L93=1,F93=""),"Ask for the Udyam Registration Number",IF(LEFT(E93,6)="Trader","Traders are MSMEs for bank lending only: ask your accountant before using the 45-day rule",IF(AND(C93="Creditor",LEFT(E93,6)="Medium"),"Medium enterprise: the MSMED payment rules do not apply",IF(AND(C93="Creditor",E93=""),"Ask the supplier whether they are a micro or small enterprise","OK"))))))))))</f>
        <v/>
      </c>
      <c r="L93">
        <f>IF(E93="",0,IFERROR(VLOOKUP(E93,Lists!$H$2:$I$6,2,FALSE),0))</f>
        <v/>
      </c>
      <c r="M93">
        <f>IF(N(H93)=0,0,IF(I93="Cr",-N(H93),N(H93)))</f>
        <v/>
      </c>
      <c r="N93">
        <f>IF(C93="Debtor",MAX(0,M93),IF(C93="Creditor",MAX(0,-M93),0))</f>
        <v/>
      </c>
      <c r="O93">
        <f>IF(C93="Debtor",MAX(0,-M93),IF(C93="Creditor",MAX(0,M93),0))</f>
        <v/>
      </c>
      <c r="P93">
        <f>IF(OR(AND(C93="Creditor",L93=1),AND(C93="Debtor",$E$9="Yes")),1,0)</f>
        <v/>
      </c>
      <c r="Q93">
        <f>IF(P93=1,IF(G93="",15,MIN(N(G93),45)),IF(G93="","",N(G93)))</f>
        <v/>
      </c>
    </row>
    <row r="94">
      <c r="B94" s="14" t="n"/>
      <c r="C94" s="20" t="n"/>
      <c r="D94" s="20" t="n"/>
      <c r="E94" s="14" t="n"/>
      <c r="F94" s="20" t="n"/>
      <c r="G94" s="21" t="n"/>
      <c r="H94" s="22" t="n"/>
      <c r="I94" s="20" t="n"/>
      <c r="J94" s="23">
        <f>IF(AND(B94="",C94="",N(H94)=0),"",IF(B94="","Enter the party name",IF(COUNTIF($B$13:$B$112,B94)&gt;1,"This name is used twice: enter each party once",IF(C94="","Pick Debtor or Creditor",IF(AND(N(H94)&gt;0,I94=""),"Pick Dr or Cr for the opening balance",IF(AND(L94=1,N(G94)&gt;45),"Over 45 days: the MSMED Act caps a written term at 45, so the book uses 45",IF(AND(L94=1,F94=""),"Ask for the Udyam Registration Number",IF(LEFT(E94,6)="Trader","Traders are MSMEs for bank lending only: ask your accountant before using the 45-day rule",IF(AND(C94="Creditor",LEFT(E94,6)="Medium"),"Medium enterprise: the MSMED payment rules do not apply",IF(AND(C94="Creditor",E94=""),"Ask the supplier whether they are a micro or small enterprise","OK"))))))))))</f>
        <v/>
      </c>
      <c r="L94">
        <f>IF(E94="",0,IFERROR(VLOOKUP(E94,Lists!$H$2:$I$6,2,FALSE),0))</f>
        <v/>
      </c>
      <c r="M94">
        <f>IF(N(H94)=0,0,IF(I94="Cr",-N(H94),N(H94)))</f>
        <v/>
      </c>
      <c r="N94">
        <f>IF(C94="Debtor",MAX(0,M94),IF(C94="Creditor",MAX(0,-M94),0))</f>
        <v/>
      </c>
      <c r="O94">
        <f>IF(C94="Debtor",MAX(0,-M94),IF(C94="Creditor",MAX(0,M94),0))</f>
        <v/>
      </c>
      <c r="P94">
        <f>IF(OR(AND(C94="Creditor",L94=1),AND(C94="Debtor",$E$9="Yes")),1,0)</f>
        <v/>
      </c>
      <c r="Q94">
        <f>IF(P94=1,IF(G94="",15,MIN(N(G94),45)),IF(G94="","",N(G94)))</f>
        <v/>
      </c>
    </row>
    <row r="95">
      <c r="B95" s="14" t="n"/>
      <c r="C95" s="20" t="n"/>
      <c r="D95" s="20" t="n"/>
      <c r="E95" s="14" t="n"/>
      <c r="F95" s="20" t="n"/>
      <c r="G95" s="21" t="n"/>
      <c r="H95" s="22" t="n"/>
      <c r="I95" s="20" t="n"/>
      <c r="J95" s="23">
        <f>IF(AND(B95="",C95="",N(H95)=0),"",IF(B95="","Enter the party name",IF(COUNTIF($B$13:$B$112,B95)&gt;1,"This name is used twice: enter each party once",IF(C95="","Pick Debtor or Creditor",IF(AND(N(H95)&gt;0,I95=""),"Pick Dr or Cr for the opening balance",IF(AND(L95=1,N(G95)&gt;45),"Over 45 days: the MSMED Act caps a written term at 45, so the book uses 45",IF(AND(L95=1,F95=""),"Ask for the Udyam Registration Number",IF(LEFT(E95,6)="Trader","Traders are MSMEs for bank lending only: ask your accountant before using the 45-day rule",IF(AND(C95="Creditor",LEFT(E95,6)="Medium"),"Medium enterprise: the MSMED payment rules do not apply",IF(AND(C95="Creditor",E95=""),"Ask the supplier whether they are a micro or small enterprise","OK"))))))))))</f>
        <v/>
      </c>
      <c r="L95">
        <f>IF(E95="",0,IFERROR(VLOOKUP(E95,Lists!$H$2:$I$6,2,FALSE),0))</f>
        <v/>
      </c>
      <c r="M95">
        <f>IF(N(H95)=0,0,IF(I95="Cr",-N(H95),N(H95)))</f>
        <v/>
      </c>
      <c r="N95">
        <f>IF(C95="Debtor",MAX(0,M95),IF(C95="Creditor",MAX(0,-M95),0))</f>
        <v/>
      </c>
      <c r="O95">
        <f>IF(C95="Debtor",MAX(0,-M95),IF(C95="Creditor",MAX(0,M95),0))</f>
        <v/>
      </c>
      <c r="P95">
        <f>IF(OR(AND(C95="Creditor",L95=1),AND(C95="Debtor",$E$9="Yes")),1,0)</f>
        <v/>
      </c>
      <c r="Q95">
        <f>IF(P95=1,IF(G95="",15,MIN(N(G95),45)),IF(G95="","",N(G95)))</f>
        <v/>
      </c>
    </row>
    <row r="96">
      <c r="B96" s="14" t="n"/>
      <c r="C96" s="20" t="n"/>
      <c r="D96" s="20" t="n"/>
      <c r="E96" s="14" t="n"/>
      <c r="F96" s="20" t="n"/>
      <c r="G96" s="21" t="n"/>
      <c r="H96" s="22" t="n"/>
      <c r="I96" s="20" t="n"/>
      <c r="J96" s="23">
        <f>IF(AND(B96="",C96="",N(H96)=0),"",IF(B96="","Enter the party name",IF(COUNTIF($B$13:$B$112,B96)&gt;1,"This name is used twice: enter each party once",IF(C96="","Pick Debtor or Creditor",IF(AND(N(H96)&gt;0,I96=""),"Pick Dr or Cr for the opening balance",IF(AND(L96=1,N(G96)&gt;45),"Over 45 days: the MSMED Act caps a written term at 45, so the book uses 45",IF(AND(L96=1,F96=""),"Ask for the Udyam Registration Number",IF(LEFT(E96,6)="Trader","Traders are MSMEs for bank lending only: ask your accountant before using the 45-day rule",IF(AND(C96="Creditor",LEFT(E96,6)="Medium"),"Medium enterprise: the MSMED payment rules do not apply",IF(AND(C96="Creditor",E96=""),"Ask the supplier whether they are a micro or small enterprise","OK"))))))))))</f>
        <v/>
      </c>
      <c r="L96">
        <f>IF(E96="",0,IFERROR(VLOOKUP(E96,Lists!$H$2:$I$6,2,FALSE),0))</f>
        <v/>
      </c>
      <c r="M96">
        <f>IF(N(H96)=0,0,IF(I96="Cr",-N(H96),N(H96)))</f>
        <v/>
      </c>
      <c r="N96">
        <f>IF(C96="Debtor",MAX(0,M96),IF(C96="Creditor",MAX(0,-M96),0))</f>
        <v/>
      </c>
      <c r="O96">
        <f>IF(C96="Debtor",MAX(0,-M96),IF(C96="Creditor",MAX(0,M96),0))</f>
        <v/>
      </c>
      <c r="P96">
        <f>IF(OR(AND(C96="Creditor",L96=1),AND(C96="Debtor",$E$9="Yes")),1,0)</f>
        <v/>
      </c>
      <c r="Q96">
        <f>IF(P96=1,IF(G96="",15,MIN(N(G96),45)),IF(G96="","",N(G96)))</f>
        <v/>
      </c>
    </row>
    <row r="97">
      <c r="B97" s="14" t="n"/>
      <c r="C97" s="20" t="n"/>
      <c r="D97" s="20" t="n"/>
      <c r="E97" s="14" t="n"/>
      <c r="F97" s="20" t="n"/>
      <c r="G97" s="21" t="n"/>
      <c r="H97" s="22" t="n"/>
      <c r="I97" s="20" t="n"/>
      <c r="J97" s="23">
        <f>IF(AND(B97="",C97="",N(H97)=0),"",IF(B97="","Enter the party name",IF(COUNTIF($B$13:$B$112,B97)&gt;1,"This name is used twice: enter each party once",IF(C97="","Pick Debtor or Creditor",IF(AND(N(H97)&gt;0,I97=""),"Pick Dr or Cr for the opening balance",IF(AND(L97=1,N(G97)&gt;45),"Over 45 days: the MSMED Act caps a written term at 45, so the book uses 45",IF(AND(L97=1,F97=""),"Ask for the Udyam Registration Number",IF(LEFT(E97,6)="Trader","Traders are MSMEs for bank lending only: ask your accountant before using the 45-day rule",IF(AND(C97="Creditor",LEFT(E97,6)="Medium"),"Medium enterprise: the MSMED payment rules do not apply",IF(AND(C97="Creditor",E97=""),"Ask the supplier whether they are a micro or small enterprise","OK"))))))))))</f>
        <v/>
      </c>
      <c r="L97">
        <f>IF(E97="",0,IFERROR(VLOOKUP(E97,Lists!$H$2:$I$6,2,FALSE),0))</f>
        <v/>
      </c>
      <c r="M97">
        <f>IF(N(H97)=0,0,IF(I97="Cr",-N(H97),N(H97)))</f>
        <v/>
      </c>
      <c r="N97">
        <f>IF(C97="Debtor",MAX(0,M97),IF(C97="Creditor",MAX(0,-M97),0))</f>
        <v/>
      </c>
      <c r="O97">
        <f>IF(C97="Debtor",MAX(0,-M97),IF(C97="Creditor",MAX(0,M97),0))</f>
        <v/>
      </c>
      <c r="P97">
        <f>IF(OR(AND(C97="Creditor",L97=1),AND(C97="Debtor",$E$9="Yes")),1,0)</f>
        <v/>
      </c>
      <c r="Q97">
        <f>IF(P97=1,IF(G97="",15,MIN(N(G97),45)),IF(G97="","",N(G97)))</f>
        <v/>
      </c>
    </row>
    <row r="98">
      <c r="B98" s="14" t="n"/>
      <c r="C98" s="20" t="n"/>
      <c r="D98" s="20" t="n"/>
      <c r="E98" s="14" t="n"/>
      <c r="F98" s="20" t="n"/>
      <c r="G98" s="21" t="n"/>
      <c r="H98" s="22" t="n"/>
      <c r="I98" s="20" t="n"/>
      <c r="J98" s="23">
        <f>IF(AND(B98="",C98="",N(H98)=0),"",IF(B98="","Enter the party name",IF(COUNTIF($B$13:$B$112,B98)&gt;1,"This name is used twice: enter each party once",IF(C98="","Pick Debtor or Creditor",IF(AND(N(H98)&gt;0,I98=""),"Pick Dr or Cr for the opening balance",IF(AND(L98=1,N(G98)&gt;45),"Over 45 days: the MSMED Act caps a written term at 45, so the book uses 45",IF(AND(L98=1,F98=""),"Ask for the Udyam Registration Number",IF(LEFT(E98,6)="Trader","Traders are MSMEs for bank lending only: ask your accountant before using the 45-day rule",IF(AND(C98="Creditor",LEFT(E98,6)="Medium"),"Medium enterprise: the MSMED payment rules do not apply",IF(AND(C98="Creditor",E98=""),"Ask the supplier whether they are a micro or small enterprise","OK"))))))))))</f>
        <v/>
      </c>
      <c r="L98">
        <f>IF(E98="",0,IFERROR(VLOOKUP(E98,Lists!$H$2:$I$6,2,FALSE),0))</f>
        <v/>
      </c>
      <c r="M98">
        <f>IF(N(H98)=0,0,IF(I98="Cr",-N(H98),N(H98)))</f>
        <v/>
      </c>
      <c r="N98">
        <f>IF(C98="Debtor",MAX(0,M98),IF(C98="Creditor",MAX(0,-M98),0))</f>
        <v/>
      </c>
      <c r="O98">
        <f>IF(C98="Debtor",MAX(0,-M98),IF(C98="Creditor",MAX(0,M98),0))</f>
        <v/>
      </c>
      <c r="P98">
        <f>IF(OR(AND(C98="Creditor",L98=1),AND(C98="Debtor",$E$9="Yes")),1,0)</f>
        <v/>
      </c>
      <c r="Q98">
        <f>IF(P98=1,IF(G98="",15,MIN(N(G98),45)),IF(G98="","",N(G98)))</f>
        <v/>
      </c>
    </row>
    <row r="99">
      <c r="B99" s="14" t="n"/>
      <c r="C99" s="20" t="n"/>
      <c r="D99" s="20" t="n"/>
      <c r="E99" s="14" t="n"/>
      <c r="F99" s="20" t="n"/>
      <c r="G99" s="21" t="n"/>
      <c r="H99" s="22" t="n"/>
      <c r="I99" s="20" t="n"/>
      <c r="J99" s="23">
        <f>IF(AND(B99="",C99="",N(H99)=0),"",IF(B99="","Enter the party name",IF(COUNTIF($B$13:$B$112,B99)&gt;1,"This name is used twice: enter each party once",IF(C99="","Pick Debtor or Creditor",IF(AND(N(H99)&gt;0,I99=""),"Pick Dr or Cr for the opening balance",IF(AND(L99=1,N(G99)&gt;45),"Over 45 days: the MSMED Act caps a written term at 45, so the book uses 45",IF(AND(L99=1,F99=""),"Ask for the Udyam Registration Number",IF(LEFT(E99,6)="Trader","Traders are MSMEs for bank lending only: ask your accountant before using the 45-day rule",IF(AND(C99="Creditor",LEFT(E99,6)="Medium"),"Medium enterprise: the MSMED payment rules do not apply",IF(AND(C99="Creditor",E99=""),"Ask the supplier whether they are a micro or small enterprise","OK"))))))))))</f>
        <v/>
      </c>
      <c r="L99">
        <f>IF(E99="",0,IFERROR(VLOOKUP(E99,Lists!$H$2:$I$6,2,FALSE),0))</f>
        <v/>
      </c>
      <c r="M99">
        <f>IF(N(H99)=0,0,IF(I99="Cr",-N(H99),N(H99)))</f>
        <v/>
      </c>
      <c r="N99">
        <f>IF(C99="Debtor",MAX(0,M99),IF(C99="Creditor",MAX(0,-M99),0))</f>
        <v/>
      </c>
      <c r="O99">
        <f>IF(C99="Debtor",MAX(0,-M99),IF(C99="Creditor",MAX(0,M99),0))</f>
        <v/>
      </c>
      <c r="P99">
        <f>IF(OR(AND(C99="Creditor",L99=1),AND(C99="Debtor",$E$9="Yes")),1,0)</f>
        <v/>
      </c>
      <c r="Q99">
        <f>IF(P99=1,IF(G99="",15,MIN(N(G99),45)),IF(G99="","",N(G99)))</f>
        <v/>
      </c>
    </row>
    <row r="100">
      <c r="B100" s="14" t="n"/>
      <c r="C100" s="20" t="n"/>
      <c r="D100" s="20" t="n"/>
      <c r="E100" s="14" t="n"/>
      <c r="F100" s="20" t="n"/>
      <c r="G100" s="21" t="n"/>
      <c r="H100" s="22" t="n"/>
      <c r="I100" s="20" t="n"/>
      <c r="J100" s="23">
        <f>IF(AND(B100="",C100="",N(H100)=0),"",IF(B100="","Enter the party name",IF(COUNTIF($B$13:$B$112,B100)&gt;1,"This name is used twice: enter each party once",IF(C100="","Pick Debtor or Creditor",IF(AND(N(H100)&gt;0,I100=""),"Pick Dr or Cr for the opening balance",IF(AND(L100=1,N(G100)&gt;45),"Over 45 days: the MSMED Act caps a written term at 45, so the book uses 45",IF(AND(L100=1,F100=""),"Ask for the Udyam Registration Number",IF(LEFT(E100,6)="Trader","Traders are MSMEs for bank lending only: ask your accountant before using the 45-day rule",IF(AND(C100="Creditor",LEFT(E100,6)="Medium"),"Medium enterprise: the MSMED payment rules do not apply",IF(AND(C100="Creditor",E100=""),"Ask the supplier whether they are a micro or small enterprise","OK"))))))))))</f>
        <v/>
      </c>
      <c r="L100">
        <f>IF(E100="",0,IFERROR(VLOOKUP(E100,Lists!$H$2:$I$6,2,FALSE),0))</f>
        <v/>
      </c>
      <c r="M100">
        <f>IF(N(H100)=0,0,IF(I100="Cr",-N(H100),N(H100)))</f>
        <v/>
      </c>
      <c r="N100">
        <f>IF(C100="Debtor",MAX(0,M100),IF(C100="Creditor",MAX(0,-M100),0))</f>
        <v/>
      </c>
      <c r="O100">
        <f>IF(C100="Debtor",MAX(0,-M100),IF(C100="Creditor",MAX(0,M100),0))</f>
        <v/>
      </c>
      <c r="P100">
        <f>IF(OR(AND(C100="Creditor",L100=1),AND(C100="Debtor",$E$9="Yes")),1,0)</f>
        <v/>
      </c>
      <c r="Q100">
        <f>IF(P100=1,IF(G100="",15,MIN(N(G100),45)),IF(G100="","",N(G100)))</f>
        <v/>
      </c>
    </row>
    <row r="101">
      <c r="B101" s="14" t="n"/>
      <c r="C101" s="20" t="n"/>
      <c r="D101" s="20" t="n"/>
      <c r="E101" s="14" t="n"/>
      <c r="F101" s="20" t="n"/>
      <c r="G101" s="21" t="n"/>
      <c r="H101" s="22" t="n"/>
      <c r="I101" s="20" t="n"/>
      <c r="J101" s="23">
        <f>IF(AND(B101="",C101="",N(H101)=0),"",IF(B101="","Enter the party name",IF(COUNTIF($B$13:$B$112,B101)&gt;1,"This name is used twice: enter each party once",IF(C101="","Pick Debtor or Creditor",IF(AND(N(H101)&gt;0,I101=""),"Pick Dr or Cr for the opening balance",IF(AND(L101=1,N(G101)&gt;45),"Over 45 days: the MSMED Act caps a written term at 45, so the book uses 45",IF(AND(L101=1,F101=""),"Ask for the Udyam Registration Number",IF(LEFT(E101,6)="Trader","Traders are MSMEs for bank lending only: ask your accountant before using the 45-day rule",IF(AND(C101="Creditor",LEFT(E101,6)="Medium"),"Medium enterprise: the MSMED payment rules do not apply",IF(AND(C101="Creditor",E101=""),"Ask the supplier whether they are a micro or small enterprise","OK"))))))))))</f>
        <v/>
      </c>
      <c r="L101">
        <f>IF(E101="",0,IFERROR(VLOOKUP(E101,Lists!$H$2:$I$6,2,FALSE),0))</f>
        <v/>
      </c>
      <c r="M101">
        <f>IF(N(H101)=0,0,IF(I101="Cr",-N(H101),N(H101)))</f>
        <v/>
      </c>
      <c r="N101">
        <f>IF(C101="Debtor",MAX(0,M101),IF(C101="Creditor",MAX(0,-M101),0))</f>
        <v/>
      </c>
      <c r="O101">
        <f>IF(C101="Debtor",MAX(0,-M101),IF(C101="Creditor",MAX(0,M101),0))</f>
        <v/>
      </c>
      <c r="P101">
        <f>IF(OR(AND(C101="Creditor",L101=1),AND(C101="Debtor",$E$9="Yes")),1,0)</f>
        <v/>
      </c>
      <c r="Q101">
        <f>IF(P101=1,IF(G101="",15,MIN(N(G101),45)),IF(G101="","",N(G101)))</f>
        <v/>
      </c>
    </row>
    <row r="102">
      <c r="B102" s="14" t="n"/>
      <c r="C102" s="20" t="n"/>
      <c r="D102" s="20" t="n"/>
      <c r="E102" s="14" t="n"/>
      <c r="F102" s="20" t="n"/>
      <c r="G102" s="21" t="n"/>
      <c r="H102" s="22" t="n"/>
      <c r="I102" s="20" t="n"/>
      <c r="J102" s="23">
        <f>IF(AND(B102="",C102="",N(H102)=0),"",IF(B102="","Enter the party name",IF(COUNTIF($B$13:$B$112,B102)&gt;1,"This name is used twice: enter each party once",IF(C102="","Pick Debtor or Creditor",IF(AND(N(H102)&gt;0,I102=""),"Pick Dr or Cr for the opening balance",IF(AND(L102=1,N(G102)&gt;45),"Over 45 days: the MSMED Act caps a written term at 45, so the book uses 45",IF(AND(L102=1,F102=""),"Ask for the Udyam Registration Number",IF(LEFT(E102,6)="Trader","Traders are MSMEs for bank lending only: ask your accountant before using the 45-day rule",IF(AND(C102="Creditor",LEFT(E102,6)="Medium"),"Medium enterprise: the MSMED payment rules do not apply",IF(AND(C102="Creditor",E102=""),"Ask the supplier whether they are a micro or small enterprise","OK"))))))))))</f>
        <v/>
      </c>
      <c r="L102">
        <f>IF(E102="",0,IFERROR(VLOOKUP(E102,Lists!$H$2:$I$6,2,FALSE),0))</f>
        <v/>
      </c>
      <c r="M102">
        <f>IF(N(H102)=0,0,IF(I102="Cr",-N(H102),N(H102)))</f>
        <v/>
      </c>
      <c r="N102">
        <f>IF(C102="Debtor",MAX(0,M102),IF(C102="Creditor",MAX(0,-M102),0))</f>
        <v/>
      </c>
      <c r="O102">
        <f>IF(C102="Debtor",MAX(0,-M102),IF(C102="Creditor",MAX(0,M102),0))</f>
        <v/>
      </c>
      <c r="P102">
        <f>IF(OR(AND(C102="Creditor",L102=1),AND(C102="Debtor",$E$9="Yes")),1,0)</f>
        <v/>
      </c>
      <c r="Q102">
        <f>IF(P102=1,IF(G102="",15,MIN(N(G102),45)),IF(G102="","",N(G102)))</f>
        <v/>
      </c>
    </row>
    <row r="103">
      <c r="B103" s="14" t="n"/>
      <c r="C103" s="20" t="n"/>
      <c r="D103" s="20" t="n"/>
      <c r="E103" s="14" t="n"/>
      <c r="F103" s="20" t="n"/>
      <c r="G103" s="21" t="n"/>
      <c r="H103" s="22" t="n"/>
      <c r="I103" s="20" t="n"/>
      <c r="J103" s="23">
        <f>IF(AND(B103="",C103="",N(H103)=0),"",IF(B103="","Enter the party name",IF(COUNTIF($B$13:$B$112,B103)&gt;1,"This name is used twice: enter each party once",IF(C103="","Pick Debtor or Creditor",IF(AND(N(H103)&gt;0,I103=""),"Pick Dr or Cr for the opening balance",IF(AND(L103=1,N(G103)&gt;45),"Over 45 days: the MSMED Act caps a written term at 45, so the book uses 45",IF(AND(L103=1,F103=""),"Ask for the Udyam Registration Number",IF(LEFT(E103,6)="Trader","Traders are MSMEs for bank lending only: ask your accountant before using the 45-day rule",IF(AND(C103="Creditor",LEFT(E103,6)="Medium"),"Medium enterprise: the MSMED payment rules do not apply",IF(AND(C103="Creditor",E103=""),"Ask the supplier whether they are a micro or small enterprise","OK"))))))))))</f>
        <v/>
      </c>
      <c r="L103">
        <f>IF(E103="",0,IFERROR(VLOOKUP(E103,Lists!$H$2:$I$6,2,FALSE),0))</f>
        <v/>
      </c>
      <c r="M103">
        <f>IF(N(H103)=0,0,IF(I103="Cr",-N(H103),N(H103)))</f>
        <v/>
      </c>
      <c r="N103">
        <f>IF(C103="Debtor",MAX(0,M103),IF(C103="Creditor",MAX(0,-M103),0))</f>
        <v/>
      </c>
      <c r="O103">
        <f>IF(C103="Debtor",MAX(0,-M103),IF(C103="Creditor",MAX(0,M103),0))</f>
        <v/>
      </c>
      <c r="P103">
        <f>IF(OR(AND(C103="Creditor",L103=1),AND(C103="Debtor",$E$9="Yes")),1,0)</f>
        <v/>
      </c>
      <c r="Q103">
        <f>IF(P103=1,IF(G103="",15,MIN(N(G103),45)),IF(G103="","",N(G103)))</f>
        <v/>
      </c>
    </row>
    <row r="104">
      <c r="B104" s="14" t="n"/>
      <c r="C104" s="20" t="n"/>
      <c r="D104" s="20" t="n"/>
      <c r="E104" s="14" t="n"/>
      <c r="F104" s="20" t="n"/>
      <c r="G104" s="21" t="n"/>
      <c r="H104" s="22" t="n"/>
      <c r="I104" s="20" t="n"/>
      <c r="J104" s="23">
        <f>IF(AND(B104="",C104="",N(H104)=0),"",IF(B104="","Enter the party name",IF(COUNTIF($B$13:$B$112,B104)&gt;1,"This name is used twice: enter each party once",IF(C104="","Pick Debtor or Creditor",IF(AND(N(H104)&gt;0,I104=""),"Pick Dr or Cr for the opening balance",IF(AND(L104=1,N(G104)&gt;45),"Over 45 days: the MSMED Act caps a written term at 45, so the book uses 45",IF(AND(L104=1,F104=""),"Ask for the Udyam Registration Number",IF(LEFT(E104,6)="Trader","Traders are MSMEs for bank lending only: ask your accountant before using the 45-day rule",IF(AND(C104="Creditor",LEFT(E104,6)="Medium"),"Medium enterprise: the MSMED payment rules do not apply",IF(AND(C104="Creditor",E104=""),"Ask the supplier whether they are a micro or small enterprise","OK"))))))))))</f>
        <v/>
      </c>
      <c r="L104">
        <f>IF(E104="",0,IFERROR(VLOOKUP(E104,Lists!$H$2:$I$6,2,FALSE),0))</f>
        <v/>
      </c>
      <c r="M104">
        <f>IF(N(H104)=0,0,IF(I104="Cr",-N(H104),N(H104)))</f>
        <v/>
      </c>
      <c r="N104">
        <f>IF(C104="Debtor",MAX(0,M104),IF(C104="Creditor",MAX(0,-M104),0))</f>
        <v/>
      </c>
      <c r="O104">
        <f>IF(C104="Debtor",MAX(0,-M104),IF(C104="Creditor",MAX(0,M104),0))</f>
        <v/>
      </c>
      <c r="P104">
        <f>IF(OR(AND(C104="Creditor",L104=1),AND(C104="Debtor",$E$9="Yes")),1,0)</f>
        <v/>
      </c>
      <c r="Q104">
        <f>IF(P104=1,IF(G104="",15,MIN(N(G104),45)),IF(G104="","",N(G104)))</f>
        <v/>
      </c>
    </row>
    <row r="105">
      <c r="B105" s="14" t="n"/>
      <c r="C105" s="20" t="n"/>
      <c r="D105" s="20" t="n"/>
      <c r="E105" s="14" t="n"/>
      <c r="F105" s="20" t="n"/>
      <c r="G105" s="21" t="n"/>
      <c r="H105" s="22" t="n"/>
      <c r="I105" s="20" t="n"/>
      <c r="J105" s="23">
        <f>IF(AND(B105="",C105="",N(H105)=0),"",IF(B105="","Enter the party name",IF(COUNTIF($B$13:$B$112,B105)&gt;1,"This name is used twice: enter each party once",IF(C105="","Pick Debtor or Creditor",IF(AND(N(H105)&gt;0,I105=""),"Pick Dr or Cr for the opening balance",IF(AND(L105=1,N(G105)&gt;45),"Over 45 days: the MSMED Act caps a written term at 45, so the book uses 45",IF(AND(L105=1,F105=""),"Ask for the Udyam Registration Number",IF(LEFT(E105,6)="Trader","Traders are MSMEs for bank lending only: ask your accountant before using the 45-day rule",IF(AND(C105="Creditor",LEFT(E105,6)="Medium"),"Medium enterprise: the MSMED payment rules do not apply",IF(AND(C105="Creditor",E105=""),"Ask the supplier whether they are a micro or small enterprise","OK"))))))))))</f>
        <v/>
      </c>
      <c r="L105">
        <f>IF(E105="",0,IFERROR(VLOOKUP(E105,Lists!$H$2:$I$6,2,FALSE),0))</f>
        <v/>
      </c>
      <c r="M105">
        <f>IF(N(H105)=0,0,IF(I105="Cr",-N(H105),N(H105)))</f>
        <v/>
      </c>
      <c r="N105">
        <f>IF(C105="Debtor",MAX(0,M105),IF(C105="Creditor",MAX(0,-M105),0))</f>
        <v/>
      </c>
      <c r="O105">
        <f>IF(C105="Debtor",MAX(0,-M105),IF(C105="Creditor",MAX(0,M105),0))</f>
        <v/>
      </c>
      <c r="P105">
        <f>IF(OR(AND(C105="Creditor",L105=1),AND(C105="Debtor",$E$9="Yes")),1,0)</f>
        <v/>
      </c>
      <c r="Q105">
        <f>IF(P105=1,IF(G105="",15,MIN(N(G105),45)),IF(G105="","",N(G105)))</f>
        <v/>
      </c>
    </row>
    <row r="106">
      <c r="B106" s="14" t="n"/>
      <c r="C106" s="20" t="n"/>
      <c r="D106" s="20" t="n"/>
      <c r="E106" s="14" t="n"/>
      <c r="F106" s="20" t="n"/>
      <c r="G106" s="21" t="n"/>
      <c r="H106" s="22" t="n"/>
      <c r="I106" s="20" t="n"/>
      <c r="J106" s="23">
        <f>IF(AND(B106="",C106="",N(H106)=0),"",IF(B106="","Enter the party name",IF(COUNTIF($B$13:$B$112,B106)&gt;1,"This name is used twice: enter each party once",IF(C106="","Pick Debtor or Creditor",IF(AND(N(H106)&gt;0,I106=""),"Pick Dr or Cr for the opening balance",IF(AND(L106=1,N(G106)&gt;45),"Over 45 days: the MSMED Act caps a written term at 45, so the book uses 45",IF(AND(L106=1,F106=""),"Ask for the Udyam Registration Number",IF(LEFT(E106,6)="Trader","Traders are MSMEs for bank lending only: ask your accountant before using the 45-day rule",IF(AND(C106="Creditor",LEFT(E106,6)="Medium"),"Medium enterprise: the MSMED payment rules do not apply",IF(AND(C106="Creditor",E106=""),"Ask the supplier whether they are a micro or small enterprise","OK"))))))))))</f>
        <v/>
      </c>
      <c r="L106">
        <f>IF(E106="",0,IFERROR(VLOOKUP(E106,Lists!$H$2:$I$6,2,FALSE),0))</f>
        <v/>
      </c>
      <c r="M106">
        <f>IF(N(H106)=0,0,IF(I106="Cr",-N(H106),N(H106)))</f>
        <v/>
      </c>
      <c r="N106">
        <f>IF(C106="Debtor",MAX(0,M106),IF(C106="Creditor",MAX(0,-M106),0))</f>
        <v/>
      </c>
      <c r="O106">
        <f>IF(C106="Debtor",MAX(0,-M106),IF(C106="Creditor",MAX(0,M106),0))</f>
        <v/>
      </c>
      <c r="P106">
        <f>IF(OR(AND(C106="Creditor",L106=1),AND(C106="Debtor",$E$9="Yes")),1,0)</f>
        <v/>
      </c>
      <c r="Q106">
        <f>IF(P106=1,IF(G106="",15,MIN(N(G106),45)),IF(G106="","",N(G106)))</f>
        <v/>
      </c>
    </row>
    <row r="107">
      <c r="B107" s="14" t="n"/>
      <c r="C107" s="20" t="n"/>
      <c r="D107" s="20" t="n"/>
      <c r="E107" s="14" t="n"/>
      <c r="F107" s="20" t="n"/>
      <c r="G107" s="21" t="n"/>
      <c r="H107" s="22" t="n"/>
      <c r="I107" s="20" t="n"/>
      <c r="J107" s="23">
        <f>IF(AND(B107="",C107="",N(H107)=0),"",IF(B107="","Enter the party name",IF(COUNTIF($B$13:$B$112,B107)&gt;1,"This name is used twice: enter each party once",IF(C107="","Pick Debtor or Creditor",IF(AND(N(H107)&gt;0,I107=""),"Pick Dr or Cr for the opening balance",IF(AND(L107=1,N(G107)&gt;45),"Over 45 days: the MSMED Act caps a written term at 45, so the book uses 45",IF(AND(L107=1,F107=""),"Ask for the Udyam Registration Number",IF(LEFT(E107,6)="Trader","Traders are MSMEs for bank lending only: ask your accountant before using the 45-day rule",IF(AND(C107="Creditor",LEFT(E107,6)="Medium"),"Medium enterprise: the MSMED payment rules do not apply",IF(AND(C107="Creditor",E107=""),"Ask the supplier whether they are a micro or small enterprise","OK"))))))))))</f>
        <v/>
      </c>
      <c r="L107">
        <f>IF(E107="",0,IFERROR(VLOOKUP(E107,Lists!$H$2:$I$6,2,FALSE),0))</f>
        <v/>
      </c>
      <c r="M107">
        <f>IF(N(H107)=0,0,IF(I107="Cr",-N(H107),N(H107)))</f>
        <v/>
      </c>
      <c r="N107">
        <f>IF(C107="Debtor",MAX(0,M107),IF(C107="Creditor",MAX(0,-M107),0))</f>
        <v/>
      </c>
      <c r="O107">
        <f>IF(C107="Debtor",MAX(0,-M107),IF(C107="Creditor",MAX(0,M107),0))</f>
        <v/>
      </c>
      <c r="P107">
        <f>IF(OR(AND(C107="Creditor",L107=1),AND(C107="Debtor",$E$9="Yes")),1,0)</f>
        <v/>
      </c>
      <c r="Q107">
        <f>IF(P107=1,IF(G107="",15,MIN(N(G107),45)),IF(G107="","",N(G107)))</f>
        <v/>
      </c>
    </row>
    <row r="108">
      <c r="B108" s="14" t="n"/>
      <c r="C108" s="20" t="n"/>
      <c r="D108" s="20" t="n"/>
      <c r="E108" s="14" t="n"/>
      <c r="F108" s="20" t="n"/>
      <c r="G108" s="21" t="n"/>
      <c r="H108" s="22" t="n"/>
      <c r="I108" s="20" t="n"/>
      <c r="J108" s="23">
        <f>IF(AND(B108="",C108="",N(H108)=0),"",IF(B108="","Enter the party name",IF(COUNTIF($B$13:$B$112,B108)&gt;1,"This name is used twice: enter each party once",IF(C108="","Pick Debtor or Creditor",IF(AND(N(H108)&gt;0,I108=""),"Pick Dr or Cr for the opening balance",IF(AND(L108=1,N(G108)&gt;45),"Over 45 days: the MSMED Act caps a written term at 45, so the book uses 45",IF(AND(L108=1,F108=""),"Ask for the Udyam Registration Number",IF(LEFT(E108,6)="Trader","Traders are MSMEs for bank lending only: ask your accountant before using the 45-day rule",IF(AND(C108="Creditor",LEFT(E108,6)="Medium"),"Medium enterprise: the MSMED payment rules do not apply",IF(AND(C108="Creditor",E108=""),"Ask the supplier whether they are a micro or small enterprise","OK"))))))))))</f>
        <v/>
      </c>
      <c r="L108">
        <f>IF(E108="",0,IFERROR(VLOOKUP(E108,Lists!$H$2:$I$6,2,FALSE),0))</f>
        <v/>
      </c>
      <c r="M108">
        <f>IF(N(H108)=0,0,IF(I108="Cr",-N(H108),N(H108)))</f>
        <v/>
      </c>
      <c r="N108">
        <f>IF(C108="Debtor",MAX(0,M108),IF(C108="Creditor",MAX(0,-M108),0))</f>
        <v/>
      </c>
      <c r="O108">
        <f>IF(C108="Debtor",MAX(0,-M108),IF(C108="Creditor",MAX(0,M108),0))</f>
        <v/>
      </c>
      <c r="P108">
        <f>IF(OR(AND(C108="Creditor",L108=1),AND(C108="Debtor",$E$9="Yes")),1,0)</f>
        <v/>
      </c>
      <c r="Q108">
        <f>IF(P108=1,IF(G108="",15,MIN(N(G108),45)),IF(G108="","",N(G108)))</f>
        <v/>
      </c>
    </row>
    <row r="109">
      <c r="B109" s="14" t="n"/>
      <c r="C109" s="20" t="n"/>
      <c r="D109" s="20" t="n"/>
      <c r="E109" s="14" t="n"/>
      <c r="F109" s="20" t="n"/>
      <c r="G109" s="21" t="n"/>
      <c r="H109" s="22" t="n"/>
      <c r="I109" s="20" t="n"/>
      <c r="J109" s="23">
        <f>IF(AND(B109="",C109="",N(H109)=0),"",IF(B109="","Enter the party name",IF(COUNTIF($B$13:$B$112,B109)&gt;1,"This name is used twice: enter each party once",IF(C109="","Pick Debtor or Creditor",IF(AND(N(H109)&gt;0,I109=""),"Pick Dr or Cr for the opening balance",IF(AND(L109=1,N(G109)&gt;45),"Over 45 days: the MSMED Act caps a written term at 45, so the book uses 45",IF(AND(L109=1,F109=""),"Ask for the Udyam Registration Number",IF(LEFT(E109,6)="Trader","Traders are MSMEs for bank lending only: ask your accountant before using the 45-day rule",IF(AND(C109="Creditor",LEFT(E109,6)="Medium"),"Medium enterprise: the MSMED payment rules do not apply",IF(AND(C109="Creditor",E109=""),"Ask the supplier whether they are a micro or small enterprise","OK"))))))))))</f>
        <v/>
      </c>
      <c r="L109">
        <f>IF(E109="",0,IFERROR(VLOOKUP(E109,Lists!$H$2:$I$6,2,FALSE),0))</f>
        <v/>
      </c>
      <c r="M109">
        <f>IF(N(H109)=0,0,IF(I109="Cr",-N(H109),N(H109)))</f>
        <v/>
      </c>
      <c r="N109">
        <f>IF(C109="Debtor",MAX(0,M109),IF(C109="Creditor",MAX(0,-M109),0))</f>
        <v/>
      </c>
      <c r="O109">
        <f>IF(C109="Debtor",MAX(0,-M109),IF(C109="Creditor",MAX(0,M109),0))</f>
        <v/>
      </c>
      <c r="P109">
        <f>IF(OR(AND(C109="Creditor",L109=1),AND(C109="Debtor",$E$9="Yes")),1,0)</f>
        <v/>
      </c>
      <c r="Q109">
        <f>IF(P109=1,IF(G109="",15,MIN(N(G109),45)),IF(G109="","",N(G109)))</f>
        <v/>
      </c>
    </row>
    <row r="110">
      <c r="B110" s="14" t="n"/>
      <c r="C110" s="20" t="n"/>
      <c r="D110" s="20" t="n"/>
      <c r="E110" s="14" t="n"/>
      <c r="F110" s="20" t="n"/>
      <c r="G110" s="21" t="n"/>
      <c r="H110" s="22" t="n"/>
      <c r="I110" s="20" t="n"/>
      <c r="J110" s="23">
        <f>IF(AND(B110="",C110="",N(H110)=0),"",IF(B110="","Enter the party name",IF(COUNTIF($B$13:$B$112,B110)&gt;1,"This name is used twice: enter each party once",IF(C110="","Pick Debtor or Creditor",IF(AND(N(H110)&gt;0,I110=""),"Pick Dr or Cr for the opening balance",IF(AND(L110=1,N(G110)&gt;45),"Over 45 days: the MSMED Act caps a written term at 45, so the book uses 45",IF(AND(L110=1,F110=""),"Ask for the Udyam Registration Number",IF(LEFT(E110,6)="Trader","Traders are MSMEs for bank lending only: ask your accountant before using the 45-day rule",IF(AND(C110="Creditor",LEFT(E110,6)="Medium"),"Medium enterprise: the MSMED payment rules do not apply",IF(AND(C110="Creditor",E110=""),"Ask the supplier whether they are a micro or small enterprise","OK"))))))))))</f>
        <v/>
      </c>
      <c r="L110">
        <f>IF(E110="",0,IFERROR(VLOOKUP(E110,Lists!$H$2:$I$6,2,FALSE),0))</f>
        <v/>
      </c>
      <c r="M110">
        <f>IF(N(H110)=0,0,IF(I110="Cr",-N(H110),N(H110)))</f>
        <v/>
      </c>
      <c r="N110">
        <f>IF(C110="Debtor",MAX(0,M110),IF(C110="Creditor",MAX(0,-M110),0))</f>
        <v/>
      </c>
      <c r="O110">
        <f>IF(C110="Debtor",MAX(0,-M110),IF(C110="Creditor",MAX(0,M110),0))</f>
        <v/>
      </c>
      <c r="P110">
        <f>IF(OR(AND(C110="Creditor",L110=1),AND(C110="Debtor",$E$9="Yes")),1,0)</f>
        <v/>
      </c>
      <c r="Q110">
        <f>IF(P110=1,IF(G110="",15,MIN(N(G110),45)),IF(G110="","",N(G110)))</f>
        <v/>
      </c>
    </row>
    <row r="111">
      <c r="B111" s="14" t="n"/>
      <c r="C111" s="20" t="n"/>
      <c r="D111" s="20" t="n"/>
      <c r="E111" s="14" t="n"/>
      <c r="F111" s="20" t="n"/>
      <c r="G111" s="21" t="n"/>
      <c r="H111" s="22" t="n"/>
      <c r="I111" s="20" t="n"/>
      <c r="J111" s="23">
        <f>IF(AND(B111="",C111="",N(H111)=0),"",IF(B111="","Enter the party name",IF(COUNTIF($B$13:$B$112,B111)&gt;1,"This name is used twice: enter each party once",IF(C111="","Pick Debtor or Creditor",IF(AND(N(H111)&gt;0,I111=""),"Pick Dr or Cr for the opening balance",IF(AND(L111=1,N(G111)&gt;45),"Over 45 days: the MSMED Act caps a written term at 45, so the book uses 45",IF(AND(L111=1,F111=""),"Ask for the Udyam Registration Number",IF(LEFT(E111,6)="Trader","Traders are MSMEs for bank lending only: ask your accountant before using the 45-day rule",IF(AND(C111="Creditor",LEFT(E111,6)="Medium"),"Medium enterprise: the MSMED payment rules do not apply",IF(AND(C111="Creditor",E111=""),"Ask the supplier whether they are a micro or small enterprise","OK"))))))))))</f>
        <v/>
      </c>
      <c r="L111">
        <f>IF(E111="",0,IFERROR(VLOOKUP(E111,Lists!$H$2:$I$6,2,FALSE),0))</f>
        <v/>
      </c>
      <c r="M111">
        <f>IF(N(H111)=0,0,IF(I111="Cr",-N(H111),N(H111)))</f>
        <v/>
      </c>
      <c r="N111">
        <f>IF(C111="Debtor",MAX(0,M111),IF(C111="Creditor",MAX(0,-M111),0))</f>
        <v/>
      </c>
      <c r="O111">
        <f>IF(C111="Debtor",MAX(0,-M111),IF(C111="Creditor",MAX(0,M111),0))</f>
        <v/>
      </c>
      <c r="P111">
        <f>IF(OR(AND(C111="Creditor",L111=1),AND(C111="Debtor",$E$9="Yes")),1,0)</f>
        <v/>
      </c>
      <c r="Q111">
        <f>IF(P111=1,IF(G111="",15,MIN(N(G111),45)),IF(G111="","",N(G111)))</f>
        <v/>
      </c>
    </row>
    <row r="112">
      <c r="B112" s="14" t="n"/>
      <c r="C112" s="20" t="n"/>
      <c r="D112" s="20" t="n"/>
      <c r="E112" s="14" t="n"/>
      <c r="F112" s="20" t="n"/>
      <c r="G112" s="21" t="n"/>
      <c r="H112" s="22" t="n"/>
      <c r="I112" s="20" t="n"/>
      <c r="J112" s="23">
        <f>IF(AND(B112="",C112="",N(H112)=0),"",IF(B112="","Enter the party name",IF(COUNTIF($B$13:$B$112,B112)&gt;1,"This name is used twice: enter each party once",IF(C112="","Pick Debtor or Creditor",IF(AND(N(H112)&gt;0,I112=""),"Pick Dr or Cr for the opening balance",IF(AND(L112=1,N(G112)&gt;45),"Over 45 days: the MSMED Act caps a written term at 45, so the book uses 45",IF(AND(L112=1,F112=""),"Ask for the Udyam Registration Number",IF(LEFT(E112,6)="Trader","Traders are MSMEs for bank lending only: ask your accountant before using the 45-day rule",IF(AND(C112="Creditor",LEFT(E112,6)="Medium"),"Medium enterprise: the MSMED payment rules do not apply",IF(AND(C112="Creditor",E112=""),"Ask the supplier whether they are a micro or small enterprise","OK"))))))))))</f>
        <v/>
      </c>
      <c r="L112">
        <f>IF(E112="",0,IFERROR(VLOOKUP(E112,Lists!$H$2:$I$6,2,FALSE),0))</f>
        <v/>
      </c>
      <c r="M112">
        <f>IF(N(H112)=0,0,IF(I112="Cr",-N(H112),N(H112)))</f>
        <v/>
      </c>
      <c r="N112">
        <f>IF(C112="Debtor",MAX(0,M112),IF(C112="Creditor",MAX(0,-M112),0))</f>
        <v/>
      </c>
      <c r="O112">
        <f>IF(C112="Debtor",MAX(0,-M112),IF(C112="Creditor",MAX(0,M112),0))</f>
        <v/>
      </c>
      <c r="P112">
        <f>IF(OR(AND(C112="Creditor",L112=1),AND(C112="Debtor",$E$9="Yes")),1,0)</f>
        <v/>
      </c>
      <c r="Q112">
        <f>IF(P112=1,IF(G112="",15,MIN(N(G112),45)),IF(G112="","",N(G112)))</f>
        <v/>
      </c>
    </row>
    <row r="113"/>
    <row r="114" ht="28" customHeight="1">
      <c r="B114" s="8" t="inlineStr">
        <is>
          <t>Only a micro or small enterprise with Udyam registration is covered by the MSMED Act payment rules. A medium enterprise is not, and traders registered on Udyam are MSMEs for bank lending only. General guidance, not legal or tax advice.</t>
        </is>
      </c>
      <c r="C114" s="9" t="n"/>
      <c r="D114" s="9" t="n"/>
      <c r="E114" s="9" t="n"/>
      <c r="F114" s="9" t="n"/>
      <c r="G114" s="9" t="n"/>
      <c r="H114" s="9" t="n"/>
      <c r="I114" s="9" t="n"/>
      <c r="J114" s="9" t="n"/>
    </row>
    <row r="115"/>
    <row r="116" ht="16" customHeight="1">
      <c r="B116"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6">
    <mergeCell ref="B10:D10"/>
    <mergeCell ref="G10:J10"/>
    <mergeCell ref="B3:J3"/>
    <mergeCell ref="B5:J5"/>
    <mergeCell ref="E6:F6"/>
    <mergeCell ref="B114:J114"/>
    <mergeCell ref="E7:F7"/>
    <mergeCell ref="E10:F10"/>
    <mergeCell ref="B8:D8"/>
    <mergeCell ref="B9:D9"/>
    <mergeCell ref="B7:D7"/>
    <mergeCell ref="E9:F9"/>
    <mergeCell ref="B6:D6"/>
    <mergeCell ref="E8:F8"/>
    <mergeCell ref="B2:J2"/>
    <mergeCell ref="B116:J116"/>
  </mergeCells>
  <dataValidations count="8">
    <dataValidation sqref="E7" showDropDown="0" showInputMessage="0" showErrorMessage="1" allowBlank="1" errorTitle="Enter a date" error="Enter a date, for example 01-Apr-2026." type="date" operator="between">
      <formula1>DATE(2000,1,1)</formula1>
      <formula2>DATE(2100,12,31)</formula2>
    </dataValidation>
    <dataValidation sqref="E9" showDropDown="0" showInputMessage="0" showErrorMessage="1" allowBlank="1" errorTitle="Pick from the list" error="Pick an option from the drop-down list." type="list">
      <formula1>=Lists!$K$2:$K$3</formula1>
    </dataValidation>
    <dataValidation sqref="E10" showDropDown="0" showInputMessage="0" showErrorMessage="1" allowBlank="1" errorTitle="Enter a rate" error="Enter the rate as a percentage, for example 5.75%." type="decimal" operator="between">
      <formula1>0</formula1>
      <formula2>0.5</formula2>
    </dataValidation>
    <dataValidation sqref="C13:C112" showDropDown="0" showInputMessage="0" showErrorMessage="1" allowBlank="1" errorTitle="Pick from the list" error="Pick an option from the drop-down list." type="list">
      <formula1>=Lists!$F$2:$F$3</formula1>
    </dataValidation>
    <dataValidation sqref="E13:E112" showDropDown="0" showInputMessage="0" showErrorMessage="1" allowBlank="1" errorTitle="Pick from the list" error="Pick an option from the drop-down list." type="list">
      <formula1>=Lists!$H$2:$H$6</formula1>
    </dataValidation>
    <dataValidation sqref="I13:I112" showDropDown="0" showInputMessage="0" showErrorMessage="1" allowBlank="1" errorTitle="Pick from the list" error="Pick an option from the drop-down list." type="list">
      <formula1>=Lists!$K$4:$K$5</formula1>
    </dataValidation>
    <dataValidation sqref="H13:H112" showDropDown="0" showInputMessage="0" showErrorMessage="1" allowBlank="1" errorTitle="Enter an amount" error="Enter the amount in rupees as a number, with no minus sign." type="decimal" operator="greaterThanOrEqual">
      <formula1>0</formula1>
    </dataValidation>
    <dataValidation sqref="G13:G112" showDropDown="0" showInputMessage="0" showErrorMessage="1" allowBlank="1" errorTitle="Enter days" error="Enter the number of days, such as 30." type="whole" operator="between">
      <formula1>0</formula1>
      <formula2>365</formula2>
    </dataValidation>
  </dataValidations>
  <pageMargins left="0.3" right="0.3" top="0.4" bottom="0.4"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AK511"/>
  <sheetViews>
    <sheetView workbookViewId="0">
      <pane xSplit="3" ySplit="6" topLeftCell="D7" activePane="bottomRight" state="frozen"/>
      <selection pane="topRight"/>
      <selection pane="bottomLeft"/>
      <selection pane="bottomRight" activeCell="A1" sqref="A1"/>
    </sheetView>
  </sheetViews>
  <sheetFormatPr baseColWidth="8" defaultRowHeight="15"/>
  <cols>
    <col width="2" customWidth="1" min="1" max="1"/>
    <col width="13" customWidth="1" min="2" max="2"/>
    <col width="26" customWidth="1" min="3" max="3"/>
    <col width="24" customWidth="1" min="4" max="4"/>
    <col width="14" customWidth="1" min="5" max="5"/>
    <col width="14" customWidth="1" min="6" max="6"/>
    <col width="30" customWidth="1" min="7" max="7"/>
    <col width="13" customWidth="1" min="8" max="8"/>
    <col width="13" customWidth="1" min="9" max="9"/>
    <col width="13" customWidth="1" min="10" max="10"/>
    <col width="13" customWidth="1" min="11" max="11"/>
    <col width="13" customWidth="1" min="12" max="12"/>
    <col width="10" customWidth="1" min="13" max="13"/>
    <col width="54" customWidth="1" min="14" max="14"/>
    <col width="2"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s>
  <sheetData>
    <row r="1"/>
    <row r="2" ht="26" customHeight="1">
      <c r="B2" s="1" t="inlineStr">
        <is>
          <t>ENTRIES  (every bill, receipt, payment and note, by date)</t>
        </is>
      </c>
    </row>
    <row r="3" ht="16" customHeight="1">
      <c r="B3" s="11" t="inlineStr">
        <is>
          <t>One row per document, in date order. Debit and Credit, the due date, what is unpaid and the Check column work themselves out.</t>
        </is>
      </c>
    </row>
    <row r="4">
      <c r="B4" s="11">
        <f>"Unpaid and days overdue are as at "&amp;IF('Outstanding'!$E$5="","the date on the Outstanding sheet",TEXT('Outstanding'!$E$5,"DD-MMM-YYYY"))&amp;". Change that date on the Outstanding sheet."</f>
        <v/>
      </c>
    </row>
    <row r="5"/>
    <row r="6" ht="77" customHeight="1">
      <c r="B6" s="19" t="inlineStr">
        <is>
          <t>Date</t>
        </is>
      </c>
      <c r="C6" s="19" t="inlineStr">
        <is>
          <t>Party</t>
        </is>
      </c>
      <c r="D6" s="19" t="inlineStr">
        <is>
          <t>Entry type</t>
        </is>
      </c>
      <c r="E6" s="19" t="inlineStr">
        <is>
          <t>Bill or voucher no.</t>
        </is>
      </c>
      <c r="F6" s="19" t="inlineStr">
        <is>
          <t>Goods or services received on (purchase bills)</t>
        </is>
      </c>
      <c r="G6" s="19" t="inlineStr">
        <is>
          <t>Narration</t>
        </is>
      </c>
      <c r="H6" s="19" t="inlineStr">
        <is>
          <t>Amount</t>
        </is>
      </c>
      <c r="I6" s="19" t="inlineStr">
        <is>
          <t>Debit</t>
        </is>
      </c>
      <c r="J6" s="19" t="inlineStr">
        <is>
          <t>Credit</t>
        </is>
      </c>
      <c r="K6" s="19" t="inlineStr">
        <is>
          <t>Due date</t>
        </is>
      </c>
      <c r="L6" s="19" t="inlineStr">
        <is>
          <t>Unpaid on the as-at date</t>
        </is>
      </c>
      <c r="M6" s="19" t="inlineStr">
        <is>
          <t>Days overdue</t>
        </is>
      </c>
      <c r="N6" s="19" t="inlineStr">
        <is>
          <t>Check</t>
        </is>
      </c>
    </row>
    <row r="7">
      <c r="B7" s="24" t="n"/>
      <c r="C7" s="14" t="n"/>
      <c r="D7" s="14" t="n"/>
      <c r="E7" s="20" t="n"/>
      <c r="F7" s="24" t="n"/>
      <c r="G7" s="14" t="n"/>
      <c r="H7" s="22" t="n"/>
      <c r="I7" s="25">
        <f>IF(Q7="D",N(H7),0)</f>
        <v/>
      </c>
      <c r="J7" s="25">
        <f>IF(Q7="C",N(H7),0)</f>
        <v/>
      </c>
      <c r="K7" s="26">
        <f>IF(Z7="","",Z7)</f>
        <v/>
      </c>
      <c r="L7" s="27">
        <f>W7</f>
        <v/>
      </c>
      <c r="M7" s="28">
        <f>AA7</f>
        <v/>
      </c>
      <c r="N7" s="23">
        <f>IF(AND(B7="",C7="",D7="",N(H7)=0),"",IF(B7="","Enter the date",IF(C7="","Pick the party",IF(P7="?","Add this party on the Parties sheet first",IF(D7="","Pick the entry type",IF(Q7="?","Pick the entry type from the list",IF(N(H7)=0,"Enter the amount",IF(AND(R7&lt;&gt;"Any",R7&lt;&gt;P7),"Sales, receipts and credit notes are for debtors; purchases, payments and debit notes for creditors",IF(AND(F7&lt;&gt;"",D7&lt;&gt;"Purchase bill"),"The received-on date is only for purchase bills",IF(AND(P7="Creditor",X7=1,AA7&gt;0),"Past due to a micro or small supplier: interest runs under MSMED s.16, and if unpaid at year end it is not deductible that year, s.37(2)(g)",IF(AND(P7="Debtor",X7=1,AA7&gt;0),"Past due to you: as a micro or small supplier you can claim interest under MSMED s.16","OK")))))))))))</f>
        <v/>
      </c>
      <c r="P7">
        <f>IF(C7="","",IFERROR(VLOOKUP(C7,'Parties'!$B$13:$Q$112,2,FALSE),"?"))</f>
        <v/>
      </c>
      <c r="Q7">
        <f>IF(D7="","",IFERROR(VLOOKUP(D7,Lists!$A$2:$D$9,3,FALSE),"?"))</f>
        <v/>
      </c>
      <c r="R7">
        <f>IF(D7="","",IFERROR(VLOOKUP(D7,Lists!$A$2:$D$9,4,FALSE),"?"))</f>
        <v/>
      </c>
      <c r="S7">
        <f>IF(P7="Debtor",I7,IF(P7="Creditor",J7,0))</f>
        <v/>
      </c>
      <c r="T7">
        <f>IF(P7="Debtor",J7,IF(P7="Creditor",I7,0))</f>
        <v/>
      </c>
      <c r="U7">
        <f>IF(OR(S7=0,B7=""),0,IFERROR(VLOOKUP(C7,'Parties'!$B$13:$Q$112,13,FALSE),0)+SUMIFS($S$7:$S$506,$C$7:$C$506,C7,$B$7:$B$506,"&lt;"&amp;B7)+SUMIFS(S$7:S7,C$7:C7,C7,B$7:B7,B7))</f>
        <v/>
      </c>
      <c r="V7">
        <f>IF(S7=0,0,IFERROR(VLOOKUP(C7,'Parties'!$B$13:$Q$112,14,FALSE),0)+SUMIFS($T$7:$T$506,$C$7:$C$506,C7,$B$7:$B$506,"&lt;="&amp;'Outstanding'!$E$5))</f>
        <v/>
      </c>
      <c r="W7">
        <f>IF(OR('Outstanding'!$E$5="",S7=0,B7="",B7&gt;'Outstanding'!$E$5),0,MAX(0,MIN(S7,U7-V7)))</f>
        <v/>
      </c>
      <c r="X7">
        <f>IF(C7="",0,IFERROR(VLOOKUP(C7,'Parties'!$B$13:$Q$112,15,FALSE),0))</f>
        <v/>
      </c>
      <c r="Y7">
        <f>IF(C7="","",IFERROR(VLOOKUP(C7,'Parties'!$B$13:$Q$112,16,FALSE),0))</f>
        <v/>
      </c>
      <c r="Z7">
        <f>IF(OR(S7=0,B7="",Y7=""),"",IF(AND(F7&lt;&gt;"",D7="Purchase bill"),F7,B7)+Y7)</f>
        <v/>
      </c>
      <c r="AA7">
        <f>IF(OR(W7=0,Z7=""),0,MAX(0,'Outstanding'!$E$5-Z7))</f>
        <v/>
      </c>
      <c r="AB7">
        <f>IF(AND(X7=1,AA7&gt;0),W7*((1+3*N('Parties'!$E$10)/12)^(AA7*12/365)-1),0)</f>
        <v/>
      </c>
      <c r="AC7">
        <f>IF(W7=0,"",'Outstanding'!$E$5-B7)</f>
        <v/>
      </c>
      <c r="AD7">
        <f>IF(S7=0,0,IFERROR(VLOOKUP(C7,'Parties'!$B$13:$Q$112,14,FALSE),0)+SUMIFS($T$7:$T$506,$C$7:$C$506,C7,$B$7:$B$506,"&lt;="&amp;'Parties'!$E$8))</f>
        <v/>
      </c>
      <c r="AE7">
        <f>IF(OR('Parties'!$E$8="",S7=0,B7="",B7&gt;'Parties'!$E$8),0,MAX(0,MIN(S7,U7-AD7)))</f>
        <v/>
      </c>
      <c r="AF7">
        <f>IF(AND(P7="Creditor",X7=1,AE7&gt;0,Z7&lt;&gt;""),IF(Z7&lt;='Parties'!$E$8,AE7,0),0)</f>
        <v/>
      </c>
      <c r="AG7">
        <f>IF(OR(AE7=0,Z7=""),0,MAX(0,'Parties'!$E$8-Z7))</f>
        <v/>
      </c>
      <c r="AH7">
        <f>IF(AND(P7="Creditor",X7=1,AG7&gt;0),AE7*((1+3*N('Parties'!$E$10)/12)^(AG7*12/365)-1),0)</f>
        <v/>
      </c>
      <c r="AI7">
        <f>IF(AND(C7&lt;&gt;"",C7='Ledger Account'!$D$4,B7&lt;&gt;"",B7&gt;='Ledger Account'!$D$5,B7&lt;='Ledger Account'!$D$6),1,0)</f>
        <v/>
      </c>
      <c r="AJ7">
        <f>IF(AI7=1,SUM(AI$7:AI7),"")</f>
        <v/>
      </c>
      <c r="AK7">
        <f>IF(OR(N7="",N7="OK"),0,1)</f>
        <v/>
      </c>
    </row>
    <row r="8">
      <c r="B8" s="24" t="n"/>
      <c r="C8" s="14" t="n"/>
      <c r="D8" s="14" t="n"/>
      <c r="E8" s="20" t="n"/>
      <c r="F8" s="24" t="n"/>
      <c r="G8" s="14" t="n"/>
      <c r="H8" s="22" t="n"/>
      <c r="I8" s="25">
        <f>IF(Q8="D",N(H8),0)</f>
        <v/>
      </c>
      <c r="J8" s="25">
        <f>IF(Q8="C",N(H8),0)</f>
        <v/>
      </c>
      <c r="K8" s="26">
        <f>IF(Z8="","",Z8)</f>
        <v/>
      </c>
      <c r="L8" s="27">
        <f>W8</f>
        <v/>
      </c>
      <c r="M8" s="28">
        <f>AA8</f>
        <v/>
      </c>
      <c r="N8" s="23">
        <f>IF(AND(B8="",C8="",D8="",N(H8)=0),"",IF(B8="","Enter the date",IF(C8="","Pick the party",IF(P8="?","Add this party on the Parties sheet first",IF(D8="","Pick the entry type",IF(Q8="?","Pick the entry type from the list",IF(N(H8)=0,"Enter the amount",IF(AND(R8&lt;&gt;"Any",R8&lt;&gt;P8),"Sales, receipts and credit notes are for debtors; purchases, payments and debit notes for creditors",IF(AND(F8&lt;&gt;"",D8&lt;&gt;"Purchase bill"),"The received-on date is only for purchase bills",IF(AND(P8="Creditor",X8=1,AA8&gt;0),"Past due to a micro or small supplier: interest runs under MSMED s.16, and if unpaid at year end it is not deductible that year, s.37(2)(g)",IF(AND(P8="Debtor",X8=1,AA8&gt;0),"Past due to you: as a micro or small supplier you can claim interest under MSMED s.16","OK")))))))))))</f>
        <v/>
      </c>
      <c r="P8">
        <f>IF(C8="","",IFERROR(VLOOKUP(C8,'Parties'!$B$13:$Q$112,2,FALSE),"?"))</f>
        <v/>
      </c>
      <c r="Q8">
        <f>IF(D8="","",IFERROR(VLOOKUP(D8,Lists!$A$2:$D$9,3,FALSE),"?"))</f>
        <v/>
      </c>
      <c r="R8">
        <f>IF(D8="","",IFERROR(VLOOKUP(D8,Lists!$A$2:$D$9,4,FALSE),"?"))</f>
        <v/>
      </c>
      <c r="S8">
        <f>IF(P8="Debtor",I8,IF(P8="Creditor",J8,0))</f>
        <v/>
      </c>
      <c r="T8">
        <f>IF(P8="Debtor",J8,IF(P8="Creditor",I8,0))</f>
        <v/>
      </c>
      <c r="U8">
        <f>IF(OR(S8=0,B8=""),0,IFERROR(VLOOKUP(C8,'Parties'!$B$13:$Q$112,13,FALSE),0)+SUMIFS($S$7:$S$506,$C$7:$C$506,C8,$B$7:$B$506,"&lt;"&amp;B8)+SUMIFS(S$7:S8,C$7:C8,C8,B$7:B8,B8))</f>
        <v/>
      </c>
      <c r="V8">
        <f>IF(S8=0,0,IFERROR(VLOOKUP(C8,'Parties'!$B$13:$Q$112,14,FALSE),0)+SUMIFS($T$7:$T$506,$C$7:$C$506,C8,$B$7:$B$506,"&lt;="&amp;'Outstanding'!$E$5))</f>
        <v/>
      </c>
      <c r="W8">
        <f>IF(OR('Outstanding'!$E$5="",S8=0,B8="",B8&gt;'Outstanding'!$E$5),0,MAX(0,MIN(S8,U8-V8)))</f>
        <v/>
      </c>
      <c r="X8">
        <f>IF(C8="",0,IFERROR(VLOOKUP(C8,'Parties'!$B$13:$Q$112,15,FALSE),0))</f>
        <v/>
      </c>
      <c r="Y8">
        <f>IF(C8="","",IFERROR(VLOOKUP(C8,'Parties'!$B$13:$Q$112,16,FALSE),0))</f>
        <v/>
      </c>
      <c r="Z8">
        <f>IF(OR(S8=0,B8="",Y8=""),"",IF(AND(F8&lt;&gt;"",D8="Purchase bill"),F8,B8)+Y8)</f>
        <v/>
      </c>
      <c r="AA8">
        <f>IF(OR(W8=0,Z8=""),0,MAX(0,'Outstanding'!$E$5-Z8))</f>
        <v/>
      </c>
      <c r="AB8">
        <f>IF(AND(X8=1,AA8&gt;0),W8*((1+3*N('Parties'!$E$10)/12)^(AA8*12/365)-1),0)</f>
        <v/>
      </c>
      <c r="AC8">
        <f>IF(W8=0,"",'Outstanding'!$E$5-B8)</f>
        <v/>
      </c>
      <c r="AD8">
        <f>IF(S8=0,0,IFERROR(VLOOKUP(C8,'Parties'!$B$13:$Q$112,14,FALSE),0)+SUMIFS($T$7:$T$506,$C$7:$C$506,C8,$B$7:$B$506,"&lt;="&amp;'Parties'!$E$8))</f>
        <v/>
      </c>
      <c r="AE8">
        <f>IF(OR('Parties'!$E$8="",S8=0,B8="",B8&gt;'Parties'!$E$8),0,MAX(0,MIN(S8,U8-AD8)))</f>
        <v/>
      </c>
      <c r="AF8">
        <f>IF(AND(P8="Creditor",X8=1,AE8&gt;0,Z8&lt;&gt;""),IF(Z8&lt;='Parties'!$E$8,AE8,0),0)</f>
        <v/>
      </c>
      <c r="AG8">
        <f>IF(OR(AE8=0,Z8=""),0,MAX(0,'Parties'!$E$8-Z8))</f>
        <v/>
      </c>
      <c r="AH8">
        <f>IF(AND(P8="Creditor",X8=1,AG8&gt;0),AE8*((1+3*N('Parties'!$E$10)/12)^(AG8*12/365)-1),0)</f>
        <v/>
      </c>
      <c r="AI8">
        <f>IF(AND(C8&lt;&gt;"",C8='Ledger Account'!$D$4,B8&lt;&gt;"",B8&gt;='Ledger Account'!$D$5,B8&lt;='Ledger Account'!$D$6),1,0)</f>
        <v/>
      </c>
      <c r="AJ8">
        <f>IF(AI8=1,SUM(AI$7:AI8),"")</f>
        <v/>
      </c>
      <c r="AK8">
        <f>IF(OR(N8="",N8="OK"),0,1)</f>
        <v/>
      </c>
    </row>
    <row r="9">
      <c r="B9" s="24" t="n"/>
      <c r="C9" s="14" t="n"/>
      <c r="D9" s="14" t="n"/>
      <c r="E9" s="20" t="n"/>
      <c r="F9" s="24" t="n"/>
      <c r="G9" s="14" t="n"/>
      <c r="H9" s="22" t="n"/>
      <c r="I9" s="25">
        <f>IF(Q9="D",N(H9),0)</f>
        <v/>
      </c>
      <c r="J9" s="25">
        <f>IF(Q9="C",N(H9),0)</f>
        <v/>
      </c>
      <c r="K9" s="26">
        <f>IF(Z9="","",Z9)</f>
        <v/>
      </c>
      <c r="L9" s="27">
        <f>W9</f>
        <v/>
      </c>
      <c r="M9" s="28">
        <f>AA9</f>
        <v/>
      </c>
      <c r="N9" s="23">
        <f>IF(AND(B9="",C9="",D9="",N(H9)=0),"",IF(B9="","Enter the date",IF(C9="","Pick the party",IF(P9="?","Add this party on the Parties sheet first",IF(D9="","Pick the entry type",IF(Q9="?","Pick the entry type from the list",IF(N(H9)=0,"Enter the amount",IF(AND(R9&lt;&gt;"Any",R9&lt;&gt;P9),"Sales, receipts and credit notes are for debtors; purchases, payments and debit notes for creditors",IF(AND(F9&lt;&gt;"",D9&lt;&gt;"Purchase bill"),"The received-on date is only for purchase bills",IF(AND(P9="Creditor",X9=1,AA9&gt;0),"Past due to a micro or small supplier: interest runs under MSMED s.16, and if unpaid at year end it is not deductible that year, s.37(2)(g)",IF(AND(P9="Debtor",X9=1,AA9&gt;0),"Past due to you: as a micro or small supplier you can claim interest under MSMED s.16","OK")))))))))))</f>
        <v/>
      </c>
      <c r="P9">
        <f>IF(C9="","",IFERROR(VLOOKUP(C9,'Parties'!$B$13:$Q$112,2,FALSE),"?"))</f>
        <v/>
      </c>
      <c r="Q9">
        <f>IF(D9="","",IFERROR(VLOOKUP(D9,Lists!$A$2:$D$9,3,FALSE),"?"))</f>
        <v/>
      </c>
      <c r="R9">
        <f>IF(D9="","",IFERROR(VLOOKUP(D9,Lists!$A$2:$D$9,4,FALSE),"?"))</f>
        <v/>
      </c>
      <c r="S9">
        <f>IF(P9="Debtor",I9,IF(P9="Creditor",J9,0))</f>
        <v/>
      </c>
      <c r="T9">
        <f>IF(P9="Debtor",J9,IF(P9="Creditor",I9,0))</f>
        <v/>
      </c>
      <c r="U9">
        <f>IF(OR(S9=0,B9=""),0,IFERROR(VLOOKUP(C9,'Parties'!$B$13:$Q$112,13,FALSE),0)+SUMIFS($S$7:$S$506,$C$7:$C$506,C9,$B$7:$B$506,"&lt;"&amp;B9)+SUMIFS(S$7:S9,C$7:C9,C9,B$7:B9,B9))</f>
        <v/>
      </c>
      <c r="V9">
        <f>IF(S9=0,0,IFERROR(VLOOKUP(C9,'Parties'!$B$13:$Q$112,14,FALSE),0)+SUMIFS($T$7:$T$506,$C$7:$C$506,C9,$B$7:$B$506,"&lt;="&amp;'Outstanding'!$E$5))</f>
        <v/>
      </c>
      <c r="W9">
        <f>IF(OR('Outstanding'!$E$5="",S9=0,B9="",B9&gt;'Outstanding'!$E$5),0,MAX(0,MIN(S9,U9-V9)))</f>
        <v/>
      </c>
      <c r="X9">
        <f>IF(C9="",0,IFERROR(VLOOKUP(C9,'Parties'!$B$13:$Q$112,15,FALSE),0))</f>
        <v/>
      </c>
      <c r="Y9">
        <f>IF(C9="","",IFERROR(VLOOKUP(C9,'Parties'!$B$13:$Q$112,16,FALSE),0))</f>
        <v/>
      </c>
      <c r="Z9">
        <f>IF(OR(S9=0,B9="",Y9=""),"",IF(AND(F9&lt;&gt;"",D9="Purchase bill"),F9,B9)+Y9)</f>
        <v/>
      </c>
      <c r="AA9">
        <f>IF(OR(W9=0,Z9=""),0,MAX(0,'Outstanding'!$E$5-Z9))</f>
        <v/>
      </c>
      <c r="AB9">
        <f>IF(AND(X9=1,AA9&gt;0),W9*((1+3*N('Parties'!$E$10)/12)^(AA9*12/365)-1),0)</f>
        <v/>
      </c>
      <c r="AC9">
        <f>IF(W9=0,"",'Outstanding'!$E$5-B9)</f>
        <v/>
      </c>
      <c r="AD9">
        <f>IF(S9=0,0,IFERROR(VLOOKUP(C9,'Parties'!$B$13:$Q$112,14,FALSE),0)+SUMIFS($T$7:$T$506,$C$7:$C$506,C9,$B$7:$B$506,"&lt;="&amp;'Parties'!$E$8))</f>
        <v/>
      </c>
      <c r="AE9">
        <f>IF(OR('Parties'!$E$8="",S9=0,B9="",B9&gt;'Parties'!$E$8),0,MAX(0,MIN(S9,U9-AD9)))</f>
        <v/>
      </c>
      <c r="AF9">
        <f>IF(AND(P9="Creditor",X9=1,AE9&gt;0,Z9&lt;&gt;""),IF(Z9&lt;='Parties'!$E$8,AE9,0),0)</f>
        <v/>
      </c>
      <c r="AG9">
        <f>IF(OR(AE9=0,Z9=""),0,MAX(0,'Parties'!$E$8-Z9))</f>
        <v/>
      </c>
      <c r="AH9">
        <f>IF(AND(P9="Creditor",X9=1,AG9&gt;0),AE9*((1+3*N('Parties'!$E$10)/12)^(AG9*12/365)-1),0)</f>
        <v/>
      </c>
      <c r="AI9">
        <f>IF(AND(C9&lt;&gt;"",C9='Ledger Account'!$D$4,B9&lt;&gt;"",B9&gt;='Ledger Account'!$D$5,B9&lt;='Ledger Account'!$D$6),1,0)</f>
        <v/>
      </c>
      <c r="AJ9">
        <f>IF(AI9=1,SUM(AI$7:AI9),"")</f>
        <v/>
      </c>
      <c r="AK9">
        <f>IF(OR(N9="",N9="OK"),0,1)</f>
        <v/>
      </c>
    </row>
    <row r="10">
      <c r="B10" s="24" t="n"/>
      <c r="C10" s="14" t="n"/>
      <c r="D10" s="14" t="n"/>
      <c r="E10" s="20" t="n"/>
      <c r="F10" s="24" t="n"/>
      <c r="G10" s="14" t="n"/>
      <c r="H10" s="22" t="n"/>
      <c r="I10" s="25">
        <f>IF(Q10="D",N(H10),0)</f>
        <v/>
      </c>
      <c r="J10" s="25">
        <f>IF(Q10="C",N(H10),0)</f>
        <v/>
      </c>
      <c r="K10" s="26">
        <f>IF(Z10="","",Z10)</f>
        <v/>
      </c>
      <c r="L10" s="27">
        <f>W10</f>
        <v/>
      </c>
      <c r="M10" s="28">
        <f>AA10</f>
        <v/>
      </c>
      <c r="N10" s="23">
        <f>IF(AND(B10="",C10="",D10="",N(H10)=0),"",IF(B10="","Enter the date",IF(C10="","Pick the party",IF(P10="?","Add this party on the Parties sheet first",IF(D10="","Pick the entry type",IF(Q10="?","Pick the entry type from the list",IF(N(H10)=0,"Enter the amount",IF(AND(R10&lt;&gt;"Any",R10&lt;&gt;P10),"Sales, receipts and credit notes are for debtors; purchases, payments and debit notes for creditors",IF(AND(F10&lt;&gt;"",D10&lt;&gt;"Purchase bill"),"The received-on date is only for purchase bills",IF(AND(P10="Creditor",X10=1,AA10&gt;0),"Past due to a micro or small supplier: interest runs under MSMED s.16, and if unpaid at year end it is not deductible that year, s.37(2)(g)",IF(AND(P10="Debtor",X10=1,AA10&gt;0),"Past due to you: as a micro or small supplier you can claim interest under MSMED s.16","OK")))))))))))</f>
        <v/>
      </c>
      <c r="P10">
        <f>IF(C10="","",IFERROR(VLOOKUP(C10,'Parties'!$B$13:$Q$112,2,FALSE),"?"))</f>
        <v/>
      </c>
      <c r="Q10">
        <f>IF(D10="","",IFERROR(VLOOKUP(D10,Lists!$A$2:$D$9,3,FALSE),"?"))</f>
        <v/>
      </c>
      <c r="R10">
        <f>IF(D10="","",IFERROR(VLOOKUP(D10,Lists!$A$2:$D$9,4,FALSE),"?"))</f>
        <v/>
      </c>
      <c r="S10">
        <f>IF(P10="Debtor",I10,IF(P10="Creditor",J10,0))</f>
        <v/>
      </c>
      <c r="T10">
        <f>IF(P10="Debtor",J10,IF(P10="Creditor",I10,0))</f>
        <v/>
      </c>
      <c r="U10">
        <f>IF(OR(S10=0,B10=""),0,IFERROR(VLOOKUP(C10,'Parties'!$B$13:$Q$112,13,FALSE),0)+SUMIFS($S$7:$S$506,$C$7:$C$506,C10,$B$7:$B$506,"&lt;"&amp;B10)+SUMIFS(S$7:S10,C$7:C10,C10,B$7:B10,B10))</f>
        <v/>
      </c>
      <c r="V10">
        <f>IF(S10=0,0,IFERROR(VLOOKUP(C10,'Parties'!$B$13:$Q$112,14,FALSE),0)+SUMIFS($T$7:$T$506,$C$7:$C$506,C10,$B$7:$B$506,"&lt;="&amp;'Outstanding'!$E$5))</f>
        <v/>
      </c>
      <c r="W10">
        <f>IF(OR('Outstanding'!$E$5="",S10=0,B10="",B10&gt;'Outstanding'!$E$5),0,MAX(0,MIN(S10,U10-V10)))</f>
        <v/>
      </c>
      <c r="X10">
        <f>IF(C10="",0,IFERROR(VLOOKUP(C10,'Parties'!$B$13:$Q$112,15,FALSE),0))</f>
        <v/>
      </c>
      <c r="Y10">
        <f>IF(C10="","",IFERROR(VLOOKUP(C10,'Parties'!$B$13:$Q$112,16,FALSE),0))</f>
        <v/>
      </c>
      <c r="Z10">
        <f>IF(OR(S10=0,B10="",Y10=""),"",IF(AND(F10&lt;&gt;"",D10="Purchase bill"),F10,B10)+Y10)</f>
        <v/>
      </c>
      <c r="AA10">
        <f>IF(OR(W10=0,Z10=""),0,MAX(0,'Outstanding'!$E$5-Z10))</f>
        <v/>
      </c>
      <c r="AB10">
        <f>IF(AND(X10=1,AA10&gt;0),W10*((1+3*N('Parties'!$E$10)/12)^(AA10*12/365)-1),0)</f>
        <v/>
      </c>
      <c r="AC10">
        <f>IF(W10=0,"",'Outstanding'!$E$5-B10)</f>
        <v/>
      </c>
      <c r="AD10">
        <f>IF(S10=0,0,IFERROR(VLOOKUP(C10,'Parties'!$B$13:$Q$112,14,FALSE),0)+SUMIFS($T$7:$T$506,$C$7:$C$506,C10,$B$7:$B$506,"&lt;="&amp;'Parties'!$E$8))</f>
        <v/>
      </c>
      <c r="AE10">
        <f>IF(OR('Parties'!$E$8="",S10=0,B10="",B10&gt;'Parties'!$E$8),0,MAX(0,MIN(S10,U10-AD10)))</f>
        <v/>
      </c>
      <c r="AF10">
        <f>IF(AND(P10="Creditor",X10=1,AE10&gt;0,Z10&lt;&gt;""),IF(Z10&lt;='Parties'!$E$8,AE10,0),0)</f>
        <v/>
      </c>
      <c r="AG10">
        <f>IF(OR(AE10=0,Z10=""),0,MAX(0,'Parties'!$E$8-Z10))</f>
        <v/>
      </c>
      <c r="AH10">
        <f>IF(AND(P10="Creditor",X10=1,AG10&gt;0),AE10*((1+3*N('Parties'!$E$10)/12)^(AG10*12/365)-1),0)</f>
        <v/>
      </c>
      <c r="AI10">
        <f>IF(AND(C10&lt;&gt;"",C10='Ledger Account'!$D$4,B10&lt;&gt;"",B10&gt;='Ledger Account'!$D$5,B10&lt;='Ledger Account'!$D$6),1,0)</f>
        <v/>
      </c>
      <c r="AJ10">
        <f>IF(AI10=1,SUM(AI$7:AI10),"")</f>
        <v/>
      </c>
      <c r="AK10">
        <f>IF(OR(N10="",N10="OK"),0,1)</f>
        <v/>
      </c>
    </row>
    <row r="11">
      <c r="B11" s="24" t="n"/>
      <c r="C11" s="14" t="n"/>
      <c r="D11" s="14" t="n"/>
      <c r="E11" s="20" t="n"/>
      <c r="F11" s="24" t="n"/>
      <c r="G11" s="14" t="n"/>
      <c r="H11" s="22" t="n"/>
      <c r="I11" s="25">
        <f>IF(Q11="D",N(H11),0)</f>
        <v/>
      </c>
      <c r="J11" s="25">
        <f>IF(Q11="C",N(H11),0)</f>
        <v/>
      </c>
      <c r="K11" s="26">
        <f>IF(Z11="","",Z11)</f>
        <v/>
      </c>
      <c r="L11" s="27">
        <f>W11</f>
        <v/>
      </c>
      <c r="M11" s="28">
        <f>AA11</f>
        <v/>
      </c>
      <c r="N11" s="23">
        <f>IF(AND(B11="",C11="",D11="",N(H11)=0),"",IF(B11="","Enter the date",IF(C11="","Pick the party",IF(P11="?","Add this party on the Parties sheet first",IF(D11="","Pick the entry type",IF(Q11="?","Pick the entry type from the list",IF(N(H11)=0,"Enter the amount",IF(AND(R11&lt;&gt;"Any",R11&lt;&gt;P11),"Sales, receipts and credit notes are for debtors; purchases, payments and debit notes for creditors",IF(AND(F11&lt;&gt;"",D11&lt;&gt;"Purchase bill"),"The received-on date is only for purchase bills",IF(AND(P11="Creditor",X11=1,AA11&gt;0),"Past due to a micro or small supplier: interest runs under MSMED s.16, and if unpaid at year end it is not deductible that year, s.37(2)(g)",IF(AND(P11="Debtor",X11=1,AA11&gt;0),"Past due to you: as a micro or small supplier you can claim interest under MSMED s.16","OK")))))))))))</f>
        <v/>
      </c>
      <c r="P11">
        <f>IF(C11="","",IFERROR(VLOOKUP(C11,'Parties'!$B$13:$Q$112,2,FALSE),"?"))</f>
        <v/>
      </c>
      <c r="Q11">
        <f>IF(D11="","",IFERROR(VLOOKUP(D11,Lists!$A$2:$D$9,3,FALSE),"?"))</f>
        <v/>
      </c>
      <c r="R11">
        <f>IF(D11="","",IFERROR(VLOOKUP(D11,Lists!$A$2:$D$9,4,FALSE),"?"))</f>
        <v/>
      </c>
      <c r="S11">
        <f>IF(P11="Debtor",I11,IF(P11="Creditor",J11,0))</f>
        <v/>
      </c>
      <c r="T11">
        <f>IF(P11="Debtor",J11,IF(P11="Creditor",I11,0))</f>
        <v/>
      </c>
      <c r="U11">
        <f>IF(OR(S11=0,B11=""),0,IFERROR(VLOOKUP(C11,'Parties'!$B$13:$Q$112,13,FALSE),0)+SUMIFS($S$7:$S$506,$C$7:$C$506,C11,$B$7:$B$506,"&lt;"&amp;B11)+SUMIFS(S$7:S11,C$7:C11,C11,B$7:B11,B11))</f>
        <v/>
      </c>
      <c r="V11">
        <f>IF(S11=0,0,IFERROR(VLOOKUP(C11,'Parties'!$B$13:$Q$112,14,FALSE),0)+SUMIFS($T$7:$T$506,$C$7:$C$506,C11,$B$7:$B$506,"&lt;="&amp;'Outstanding'!$E$5))</f>
        <v/>
      </c>
      <c r="W11">
        <f>IF(OR('Outstanding'!$E$5="",S11=0,B11="",B11&gt;'Outstanding'!$E$5),0,MAX(0,MIN(S11,U11-V11)))</f>
        <v/>
      </c>
      <c r="X11">
        <f>IF(C11="",0,IFERROR(VLOOKUP(C11,'Parties'!$B$13:$Q$112,15,FALSE),0))</f>
        <v/>
      </c>
      <c r="Y11">
        <f>IF(C11="","",IFERROR(VLOOKUP(C11,'Parties'!$B$13:$Q$112,16,FALSE),0))</f>
        <v/>
      </c>
      <c r="Z11">
        <f>IF(OR(S11=0,B11="",Y11=""),"",IF(AND(F11&lt;&gt;"",D11="Purchase bill"),F11,B11)+Y11)</f>
        <v/>
      </c>
      <c r="AA11">
        <f>IF(OR(W11=0,Z11=""),0,MAX(0,'Outstanding'!$E$5-Z11))</f>
        <v/>
      </c>
      <c r="AB11">
        <f>IF(AND(X11=1,AA11&gt;0),W11*((1+3*N('Parties'!$E$10)/12)^(AA11*12/365)-1),0)</f>
        <v/>
      </c>
      <c r="AC11">
        <f>IF(W11=0,"",'Outstanding'!$E$5-B11)</f>
        <v/>
      </c>
      <c r="AD11">
        <f>IF(S11=0,0,IFERROR(VLOOKUP(C11,'Parties'!$B$13:$Q$112,14,FALSE),0)+SUMIFS($T$7:$T$506,$C$7:$C$506,C11,$B$7:$B$506,"&lt;="&amp;'Parties'!$E$8))</f>
        <v/>
      </c>
      <c r="AE11">
        <f>IF(OR('Parties'!$E$8="",S11=0,B11="",B11&gt;'Parties'!$E$8),0,MAX(0,MIN(S11,U11-AD11)))</f>
        <v/>
      </c>
      <c r="AF11">
        <f>IF(AND(P11="Creditor",X11=1,AE11&gt;0,Z11&lt;&gt;""),IF(Z11&lt;='Parties'!$E$8,AE11,0),0)</f>
        <v/>
      </c>
      <c r="AG11">
        <f>IF(OR(AE11=0,Z11=""),0,MAX(0,'Parties'!$E$8-Z11))</f>
        <v/>
      </c>
      <c r="AH11">
        <f>IF(AND(P11="Creditor",X11=1,AG11&gt;0),AE11*((1+3*N('Parties'!$E$10)/12)^(AG11*12/365)-1),0)</f>
        <v/>
      </c>
      <c r="AI11">
        <f>IF(AND(C11&lt;&gt;"",C11='Ledger Account'!$D$4,B11&lt;&gt;"",B11&gt;='Ledger Account'!$D$5,B11&lt;='Ledger Account'!$D$6),1,0)</f>
        <v/>
      </c>
      <c r="AJ11">
        <f>IF(AI11=1,SUM(AI$7:AI11),"")</f>
        <v/>
      </c>
      <c r="AK11">
        <f>IF(OR(N11="",N11="OK"),0,1)</f>
        <v/>
      </c>
    </row>
    <row r="12">
      <c r="B12" s="24" t="n"/>
      <c r="C12" s="14" t="n"/>
      <c r="D12" s="14" t="n"/>
      <c r="E12" s="20" t="n"/>
      <c r="F12" s="24" t="n"/>
      <c r="G12" s="14" t="n"/>
      <c r="H12" s="22" t="n"/>
      <c r="I12" s="25">
        <f>IF(Q12="D",N(H12),0)</f>
        <v/>
      </c>
      <c r="J12" s="25">
        <f>IF(Q12="C",N(H12),0)</f>
        <v/>
      </c>
      <c r="K12" s="26">
        <f>IF(Z12="","",Z12)</f>
        <v/>
      </c>
      <c r="L12" s="27">
        <f>W12</f>
        <v/>
      </c>
      <c r="M12" s="28">
        <f>AA12</f>
        <v/>
      </c>
      <c r="N12" s="23">
        <f>IF(AND(B12="",C12="",D12="",N(H12)=0),"",IF(B12="","Enter the date",IF(C12="","Pick the party",IF(P12="?","Add this party on the Parties sheet first",IF(D12="","Pick the entry type",IF(Q12="?","Pick the entry type from the list",IF(N(H12)=0,"Enter the amount",IF(AND(R12&lt;&gt;"Any",R12&lt;&gt;P12),"Sales, receipts and credit notes are for debtors; purchases, payments and debit notes for creditors",IF(AND(F12&lt;&gt;"",D12&lt;&gt;"Purchase bill"),"The received-on date is only for purchase bills",IF(AND(P12="Creditor",X12=1,AA12&gt;0),"Past due to a micro or small supplier: interest runs under MSMED s.16, and if unpaid at year end it is not deductible that year, s.37(2)(g)",IF(AND(P12="Debtor",X12=1,AA12&gt;0),"Past due to you: as a micro or small supplier you can claim interest under MSMED s.16","OK")))))))))))</f>
        <v/>
      </c>
      <c r="P12">
        <f>IF(C12="","",IFERROR(VLOOKUP(C12,'Parties'!$B$13:$Q$112,2,FALSE),"?"))</f>
        <v/>
      </c>
      <c r="Q12">
        <f>IF(D12="","",IFERROR(VLOOKUP(D12,Lists!$A$2:$D$9,3,FALSE),"?"))</f>
        <v/>
      </c>
      <c r="R12">
        <f>IF(D12="","",IFERROR(VLOOKUP(D12,Lists!$A$2:$D$9,4,FALSE),"?"))</f>
        <v/>
      </c>
      <c r="S12">
        <f>IF(P12="Debtor",I12,IF(P12="Creditor",J12,0))</f>
        <v/>
      </c>
      <c r="T12">
        <f>IF(P12="Debtor",J12,IF(P12="Creditor",I12,0))</f>
        <v/>
      </c>
      <c r="U12">
        <f>IF(OR(S12=0,B12=""),0,IFERROR(VLOOKUP(C12,'Parties'!$B$13:$Q$112,13,FALSE),0)+SUMIFS($S$7:$S$506,$C$7:$C$506,C12,$B$7:$B$506,"&lt;"&amp;B12)+SUMIFS(S$7:S12,C$7:C12,C12,B$7:B12,B12))</f>
        <v/>
      </c>
      <c r="V12">
        <f>IF(S12=0,0,IFERROR(VLOOKUP(C12,'Parties'!$B$13:$Q$112,14,FALSE),0)+SUMIFS($T$7:$T$506,$C$7:$C$506,C12,$B$7:$B$506,"&lt;="&amp;'Outstanding'!$E$5))</f>
        <v/>
      </c>
      <c r="W12">
        <f>IF(OR('Outstanding'!$E$5="",S12=0,B12="",B12&gt;'Outstanding'!$E$5),0,MAX(0,MIN(S12,U12-V12)))</f>
        <v/>
      </c>
      <c r="X12">
        <f>IF(C12="",0,IFERROR(VLOOKUP(C12,'Parties'!$B$13:$Q$112,15,FALSE),0))</f>
        <v/>
      </c>
      <c r="Y12">
        <f>IF(C12="","",IFERROR(VLOOKUP(C12,'Parties'!$B$13:$Q$112,16,FALSE),0))</f>
        <v/>
      </c>
      <c r="Z12">
        <f>IF(OR(S12=0,B12="",Y12=""),"",IF(AND(F12&lt;&gt;"",D12="Purchase bill"),F12,B12)+Y12)</f>
        <v/>
      </c>
      <c r="AA12">
        <f>IF(OR(W12=0,Z12=""),0,MAX(0,'Outstanding'!$E$5-Z12))</f>
        <v/>
      </c>
      <c r="AB12">
        <f>IF(AND(X12=1,AA12&gt;0),W12*((1+3*N('Parties'!$E$10)/12)^(AA12*12/365)-1),0)</f>
        <v/>
      </c>
      <c r="AC12">
        <f>IF(W12=0,"",'Outstanding'!$E$5-B12)</f>
        <v/>
      </c>
      <c r="AD12">
        <f>IF(S12=0,0,IFERROR(VLOOKUP(C12,'Parties'!$B$13:$Q$112,14,FALSE),0)+SUMIFS($T$7:$T$506,$C$7:$C$506,C12,$B$7:$B$506,"&lt;="&amp;'Parties'!$E$8))</f>
        <v/>
      </c>
      <c r="AE12">
        <f>IF(OR('Parties'!$E$8="",S12=0,B12="",B12&gt;'Parties'!$E$8),0,MAX(0,MIN(S12,U12-AD12)))</f>
        <v/>
      </c>
      <c r="AF12">
        <f>IF(AND(P12="Creditor",X12=1,AE12&gt;0,Z12&lt;&gt;""),IF(Z12&lt;='Parties'!$E$8,AE12,0),0)</f>
        <v/>
      </c>
      <c r="AG12">
        <f>IF(OR(AE12=0,Z12=""),0,MAX(0,'Parties'!$E$8-Z12))</f>
        <v/>
      </c>
      <c r="AH12">
        <f>IF(AND(P12="Creditor",X12=1,AG12&gt;0),AE12*((1+3*N('Parties'!$E$10)/12)^(AG12*12/365)-1),0)</f>
        <v/>
      </c>
      <c r="AI12">
        <f>IF(AND(C12&lt;&gt;"",C12='Ledger Account'!$D$4,B12&lt;&gt;"",B12&gt;='Ledger Account'!$D$5,B12&lt;='Ledger Account'!$D$6),1,0)</f>
        <v/>
      </c>
      <c r="AJ12">
        <f>IF(AI12=1,SUM(AI$7:AI12),"")</f>
        <v/>
      </c>
      <c r="AK12">
        <f>IF(OR(N12="",N12="OK"),0,1)</f>
        <v/>
      </c>
    </row>
    <row r="13">
      <c r="B13" s="24" t="n"/>
      <c r="C13" s="14" t="n"/>
      <c r="D13" s="14" t="n"/>
      <c r="E13" s="20" t="n"/>
      <c r="F13" s="24" t="n"/>
      <c r="G13" s="14" t="n"/>
      <c r="H13" s="22" t="n"/>
      <c r="I13" s="25">
        <f>IF(Q13="D",N(H13),0)</f>
        <v/>
      </c>
      <c r="J13" s="25">
        <f>IF(Q13="C",N(H13),0)</f>
        <v/>
      </c>
      <c r="K13" s="26">
        <f>IF(Z13="","",Z13)</f>
        <v/>
      </c>
      <c r="L13" s="27">
        <f>W13</f>
        <v/>
      </c>
      <c r="M13" s="28">
        <f>AA13</f>
        <v/>
      </c>
      <c r="N13" s="23">
        <f>IF(AND(B13="",C13="",D13="",N(H13)=0),"",IF(B13="","Enter the date",IF(C13="","Pick the party",IF(P13="?","Add this party on the Parties sheet first",IF(D13="","Pick the entry type",IF(Q13="?","Pick the entry type from the list",IF(N(H13)=0,"Enter the amount",IF(AND(R13&lt;&gt;"Any",R13&lt;&gt;P13),"Sales, receipts and credit notes are for debtors; purchases, payments and debit notes for creditors",IF(AND(F13&lt;&gt;"",D13&lt;&gt;"Purchase bill"),"The received-on date is only for purchase bills",IF(AND(P13="Creditor",X13=1,AA13&gt;0),"Past due to a micro or small supplier: interest runs under MSMED s.16, and if unpaid at year end it is not deductible that year, s.37(2)(g)",IF(AND(P13="Debtor",X13=1,AA13&gt;0),"Past due to you: as a micro or small supplier you can claim interest under MSMED s.16","OK")))))))))))</f>
        <v/>
      </c>
      <c r="P13">
        <f>IF(C13="","",IFERROR(VLOOKUP(C13,'Parties'!$B$13:$Q$112,2,FALSE),"?"))</f>
        <v/>
      </c>
      <c r="Q13">
        <f>IF(D13="","",IFERROR(VLOOKUP(D13,Lists!$A$2:$D$9,3,FALSE),"?"))</f>
        <v/>
      </c>
      <c r="R13">
        <f>IF(D13="","",IFERROR(VLOOKUP(D13,Lists!$A$2:$D$9,4,FALSE),"?"))</f>
        <v/>
      </c>
      <c r="S13">
        <f>IF(P13="Debtor",I13,IF(P13="Creditor",J13,0))</f>
        <v/>
      </c>
      <c r="T13">
        <f>IF(P13="Debtor",J13,IF(P13="Creditor",I13,0))</f>
        <v/>
      </c>
      <c r="U13">
        <f>IF(OR(S13=0,B13=""),0,IFERROR(VLOOKUP(C13,'Parties'!$B$13:$Q$112,13,FALSE),0)+SUMIFS($S$7:$S$506,$C$7:$C$506,C13,$B$7:$B$506,"&lt;"&amp;B13)+SUMIFS(S$7:S13,C$7:C13,C13,B$7:B13,B13))</f>
        <v/>
      </c>
      <c r="V13">
        <f>IF(S13=0,0,IFERROR(VLOOKUP(C13,'Parties'!$B$13:$Q$112,14,FALSE),0)+SUMIFS($T$7:$T$506,$C$7:$C$506,C13,$B$7:$B$506,"&lt;="&amp;'Outstanding'!$E$5))</f>
        <v/>
      </c>
      <c r="W13">
        <f>IF(OR('Outstanding'!$E$5="",S13=0,B13="",B13&gt;'Outstanding'!$E$5),0,MAX(0,MIN(S13,U13-V13)))</f>
        <v/>
      </c>
      <c r="X13">
        <f>IF(C13="",0,IFERROR(VLOOKUP(C13,'Parties'!$B$13:$Q$112,15,FALSE),0))</f>
        <v/>
      </c>
      <c r="Y13">
        <f>IF(C13="","",IFERROR(VLOOKUP(C13,'Parties'!$B$13:$Q$112,16,FALSE),0))</f>
        <v/>
      </c>
      <c r="Z13">
        <f>IF(OR(S13=0,B13="",Y13=""),"",IF(AND(F13&lt;&gt;"",D13="Purchase bill"),F13,B13)+Y13)</f>
        <v/>
      </c>
      <c r="AA13">
        <f>IF(OR(W13=0,Z13=""),0,MAX(0,'Outstanding'!$E$5-Z13))</f>
        <v/>
      </c>
      <c r="AB13">
        <f>IF(AND(X13=1,AA13&gt;0),W13*((1+3*N('Parties'!$E$10)/12)^(AA13*12/365)-1),0)</f>
        <v/>
      </c>
      <c r="AC13">
        <f>IF(W13=0,"",'Outstanding'!$E$5-B13)</f>
        <v/>
      </c>
      <c r="AD13">
        <f>IF(S13=0,0,IFERROR(VLOOKUP(C13,'Parties'!$B$13:$Q$112,14,FALSE),0)+SUMIFS($T$7:$T$506,$C$7:$C$506,C13,$B$7:$B$506,"&lt;="&amp;'Parties'!$E$8))</f>
        <v/>
      </c>
      <c r="AE13">
        <f>IF(OR('Parties'!$E$8="",S13=0,B13="",B13&gt;'Parties'!$E$8),0,MAX(0,MIN(S13,U13-AD13)))</f>
        <v/>
      </c>
      <c r="AF13">
        <f>IF(AND(P13="Creditor",X13=1,AE13&gt;0,Z13&lt;&gt;""),IF(Z13&lt;='Parties'!$E$8,AE13,0),0)</f>
        <v/>
      </c>
      <c r="AG13">
        <f>IF(OR(AE13=0,Z13=""),0,MAX(0,'Parties'!$E$8-Z13))</f>
        <v/>
      </c>
      <c r="AH13">
        <f>IF(AND(P13="Creditor",X13=1,AG13&gt;0),AE13*((1+3*N('Parties'!$E$10)/12)^(AG13*12/365)-1),0)</f>
        <v/>
      </c>
      <c r="AI13">
        <f>IF(AND(C13&lt;&gt;"",C13='Ledger Account'!$D$4,B13&lt;&gt;"",B13&gt;='Ledger Account'!$D$5,B13&lt;='Ledger Account'!$D$6),1,0)</f>
        <v/>
      </c>
      <c r="AJ13">
        <f>IF(AI13=1,SUM(AI$7:AI13),"")</f>
        <v/>
      </c>
      <c r="AK13">
        <f>IF(OR(N13="",N13="OK"),0,1)</f>
        <v/>
      </c>
    </row>
    <row r="14">
      <c r="B14" s="24" t="n"/>
      <c r="C14" s="14" t="n"/>
      <c r="D14" s="14" t="n"/>
      <c r="E14" s="20" t="n"/>
      <c r="F14" s="24" t="n"/>
      <c r="G14" s="14" t="n"/>
      <c r="H14" s="22" t="n"/>
      <c r="I14" s="25">
        <f>IF(Q14="D",N(H14),0)</f>
        <v/>
      </c>
      <c r="J14" s="25">
        <f>IF(Q14="C",N(H14),0)</f>
        <v/>
      </c>
      <c r="K14" s="26">
        <f>IF(Z14="","",Z14)</f>
        <v/>
      </c>
      <c r="L14" s="27">
        <f>W14</f>
        <v/>
      </c>
      <c r="M14" s="28">
        <f>AA14</f>
        <v/>
      </c>
      <c r="N14" s="23">
        <f>IF(AND(B14="",C14="",D14="",N(H14)=0),"",IF(B14="","Enter the date",IF(C14="","Pick the party",IF(P14="?","Add this party on the Parties sheet first",IF(D14="","Pick the entry type",IF(Q14="?","Pick the entry type from the list",IF(N(H14)=0,"Enter the amount",IF(AND(R14&lt;&gt;"Any",R14&lt;&gt;P14),"Sales, receipts and credit notes are for debtors; purchases, payments and debit notes for creditors",IF(AND(F14&lt;&gt;"",D14&lt;&gt;"Purchase bill"),"The received-on date is only for purchase bills",IF(AND(P14="Creditor",X14=1,AA14&gt;0),"Past due to a micro or small supplier: interest runs under MSMED s.16, and if unpaid at year end it is not deductible that year, s.37(2)(g)",IF(AND(P14="Debtor",X14=1,AA14&gt;0),"Past due to you: as a micro or small supplier you can claim interest under MSMED s.16","OK")))))))))))</f>
        <v/>
      </c>
      <c r="P14">
        <f>IF(C14="","",IFERROR(VLOOKUP(C14,'Parties'!$B$13:$Q$112,2,FALSE),"?"))</f>
        <v/>
      </c>
      <c r="Q14">
        <f>IF(D14="","",IFERROR(VLOOKUP(D14,Lists!$A$2:$D$9,3,FALSE),"?"))</f>
        <v/>
      </c>
      <c r="R14">
        <f>IF(D14="","",IFERROR(VLOOKUP(D14,Lists!$A$2:$D$9,4,FALSE),"?"))</f>
        <v/>
      </c>
      <c r="S14">
        <f>IF(P14="Debtor",I14,IF(P14="Creditor",J14,0))</f>
        <v/>
      </c>
      <c r="T14">
        <f>IF(P14="Debtor",J14,IF(P14="Creditor",I14,0))</f>
        <v/>
      </c>
      <c r="U14">
        <f>IF(OR(S14=0,B14=""),0,IFERROR(VLOOKUP(C14,'Parties'!$B$13:$Q$112,13,FALSE),0)+SUMIFS($S$7:$S$506,$C$7:$C$506,C14,$B$7:$B$506,"&lt;"&amp;B14)+SUMIFS(S$7:S14,C$7:C14,C14,B$7:B14,B14))</f>
        <v/>
      </c>
      <c r="V14">
        <f>IF(S14=0,0,IFERROR(VLOOKUP(C14,'Parties'!$B$13:$Q$112,14,FALSE),0)+SUMIFS($T$7:$T$506,$C$7:$C$506,C14,$B$7:$B$506,"&lt;="&amp;'Outstanding'!$E$5))</f>
        <v/>
      </c>
      <c r="W14">
        <f>IF(OR('Outstanding'!$E$5="",S14=0,B14="",B14&gt;'Outstanding'!$E$5),0,MAX(0,MIN(S14,U14-V14)))</f>
        <v/>
      </c>
      <c r="X14">
        <f>IF(C14="",0,IFERROR(VLOOKUP(C14,'Parties'!$B$13:$Q$112,15,FALSE),0))</f>
        <v/>
      </c>
      <c r="Y14">
        <f>IF(C14="","",IFERROR(VLOOKUP(C14,'Parties'!$B$13:$Q$112,16,FALSE),0))</f>
        <v/>
      </c>
      <c r="Z14">
        <f>IF(OR(S14=0,B14="",Y14=""),"",IF(AND(F14&lt;&gt;"",D14="Purchase bill"),F14,B14)+Y14)</f>
        <v/>
      </c>
      <c r="AA14">
        <f>IF(OR(W14=0,Z14=""),0,MAX(0,'Outstanding'!$E$5-Z14))</f>
        <v/>
      </c>
      <c r="AB14">
        <f>IF(AND(X14=1,AA14&gt;0),W14*((1+3*N('Parties'!$E$10)/12)^(AA14*12/365)-1),0)</f>
        <v/>
      </c>
      <c r="AC14">
        <f>IF(W14=0,"",'Outstanding'!$E$5-B14)</f>
        <v/>
      </c>
      <c r="AD14">
        <f>IF(S14=0,0,IFERROR(VLOOKUP(C14,'Parties'!$B$13:$Q$112,14,FALSE),0)+SUMIFS($T$7:$T$506,$C$7:$C$506,C14,$B$7:$B$506,"&lt;="&amp;'Parties'!$E$8))</f>
        <v/>
      </c>
      <c r="AE14">
        <f>IF(OR('Parties'!$E$8="",S14=0,B14="",B14&gt;'Parties'!$E$8),0,MAX(0,MIN(S14,U14-AD14)))</f>
        <v/>
      </c>
      <c r="AF14">
        <f>IF(AND(P14="Creditor",X14=1,AE14&gt;0,Z14&lt;&gt;""),IF(Z14&lt;='Parties'!$E$8,AE14,0),0)</f>
        <v/>
      </c>
      <c r="AG14">
        <f>IF(OR(AE14=0,Z14=""),0,MAX(0,'Parties'!$E$8-Z14))</f>
        <v/>
      </c>
      <c r="AH14">
        <f>IF(AND(P14="Creditor",X14=1,AG14&gt;0),AE14*((1+3*N('Parties'!$E$10)/12)^(AG14*12/365)-1),0)</f>
        <v/>
      </c>
      <c r="AI14">
        <f>IF(AND(C14&lt;&gt;"",C14='Ledger Account'!$D$4,B14&lt;&gt;"",B14&gt;='Ledger Account'!$D$5,B14&lt;='Ledger Account'!$D$6),1,0)</f>
        <v/>
      </c>
      <c r="AJ14">
        <f>IF(AI14=1,SUM(AI$7:AI14),"")</f>
        <v/>
      </c>
      <c r="AK14">
        <f>IF(OR(N14="",N14="OK"),0,1)</f>
        <v/>
      </c>
    </row>
    <row r="15">
      <c r="B15" s="24" t="n"/>
      <c r="C15" s="14" t="n"/>
      <c r="D15" s="14" t="n"/>
      <c r="E15" s="20" t="n"/>
      <c r="F15" s="24" t="n"/>
      <c r="G15" s="14" t="n"/>
      <c r="H15" s="22" t="n"/>
      <c r="I15" s="25">
        <f>IF(Q15="D",N(H15),0)</f>
        <v/>
      </c>
      <c r="J15" s="25">
        <f>IF(Q15="C",N(H15),0)</f>
        <v/>
      </c>
      <c r="K15" s="26">
        <f>IF(Z15="","",Z15)</f>
        <v/>
      </c>
      <c r="L15" s="27">
        <f>W15</f>
        <v/>
      </c>
      <c r="M15" s="28">
        <f>AA15</f>
        <v/>
      </c>
      <c r="N15" s="23">
        <f>IF(AND(B15="",C15="",D15="",N(H15)=0),"",IF(B15="","Enter the date",IF(C15="","Pick the party",IF(P15="?","Add this party on the Parties sheet first",IF(D15="","Pick the entry type",IF(Q15="?","Pick the entry type from the list",IF(N(H15)=0,"Enter the amount",IF(AND(R15&lt;&gt;"Any",R15&lt;&gt;P15),"Sales, receipts and credit notes are for debtors; purchases, payments and debit notes for creditors",IF(AND(F15&lt;&gt;"",D15&lt;&gt;"Purchase bill"),"The received-on date is only for purchase bills",IF(AND(P15="Creditor",X15=1,AA15&gt;0),"Past due to a micro or small supplier: interest runs under MSMED s.16, and if unpaid at year end it is not deductible that year, s.37(2)(g)",IF(AND(P15="Debtor",X15=1,AA15&gt;0),"Past due to you: as a micro or small supplier you can claim interest under MSMED s.16","OK")))))))))))</f>
        <v/>
      </c>
      <c r="P15">
        <f>IF(C15="","",IFERROR(VLOOKUP(C15,'Parties'!$B$13:$Q$112,2,FALSE),"?"))</f>
        <v/>
      </c>
      <c r="Q15">
        <f>IF(D15="","",IFERROR(VLOOKUP(D15,Lists!$A$2:$D$9,3,FALSE),"?"))</f>
        <v/>
      </c>
      <c r="R15">
        <f>IF(D15="","",IFERROR(VLOOKUP(D15,Lists!$A$2:$D$9,4,FALSE),"?"))</f>
        <v/>
      </c>
      <c r="S15">
        <f>IF(P15="Debtor",I15,IF(P15="Creditor",J15,0))</f>
        <v/>
      </c>
      <c r="T15">
        <f>IF(P15="Debtor",J15,IF(P15="Creditor",I15,0))</f>
        <v/>
      </c>
      <c r="U15">
        <f>IF(OR(S15=0,B15=""),0,IFERROR(VLOOKUP(C15,'Parties'!$B$13:$Q$112,13,FALSE),0)+SUMIFS($S$7:$S$506,$C$7:$C$506,C15,$B$7:$B$506,"&lt;"&amp;B15)+SUMIFS(S$7:S15,C$7:C15,C15,B$7:B15,B15))</f>
        <v/>
      </c>
      <c r="V15">
        <f>IF(S15=0,0,IFERROR(VLOOKUP(C15,'Parties'!$B$13:$Q$112,14,FALSE),0)+SUMIFS($T$7:$T$506,$C$7:$C$506,C15,$B$7:$B$506,"&lt;="&amp;'Outstanding'!$E$5))</f>
        <v/>
      </c>
      <c r="W15">
        <f>IF(OR('Outstanding'!$E$5="",S15=0,B15="",B15&gt;'Outstanding'!$E$5),0,MAX(0,MIN(S15,U15-V15)))</f>
        <v/>
      </c>
      <c r="X15">
        <f>IF(C15="",0,IFERROR(VLOOKUP(C15,'Parties'!$B$13:$Q$112,15,FALSE),0))</f>
        <v/>
      </c>
      <c r="Y15">
        <f>IF(C15="","",IFERROR(VLOOKUP(C15,'Parties'!$B$13:$Q$112,16,FALSE),0))</f>
        <v/>
      </c>
      <c r="Z15">
        <f>IF(OR(S15=0,B15="",Y15=""),"",IF(AND(F15&lt;&gt;"",D15="Purchase bill"),F15,B15)+Y15)</f>
        <v/>
      </c>
      <c r="AA15">
        <f>IF(OR(W15=0,Z15=""),0,MAX(0,'Outstanding'!$E$5-Z15))</f>
        <v/>
      </c>
      <c r="AB15">
        <f>IF(AND(X15=1,AA15&gt;0),W15*((1+3*N('Parties'!$E$10)/12)^(AA15*12/365)-1),0)</f>
        <v/>
      </c>
      <c r="AC15">
        <f>IF(W15=0,"",'Outstanding'!$E$5-B15)</f>
        <v/>
      </c>
      <c r="AD15">
        <f>IF(S15=0,0,IFERROR(VLOOKUP(C15,'Parties'!$B$13:$Q$112,14,FALSE),0)+SUMIFS($T$7:$T$506,$C$7:$C$506,C15,$B$7:$B$506,"&lt;="&amp;'Parties'!$E$8))</f>
        <v/>
      </c>
      <c r="AE15">
        <f>IF(OR('Parties'!$E$8="",S15=0,B15="",B15&gt;'Parties'!$E$8),0,MAX(0,MIN(S15,U15-AD15)))</f>
        <v/>
      </c>
      <c r="AF15">
        <f>IF(AND(P15="Creditor",X15=1,AE15&gt;0,Z15&lt;&gt;""),IF(Z15&lt;='Parties'!$E$8,AE15,0),0)</f>
        <v/>
      </c>
      <c r="AG15">
        <f>IF(OR(AE15=0,Z15=""),0,MAX(0,'Parties'!$E$8-Z15))</f>
        <v/>
      </c>
      <c r="AH15">
        <f>IF(AND(P15="Creditor",X15=1,AG15&gt;0),AE15*((1+3*N('Parties'!$E$10)/12)^(AG15*12/365)-1),0)</f>
        <v/>
      </c>
      <c r="AI15">
        <f>IF(AND(C15&lt;&gt;"",C15='Ledger Account'!$D$4,B15&lt;&gt;"",B15&gt;='Ledger Account'!$D$5,B15&lt;='Ledger Account'!$D$6),1,0)</f>
        <v/>
      </c>
      <c r="AJ15">
        <f>IF(AI15=1,SUM(AI$7:AI15),"")</f>
        <v/>
      </c>
      <c r="AK15">
        <f>IF(OR(N15="",N15="OK"),0,1)</f>
        <v/>
      </c>
    </row>
    <row r="16">
      <c r="B16" s="24" t="n"/>
      <c r="C16" s="14" t="n"/>
      <c r="D16" s="14" t="n"/>
      <c r="E16" s="20" t="n"/>
      <c r="F16" s="24" t="n"/>
      <c r="G16" s="14" t="n"/>
      <c r="H16" s="22" t="n"/>
      <c r="I16" s="25">
        <f>IF(Q16="D",N(H16),0)</f>
        <v/>
      </c>
      <c r="J16" s="25">
        <f>IF(Q16="C",N(H16),0)</f>
        <v/>
      </c>
      <c r="K16" s="26">
        <f>IF(Z16="","",Z16)</f>
        <v/>
      </c>
      <c r="L16" s="27">
        <f>W16</f>
        <v/>
      </c>
      <c r="M16" s="28">
        <f>AA16</f>
        <v/>
      </c>
      <c r="N16" s="23">
        <f>IF(AND(B16="",C16="",D16="",N(H16)=0),"",IF(B16="","Enter the date",IF(C16="","Pick the party",IF(P16="?","Add this party on the Parties sheet first",IF(D16="","Pick the entry type",IF(Q16="?","Pick the entry type from the list",IF(N(H16)=0,"Enter the amount",IF(AND(R16&lt;&gt;"Any",R16&lt;&gt;P16),"Sales, receipts and credit notes are for debtors; purchases, payments and debit notes for creditors",IF(AND(F16&lt;&gt;"",D16&lt;&gt;"Purchase bill"),"The received-on date is only for purchase bills",IF(AND(P16="Creditor",X16=1,AA16&gt;0),"Past due to a micro or small supplier: interest runs under MSMED s.16, and if unpaid at year end it is not deductible that year, s.37(2)(g)",IF(AND(P16="Debtor",X16=1,AA16&gt;0),"Past due to you: as a micro or small supplier you can claim interest under MSMED s.16","OK")))))))))))</f>
        <v/>
      </c>
      <c r="P16">
        <f>IF(C16="","",IFERROR(VLOOKUP(C16,'Parties'!$B$13:$Q$112,2,FALSE),"?"))</f>
        <v/>
      </c>
      <c r="Q16">
        <f>IF(D16="","",IFERROR(VLOOKUP(D16,Lists!$A$2:$D$9,3,FALSE),"?"))</f>
        <v/>
      </c>
      <c r="R16">
        <f>IF(D16="","",IFERROR(VLOOKUP(D16,Lists!$A$2:$D$9,4,FALSE),"?"))</f>
        <v/>
      </c>
      <c r="S16">
        <f>IF(P16="Debtor",I16,IF(P16="Creditor",J16,0))</f>
        <v/>
      </c>
      <c r="T16">
        <f>IF(P16="Debtor",J16,IF(P16="Creditor",I16,0))</f>
        <v/>
      </c>
      <c r="U16">
        <f>IF(OR(S16=0,B16=""),0,IFERROR(VLOOKUP(C16,'Parties'!$B$13:$Q$112,13,FALSE),0)+SUMIFS($S$7:$S$506,$C$7:$C$506,C16,$B$7:$B$506,"&lt;"&amp;B16)+SUMIFS(S$7:S16,C$7:C16,C16,B$7:B16,B16))</f>
        <v/>
      </c>
      <c r="V16">
        <f>IF(S16=0,0,IFERROR(VLOOKUP(C16,'Parties'!$B$13:$Q$112,14,FALSE),0)+SUMIFS($T$7:$T$506,$C$7:$C$506,C16,$B$7:$B$506,"&lt;="&amp;'Outstanding'!$E$5))</f>
        <v/>
      </c>
      <c r="W16">
        <f>IF(OR('Outstanding'!$E$5="",S16=0,B16="",B16&gt;'Outstanding'!$E$5),0,MAX(0,MIN(S16,U16-V16)))</f>
        <v/>
      </c>
      <c r="X16">
        <f>IF(C16="",0,IFERROR(VLOOKUP(C16,'Parties'!$B$13:$Q$112,15,FALSE),0))</f>
        <v/>
      </c>
      <c r="Y16">
        <f>IF(C16="","",IFERROR(VLOOKUP(C16,'Parties'!$B$13:$Q$112,16,FALSE),0))</f>
        <v/>
      </c>
      <c r="Z16">
        <f>IF(OR(S16=0,B16="",Y16=""),"",IF(AND(F16&lt;&gt;"",D16="Purchase bill"),F16,B16)+Y16)</f>
        <v/>
      </c>
      <c r="AA16">
        <f>IF(OR(W16=0,Z16=""),0,MAX(0,'Outstanding'!$E$5-Z16))</f>
        <v/>
      </c>
      <c r="AB16">
        <f>IF(AND(X16=1,AA16&gt;0),W16*((1+3*N('Parties'!$E$10)/12)^(AA16*12/365)-1),0)</f>
        <v/>
      </c>
      <c r="AC16">
        <f>IF(W16=0,"",'Outstanding'!$E$5-B16)</f>
        <v/>
      </c>
      <c r="AD16">
        <f>IF(S16=0,0,IFERROR(VLOOKUP(C16,'Parties'!$B$13:$Q$112,14,FALSE),0)+SUMIFS($T$7:$T$506,$C$7:$C$506,C16,$B$7:$B$506,"&lt;="&amp;'Parties'!$E$8))</f>
        <v/>
      </c>
      <c r="AE16">
        <f>IF(OR('Parties'!$E$8="",S16=0,B16="",B16&gt;'Parties'!$E$8),0,MAX(0,MIN(S16,U16-AD16)))</f>
        <v/>
      </c>
      <c r="AF16">
        <f>IF(AND(P16="Creditor",X16=1,AE16&gt;0,Z16&lt;&gt;""),IF(Z16&lt;='Parties'!$E$8,AE16,0),0)</f>
        <v/>
      </c>
      <c r="AG16">
        <f>IF(OR(AE16=0,Z16=""),0,MAX(0,'Parties'!$E$8-Z16))</f>
        <v/>
      </c>
      <c r="AH16">
        <f>IF(AND(P16="Creditor",X16=1,AG16&gt;0),AE16*((1+3*N('Parties'!$E$10)/12)^(AG16*12/365)-1),0)</f>
        <v/>
      </c>
      <c r="AI16">
        <f>IF(AND(C16&lt;&gt;"",C16='Ledger Account'!$D$4,B16&lt;&gt;"",B16&gt;='Ledger Account'!$D$5,B16&lt;='Ledger Account'!$D$6),1,0)</f>
        <v/>
      </c>
      <c r="AJ16">
        <f>IF(AI16=1,SUM(AI$7:AI16),"")</f>
        <v/>
      </c>
      <c r="AK16">
        <f>IF(OR(N16="",N16="OK"),0,1)</f>
        <v/>
      </c>
    </row>
    <row r="17">
      <c r="B17" s="24" t="n"/>
      <c r="C17" s="14" t="n"/>
      <c r="D17" s="14" t="n"/>
      <c r="E17" s="20" t="n"/>
      <c r="F17" s="24" t="n"/>
      <c r="G17" s="14" t="n"/>
      <c r="H17" s="22" t="n"/>
      <c r="I17" s="25">
        <f>IF(Q17="D",N(H17),0)</f>
        <v/>
      </c>
      <c r="J17" s="25">
        <f>IF(Q17="C",N(H17),0)</f>
        <v/>
      </c>
      <c r="K17" s="26">
        <f>IF(Z17="","",Z17)</f>
        <v/>
      </c>
      <c r="L17" s="27">
        <f>W17</f>
        <v/>
      </c>
      <c r="M17" s="28">
        <f>AA17</f>
        <v/>
      </c>
      <c r="N17" s="23">
        <f>IF(AND(B17="",C17="",D17="",N(H17)=0),"",IF(B17="","Enter the date",IF(C17="","Pick the party",IF(P17="?","Add this party on the Parties sheet first",IF(D17="","Pick the entry type",IF(Q17="?","Pick the entry type from the list",IF(N(H17)=0,"Enter the amount",IF(AND(R17&lt;&gt;"Any",R17&lt;&gt;P17),"Sales, receipts and credit notes are for debtors; purchases, payments and debit notes for creditors",IF(AND(F17&lt;&gt;"",D17&lt;&gt;"Purchase bill"),"The received-on date is only for purchase bills",IF(AND(P17="Creditor",X17=1,AA17&gt;0),"Past due to a micro or small supplier: interest runs under MSMED s.16, and if unpaid at year end it is not deductible that year, s.37(2)(g)",IF(AND(P17="Debtor",X17=1,AA17&gt;0),"Past due to you: as a micro or small supplier you can claim interest under MSMED s.16","OK")))))))))))</f>
        <v/>
      </c>
      <c r="P17">
        <f>IF(C17="","",IFERROR(VLOOKUP(C17,'Parties'!$B$13:$Q$112,2,FALSE),"?"))</f>
        <v/>
      </c>
      <c r="Q17">
        <f>IF(D17="","",IFERROR(VLOOKUP(D17,Lists!$A$2:$D$9,3,FALSE),"?"))</f>
        <v/>
      </c>
      <c r="R17">
        <f>IF(D17="","",IFERROR(VLOOKUP(D17,Lists!$A$2:$D$9,4,FALSE),"?"))</f>
        <v/>
      </c>
      <c r="S17">
        <f>IF(P17="Debtor",I17,IF(P17="Creditor",J17,0))</f>
        <v/>
      </c>
      <c r="T17">
        <f>IF(P17="Debtor",J17,IF(P17="Creditor",I17,0))</f>
        <v/>
      </c>
      <c r="U17">
        <f>IF(OR(S17=0,B17=""),0,IFERROR(VLOOKUP(C17,'Parties'!$B$13:$Q$112,13,FALSE),0)+SUMIFS($S$7:$S$506,$C$7:$C$506,C17,$B$7:$B$506,"&lt;"&amp;B17)+SUMIFS(S$7:S17,C$7:C17,C17,B$7:B17,B17))</f>
        <v/>
      </c>
      <c r="V17">
        <f>IF(S17=0,0,IFERROR(VLOOKUP(C17,'Parties'!$B$13:$Q$112,14,FALSE),0)+SUMIFS($T$7:$T$506,$C$7:$C$506,C17,$B$7:$B$506,"&lt;="&amp;'Outstanding'!$E$5))</f>
        <v/>
      </c>
      <c r="W17">
        <f>IF(OR('Outstanding'!$E$5="",S17=0,B17="",B17&gt;'Outstanding'!$E$5),0,MAX(0,MIN(S17,U17-V17)))</f>
        <v/>
      </c>
      <c r="X17">
        <f>IF(C17="",0,IFERROR(VLOOKUP(C17,'Parties'!$B$13:$Q$112,15,FALSE),0))</f>
        <v/>
      </c>
      <c r="Y17">
        <f>IF(C17="","",IFERROR(VLOOKUP(C17,'Parties'!$B$13:$Q$112,16,FALSE),0))</f>
        <v/>
      </c>
      <c r="Z17">
        <f>IF(OR(S17=0,B17="",Y17=""),"",IF(AND(F17&lt;&gt;"",D17="Purchase bill"),F17,B17)+Y17)</f>
        <v/>
      </c>
      <c r="AA17">
        <f>IF(OR(W17=0,Z17=""),0,MAX(0,'Outstanding'!$E$5-Z17))</f>
        <v/>
      </c>
      <c r="AB17">
        <f>IF(AND(X17=1,AA17&gt;0),W17*((1+3*N('Parties'!$E$10)/12)^(AA17*12/365)-1),0)</f>
        <v/>
      </c>
      <c r="AC17">
        <f>IF(W17=0,"",'Outstanding'!$E$5-B17)</f>
        <v/>
      </c>
      <c r="AD17">
        <f>IF(S17=0,0,IFERROR(VLOOKUP(C17,'Parties'!$B$13:$Q$112,14,FALSE),0)+SUMIFS($T$7:$T$506,$C$7:$C$506,C17,$B$7:$B$506,"&lt;="&amp;'Parties'!$E$8))</f>
        <v/>
      </c>
      <c r="AE17">
        <f>IF(OR('Parties'!$E$8="",S17=0,B17="",B17&gt;'Parties'!$E$8),0,MAX(0,MIN(S17,U17-AD17)))</f>
        <v/>
      </c>
      <c r="AF17">
        <f>IF(AND(P17="Creditor",X17=1,AE17&gt;0,Z17&lt;&gt;""),IF(Z17&lt;='Parties'!$E$8,AE17,0),0)</f>
        <v/>
      </c>
      <c r="AG17">
        <f>IF(OR(AE17=0,Z17=""),0,MAX(0,'Parties'!$E$8-Z17))</f>
        <v/>
      </c>
      <c r="AH17">
        <f>IF(AND(P17="Creditor",X17=1,AG17&gt;0),AE17*((1+3*N('Parties'!$E$10)/12)^(AG17*12/365)-1),0)</f>
        <v/>
      </c>
      <c r="AI17">
        <f>IF(AND(C17&lt;&gt;"",C17='Ledger Account'!$D$4,B17&lt;&gt;"",B17&gt;='Ledger Account'!$D$5,B17&lt;='Ledger Account'!$D$6),1,0)</f>
        <v/>
      </c>
      <c r="AJ17">
        <f>IF(AI17=1,SUM(AI$7:AI17),"")</f>
        <v/>
      </c>
      <c r="AK17">
        <f>IF(OR(N17="",N17="OK"),0,1)</f>
        <v/>
      </c>
    </row>
    <row r="18">
      <c r="B18" s="24" t="n"/>
      <c r="C18" s="14" t="n"/>
      <c r="D18" s="14" t="n"/>
      <c r="E18" s="20" t="n"/>
      <c r="F18" s="24" t="n"/>
      <c r="G18" s="14" t="n"/>
      <c r="H18" s="22" t="n"/>
      <c r="I18" s="25">
        <f>IF(Q18="D",N(H18),0)</f>
        <v/>
      </c>
      <c r="J18" s="25">
        <f>IF(Q18="C",N(H18),0)</f>
        <v/>
      </c>
      <c r="K18" s="26">
        <f>IF(Z18="","",Z18)</f>
        <v/>
      </c>
      <c r="L18" s="27">
        <f>W18</f>
        <v/>
      </c>
      <c r="M18" s="28">
        <f>AA18</f>
        <v/>
      </c>
      <c r="N18" s="23">
        <f>IF(AND(B18="",C18="",D18="",N(H18)=0),"",IF(B18="","Enter the date",IF(C18="","Pick the party",IF(P18="?","Add this party on the Parties sheet first",IF(D18="","Pick the entry type",IF(Q18="?","Pick the entry type from the list",IF(N(H18)=0,"Enter the amount",IF(AND(R18&lt;&gt;"Any",R18&lt;&gt;P18),"Sales, receipts and credit notes are for debtors; purchases, payments and debit notes for creditors",IF(AND(F18&lt;&gt;"",D18&lt;&gt;"Purchase bill"),"The received-on date is only for purchase bills",IF(AND(P18="Creditor",X18=1,AA18&gt;0),"Past due to a micro or small supplier: interest runs under MSMED s.16, and if unpaid at year end it is not deductible that year, s.37(2)(g)",IF(AND(P18="Debtor",X18=1,AA18&gt;0),"Past due to you: as a micro or small supplier you can claim interest under MSMED s.16","OK")))))))))))</f>
        <v/>
      </c>
      <c r="P18">
        <f>IF(C18="","",IFERROR(VLOOKUP(C18,'Parties'!$B$13:$Q$112,2,FALSE),"?"))</f>
        <v/>
      </c>
      <c r="Q18">
        <f>IF(D18="","",IFERROR(VLOOKUP(D18,Lists!$A$2:$D$9,3,FALSE),"?"))</f>
        <v/>
      </c>
      <c r="R18">
        <f>IF(D18="","",IFERROR(VLOOKUP(D18,Lists!$A$2:$D$9,4,FALSE),"?"))</f>
        <v/>
      </c>
      <c r="S18">
        <f>IF(P18="Debtor",I18,IF(P18="Creditor",J18,0))</f>
        <v/>
      </c>
      <c r="T18">
        <f>IF(P18="Debtor",J18,IF(P18="Creditor",I18,0))</f>
        <v/>
      </c>
      <c r="U18">
        <f>IF(OR(S18=0,B18=""),0,IFERROR(VLOOKUP(C18,'Parties'!$B$13:$Q$112,13,FALSE),0)+SUMIFS($S$7:$S$506,$C$7:$C$506,C18,$B$7:$B$506,"&lt;"&amp;B18)+SUMIFS(S$7:S18,C$7:C18,C18,B$7:B18,B18))</f>
        <v/>
      </c>
      <c r="V18">
        <f>IF(S18=0,0,IFERROR(VLOOKUP(C18,'Parties'!$B$13:$Q$112,14,FALSE),0)+SUMIFS($T$7:$T$506,$C$7:$C$506,C18,$B$7:$B$506,"&lt;="&amp;'Outstanding'!$E$5))</f>
        <v/>
      </c>
      <c r="W18">
        <f>IF(OR('Outstanding'!$E$5="",S18=0,B18="",B18&gt;'Outstanding'!$E$5),0,MAX(0,MIN(S18,U18-V18)))</f>
        <v/>
      </c>
      <c r="X18">
        <f>IF(C18="",0,IFERROR(VLOOKUP(C18,'Parties'!$B$13:$Q$112,15,FALSE),0))</f>
        <v/>
      </c>
      <c r="Y18">
        <f>IF(C18="","",IFERROR(VLOOKUP(C18,'Parties'!$B$13:$Q$112,16,FALSE),0))</f>
        <v/>
      </c>
      <c r="Z18">
        <f>IF(OR(S18=0,B18="",Y18=""),"",IF(AND(F18&lt;&gt;"",D18="Purchase bill"),F18,B18)+Y18)</f>
        <v/>
      </c>
      <c r="AA18">
        <f>IF(OR(W18=0,Z18=""),0,MAX(0,'Outstanding'!$E$5-Z18))</f>
        <v/>
      </c>
      <c r="AB18">
        <f>IF(AND(X18=1,AA18&gt;0),W18*((1+3*N('Parties'!$E$10)/12)^(AA18*12/365)-1),0)</f>
        <v/>
      </c>
      <c r="AC18">
        <f>IF(W18=0,"",'Outstanding'!$E$5-B18)</f>
        <v/>
      </c>
      <c r="AD18">
        <f>IF(S18=0,0,IFERROR(VLOOKUP(C18,'Parties'!$B$13:$Q$112,14,FALSE),0)+SUMIFS($T$7:$T$506,$C$7:$C$506,C18,$B$7:$B$506,"&lt;="&amp;'Parties'!$E$8))</f>
        <v/>
      </c>
      <c r="AE18">
        <f>IF(OR('Parties'!$E$8="",S18=0,B18="",B18&gt;'Parties'!$E$8),0,MAX(0,MIN(S18,U18-AD18)))</f>
        <v/>
      </c>
      <c r="AF18">
        <f>IF(AND(P18="Creditor",X18=1,AE18&gt;0,Z18&lt;&gt;""),IF(Z18&lt;='Parties'!$E$8,AE18,0),0)</f>
        <v/>
      </c>
      <c r="AG18">
        <f>IF(OR(AE18=0,Z18=""),0,MAX(0,'Parties'!$E$8-Z18))</f>
        <v/>
      </c>
      <c r="AH18">
        <f>IF(AND(P18="Creditor",X18=1,AG18&gt;0),AE18*((1+3*N('Parties'!$E$10)/12)^(AG18*12/365)-1),0)</f>
        <v/>
      </c>
      <c r="AI18">
        <f>IF(AND(C18&lt;&gt;"",C18='Ledger Account'!$D$4,B18&lt;&gt;"",B18&gt;='Ledger Account'!$D$5,B18&lt;='Ledger Account'!$D$6),1,0)</f>
        <v/>
      </c>
      <c r="AJ18">
        <f>IF(AI18=1,SUM(AI$7:AI18),"")</f>
        <v/>
      </c>
      <c r="AK18">
        <f>IF(OR(N18="",N18="OK"),0,1)</f>
        <v/>
      </c>
    </row>
    <row r="19">
      <c r="B19" s="24" t="n"/>
      <c r="C19" s="14" t="n"/>
      <c r="D19" s="14" t="n"/>
      <c r="E19" s="20" t="n"/>
      <c r="F19" s="24" t="n"/>
      <c r="G19" s="14" t="n"/>
      <c r="H19" s="22" t="n"/>
      <c r="I19" s="25">
        <f>IF(Q19="D",N(H19),0)</f>
        <v/>
      </c>
      <c r="J19" s="25">
        <f>IF(Q19="C",N(H19),0)</f>
        <v/>
      </c>
      <c r="K19" s="26">
        <f>IF(Z19="","",Z19)</f>
        <v/>
      </c>
      <c r="L19" s="27">
        <f>W19</f>
        <v/>
      </c>
      <c r="M19" s="28">
        <f>AA19</f>
        <v/>
      </c>
      <c r="N19" s="23">
        <f>IF(AND(B19="",C19="",D19="",N(H19)=0),"",IF(B19="","Enter the date",IF(C19="","Pick the party",IF(P19="?","Add this party on the Parties sheet first",IF(D19="","Pick the entry type",IF(Q19="?","Pick the entry type from the list",IF(N(H19)=0,"Enter the amount",IF(AND(R19&lt;&gt;"Any",R19&lt;&gt;P19),"Sales, receipts and credit notes are for debtors; purchases, payments and debit notes for creditors",IF(AND(F19&lt;&gt;"",D19&lt;&gt;"Purchase bill"),"The received-on date is only for purchase bills",IF(AND(P19="Creditor",X19=1,AA19&gt;0),"Past due to a micro or small supplier: interest runs under MSMED s.16, and if unpaid at year end it is not deductible that year, s.37(2)(g)",IF(AND(P19="Debtor",X19=1,AA19&gt;0),"Past due to you: as a micro or small supplier you can claim interest under MSMED s.16","OK")))))))))))</f>
        <v/>
      </c>
      <c r="P19">
        <f>IF(C19="","",IFERROR(VLOOKUP(C19,'Parties'!$B$13:$Q$112,2,FALSE),"?"))</f>
        <v/>
      </c>
      <c r="Q19">
        <f>IF(D19="","",IFERROR(VLOOKUP(D19,Lists!$A$2:$D$9,3,FALSE),"?"))</f>
        <v/>
      </c>
      <c r="R19">
        <f>IF(D19="","",IFERROR(VLOOKUP(D19,Lists!$A$2:$D$9,4,FALSE),"?"))</f>
        <v/>
      </c>
      <c r="S19">
        <f>IF(P19="Debtor",I19,IF(P19="Creditor",J19,0))</f>
        <v/>
      </c>
      <c r="T19">
        <f>IF(P19="Debtor",J19,IF(P19="Creditor",I19,0))</f>
        <v/>
      </c>
      <c r="U19">
        <f>IF(OR(S19=0,B19=""),0,IFERROR(VLOOKUP(C19,'Parties'!$B$13:$Q$112,13,FALSE),0)+SUMIFS($S$7:$S$506,$C$7:$C$506,C19,$B$7:$B$506,"&lt;"&amp;B19)+SUMIFS(S$7:S19,C$7:C19,C19,B$7:B19,B19))</f>
        <v/>
      </c>
      <c r="V19">
        <f>IF(S19=0,0,IFERROR(VLOOKUP(C19,'Parties'!$B$13:$Q$112,14,FALSE),0)+SUMIFS($T$7:$T$506,$C$7:$C$506,C19,$B$7:$B$506,"&lt;="&amp;'Outstanding'!$E$5))</f>
        <v/>
      </c>
      <c r="W19">
        <f>IF(OR('Outstanding'!$E$5="",S19=0,B19="",B19&gt;'Outstanding'!$E$5),0,MAX(0,MIN(S19,U19-V19)))</f>
        <v/>
      </c>
      <c r="X19">
        <f>IF(C19="",0,IFERROR(VLOOKUP(C19,'Parties'!$B$13:$Q$112,15,FALSE),0))</f>
        <v/>
      </c>
      <c r="Y19">
        <f>IF(C19="","",IFERROR(VLOOKUP(C19,'Parties'!$B$13:$Q$112,16,FALSE),0))</f>
        <v/>
      </c>
      <c r="Z19">
        <f>IF(OR(S19=0,B19="",Y19=""),"",IF(AND(F19&lt;&gt;"",D19="Purchase bill"),F19,B19)+Y19)</f>
        <v/>
      </c>
      <c r="AA19">
        <f>IF(OR(W19=0,Z19=""),0,MAX(0,'Outstanding'!$E$5-Z19))</f>
        <v/>
      </c>
      <c r="AB19">
        <f>IF(AND(X19=1,AA19&gt;0),W19*((1+3*N('Parties'!$E$10)/12)^(AA19*12/365)-1),0)</f>
        <v/>
      </c>
      <c r="AC19">
        <f>IF(W19=0,"",'Outstanding'!$E$5-B19)</f>
        <v/>
      </c>
      <c r="AD19">
        <f>IF(S19=0,0,IFERROR(VLOOKUP(C19,'Parties'!$B$13:$Q$112,14,FALSE),0)+SUMIFS($T$7:$T$506,$C$7:$C$506,C19,$B$7:$B$506,"&lt;="&amp;'Parties'!$E$8))</f>
        <v/>
      </c>
      <c r="AE19">
        <f>IF(OR('Parties'!$E$8="",S19=0,B19="",B19&gt;'Parties'!$E$8),0,MAX(0,MIN(S19,U19-AD19)))</f>
        <v/>
      </c>
      <c r="AF19">
        <f>IF(AND(P19="Creditor",X19=1,AE19&gt;0,Z19&lt;&gt;""),IF(Z19&lt;='Parties'!$E$8,AE19,0),0)</f>
        <v/>
      </c>
      <c r="AG19">
        <f>IF(OR(AE19=0,Z19=""),0,MAX(0,'Parties'!$E$8-Z19))</f>
        <v/>
      </c>
      <c r="AH19">
        <f>IF(AND(P19="Creditor",X19=1,AG19&gt;0),AE19*((1+3*N('Parties'!$E$10)/12)^(AG19*12/365)-1),0)</f>
        <v/>
      </c>
      <c r="AI19">
        <f>IF(AND(C19&lt;&gt;"",C19='Ledger Account'!$D$4,B19&lt;&gt;"",B19&gt;='Ledger Account'!$D$5,B19&lt;='Ledger Account'!$D$6),1,0)</f>
        <v/>
      </c>
      <c r="AJ19">
        <f>IF(AI19=1,SUM(AI$7:AI19),"")</f>
        <v/>
      </c>
      <c r="AK19">
        <f>IF(OR(N19="",N19="OK"),0,1)</f>
        <v/>
      </c>
    </row>
    <row r="20">
      <c r="B20" s="24" t="n"/>
      <c r="C20" s="14" t="n"/>
      <c r="D20" s="14" t="n"/>
      <c r="E20" s="20" t="n"/>
      <c r="F20" s="24" t="n"/>
      <c r="G20" s="14" t="n"/>
      <c r="H20" s="22" t="n"/>
      <c r="I20" s="25">
        <f>IF(Q20="D",N(H20),0)</f>
        <v/>
      </c>
      <c r="J20" s="25">
        <f>IF(Q20="C",N(H20),0)</f>
        <v/>
      </c>
      <c r="K20" s="26">
        <f>IF(Z20="","",Z20)</f>
        <v/>
      </c>
      <c r="L20" s="27">
        <f>W20</f>
        <v/>
      </c>
      <c r="M20" s="28">
        <f>AA20</f>
        <v/>
      </c>
      <c r="N20" s="23">
        <f>IF(AND(B20="",C20="",D20="",N(H20)=0),"",IF(B20="","Enter the date",IF(C20="","Pick the party",IF(P20="?","Add this party on the Parties sheet first",IF(D20="","Pick the entry type",IF(Q20="?","Pick the entry type from the list",IF(N(H20)=0,"Enter the amount",IF(AND(R20&lt;&gt;"Any",R20&lt;&gt;P20),"Sales, receipts and credit notes are for debtors; purchases, payments and debit notes for creditors",IF(AND(F20&lt;&gt;"",D20&lt;&gt;"Purchase bill"),"The received-on date is only for purchase bills",IF(AND(P20="Creditor",X20=1,AA20&gt;0),"Past due to a micro or small supplier: interest runs under MSMED s.16, and if unpaid at year end it is not deductible that year, s.37(2)(g)",IF(AND(P20="Debtor",X20=1,AA20&gt;0),"Past due to you: as a micro or small supplier you can claim interest under MSMED s.16","OK")))))))))))</f>
        <v/>
      </c>
      <c r="P20">
        <f>IF(C20="","",IFERROR(VLOOKUP(C20,'Parties'!$B$13:$Q$112,2,FALSE),"?"))</f>
        <v/>
      </c>
      <c r="Q20">
        <f>IF(D20="","",IFERROR(VLOOKUP(D20,Lists!$A$2:$D$9,3,FALSE),"?"))</f>
        <v/>
      </c>
      <c r="R20">
        <f>IF(D20="","",IFERROR(VLOOKUP(D20,Lists!$A$2:$D$9,4,FALSE),"?"))</f>
        <v/>
      </c>
      <c r="S20">
        <f>IF(P20="Debtor",I20,IF(P20="Creditor",J20,0))</f>
        <v/>
      </c>
      <c r="T20">
        <f>IF(P20="Debtor",J20,IF(P20="Creditor",I20,0))</f>
        <v/>
      </c>
      <c r="U20">
        <f>IF(OR(S20=0,B20=""),0,IFERROR(VLOOKUP(C20,'Parties'!$B$13:$Q$112,13,FALSE),0)+SUMIFS($S$7:$S$506,$C$7:$C$506,C20,$B$7:$B$506,"&lt;"&amp;B20)+SUMIFS(S$7:S20,C$7:C20,C20,B$7:B20,B20))</f>
        <v/>
      </c>
      <c r="V20">
        <f>IF(S20=0,0,IFERROR(VLOOKUP(C20,'Parties'!$B$13:$Q$112,14,FALSE),0)+SUMIFS($T$7:$T$506,$C$7:$C$506,C20,$B$7:$B$506,"&lt;="&amp;'Outstanding'!$E$5))</f>
        <v/>
      </c>
      <c r="W20">
        <f>IF(OR('Outstanding'!$E$5="",S20=0,B20="",B20&gt;'Outstanding'!$E$5),0,MAX(0,MIN(S20,U20-V20)))</f>
        <v/>
      </c>
      <c r="X20">
        <f>IF(C20="",0,IFERROR(VLOOKUP(C20,'Parties'!$B$13:$Q$112,15,FALSE),0))</f>
        <v/>
      </c>
      <c r="Y20">
        <f>IF(C20="","",IFERROR(VLOOKUP(C20,'Parties'!$B$13:$Q$112,16,FALSE),0))</f>
        <v/>
      </c>
      <c r="Z20">
        <f>IF(OR(S20=0,B20="",Y20=""),"",IF(AND(F20&lt;&gt;"",D20="Purchase bill"),F20,B20)+Y20)</f>
        <v/>
      </c>
      <c r="AA20">
        <f>IF(OR(W20=0,Z20=""),0,MAX(0,'Outstanding'!$E$5-Z20))</f>
        <v/>
      </c>
      <c r="AB20">
        <f>IF(AND(X20=1,AA20&gt;0),W20*((1+3*N('Parties'!$E$10)/12)^(AA20*12/365)-1),0)</f>
        <v/>
      </c>
      <c r="AC20">
        <f>IF(W20=0,"",'Outstanding'!$E$5-B20)</f>
        <v/>
      </c>
      <c r="AD20">
        <f>IF(S20=0,0,IFERROR(VLOOKUP(C20,'Parties'!$B$13:$Q$112,14,FALSE),0)+SUMIFS($T$7:$T$506,$C$7:$C$506,C20,$B$7:$B$506,"&lt;="&amp;'Parties'!$E$8))</f>
        <v/>
      </c>
      <c r="AE20">
        <f>IF(OR('Parties'!$E$8="",S20=0,B20="",B20&gt;'Parties'!$E$8),0,MAX(0,MIN(S20,U20-AD20)))</f>
        <v/>
      </c>
      <c r="AF20">
        <f>IF(AND(P20="Creditor",X20=1,AE20&gt;0,Z20&lt;&gt;""),IF(Z20&lt;='Parties'!$E$8,AE20,0),0)</f>
        <v/>
      </c>
      <c r="AG20">
        <f>IF(OR(AE20=0,Z20=""),0,MAX(0,'Parties'!$E$8-Z20))</f>
        <v/>
      </c>
      <c r="AH20">
        <f>IF(AND(P20="Creditor",X20=1,AG20&gt;0),AE20*((1+3*N('Parties'!$E$10)/12)^(AG20*12/365)-1),0)</f>
        <v/>
      </c>
      <c r="AI20">
        <f>IF(AND(C20&lt;&gt;"",C20='Ledger Account'!$D$4,B20&lt;&gt;"",B20&gt;='Ledger Account'!$D$5,B20&lt;='Ledger Account'!$D$6),1,0)</f>
        <v/>
      </c>
      <c r="AJ20">
        <f>IF(AI20=1,SUM(AI$7:AI20),"")</f>
        <v/>
      </c>
      <c r="AK20">
        <f>IF(OR(N20="",N20="OK"),0,1)</f>
        <v/>
      </c>
    </row>
    <row r="21">
      <c r="B21" s="24" t="n"/>
      <c r="C21" s="14" t="n"/>
      <c r="D21" s="14" t="n"/>
      <c r="E21" s="20" t="n"/>
      <c r="F21" s="24" t="n"/>
      <c r="G21" s="14" t="n"/>
      <c r="H21" s="22" t="n"/>
      <c r="I21" s="25">
        <f>IF(Q21="D",N(H21),0)</f>
        <v/>
      </c>
      <c r="J21" s="25">
        <f>IF(Q21="C",N(H21),0)</f>
        <v/>
      </c>
      <c r="K21" s="26">
        <f>IF(Z21="","",Z21)</f>
        <v/>
      </c>
      <c r="L21" s="27">
        <f>W21</f>
        <v/>
      </c>
      <c r="M21" s="28">
        <f>AA21</f>
        <v/>
      </c>
      <c r="N21" s="23">
        <f>IF(AND(B21="",C21="",D21="",N(H21)=0),"",IF(B21="","Enter the date",IF(C21="","Pick the party",IF(P21="?","Add this party on the Parties sheet first",IF(D21="","Pick the entry type",IF(Q21="?","Pick the entry type from the list",IF(N(H21)=0,"Enter the amount",IF(AND(R21&lt;&gt;"Any",R21&lt;&gt;P21),"Sales, receipts and credit notes are for debtors; purchases, payments and debit notes for creditors",IF(AND(F21&lt;&gt;"",D21&lt;&gt;"Purchase bill"),"The received-on date is only for purchase bills",IF(AND(P21="Creditor",X21=1,AA21&gt;0),"Past due to a micro or small supplier: interest runs under MSMED s.16, and if unpaid at year end it is not deductible that year, s.37(2)(g)",IF(AND(P21="Debtor",X21=1,AA21&gt;0),"Past due to you: as a micro or small supplier you can claim interest under MSMED s.16","OK")))))))))))</f>
        <v/>
      </c>
      <c r="P21">
        <f>IF(C21="","",IFERROR(VLOOKUP(C21,'Parties'!$B$13:$Q$112,2,FALSE),"?"))</f>
        <v/>
      </c>
      <c r="Q21">
        <f>IF(D21="","",IFERROR(VLOOKUP(D21,Lists!$A$2:$D$9,3,FALSE),"?"))</f>
        <v/>
      </c>
      <c r="R21">
        <f>IF(D21="","",IFERROR(VLOOKUP(D21,Lists!$A$2:$D$9,4,FALSE),"?"))</f>
        <v/>
      </c>
      <c r="S21">
        <f>IF(P21="Debtor",I21,IF(P21="Creditor",J21,0))</f>
        <v/>
      </c>
      <c r="T21">
        <f>IF(P21="Debtor",J21,IF(P21="Creditor",I21,0))</f>
        <v/>
      </c>
      <c r="U21">
        <f>IF(OR(S21=0,B21=""),0,IFERROR(VLOOKUP(C21,'Parties'!$B$13:$Q$112,13,FALSE),0)+SUMIFS($S$7:$S$506,$C$7:$C$506,C21,$B$7:$B$506,"&lt;"&amp;B21)+SUMIFS(S$7:S21,C$7:C21,C21,B$7:B21,B21))</f>
        <v/>
      </c>
      <c r="V21">
        <f>IF(S21=0,0,IFERROR(VLOOKUP(C21,'Parties'!$B$13:$Q$112,14,FALSE),0)+SUMIFS($T$7:$T$506,$C$7:$C$506,C21,$B$7:$B$506,"&lt;="&amp;'Outstanding'!$E$5))</f>
        <v/>
      </c>
      <c r="W21">
        <f>IF(OR('Outstanding'!$E$5="",S21=0,B21="",B21&gt;'Outstanding'!$E$5),0,MAX(0,MIN(S21,U21-V21)))</f>
        <v/>
      </c>
      <c r="X21">
        <f>IF(C21="",0,IFERROR(VLOOKUP(C21,'Parties'!$B$13:$Q$112,15,FALSE),0))</f>
        <v/>
      </c>
      <c r="Y21">
        <f>IF(C21="","",IFERROR(VLOOKUP(C21,'Parties'!$B$13:$Q$112,16,FALSE),0))</f>
        <v/>
      </c>
      <c r="Z21">
        <f>IF(OR(S21=0,B21="",Y21=""),"",IF(AND(F21&lt;&gt;"",D21="Purchase bill"),F21,B21)+Y21)</f>
        <v/>
      </c>
      <c r="AA21">
        <f>IF(OR(W21=0,Z21=""),0,MAX(0,'Outstanding'!$E$5-Z21))</f>
        <v/>
      </c>
      <c r="AB21">
        <f>IF(AND(X21=1,AA21&gt;0),W21*((1+3*N('Parties'!$E$10)/12)^(AA21*12/365)-1),0)</f>
        <v/>
      </c>
      <c r="AC21">
        <f>IF(W21=0,"",'Outstanding'!$E$5-B21)</f>
        <v/>
      </c>
      <c r="AD21">
        <f>IF(S21=0,0,IFERROR(VLOOKUP(C21,'Parties'!$B$13:$Q$112,14,FALSE),0)+SUMIFS($T$7:$T$506,$C$7:$C$506,C21,$B$7:$B$506,"&lt;="&amp;'Parties'!$E$8))</f>
        <v/>
      </c>
      <c r="AE21">
        <f>IF(OR('Parties'!$E$8="",S21=0,B21="",B21&gt;'Parties'!$E$8),0,MAX(0,MIN(S21,U21-AD21)))</f>
        <v/>
      </c>
      <c r="AF21">
        <f>IF(AND(P21="Creditor",X21=1,AE21&gt;0,Z21&lt;&gt;""),IF(Z21&lt;='Parties'!$E$8,AE21,0),0)</f>
        <v/>
      </c>
      <c r="AG21">
        <f>IF(OR(AE21=0,Z21=""),0,MAX(0,'Parties'!$E$8-Z21))</f>
        <v/>
      </c>
      <c r="AH21">
        <f>IF(AND(P21="Creditor",X21=1,AG21&gt;0),AE21*((1+3*N('Parties'!$E$10)/12)^(AG21*12/365)-1),0)</f>
        <v/>
      </c>
      <c r="AI21">
        <f>IF(AND(C21&lt;&gt;"",C21='Ledger Account'!$D$4,B21&lt;&gt;"",B21&gt;='Ledger Account'!$D$5,B21&lt;='Ledger Account'!$D$6),1,0)</f>
        <v/>
      </c>
      <c r="AJ21">
        <f>IF(AI21=1,SUM(AI$7:AI21),"")</f>
        <v/>
      </c>
      <c r="AK21">
        <f>IF(OR(N21="",N21="OK"),0,1)</f>
        <v/>
      </c>
    </row>
    <row r="22">
      <c r="B22" s="24" t="n"/>
      <c r="C22" s="14" t="n"/>
      <c r="D22" s="14" t="n"/>
      <c r="E22" s="20" t="n"/>
      <c r="F22" s="24" t="n"/>
      <c r="G22" s="14" t="n"/>
      <c r="H22" s="22" t="n"/>
      <c r="I22" s="25">
        <f>IF(Q22="D",N(H22),0)</f>
        <v/>
      </c>
      <c r="J22" s="25">
        <f>IF(Q22="C",N(H22),0)</f>
        <v/>
      </c>
      <c r="K22" s="26">
        <f>IF(Z22="","",Z22)</f>
        <v/>
      </c>
      <c r="L22" s="27">
        <f>W22</f>
        <v/>
      </c>
      <c r="M22" s="28">
        <f>AA22</f>
        <v/>
      </c>
      <c r="N22" s="23">
        <f>IF(AND(B22="",C22="",D22="",N(H22)=0),"",IF(B22="","Enter the date",IF(C22="","Pick the party",IF(P22="?","Add this party on the Parties sheet first",IF(D22="","Pick the entry type",IF(Q22="?","Pick the entry type from the list",IF(N(H22)=0,"Enter the amount",IF(AND(R22&lt;&gt;"Any",R22&lt;&gt;P22),"Sales, receipts and credit notes are for debtors; purchases, payments and debit notes for creditors",IF(AND(F22&lt;&gt;"",D22&lt;&gt;"Purchase bill"),"The received-on date is only for purchase bills",IF(AND(P22="Creditor",X22=1,AA22&gt;0),"Past due to a micro or small supplier: interest runs under MSMED s.16, and if unpaid at year end it is not deductible that year, s.37(2)(g)",IF(AND(P22="Debtor",X22=1,AA22&gt;0),"Past due to you: as a micro or small supplier you can claim interest under MSMED s.16","OK")))))))))))</f>
        <v/>
      </c>
      <c r="P22">
        <f>IF(C22="","",IFERROR(VLOOKUP(C22,'Parties'!$B$13:$Q$112,2,FALSE),"?"))</f>
        <v/>
      </c>
      <c r="Q22">
        <f>IF(D22="","",IFERROR(VLOOKUP(D22,Lists!$A$2:$D$9,3,FALSE),"?"))</f>
        <v/>
      </c>
      <c r="R22">
        <f>IF(D22="","",IFERROR(VLOOKUP(D22,Lists!$A$2:$D$9,4,FALSE),"?"))</f>
        <v/>
      </c>
      <c r="S22">
        <f>IF(P22="Debtor",I22,IF(P22="Creditor",J22,0))</f>
        <v/>
      </c>
      <c r="T22">
        <f>IF(P22="Debtor",J22,IF(P22="Creditor",I22,0))</f>
        <v/>
      </c>
      <c r="U22">
        <f>IF(OR(S22=0,B22=""),0,IFERROR(VLOOKUP(C22,'Parties'!$B$13:$Q$112,13,FALSE),0)+SUMIFS($S$7:$S$506,$C$7:$C$506,C22,$B$7:$B$506,"&lt;"&amp;B22)+SUMIFS(S$7:S22,C$7:C22,C22,B$7:B22,B22))</f>
        <v/>
      </c>
      <c r="V22">
        <f>IF(S22=0,0,IFERROR(VLOOKUP(C22,'Parties'!$B$13:$Q$112,14,FALSE),0)+SUMIFS($T$7:$T$506,$C$7:$C$506,C22,$B$7:$B$506,"&lt;="&amp;'Outstanding'!$E$5))</f>
        <v/>
      </c>
      <c r="W22">
        <f>IF(OR('Outstanding'!$E$5="",S22=0,B22="",B22&gt;'Outstanding'!$E$5),0,MAX(0,MIN(S22,U22-V22)))</f>
        <v/>
      </c>
      <c r="X22">
        <f>IF(C22="",0,IFERROR(VLOOKUP(C22,'Parties'!$B$13:$Q$112,15,FALSE),0))</f>
        <v/>
      </c>
      <c r="Y22">
        <f>IF(C22="","",IFERROR(VLOOKUP(C22,'Parties'!$B$13:$Q$112,16,FALSE),0))</f>
        <v/>
      </c>
      <c r="Z22">
        <f>IF(OR(S22=0,B22="",Y22=""),"",IF(AND(F22&lt;&gt;"",D22="Purchase bill"),F22,B22)+Y22)</f>
        <v/>
      </c>
      <c r="AA22">
        <f>IF(OR(W22=0,Z22=""),0,MAX(0,'Outstanding'!$E$5-Z22))</f>
        <v/>
      </c>
      <c r="AB22">
        <f>IF(AND(X22=1,AA22&gt;0),W22*((1+3*N('Parties'!$E$10)/12)^(AA22*12/365)-1),0)</f>
        <v/>
      </c>
      <c r="AC22">
        <f>IF(W22=0,"",'Outstanding'!$E$5-B22)</f>
        <v/>
      </c>
      <c r="AD22">
        <f>IF(S22=0,0,IFERROR(VLOOKUP(C22,'Parties'!$B$13:$Q$112,14,FALSE),0)+SUMIFS($T$7:$T$506,$C$7:$C$506,C22,$B$7:$B$506,"&lt;="&amp;'Parties'!$E$8))</f>
        <v/>
      </c>
      <c r="AE22">
        <f>IF(OR('Parties'!$E$8="",S22=0,B22="",B22&gt;'Parties'!$E$8),0,MAX(0,MIN(S22,U22-AD22)))</f>
        <v/>
      </c>
      <c r="AF22">
        <f>IF(AND(P22="Creditor",X22=1,AE22&gt;0,Z22&lt;&gt;""),IF(Z22&lt;='Parties'!$E$8,AE22,0),0)</f>
        <v/>
      </c>
      <c r="AG22">
        <f>IF(OR(AE22=0,Z22=""),0,MAX(0,'Parties'!$E$8-Z22))</f>
        <v/>
      </c>
      <c r="AH22">
        <f>IF(AND(P22="Creditor",X22=1,AG22&gt;0),AE22*((1+3*N('Parties'!$E$10)/12)^(AG22*12/365)-1),0)</f>
        <v/>
      </c>
      <c r="AI22">
        <f>IF(AND(C22&lt;&gt;"",C22='Ledger Account'!$D$4,B22&lt;&gt;"",B22&gt;='Ledger Account'!$D$5,B22&lt;='Ledger Account'!$D$6),1,0)</f>
        <v/>
      </c>
      <c r="AJ22">
        <f>IF(AI22=1,SUM(AI$7:AI22),"")</f>
        <v/>
      </c>
      <c r="AK22">
        <f>IF(OR(N22="",N22="OK"),0,1)</f>
        <v/>
      </c>
    </row>
    <row r="23">
      <c r="B23" s="24" t="n"/>
      <c r="C23" s="14" t="n"/>
      <c r="D23" s="14" t="n"/>
      <c r="E23" s="20" t="n"/>
      <c r="F23" s="24" t="n"/>
      <c r="G23" s="14" t="n"/>
      <c r="H23" s="22" t="n"/>
      <c r="I23" s="25">
        <f>IF(Q23="D",N(H23),0)</f>
        <v/>
      </c>
      <c r="J23" s="25">
        <f>IF(Q23="C",N(H23),0)</f>
        <v/>
      </c>
      <c r="K23" s="26">
        <f>IF(Z23="","",Z23)</f>
        <v/>
      </c>
      <c r="L23" s="27">
        <f>W23</f>
        <v/>
      </c>
      <c r="M23" s="28">
        <f>AA23</f>
        <v/>
      </c>
      <c r="N23" s="23">
        <f>IF(AND(B23="",C23="",D23="",N(H23)=0),"",IF(B23="","Enter the date",IF(C23="","Pick the party",IF(P23="?","Add this party on the Parties sheet first",IF(D23="","Pick the entry type",IF(Q23="?","Pick the entry type from the list",IF(N(H23)=0,"Enter the amount",IF(AND(R23&lt;&gt;"Any",R23&lt;&gt;P23),"Sales, receipts and credit notes are for debtors; purchases, payments and debit notes for creditors",IF(AND(F23&lt;&gt;"",D23&lt;&gt;"Purchase bill"),"The received-on date is only for purchase bills",IF(AND(P23="Creditor",X23=1,AA23&gt;0),"Past due to a micro or small supplier: interest runs under MSMED s.16, and if unpaid at year end it is not deductible that year, s.37(2)(g)",IF(AND(P23="Debtor",X23=1,AA23&gt;0),"Past due to you: as a micro or small supplier you can claim interest under MSMED s.16","OK")))))))))))</f>
        <v/>
      </c>
      <c r="P23">
        <f>IF(C23="","",IFERROR(VLOOKUP(C23,'Parties'!$B$13:$Q$112,2,FALSE),"?"))</f>
        <v/>
      </c>
      <c r="Q23">
        <f>IF(D23="","",IFERROR(VLOOKUP(D23,Lists!$A$2:$D$9,3,FALSE),"?"))</f>
        <v/>
      </c>
      <c r="R23">
        <f>IF(D23="","",IFERROR(VLOOKUP(D23,Lists!$A$2:$D$9,4,FALSE),"?"))</f>
        <v/>
      </c>
      <c r="S23">
        <f>IF(P23="Debtor",I23,IF(P23="Creditor",J23,0))</f>
        <v/>
      </c>
      <c r="T23">
        <f>IF(P23="Debtor",J23,IF(P23="Creditor",I23,0))</f>
        <v/>
      </c>
      <c r="U23">
        <f>IF(OR(S23=0,B23=""),0,IFERROR(VLOOKUP(C23,'Parties'!$B$13:$Q$112,13,FALSE),0)+SUMIFS($S$7:$S$506,$C$7:$C$506,C23,$B$7:$B$506,"&lt;"&amp;B23)+SUMIFS(S$7:S23,C$7:C23,C23,B$7:B23,B23))</f>
        <v/>
      </c>
      <c r="V23">
        <f>IF(S23=0,0,IFERROR(VLOOKUP(C23,'Parties'!$B$13:$Q$112,14,FALSE),0)+SUMIFS($T$7:$T$506,$C$7:$C$506,C23,$B$7:$B$506,"&lt;="&amp;'Outstanding'!$E$5))</f>
        <v/>
      </c>
      <c r="W23">
        <f>IF(OR('Outstanding'!$E$5="",S23=0,B23="",B23&gt;'Outstanding'!$E$5),0,MAX(0,MIN(S23,U23-V23)))</f>
        <v/>
      </c>
      <c r="X23">
        <f>IF(C23="",0,IFERROR(VLOOKUP(C23,'Parties'!$B$13:$Q$112,15,FALSE),0))</f>
        <v/>
      </c>
      <c r="Y23">
        <f>IF(C23="","",IFERROR(VLOOKUP(C23,'Parties'!$B$13:$Q$112,16,FALSE),0))</f>
        <v/>
      </c>
      <c r="Z23">
        <f>IF(OR(S23=0,B23="",Y23=""),"",IF(AND(F23&lt;&gt;"",D23="Purchase bill"),F23,B23)+Y23)</f>
        <v/>
      </c>
      <c r="AA23">
        <f>IF(OR(W23=0,Z23=""),0,MAX(0,'Outstanding'!$E$5-Z23))</f>
        <v/>
      </c>
      <c r="AB23">
        <f>IF(AND(X23=1,AA23&gt;0),W23*((1+3*N('Parties'!$E$10)/12)^(AA23*12/365)-1),0)</f>
        <v/>
      </c>
      <c r="AC23">
        <f>IF(W23=0,"",'Outstanding'!$E$5-B23)</f>
        <v/>
      </c>
      <c r="AD23">
        <f>IF(S23=0,0,IFERROR(VLOOKUP(C23,'Parties'!$B$13:$Q$112,14,FALSE),0)+SUMIFS($T$7:$T$506,$C$7:$C$506,C23,$B$7:$B$506,"&lt;="&amp;'Parties'!$E$8))</f>
        <v/>
      </c>
      <c r="AE23">
        <f>IF(OR('Parties'!$E$8="",S23=0,B23="",B23&gt;'Parties'!$E$8),0,MAX(0,MIN(S23,U23-AD23)))</f>
        <v/>
      </c>
      <c r="AF23">
        <f>IF(AND(P23="Creditor",X23=1,AE23&gt;0,Z23&lt;&gt;""),IF(Z23&lt;='Parties'!$E$8,AE23,0),0)</f>
        <v/>
      </c>
      <c r="AG23">
        <f>IF(OR(AE23=0,Z23=""),0,MAX(0,'Parties'!$E$8-Z23))</f>
        <v/>
      </c>
      <c r="AH23">
        <f>IF(AND(P23="Creditor",X23=1,AG23&gt;0),AE23*((1+3*N('Parties'!$E$10)/12)^(AG23*12/365)-1),0)</f>
        <v/>
      </c>
      <c r="AI23">
        <f>IF(AND(C23&lt;&gt;"",C23='Ledger Account'!$D$4,B23&lt;&gt;"",B23&gt;='Ledger Account'!$D$5,B23&lt;='Ledger Account'!$D$6),1,0)</f>
        <v/>
      </c>
      <c r="AJ23">
        <f>IF(AI23=1,SUM(AI$7:AI23),"")</f>
        <v/>
      </c>
      <c r="AK23">
        <f>IF(OR(N23="",N23="OK"),0,1)</f>
        <v/>
      </c>
    </row>
    <row r="24">
      <c r="B24" s="24" t="n"/>
      <c r="C24" s="14" t="n"/>
      <c r="D24" s="14" t="n"/>
      <c r="E24" s="20" t="n"/>
      <c r="F24" s="24" t="n"/>
      <c r="G24" s="14" t="n"/>
      <c r="H24" s="22" t="n"/>
      <c r="I24" s="25">
        <f>IF(Q24="D",N(H24),0)</f>
        <v/>
      </c>
      <c r="J24" s="25">
        <f>IF(Q24="C",N(H24),0)</f>
        <v/>
      </c>
      <c r="K24" s="26">
        <f>IF(Z24="","",Z24)</f>
        <v/>
      </c>
      <c r="L24" s="27">
        <f>W24</f>
        <v/>
      </c>
      <c r="M24" s="28">
        <f>AA24</f>
        <v/>
      </c>
      <c r="N24" s="23">
        <f>IF(AND(B24="",C24="",D24="",N(H24)=0),"",IF(B24="","Enter the date",IF(C24="","Pick the party",IF(P24="?","Add this party on the Parties sheet first",IF(D24="","Pick the entry type",IF(Q24="?","Pick the entry type from the list",IF(N(H24)=0,"Enter the amount",IF(AND(R24&lt;&gt;"Any",R24&lt;&gt;P24),"Sales, receipts and credit notes are for debtors; purchases, payments and debit notes for creditors",IF(AND(F24&lt;&gt;"",D24&lt;&gt;"Purchase bill"),"The received-on date is only for purchase bills",IF(AND(P24="Creditor",X24=1,AA24&gt;0),"Past due to a micro or small supplier: interest runs under MSMED s.16, and if unpaid at year end it is not deductible that year, s.37(2)(g)",IF(AND(P24="Debtor",X24=1,AA24&gt;0),"Past due to you: as a micro or small supplier you can claim interest under MSMED s.16","OK")))))))))))</f>
        <v/>
      </c>
      <c r="P24">
        <f>IF(C24="","",IFERROR(VLOOKUP(C24,'Parties'!$B$13:$Q$112,2,FALSE),"?"))</f>
        <v/>
      </c>
      <c r="Q24">
        <f>IF(D24="","",IFERROR(VLOOKUP(D24,Lists!$A$2:$D$9,3,FALSE),"?"))</f>
        <v/>
      </c>
      <c r="R24">
        <f>IF(D24="","",IFERROR(VLOOKUP(D24,Lists!$A$2:$D$9,4,FALSE),"?"))</f>
        <v/>
      </c>
      <c r="S24">
        <f>IF(P24="Debtor",I24,IF(P24="Creditor",J24,0))</f>
        <v/>
      </c>
      <c r="T24">
        <f>IF(P24="Debtor",J24,IF(P24="Creditor",I24,0))</f>
        <v/>
      </c>
      <c r="U24">
        <f>IF(OR(S24=0,B24=""),0,IFERROR(VLOOKUP(C24,'Parties'!$B$13:$Q$112,13,FALSE),0)+SUMIFS($S$7:$S$506,$C$7:$C$506,C24,$B$7:$B$506,"&lt;"&amp;B24)+SUMIFS(S$7:S24,C$7:C24,C24,B$7:B24,B24))</f>
        <v/>
      </c>
      <c r="V24">
        <f>IF(S24=0,0,IFERROR(VLOOKUP(C24,'Parties'!$B$13:$Q$112,14,FALSE),0)+SUMIFS($T$7:$T$506,$C$7:$C$506,C24,$B$7:$B$506,"&lt;="&amp;'Outstanding'!$E$5))</f>
        <v/>
      </c>
      <c r="W24">
        <f>IF(OR('Outstanding'!$E$5="",S24=0,B24="",B24&gt;'Outstanding'!$E$5),0,MAX(0,MIN(S24,U24-V24)))</f>
        <v/>
      </c>
      <c r="X24">
        <f>IF(C24="",0,IFERROR(VLOOKUP(C24,'Parties'!$B$13:$Q$112,15,FALSE),0))</f>
        <v/>
      </c>
      <c r="Y24">
        <f>IF(C24="","",IFERROR(VLOOKUP(C24,'Parties'!$B$13:$Q$112,16,FALSE),0))</f>
        <v/>
      </c>
      <c r="Z24">
        <f>IF(OR(S24=0,B24="",Y24=""),"",IF(AND(F24&lt;&gt;"",D24="Purchase bill"),F24,B24)+Y24)</f>
        <v/>
      </c>
      <c r="AA24">
        <f>IF(OR(W24=0,Z24=""),0,MAX(0,'Outstanding'!$E$5-Z24))</f>
        <v/>
      </c>
      <c r="AB24">
        <f>IF(AND(X24=1,AA24&gt;0),W24*((1+3*N('Parties'!$E$10)/12)^(AA24*12/365)-1),0)</f>
        <v/>
      </c>
      <c r="AC24">
        <f>IF(W24=0,"",'Outstanding'!$E$5-B24)</f>
        <v/>
      </c>
      <c r="AD24">
        <f>IF(S24=0,0,IFERROR(VLOOKUP(C24,'Parties'!$B$13:$Q$112,14,FALSE),0)+SUMIFS($T$7:$T$506,$C$7:$C$506,C24,$B$7:$B$506,"&lt;="&amp;'Parties'!$E$8))</f>
        <v/>
      </c>
      <c r="AE24">
        <f>IF(OR('Parties'!$E$8="",S24=0,B24="",B24&gt;'Parties'!$E$8),0,MAX(0,MIN(S24,U24-AD24)))</f>
        <v/>
      </c>
      <c r="AF24">
        <f>IF(AND(P24="Creditor",X24=1,AE24&gt;0,Z24&lt;&gt;""),IF(Z24&lt;='Parties'!$E$8,AE24,0),0)</f>
        <v/>
      </c>
      <c r="AG24">
        <f>IF(OR(AE24=0,Z24=""),0,MAX(0,'Parties'!$E$8-Z24))</f>
        <v/>
      </c>
      <c r="AH24">
        <f>IF(AND(P24="Creditor",X24=1,AG24&gt;0),AE24*((1+3*N('Parties'!$E$10)/12)^(AG24*12/365)-1),0)</f>
        <v/>
      </c>
      <c r="AI24">
        <f>IF(AND(C24&lt;&gt;"",C24='Ledger Account'!$D$4,B24&lt;&gt;"",B24&gt;='Ledger Account'!$D$5,B24&lt;='Ledger Account'!$D$6),1,0)</f>
        <v/>
      </c>
      <c r="AJ24">
        <f>IF(AI24=1,SUM(AI$7:AI24),"")</f>
        <v/>
      </c>
      <c r="AK24">
        <f>IF(OR(N24="",N24="OK"),0,1)</f>
        <v/>
      </c>
    </row>
    <row r="25">
      <c r="B25" s="24" t="n"/>
      <c r="C25" s="14" t="n"/>
      <c r="D25" s="14" t="n"/>
      <c r="E25" s="20" t="n"/>
      <c r="F25" s="24" t="n"/>
      <c r="G25" s="14" t="n"/>
      <c r="H25" s="22" t="n"/>
      <c r="I25" s="25">
        <f>IF(Q25="D",N(H25),0)</f>
        <v/>
      </c>
      <c r="J25" s="25">
        <f>IF(Q25="C",N(H25),0)</f>
        <v/>
      </c>
      <c r="K25" s="26">
        <f>IF(Z25="","",Z25)</f>
        <v/>
      </c>
      <c r="L25" s="27">
        <f>W25</f>
        <v/>
      </c>
      <c r="M25" s="28">
        <f>AA25</f>
        <v/>
      </c>
      <c r="N25" s="23">
        <f>IF(AND(B25="",C25="",D25="",N(H25)=0),"",IF(B25="","Enter the date",IF(C25="","Pick the party",IF(P25="?","Add this party on the Parties sheet first",IF(D25="","Pick the entry type",IF(Q25="?","Pick the entry type from the list",IF(N(H25)=0,"Enter the amount",IF(AND(R25&lt;&gt;"Any",R25&lt;&gt;P25),"Sales, receipts and credit notes are for debtors; purchases, payments and debit notes for creditors",IF(AND(F25&lt;&gt;"",D25&lt;&gt;"Purchase bill"),"The received-on date is only for purchase bills",IF(AND(P25="Creditor",X25=1,AA25&gt;0),"Past due to a micro or small supplier: interest runs under MSMED s.16, and if unpaid at year end it is not deductible that year, s.37(2)(g)",IF(AND(P25="Debtor",X25=1,AA25&gt;0),"Past due to you: as a micro or small supplier you can claim interest under MSMED s.16","OK")))))))))))</f>
        <v/>
      </c>
      <c r="P25">
        <f>IF(C25="","",IFERROR(VLOOKUP(C25,'Parties'!$B$13:$Q$112,2,FALSE),"?"))</f>
        <v/>
      </c>
      <c r="Q25">
        <f>IF(D25="","",IFERROR(VLOOKUP(D25,Lists!$A$2:$D$9,3,FALSE),"?"))</f>
        <v/>
      </c>
      <c r="R25">
        <f>IF(D25="","",IFERROR(VLOOKUP(D25,Lists!$A$2:$D$9,4,FALSE),"?"))</f>
        <v/>
      </c>
      <c r="S25">
        <f>IF(P25="Debtor",I25,IF(P25="Creditor",J25,0))</f>
        <v/>
      </c>
      <c r="T25">
        <f>IF(P25="Debtor",J25,IF(P25="Creditor",I25,0))</f>
        <v/>
      </c>
      <c r="U25">
        <f>IF(OR(S25=0,B25=""),0,IFERROR(VLOOKUP(C25,'Parties'!$B$13:$Q$112,13,FALSE),0)+SUMIFS($S$7:$S$506,$C$7:$C$506,C25,$B$7:$B$506,"&lt;"&amp;B25)+SUMIFS(S$7:S25,C$7:C25,C25,B$7:B25,B25))</f>
        <v/>
      </c>
      <c r="V25">
        <f>IF(S25=0,0,IFERROR(VLOOKUP(C25,'Parties'!$B$13:$Q$112,14,FALSE),0)+SUMIFS($T$7:$T$506,$C$7:$C$506,C25,$B$7:$B$506,"&lt;="&amp;'Outstanding'!$E$5))</f>
        <v/>
      </c>
      <c r="W25">
        <f>IF(OR('Outstanding'!$E$5="",S25=0,B25="",B25&gt;'Outstanding'!$E$5),0,MAX(0,MIN(S25,U25-V25)))</f>
        <v/>
      </c>
      <c r="X25">
        <f>IF(C25="",0,IFERROR(VLOOKUP(C25,'Parties'!$B$13:$Q$112,15,FALSE),0))</f>
        <v/>
      </c>
      <c r="Y25">
        <f>IF(C25="","",IFERROR(VLOOKUP(C25,'Parties'!$B$13:$Q$112,16,FALSE),0))</f>
        <v/>
      </c>
      <c r="Z25">
        <f>IF(OR(S25=0,B25="",Y25=""),"",IF(AND(F25&lt;&gt;"",D25="Purchase bill"),F25,B25)+Y25)</f>
        <v/>
      </c>
      <c r="AA25">
        <f>IF(OR(W25=0,Z25=""),0,MAX(0,'Outstanding'!$E$5-Z25))</f>
        <v/>
      </c>
      <c r="AB25">
        <f>IF(AND(X25=1,AA25&gt;0),W25*((1+3*N('Parties'!$E$10)/12)^(AA25*12/365)-1),0)</f>
        <v/>
      </c>
      <c r="AC25">
        <f>IF(W25=0,"",'Outstanding'!$E$5-B25)</f>
        <v/>
      </c>
      <c r="AD25">
        <f>IF(S25=0,0,IFERROR(VLOOKUP(C25,'Parties'!$B$13:$Q$112,14,FALSE),0)+SUMIFS($T$7:$T$506,$C$7:$C$506,C25,$B$7:$B$506,"&lt;="&amp;'Parties'!$E$8))</f>
        <v/>
      </c>
      <c r="AE25">
        <f>IF(OR('Parties'!$E$8="",S25=0,B25="",B25&gt;'Parties'!$E$8),0,MAX(0,MIN(S25,U25-AD25)))</f>
        <v/>
      </c>
      <c r="AF25">
        <f>IF(AND(P25="Creditor",X25=1,AE25&gt;0,Z25&lt;&gt;""),IF(Z25&lt;='Parties'!$E$8,AE25,0),0)</f>
        <v/>
      </c>
      <c r="AG25">
        <f>IF(OR(AE25=0,Z25=""),0,MAX(0,'Parties'!$E$8-Z25))</f>
        <v/>
      </c>
      <c r="AH25">
        <f>IF(AND(P25="Creditor",X25=1,AG25&gt;0),AE25*((1+3*N('Parties'!$E$10)/12)^(AG25*12/365)-1),0)</f>
        <v/>
      </c>
      <c r="AI25">
        <f>IF(AND(C25&lt;&gt;"",C25='Ledger Account'!$D$4,B25&lt;&gt;"",B25&gt;='Ledger Account'!$D$5,B25&lt;='Ledger Account'!$D$6),1,0)</f>
        <v/>
      </c>
      <c r="AJ25">
        <f>IF(AI25=1,SUM(AI$7:AI25),"")</f>
        <v/>
      </c>
      <c r="AK25">
        <f>IF(OR(N25="",N25="OK"),0,1)</f>
        <v/>
      </c>
    </row>
    <row r="26">
      <c r="B26" s="24" t="n"/>
      <c r="C26" s="14" t="n"/>
      <c r="D26" s="14" t="n"/>
      <c r="E26" s="20" t="n"/>
      <c r="F26" s="24" t="n"/>
      <c r="G26" s="14" t="n"/>
      <c r="H26" s="22" t="n"/>
      <c r="I26" s="25">
        <f>IF(Q26="D",N(H26),0)</f>
        <v/>
      </c>
      <c r="J26" s="25">
        <f>IF(Q26="C",N(H26),0)</f>
        <v/>
      </c>
      <c r="K26" s="26">
        <f>IF(Z26="","",Z26)</f>
        <v/>
      </c>
      <c r="L26" s="27">
        <f>W26</f>
        <v/>
      </c>
      <c r="M26" s="28">
        <f>AA26</f>
        <v/>
      </c>
      <c r="N26" s="23">
        <f>IF(AND(B26="",C26="",D26="",N(H26)=0),"",IF(B26="","Enter the date",IF(C26="","Pick the party",IF(P26="?","Add this party on the Parties sheet first",IF(D26="","Pick the entry type",IF(Q26="?","Pick the entry type from the list",IF(N(H26)=0,"Enter the amount",IF(AND(R26&lt;&gt;"Any",R26&lt;&gt;P26),"Sales, receipts and credit notes are for debtors; purchases, payments and debit notes for creditors",IF(AND(F26&lt;&gt;"",D26&lt;&gt;"Purchase bill"),"The received-on date is only for purchase bills",IF(AND(P26="Creditor",X26=1,AA26&gt;0),"Past due to a micro or small supplier: interest runs under MSMED s.16, and if unpaid at year end it is not deductible that year, s.37(2)(g)",IF(AND(P26="Debtor",X26=1,AA26&gt;0),"Past due to you: as a micro or small supplier you can claim interest under MSMED s.16","OK")))))))))))</f>
        <v/>
      </c>
      <c r="P26">
        <f>IF(C26="","",IFERROR(VLOOKUP(C26,'Parties'!$B$13:$Q$112,2,FALSE),"?"))</f>
        <v/>
      </c>
      <c r="Q26">
        <f>IF(D26="","",IFERROR(VLOOKUP(D26,Lists!$A$2:$D$9,3,FALSE),"?"))</f>
        <v/>
      </c>
      <c r="R26">
        <f>IF(D26="","",IFERROR(VLOOKUP(D26,Lists!$A$2:$D$9,4,FALSE),"?"))</f>
        <v/>
      </c>
      <c r="S26">
        <f>IF(P26="Debtor",I26,IF(P26="Creditor",J26,0))</f>
        <v/>
      </c>
      <c r="T26">
        <f>IF(P26="Debtor",J26,IF(P26="Creditor",I26,0))</f>
        <v/>
      </c>
      <c r="U26">
        <f>IF(OR(S26=0,B26=""),0,IFERROR(VLOOKUP(C26,'Parties'!$B$13:$Q$112,13,FALSE),0)+SUMIFS($S$7:$S$506,$C$7:$C$506,C26,$B$7:$B$506,"&lt;"&amp;B26)+SUMIFS(S$7:S26,C$7:C26,C26,B$7:B26,B26))</f>
        <v/>
      </c>
      <c r="V26">
        <f>IF(S26=0,0,IFERROR(VLOOKUP(C26,'Parties'!$B$13:$Q$112,14,FALSE),0)+SUMIFS($T$7:$T$506,$C$7:$C$506,C26,$B$7:$B$506,"&lt;="&amp;'Outstanding'!$E$5))</f>
        <v/>
      </c>
      <c r="W26">
        <f>IF(OR('Outstanding'!$E$5="",S26=0,B26="",B26&gt;'Outstanding'!$E$5),0,MAX(0,MIN(S26,U26-V26)))</f>
        <v/>
      </c>
      <c r="X26">
        <f>IF(C26="",0,IFERROR(VLOOKUP(C26,'Parties'!$B$13:$Q$112,15,FALSE),0))</f>
        <v/>
      </c>
      <c r="Y26">
        <f>IF(C26="","",IFERROR(VLOOKUP(C26,'Parties'!$B$13:$Q$112,16,FALSE),0))</f>
        <v/>
      </c>
      <c r="Z26">
        <f>IF(OR(S26=0,B26="",Y26=""),"",IF(AND(F26&lt;&gt;"",D26="Purchase bill"),F26,B26)+Y26)</f>
        <v/>
      </c>
      <c r="AA26">
        <f>IF(OR(W26=0,Z26=""),0,MAX(0,'Outstanding'!$E$5-Z26))</f>
        <v/>
      </c>
      <c r="AB26">
        <f>IF(AND(X26=1,AA26&gt;0),W26*((1+3*N('Parties'!$E$10)/12)^(AA26*12/365)-1),0)</f>
        <v/>
      </c>
      <c r="AC26">
        <f>IF(W26=0,"",'Outstanding'!$E$5-B26)</f>
        <v/>
      </c>
      <c r="AD26">
        <f>IF(S26=0,0,IFERROR(VLOOKUP(C26,'Parties'!$B$13:$Q$112,14,FALSE),0)+SUMIFS($T$7:$T$506,$C$7:$C$506,C26,$B$7:$B$506,"&lt;="&amp;'Parties'!$E$8))</f>
        <v/>
      </c>
      <c r="AE26">
        <f>IF(OR('Parties'!$E$8="",S26=0,B26="",B26&gt;'Parties'!$E$8),0,MAX(0,MIN(S26,U26-AD26)))</f>
        <v/>
      </c>
      <c r="AF26">
        <f>IF(AND(P26="Creditor",X26=1,AE26&gt;0,Z26&lt;&gt;""),IF(Z26&lt;='Parties'!$E$8,AE26,0),0)</f>
        <v/>
      </c>
      <c r="AG26">
        <f>IF(OR(AE26=0,Z26=""),0,MAX(0,'Parties'!$E$8-Z26))</f>
        <v/>
      </c>
      <c r="AH26">
        <f>IF(AND(P26="Creditor",X26=1,AG26&gt;0),AE26*((1+3*N('Parties'!$E$10)/12)^(AG26*12/365)-1),0)</f>
        <v/>
      </c>
      <c r="AI26">
        <f>IF(AND(C26&lt;&gt;"",C26='Ledger Account'!$D$4,B26&lt;&gt;"",B26&gt;='Ledger Account'!$D$5,B26&lt;='Ledger Account'!$D$6),1,0)</f>
        <v/>
      </c>
      <c r="AJ26">
        <f>IF(AI26=1,SUM(AI$7:AI26),"")</f>
        <v/>
      </c>
      <c r="AK26">
        <f>IF(OR(N26="",N26="OK"),0,1)</f>
        <v/>
      </c>
    </row>
    <row r="27">
      <c r="B27" s="24" t="n"/>
      <c r="C27" s="14" t="n"/>
      <c r="D27" s="14" t="n"/>
      <c r="E27" s="20" t="n"/>
      <c r="F27" s="24" t="n"/>
      <c r="G27" s="14" t="n"/>
      <c r="H27" s="22" t="n"/>
      <c r="I27" s="25">
        <f>IF(Q27="D",N(H27),0)</f>
        <v/>
      </c>
      <c r="J27" s="25">
        <f>IF(Q27="C",N(H27),0)</f>
        <v/>
      </c>
      <c r="K27" s="26">
        <f>IF(Z27="","",Z27)</f>
        <v/>
      </c>
      <c r="L27" s="27">
        <f>W27</f>
        <v/>
      </c>
      <c r="M27" s="28">
        <f>AA27</f>
        <v/>
      </c>
      <c r="N27" s="23">
        <f>IF(AND(B27="",C27="",D27="",N(H27)=0),"",IF(B27="","Enter the date",IF(C27="","Pick the party",IF(P27="?","Add this party on the Parties sheet first",IF(D27="","Pick the entry type",IF(Q27="?","Pick the entry type from the list",IF(N(H27)=0,"Enter the amount",IF(AND(R27&lt;&gt;"Any",R27&lt;&gt;P27),"Sales, receipts and credit notes are for debtors; purchases, payments and debit notes for creditors",IF(AND(F27&lt;&gt;"",D27&lt;&gt;"Purchase bill"),"The received-on date is only for purchase bills",IF(AND(P27="Creditor",X27=1,AA27&gt;0),"Past due to a micro or small supplier: interest runs under MSMED s.16, and if unpaid at year end it is not deductible that year, s.37(2)(g)",IF(AND(P27="Debtor",X27=1,AA27&gt;0),"Past due to you: as a micro or small supplier you can claim interest under MSMED s.16","OK")))))))))))</f>
        <v/>
      </c>
      <c r="P27">
        <f>IF(C27="","",IFERROR(VLOOKUP(C27,'Parties'!$B$13:$Q$112,2,FALSE),"?"))</f>
        <v/>
      </c>
      <c r="Q27">
        <f>IF(D27="","",IFERROR(VLOOKUP(D27,Lists!$A$2:$D$9,3,FALSE),"?"))</f>
        <v/>
      </c>
      <c r="R27">
        <f>IF(D27="","",IFERROR(VLOOKUP(D27,Lists!$A$2:$D$9,4,FALSE),"?"))</f>
        <v/>
      </c>
      <c r="S27">
        <f>IF(P27="Debtor",I27,IF(P27="Creditor",J27,0))</f>
        <v/>
      </c>
      <c r="T27">
        <f>IF(P27="Debtor",J27,IF(P27="Creditor",I27,0))</f>
        <v/>
      </c>
      <c r="U27">
        <f>IF(OR(S27=0,B27=""),0,IFERROR(VLOOKUP(C27,'Parties'!$B$13:$Q$112,13,FALSE),0)+SUMIFS($S$7:$S$506,$C$7:$C$506,C27,$B$7:$B$506,"&lt;"&amp;B27)+SUMIFS(S$7:S27,C$7:C27,C27,B$7:B27,B27))</f>
        <v/>
      </c>
      <c r="V27">
        <f>IF(S27=0,0,IFERROR(VLOOKUP(C27,'Parties'!$B$13:$Q$112,14,FALSE),0)+SUMIFS($T$7:$T$506,$C$7:$C$506,C27,$B$7:$B$506,"&lt;="&amp;'Outstanding'!$E$5))</f>
        <v/>
      </c>
      <c r="W27">
        <f>IF(OR('Outstanding'!$E$5="",S27=0,B27="",B27&gt;'Outstanding'!$E$5),0,MAX(0,MIN(S27,U27-V27)))</f>
        <v/>
      </c>
      <c r="X27">
        <f>IF(C27="",0,IFERROR(VLOOKUP(C27,'Parties'!$B$13:$Q$112,15,FALSE),0))</f>
        <v/>
      </c>
      <c r="Y27">
        <f>IF(C27="","",IFERROR(VLOOKUP(C27,'Parties'!$B$13:$Q$112,16,FALSE),0))</f>
        <v/>
      </c>
      <c r="Z27">
        <f>IF(OR(S27=0,B27="",Y27=""),"",IF(AND(F27&lt;&gt;"",D27="Purchase bill"),F27,B27)+Y27)</f>
        <v/>
      </c>
      <c r="AA27">
        <f>IF(OR(W27=0,Z27=""),0,MAX(0,'Outstanding'!$E$5-Z27))</f>
        <v/>
      </c>
      <c r="AB27">
        <f>IF(AND(X27=1,AA27&gt;0),W27*((1+3*N('Parties'!$E$10)/12)^(AA27*12/365)-1),0)</f>
        <v/>
      </c>
      <c r="AC27">
        <f>IF(W27=0,"",'Outstanding'!$E$5-B27)</f>
        <v/>
      </c>
      <c r="AD27">
        <f>IF(S27=0,0,IFERROR(VLOOKUP(C27,'Parties'!$B$13:$Q$112,14,FALSE),0)+SUMIFS($T$7:$T$506,$C$7:$C$506,C27,$B$7:$B$506,"&lt;="&amp;'Parties'!$E$8))</f>
        <v/>
      </c>
      <c r="AE27">
        <f>IF(OR('Parties'!$E$8="",S27=0,B27="",B27&gt;'Parties'!$E$8),0,MAX(0,MIN(S27,U27-AD27)))</f>
        <v/>
      </c>
      <c r="AF27">
        <f>IF(AND(P27="Creditor",X27=1,AE27&gt;0,Z27&lt;&gt;""),IF(Z27&lt;='Parties'!$E$8,AE27,0),0)</f>
        <v/>
      </c>
      <c r="AG27">
        <f>IF(OR(AE27=0,Z27=""),0,MAX(0,'Parties'!$E$8-Z27))</f>
        <v/>
      </c>
      <c r="AH27">
        <f>IF(AND(P27="Creditor",X27=1,AG27&gt;0),AE27*((1+3*N('Parties'!$E$10)/12)^(AG27*12/365)-1),0)</f>
        <v/>
      </c>
      <c r="AI27">
        <f>IF(AND(C27&lt;&gt;"",C27='Ledger Account'!$D$4,B27&lt;&gt;"",B27&gt;='Ledger Account'!$D$5,B27&lt;='Ledger Account'!$D$6),1,0)</f>
        <v/>
      </c>
      <c r="AJ27">
        <f>IF(AI27=1,SUM(AI$7:AI27),"")</f>
        <v/>
      </c>
      <c r="AK27">
        <f>IF(OR(N27="",N27="OK"),0,1)</f>
        <v/>
      </c>
    </row>
    <row r="28">
      <c r="B28" s="24" t="n"/>
      <c r="C28" s="14" t="n"/>
      <c r="D28" s="14" t="n"/>
      <c r="E28" s="20" t="n"/>
      <c r="F28" s="24" t="n"/>
      <c r="G28" s="14" t="n"/>
      <c r="H28" s="22" t="n"/>
      <c r="I28" s="25">
        <f>IF(Q28="D",N(H28),0)</f>
        <v/>
      </c>
      <c r="J28" s="25">
        <f>IF(Q28="C",N(H28),0)</f>
        <v/>
      </c>
      <c r="K28" s="26">
        <f>IF(Z28="","",Z28)</f>
        <v/>
      </c>
      <c r="L28" s="27">
        <f>W28</f>
        <v/>
      </c>
      <c r="M28" s="28">
        <f>AA28</f>
        <v/>
      </c>
      <c r="N28" s="23">
        <f>IF(AND(B28="",C28="",D28="",N(H28)=0),"",IF(B28="","Enter the date",IF(C28="","Pick the party",IF(P28="?","Add this party on the Parties sheet first",IF(D28="","Pick the entry type",IF(Q28="?","Pick the entry type from the list",IF(N(H28)=0,"Enter the amount",IF(AND(R28&lt;&gt;"Any",R28&lt;&gt;P28),"Sales, receipts and credit notes are for debtors; purchases, payments and debit notes for creditors",IF(AND(F28&lt;&gt;"",D28&lt;&gt;"Purchase bill"),"The received-on date is only for purchase bills",IF(AND(P28="Creditor",X28=1,AA28&gt;0),"Past due to a micro or small supplier: interest runs under MSMED s.16, and if unpaid at year end it is not deductible that year, s.37(2)(g)",IF(AND(P28="Debtor",X28=1,AA28&gt;0),"Past due to you: as a micro or small supplier you can claim interest under MSMED s.16","OK")))))))))))</f>
        <v/>
      </c>
      <c r="P28">
        <f>IF(C28="","",IFERROR(VLOOKUP(C28,'Parties'!$B$13:$Q$112,2,FALSE),"?"))</f>
        <v/>
      </c>
      <c r="Q28">
        <f>IF(D28="","",IFERROR(VLOOKUP(D28,Lists!$A$2:$D$9,3,FALSE),"?"))</f>
        <v/>
      </c>
      <c r="R28">
        <f>IF(D28="","",IFERROR(VLOOKUP(D28,Lists!$A$2:$D$9,4,FALSE),"?"))</f>
        <v/>
      </c>
      <c r="S28">
        <f>IF(P28="Debtor",I28,IF(P28="Creditor",J28,0))</f>
        <v/>
      </c>
      <c r="T28">
        <f>IF(P28="Debtor",J28,IF(P28="Creditor",I28,0))</f>
        <v/>
      </c>
      <c r="U28">
        <f>IF(OR(S28=0,B28=""),0,IFERROR(VLOOKUP(C28,'Parties'!$B$13:$Q$112,13,FALSE),0)+SUMIFS($S$7:$S$506,$C$7:$C$506,C28,$B$7:$B$506,"&lt;"&amp;B28)+SUMIFS(S$7:S28,C$7:C28,C28,B$7:B28,B28))</f>
        <v/>
      </c>
      <c r="V28">
        <f>IF(S28=0,0,IFERROR(VLOOKUP(C28,'Parties'!$B$13:$Q$112,14,FALSE),0)+SUMIFS($T$7:$T$506,$C$7:$C$506,C28,$B$7:$B$506,"&lt;="&amp;'Outstanding'!$E$5))</f>
        <v/>
      </c>
      <c r="W28">
        <f>IF(OR('Outstanding'!$E$5="",S28=0,B28="",B28&gt;'Outstanding'!$E$5),0,MAX(0,MIN(S28,U28-V28)))</f>
        <v/>
      </c>
      <c r="X28">
        <f>IF(C28="",0,IFERROR(VLOOKUP(C28,'Parties'!$B$13:$Q$112,15,FALSE),0))</f>
        <v/>
      </c>
      <c r="Y28">
        <f>IF(C28="","",IFERROR(VLOOKUP(C28,'Parties'!$B$13:$Q$112,16,FALSE),0))</f>
        <v/>
      </c>
      <c r="Z28">
        <f>IF(OR(S28=0,B28="",Y28=""),"",IF(AND(F28&lt;&gt;"",D28="Purchase bill"),F28,B28)+Y28)</f>
        <v/>
      </c>
      <c r="AA28">
        <f>IF(OR(W28=0,Z28=""),0,MAX(0,'Outstanding'!$E$5-Z28))</f>
        <v/>
      </c>
      <c r="AB28">
        <f>IF(AND(X28=1,AA28&gt;0),W28*((1+3*N('Parties'!$E$10)/12)^(AA28*12/365)-1),0)</f>
        <v/>
      </c>
      <c r="AC28">
        <f>IF(W28=0,"",'Outstanding'!$E$5-B28)</f>
        <v/>
      </c>
      <c r="AD28">
        <f>IF(S28=0,0,IFERROR(VLOOKUP(C28,'Parties'!$B$13:$Q$112,14,FALSE),0)+SUMIFS($T$7:$T$506,$C$7:$C$506,C28,$B$7:$B$506,"&lt;="&amp;'Parties'!$E$8))</f>
        <v/>
      </c>
      <c r="AE28">
        <f>IF(OR('Parties'!$E$8="",S28=0,B28="",B28&gt;'Parties'!$E$8),0,MAX(0,MIN(S28,U28-AD28)))</f>
        <v/>
      </c>
      <c r="AF28">
        <f>IF(AND(P28="Creditor",X28=1,AE28&gt;0,Z28&lt;&gt;""),IF(Z28&lt;='Parties'!$E$8,AE28,0),0)</f>
        <v/>
      </c>
      <c r="AG28">
        <f>IF(OR(AE28=0,Z28=""),0,MAX(0,'Parties'!$E$8-Z28))</f>
        <v/>
      </c>
      <c r="AH28">
        <f>IF(AND(P28="Creditor",X28=1,AG28&gt;0),AE28*((1+3*N('Parties'!$E$10)/12)^(AG28*12/365)-1),0)</f>
        <v/>
      </c>
      <c r="AI28">
        <f>IF(AND(C28&lt;&gt;"",C28='Ledger Account'!$D$4,B28&lt;&gt;"",B28&gt;='Ledger Account'!$D$5,B28&lt;='Ledger Account'!$D$6),1,0)</f>
        <v/>
      </c>
      <c r="AJ28">
        <f>IF(AI28=1,SUM(AI$7:AI28),"")</f>
        <v/>
      </c>
      <c r="AK28">
        <f>IF(OR(N28="",N28="OK"),0,1)</f>
        <v/>
      </c>
    </row>
    <row r="29">
      <c r="B29" s="24" t="n"/>
      <c r="C29" s="14" t="n"/>
      <c r="D29" s="14" t="n"/>
      <c r="E29" s="20" t="n"/>
      <c r="F29" s="24" t="n"/>
      <c r="G29" s="14" t="n"/>
      <c r="H29" s="22" t="n"/>
      <c r="I29" s="25">
        <f>IF(Q29="D",N(H29),0)</f>
        <v/>
      </c>
      <c r="J29" s="25">
        <f>IF(Q29="C",N(H29),0)</f>
        <v/>
      </c>
      <c r="K29" s="26">
        <f>IF(Z29="","",Z29)</f>
        <v/>
      </c>
      <c r="L29" s="27">
        <f>W29</f>
        <v/>
      </c>
      <c r="M29" s="28">
        <f>AA29</f>
        <v/>
      </c>
      <c r="N29" s="23">
        <f>IF(AND(B29="",C29="",D29="",N(H29)=0),"",IF(B29="","Enter the date",IF(C29="","Pick the party",IF(P29="?","Add this party on the Parties sheet first",IF(D29="","Pick the entry type",IF(Q29="?","Pick the entry type from the list",IF(N(H29)=0,"Enter the amount",IF(AND(R29&lt;&gt;"Any",R29&lt;&gt;P29),"Sales, receipts and credit notes are for debtors; purchases, payments and debit notes for creditors",IF(AND(F29&lt;&gt;"",D29&lt;&gt;"Purchase bill"),"The received-on date is only for purchase bills",IF(AND(P29="Creditor",X29=1,AA29&gt;0),"Past due to a micro or small supplier: interest runs under MSMED s.16, and if unpaid at year end it is not deductible that year, s.37(2)(g)",IF(AND(P29="Debtor",X29=1,AA29&gt;0),"Past due to you: as a micro or small supplier you can claim interest under MSMED s.16","OK")))))))))))</f>
        <v/>
      </c>
      <c r="P29">
        <f>IF(C29="","",IFERROR(VLOOKUP(C29,'Parties'!$B$13:$Q$112,2,FALSE),"?"))</f>
        <v/>
      </c>
      <c r="Q29">
        <f>IF(D29="","",IFERROR(VLOOKUP(D29,Lists!$A$2:$D$9,3,FALSE),"?"))</f>
        <v/>
      </c>
      <c r="R29">
        <f>IF(D29="","",IFERROR(VLOOKUP(D29,Lists!$A$2:$D$9,4,FALSE),"?"))</f>
        <v/>
      </c>
      <c r="S29">
        <f>IF(P29="Debtor",I29,IF(P29="Creditor",J29,0))</f>
        <v/>
      </c>
      <c r="T29">
        <f>IF(P29="Debtor",J29,IF(P29="Creditor",I29,0))</f>
        <v/>
      </c>
      <c r="U29">
        <f>IF(OR(S29=0,B29=""),0,IFERROR(VLOOKUP(C29,'Parties'!$B$13:$Q$112,13,FALSE),0)+SUMIFS($S$7:$S$506,$C$7:$C$506,C29,$B$7:$B$506,"&lt;"&amp;B29)+SUMIFS(S$7:S29,C$7:C29,C29,B$7:B29,B29))</f>
        <v/>
      </c>
      <c r="V29">
        <f>IF(S29=0,0,IFERROR(VLOOKUP(C29,'Parties'!$B$13:$Q$112,14,FALSE),0)+SUMIFS($T$7:$T$506,$C$7:$C$506,C29,$B$7:$B$506,"&lt;="&amp;'Outstanding'!$E$5))</f>
        <v/>
      </c>
      <c r="W29">
        <f>IF(OR('Outstanding'!$E$5="",S29=0,B29="",B29&gt;'Outstanding'!$E$5),0,MAX(0,MIN(S29,U29-V29)))</f>
        <v/>
      </c>
      <c r="X29">
        <f>IF(C29="",0,IFERROR(VLOOKUP(C29,'Parties'!$B$13:$Q$112,15,FALSE),0))</f>
        <v/>
      </c>
      <c r="Y29">
        <f>IF(C29="","",IFERROR(VLOOKUP(C29,'Parties'!$B$13:$Q$112,16,FALSE),0))</f>
        <v/>
      </c>
      <c r="Z29">
        <f>IF(OR(S29=0,B29="",Y29=""),"",IF(AND(F29&lt;&gt;"",D29="Purchase bill"),F29,B29)+Y29)</f>
        <v/>
      </c>
      <c r="AA29">
        <f>IF(OR(W29=0,Z29=""),0,MAX(0,'Outstanding'!$E$5-Z29))</f>
        <v/>
      </c>
      <c r="AB29">
        <f>IF(AND(X29=1,AA29&gt;0),W29*((1+3*N('Parties'!$E$10)/12)^(AA29*12/365)-1),0)</f>
        <v/>
      </c>
      <c r="AC29">
        <f>IF(W29=0,"",'Outstanding'!$E$5-B29)</f>
        <v/>
      </c>
      <c r="AD29">
        <f>IF(S29=0,0,IFERROR(VLOOKUP(C29,'Parties'!$B$13:$Q$112,14,FALSE),0)+SUMIFS($T$7:$T$506,$C$7:$C$506,C29,$B$7:$B$506,"&lt;="&amp;'Parties'!$E$8))</f>
        <v/>
      </c>
      <c r="AE29">
        <f>IF(OR('Parties'!$E$8="",S29=0,B29="",B29&gt;'Parties'!$E$8),0,MAX(0,MIN(S29,U29-AD29)))</f>
        <v/>
      </c>
      <c r="AF29">
        <f>IF(AND(P29="Creditor",X29=1,AE29&gt;0,Z29&lt;&gt;""),IF(Z29&lt;='Parties'!$E$8,AE29,0),0)</f>
        <v/>
      </c>
      <c r="AG29">
        <f>IF(OR(AE29=0,Z29=""),0,MAX(0,'Parties'!$E$8-Z29))</f>
        <v/>
      </c>
      <c r="AH29">
        <f>IF(AND(P29="Creditor",X29=1,AG29&gt;0),AE29*((1+3*N('Parties'!$E$10)/12)^(AG29*12/365)-1),0)</f>
        <v/>
      </c>
      <c r="AI29">
        <f>IF(AND(C29&lt;&gt;"",C29='Ledger Account'!$D$4,B29&lt;&gt;"",B29&gt;='Ledger Account'!$D$5,B29&lt;='Ledger Account'!$D$6),1,0)</f>
        <v/>
      </c>
      <c r="AJ29">
        <f>IF(AI29=1,SUM(AI$7:AI29),"")</f>
        <v/>
      </c>
      <c r="AK29">
        <f>IF(OR(N29="",N29="OK"),0,1)</f>
        <v/>
      </c>
    </row>
    <row r="30">
      <c r="B30" s="24" t="n"/>
      <c r="C30" s="14" t="n"/>
      <c r="D30" s="14" t="n"/>
      <c r="E30" s="20" t="n"/>
      <c r="F30" s="24" t="n"/>
      <c r="G30" s="14" t="n"/>
      <c r="H30" s="22" t="n"/>
      <c r="I30" s="25">
        <f>IF(Q30="D",N(H30),0)</f>
        <v/>
      </c>
      <c r="J30" s="25">
        <f>IF(Q30="C",N(H30),0)</f>
        <v/>
      </c>
      <c r="K30" s="26">
        <f>IF(Z30="","",Z30)</f>
        <v/>
      </c>
      <c r="L30" s="27">
        <f>W30</f>
        <v/>
      </c>
      <c r="M30" s="28">
        <f>AA30</f>
        <v/>
      </c>
      <c r="N30" s="23">
        <f>IF(AND(B30="",C30="",D30="",N(H30)=0),"",IF(B30="","Enter the date",IF(C30="","Pick the party",IF(P30="?","Add this party on the Parties sheet first",IF(D30="","Pick the entry type",IF(Q30="?","Pick the entry type from the list",IF(N(H30)=0,"Enter the amount",IF(AND(R30&lt;&gt;"Any",R30&lt;&gt;P30),"Sales, receipts and credit notes are for debtors; purchases, payments and debit notes for creditors",IF(AND(F30&lt;&gt;"",D30&lt;&gt;"Purchase bill"),"The received-on date is only for purchase bills",IF(AND(P30="Creditor",X30=1,AA30&gt;0),"Past due to a micro or small supplier: interest runs under MSMED s.16, and if unpaid at year end it is not deductible that year, s.37(2)(g)",IF(AND(P30="Debtor",X30=1,AA30&gt;0),"Past due to you: as a micro or small supplier you can claim interest under MSMED s.16","OK")))))))))))</f>
        <v/>
      </c>
      <c r="P30">
        <f>IF(C30="","",IFERROR(VLOOKUP(C30,'Parties'!$B$13:$Q$112,2,FALSE),"?"))</f>
        <v/>
      </c>
      <c r="Q30">
        <f>IF(D30="","",IFERROR(VLOOKUP(D30,Lists!$A$2:$D$9,3,FALSE),"?"))</f>
        <v/>
      </c>
      <c r="R30">
        <f>IF(D30="","",IFERROR(VLOOKUP(D30,Lists!$A$2:$D$9,4,FALSE),"?"))</f>
        <v/>
      </c>
      <c r="S30">
        <f>IF(P30="Debtor",I30,IF(P30="Creditor",J30,0))</f>
        <v/>
      </c>
      <c r="T30">
        <f>IF(P30="Debtor",J30,IF(P30="Creditor",I30,0))</f>
        <v/>
      </c>
      <c r="U30">
        <f>IF(OR(S30=0,B30=""),0,IFERROR(VLOOKUP(C30,'Parties'!$B$13:$Q$112,13,FALSE),0)+SUMIFS($S$7:$S$506,$C$7:$C$506,C30,$B$7:$B$506,"&lt;"&amp;B30)+SUMIFS(S$7:S30,C$7:C30,C30,B$7:B30,B30))</f>
        <v/>
      </c>
      <c r="V30">
        <f>IF(S30=0,0,IFERROR(VLOOKUP(C30,'Parties'!$B$13:$Q$112,14,FALSE),0)+SUMIFS($T$7:$T$506,$C$7:$C$506,C30,$B$7:$B$506,"&lt;="&amp;'Outstanding'!$E$5))</f>
        <v/>
      </c>
      <c r="W30">
        <f>IF(OR('Outstanding'!$E$5="",S30=0,B30="",B30&gt;'Outstanding'!$E$5),0,MAX(0,MIN(S30,U30-V30)))</f>
        <v/>
      </c>
      <c r="X30">
        <f>IF(C30="",0,IFERROR(VLOOKUP(C30,'Parties'!$B$13:$Q$112,15,FALSE),0))</f>
        <v/>
      </c>
      <c r="Y30">
        <f>IF(C30="","",IFERROR(VLOOKUP(C30,'Parties'!$B$13:$Q$112,16,FALSE),0))</f>
        <v/>
      </c>
      <c r="Z30">
        <f>IF(OR(S30=0,B30="",Y30=""),"",IF(AND(F30&lt;&gt;"",D30="Purchase bill"),F30,B30)+Y30)</f>
        <v/>
      </c>
      <c r="AA30">
        <f>IF(OR(W30=0,Z30=""),0,MAX(0,'Outstanding'!$E$5-Z30))</f>
        <v/>
      </c>
      <c r="AB30">
        <f>IF(AND(X30=1,AA30&gt;0),W30*((1+3*N('Parties'!$E$10)/12)^(AA30*12/365)-1),0)</f>
        <v/>
      </c>
      <c r="AC30">
        <f>IF(W30=0,"",'Outstanding'!$E$5-B30)</f>
        <v/>
      </c>
      <c r="AD30">
        <f>IF(S30=0,0,IFERROR(VLOOKUP(C30,'Parties'!$B$13:$Q$112,14,FALSE),0)+SUMIFS($T$7:$T$506,$C$7:$C$506,C30,$B$7:$B$506,"&lt;="&amp;'Parties'!$E$8))</f>
        <v/>
      </c>
      <c r="AE30">
        <f>IF(OR('Parties'!$E$8="",S30=0,B30="",B30&gt;'Parties'!$E$8),0,MAX(0,MIN(S30,U30-AD30)))</f>
        <v/>
      </c>
      <c r="AF30">
        <f>IF(AND(P30="Creditor",X30=1,AE30&gt;0,Z30&lt;&gt;""),IF(Z30&lt;='Parties'!$E$8,AE30,0),0)</f>
        <v/>
      </c>
      <c r="AG30">
        <f>IF(OR(AE30=0,Z30=""),0,MAX(0,'Parties'!$E$8-Z30))</f>
        <v/>
      </c>
      <c r="AH30">
        <f>IF(AND(P30="Creditor",X30=1,AG30&gt;0),AE30*((1+3*N('Parties'!$E$10)/12)^(AG30*12/365)-1),0)</f>
        <v/>
      </c>
      <c r="AI30">
        <f>IF(AND(C30&lt;&gt;"",C30='Ledger Account'!$D$4,B30&lt;&gt;"",B30&gt;='Ledger Account'!$D$5,B30&lt;='Ledger Account'!$D$6),1,0)</f>
        <v/>
      </c>
      <c r="AJ30">
        <f>IF(AI30=1,SUM(AI$7:AI30),"")</f>
        <v/>
      </c>
      <c r="AK30">
        <f>IF(OR(N30="",N30="OK"),0,1)</f>
        <v/>
      </c>
    </row>
    <row r="31">
      <c r="B31" s="24" t="n"/>
      <c r="C31" s="14" t="n"/>
      <c r="D31" s="14" t="n"/>
      <c r="E31" s="20" t="n"/>
      <c r="F31" s="24" t="n"/>
      <c r="G31" s="14" t="n"/>
      <c r="H31" s="22" t="n"/>
      <c r="I31" s="25">
        <f>IF(Q31="D",N(H31),0)</f>
        <v/>
      </c>
      <c r="J31" s="25">
        <f>IF(Q31="C",N(H31),0)</f>
        <v/>
      </c>
      <c r="K31" s="26">
        <f>IF(Z31="","",Z31)</f>
        <v/>
      </c>
      <c r="L31" s="27">
        <f>W31</f>
        <v/>
      </c>
      <c r="M31" s="28">
        <f>AA31</f>
        <v/>
      </c>
      <c r="N31" s="23">
        <f>IF(AND(B31="",C31="",D31="",N(H31)=0),"",IF(B31="","Enter the date",IF(C31="","Pick the party",IF(P31="?","Add this party on the Parties sheet first",IF(D31="","Pick the entry type",IF(Q31="?","Pick the entry type from the list",IF(N(H31)=0,"Enter the amount",IF(AND(R31&lt;&gt;"Any",R31&lt;&gt;P31),"Sales, receipts and credit notes are for debtors; purchases, payments and debit notes for creditors",IF(AND(F31&lt;&gt;"",D31&lt;&gt;"Purchase bill"),"The received-on date is only for purchase bills",IF(AND(P31="Creditor",X31=1,AA31&gt;0),"Past due to a micro or small supplier: interest runs under MSMED s.16, and if unpaid at year end it is not deductible that year, s.37(2)(g)",IF(AND(P31="Debtor",X31=1,AA31&gt;0),"Past due to you: as a micro or small supplier you can claim interest under MSMED s.16","OK")))))))))))</f>
        <v/>
      </c>
      <c r="P31">
        <f>IF(C31="","",IFERROR(VLOOKUP(C31,'Parties'!$B$13:$Q$112,2,FALSE),"?"))</f>
        <v/>
      </c>
      <c r="Q31">
        <f>IF(D31="","",IFERROR(VLOOKUP(D31,Lists!$A$2:$D$9,3,FALSE),"?"))</f>
        <v/>
      </c>
      <c r="R31">
        <f>IF(D31="","",IFERROR(VLOOKUP(D31,Lists!$A$2:$D$9,4,FALSE),"?"))</f>
        <v/>
      </c>
      <c r="S31">
        <f>IF(P31="Debtor",I31,IF(P31="Creditor",J31,0))</f>
        <v/>
      </c>
      <c r="T31">
        <f>IF(P31="Debtor",J31,IF(P31="Creditor",I31,0))</f>
        <v/>
      </c>
      <c r="U31">
        <f>IF(OR(S31=0,B31=""),0,IFERROR(VLOOKUP(C31,'Parties'!$B$13:$Q$112,13,FALSE),0)+SUMIFS($S$7:$S$506,$C$7:$C$506,C31,$B$7:$B$506,"&lt;"&amp;B31)+SUMIFS(S$7:S31,C$7:C31,C31,B$7:B31,B31))</f>
        <v/>
      </c>
      <c r="V31">
        <f>IF(S31=0,0,IFERROR(VLOOKUP(C31,'Parties'!$B$13:$Q$112,14,FALSE),0)+SUMIFS($T$7:$T$506,$C$7:$C$506,C31,$B$7:$B$506,"&lt;="&amp;'Outstanding'!$E$5))</f>
        <v/>
      </c>
      <c r="W31">
        <f>IF(OR('Outstanding'!$E$5="",S31=0,B31="",B31&gt;'Outstanding'!$E$5),0,MAX(0,MIN(S31,U31-V31)))</f>
        <v/>
      </c>
      <c r="X31">
        <f>IF(C31="",0,IFERROR(VLOOKUP(C31,'Parties'!$B$13:$Q$112,15,FALSE),0))</f>
        <v/>
      </c>
      <c r="Y31">
        <f>IF(C31="","",IFERROR(VLOOKUP(C31,'Parties'!$B$13:$Q$112,16,FALSE),0))</f>
        <v/>
      </c>
      <c r="Z31">
        <f>IF(OR(S31=0,B31="",Y31=""),"",IF(AND(F31&lt;&gt;"",D31="Purchase bill"),F31,B31)+Y31)</f>
        <v/>
      </c>
      <c r="AA31">
        <f>IF(OR(W31=0,Z31=""),0,MAX(0,'Outstanding'!$E$5-Z31))</f>
        <v/>
      </c>
      <c r="AB31">
        <f>IF(AND(X31=1,AA31&gt;0),W31*((1+3*N('Parties'!$E$10)/12)^(AA31*12/365)-1),0)</f>
        <v/>
      </c>
      <c r="AC31">
        <f>IF(W31=0,"",'Outstanding'!$E$5-B31)</f>
        <v/>
      </c>
      <c r="AD31">
        <f>IF(S31=0,0,IFERROR(VLOOKUP(C31,'Parties'!$B$13:$Q$112,14,FALSE),0)+SUMIFS($T$7:$T$506,$C$7:$C$506,C31,$B$7:$B$506,"&lt;="&amp;'Parties'!$E$8))</f>
        <v/>
      </c>
      <c r="AE31">
        <f>IF(OR('Parties'!$E$8="",S31=0,B31="",B31&gt;'Parties'!$E$8),0,MAX(0,MIN(S31,U31-AD31)))</f>
        <v/>
      </c>
      <c r="AF31">
        <f>IF(AND(P31="Creditor",X31=1,AE31&gt;0,Z31&lt;&gt;""),IF(Z31&lt;='Parties'!$E$8,AE31,0),0)</f>
        <v/>
      </c>
      <c r="AG31">
        <f>IF(OR(AE31=0,Z31=""),0,MAX(0,'Parties'!$E$8-Z31))</f>
        <v/>
      </c>
      <c r="AH31">
        <f>IF(AND(P31="Creditor",X31=1,AG31&gt;0),AE31*((1+3*N('Parties'!$E$10)/12)^(AG31*12/365)-1),0)</f>
        <v/>
      </c>
      <c r="AI31">
        <f>IF(AND(C31&lt;&gt;"",C31='Ledger Account'!$D$4,B31&lt;&gt;"",B31&gt;='Ledger Account'!$D$5,B31&lt;='Ledger Account'!$D$6),1,0)</f>
        <v/>
      </c>
      <c r="AJ31">
        <f>IF(AI31=1,SUM(AI$7:AI31),"")</f>
        <v/>
      </c>
      <c r="AK31">
        <f>IF(OR(N31="",N31="OK"),0,1)</f>
        <v/>
      </c>
    </row>
    <row r="32">
      <c r="B32" s="24" t="n"/>
      <c r="C32" s="14" t="n"/>
      <c r="D32" s="14" t="n"/>
      <c r="E32" s="20" t="n"/>
      <c r="F32" s="24" t="n"/>
      <c r="G32" s="14" t="n"/>
      <c r="H32" s="22" t="n"/>
      <c r="I32" s="25">
        <f>IF(Q32="D",N(H32),0)</f>
        <v/>
      </c>
      <c r="J32" s="25">
        <f>IF(Q32="C",N(H32),0)</f>
        <v/>
      </c>
      <c r="K32" s="26">
        <f>IF(Z32="","",Z32)</f>
        <v/>
      </c>
      <c r="L32" s="27">
        <f>W32</f>
        <v/>
      </c>
      <c r="M32" s="28">
        <f>AA32</f>
        <v/>
      </c>
      <c r="N32" s="23">
        <f>IF(AND(B32="",C32="",D32="",N(H32)=0),"",IF(B32="","Enter the date",IF(C32="","Pick the party",IF(P32="?","Add this party on the Parties sheet first",IF(D32="","Pick the entry type",IF(Q32="?","Pick the entry type from the list",IF(N(H32)=0,"Enter the amount",IF(AND(R32&lt;&gt;"Any",R32&lt;&gt;P32),"Sales, receipts and credit notes are for debtors; purchases, payments and debit notes for creditors",IF(AND(F32&lt;&gt;"",D32&lt;&gt;"Purchase bill"),"The received-on date is only for purchase bills",IF(AND(P32="Creditor",X32=1,AA32&gt;0),"Past due to a micro or small supplier: interest runs under MSMED s.16, and if unpaid at year end it is not deductible that year, s.37(2)(g)",IF(AND(P32="Debtor",X32=1,AA32&gt;0),"Past due to you: as a micro or small supplier you can claim interest under MSMED s.16","OK")))))))))))</f>
        <v/>
      </c>
      <c r="P32">
        <f>IF(C32="","",IFERROR(VLOOKUP(C32,'Parties'!$B$13:$Q$112,2,FALSE),"?"))</f>
        <v/>
      </c>
      <c r="Q32">
        <f>IF(D32="","",IFERROR(VLOOKUP(D32,Lists!$A$2:$D$9,3,FALSE),"?"))</f>
        <v/>
      </c>
      <c r="R32">
        <f>IF(D32="","",IFERROR(VLOOKUP(D32,Lists!$A$2:$D$9,4,FALSE),"?"))</f>
        <v/>
      </c>
      <c r="S32">
        <f>IF(P32="Debtor",I32,IF(P32="Creditor",J32,0))</f>
        <v/>
      </c>
      <c r="T32">
        <f>IF(P32="Debtor",J32,IF(P32="Creditor",I32,0))</f>
        <v/>
      </c>
      <c r="U32">
        <f>IF(OR(S32=0,B32=""),0,IFERROR(VLOOKUP(C32,'Parties'!$B$13:$Q$112,13,FALSE),0)+SUMIFS($S$7:$S$506,$C$7:$C$506,C32,$B$7:$B$506,"&lt;"&amp;B32)+SUMIFS(S$7:S32,C$7:C32,C32,B$7:B32,B32))</f>
        <v/>
      </c>
      <c r="V32">
        <f>IF(S32=0,0,IFERROR(VLOOKUP(C32,'Parties'!$B$13:$Q$112,14,FALSE),0)+SUMIFS($T$7:$T$506,$C$7:$C$506,C32,$B$7:$B$506,"&lt;="&amp;'Outstanding'!$E$5))</f>
        <v/>
      </c>
      <c r="W32">
        <f>IF(OR('Outstanding'!$E$5="",S32=0,B32="",B32&gt;'Outstanding'!$E$5),0,MAX(0,MIN(S32,U32-V32)))</f>
        <v/>
      </c>
      <c r="X32">
        <f>IF(C32="",0,IFERROR(VLOOKUP(C32,'Parties'!$B$13:$Q$112,15,FALSE),0))</f>
        <v/>
      </c>
      <c r="Y32">
        <f>IF(C32="","",IFERROR(VLOOKUP(C32,'Parties'!$B$13:$Q$112,16,FALSE),0))</f>
        <v/>
      </c>
      <c r="Z32">
        <f>IF(OR(S32=0,B32="",Y32=""),"",IF(AND(F32&lt;&gt;"",D32="Purchase bill"),F32,B32)+Y32)</f>
        <v/>
      </c>
      <c r="AA32">
        <f>IF(OR(W32=0,Z32=""),0,MAX(0,'Outstanding'!$E$5-Z32))</f>
        <v/>
      </c>
      <c r="AB32">
        <f>IF(AND(X32=1,AA32&gt;0),W32*((1+3*N('Parties'!$E$10)/12)^(AA32*12/365)-1),0)</f>
        <v/>
      </c>
      <c r="AC32">
        <f>IF(W32=0,"",'Outstanding'!$E$5-B32)</f>
        <v/>
      </c>
      <c r="AD32">
        <f>IF(S32=0,0,IFERROR(VLOOKUP(C32,'Parties'!$B$13:$Q$112,14,FALSE),0)+SUMIFS($T$7:$T$506,$C$7:$C$506,C32,$B$7:$B$506,"&lt;="&amp;'Parties'!$E$8))</f>
        <v/>
      </c>
      <c r="AE32">
        <f>IF(OR('Parties'!$E$8="",S32=0,B32="",B32&gt;'Parties'!$E$8),0,MAX(0,MIN(S32,U32-AD32)))</f>
        <v/>
      </c>
      <c r="AF32">
        <f>IF(AND(P32="Creditor",X32=1,AE32&gt;0,Z32&lt;&gt;""),IF(Z32&lt;='Parties'!$E$8,AE32,0),0)</f>
        <v/>
      </c>
      <c r="AG32">
        <f>IF(OR(AE32=0,Z32=""),0,MAX(0,'Parties'!$E$8-Z32))</f>
        <v/>
      </c>
      <c r="AH32">
        <f>IF(AND(P32="Creditor",X32=1,AG32&gt;0),AE32*((1+3*N('Parties'!$E$10)/12)^(AG32*12/365)-1),0)</f>
        <v/>
      </c>
      <c r="AI32">
        <f>IF(AND(C32&lt;&gt;"",C32='Ledger Account'!$D$4,B32&lt;&gt;"",B32&gt;='Ledger Account'!$D$5,B32&lt;='Ledger Account'!$D$6),1,0)</f>
        <v/>
      </c>
      <c r="AJ32">
        <f>IF(AI32=1,SUM(AI$7:AI32),"")</f>
        <v/>
      </c>
      <c r="AK32">
        <f>IF(OR(N32="",N32="OK"),0,1)</f>
        <v/>
      </c>
    </row>
    <row r="33">
      <c r="B33" s="24" t="n"/>
      <c r="C33" s="14" t="n"/>
      <c r="D33" s="14" t="n"/>
      <c r="E33" s="20" t="n"/>
      <c r="F33" s="24" t="n"/>
      <c r="G33" s="14" t="n"/>
      <c r="H33" s="22" t="n"/>
      <c r="I33" s="25">
        <f>IF(Q33="D",N(H33),0)</f>
        <v/>
      </c>
      <c r="J33" s="25">
        <f>IF(Q33="C",N(H33),0)</f>
        <v/>
      </c>
      <c r="K33" s="26">
        <f>IF(Z33="","",Z33)</f>
        <v/>
      </c>
      <c r="L33" s="27">
        <f>W33</f>
        <v/>
      </c>
      <c r="M33" s="28">
        <f>AA33</f>
        <v/>
      </c>
      <c r="N33" s="23">
        <f>IF(AND(B33="",C33="",D33="",N(H33)=0),"",IF(B33="","Enter the date",IF(C33="","Pick the party",IF(P33="?","Add this party on the Parties sheet first",IF(D33="","Pick the entry type",IF(Q33="?","Pick the entry type from the list",IF(N(H33)=0,"Enter the amount",IF(AND(R33&lt;&gt;"Any",R33&lt;&gt;P33),"Sales, receipts and credit notes are for debtors; purchases, payments and debit notes for creditors",IF(AND(F33&lt;&gt;"",D33&lt;&gt;"Purchase bill"),"The received-on date is only for purchase bills",IF(AND(P33="Creditor",X33=1,AA33&gt;0),"Past due to a micro or small supplier: interest runs under MSMED s.16, and if unpaid at year end it is not deductible that year, s.37(2)(g)",IF(AND(P33="Debtor",X33=1,AA33&gt;0),"Past due to you: as a micro or small supplier you can claim interest under MSMED s.16","OK")))))))))))</f>
        <v/>
      </c>
      <c r="P33">
        <f>IF(C33="","",IFERROR(VLOOKUP(C33,'Parties'!$B$13:$Q$112,2,FALSE),"?"))</f>
        <v/>
      </c>
      <c r="Q33">
        <f>IF(D33="","",IFERROR(VLOOKUP(D33,Lists!$A$2:$D$9,3,FALSE),"?"))</f>
        <v/>
      </c>
      <c r="R33">
        <f>IF(D33="","",IFERROR(VLOOKUP(D33,Lists!$A$2:$D$9,4,FALSE),"?"))</f>
        <v/>
      </c>
      <c r="S33">
        <f>IF(P33="Debtor",I33,IF(P33="Creditor",J33,0))</f>
        <v/>
      </c>
      <c r="T33">
        <f>IF(P33="Debtor",J33,IF(P33="Creditor",I33,0))</f>
        <v/>
      </c>
      <c r="U33">
        <f>IF(OR(S33=0,B33=""),0,IFERROR(VLOOKUP(C33,'Parties'!$B$13:$Q$112,13,FALSE),0)+SUMIFS($S$7:$S$506,$C$7:$C$506,C33,$B$7:$B$506,"&lt;"&amp;B33)+SUMIFS(S$7:S33,C$7:C33,C33,B$7:B33,B33))</f>
        <v/>
      </c>
      <c r="V33">
        <f>IF(S33=0,0,IFERROR(VLOOKUP(C33,'Parties'!$B$13:$Q$112,14,FALSE),0)+SUMIFS($T$7:$T$506,$C$7:$C$506,C33,$B$7:$B$506,"&lt;="&amp;'Outstanding'!$E$5))</f>
        <v/>
      </c>
      <c r="W33">
        <f>IF(OR('Outstanding'!$E$5="",S33=0,B33="",B33&gt;'Outstanding'!$E$5),0,MAX(0,MIN(S33,U33-V33)))</f>
        <v/>
      </c>
      <c r="X33">
        <f>IF(C33="",0,IFERROR(VLOOKUP(C33,'Parties'!$B$13:$Q$112,15,FALSE),0))</f>
        <v/>
      </c>
      <c r="Y33">
        <f>IF(C33="","",IFERROR(VLOOKUP(C33,'Parties'!$B$13:$Q$112,16,FALSE),0))</f>
        <v/>
      </c>
      <c r="Z33">
        <f>IF(OR(S33=0,B33="",Y33=""),"",IF(AND(F33&lt;&gt;"",D33="Purchase bill"),F33,B33)+Y33)</f>
        <v/>
      </c>
      <c r="AA33">
        <f>IF(OR(W33=0,Z33=""),0,MAX(0,'Outstanding'!$E$5-Z33))</f>
        <v/>
      </c>
      <c r="AB33">
        <f>IF(AND(X33=1,AA33&gt;0),W33*((1+3*N('Parties'!$E$10)/12)^(AA33*12/365)-1),0)</f>
        <v/>
      </c>
      <c r="AC33">
        <f>IF(W33=0,"",'Outstanding'!$E$5-B33)</f>
        <v/>
      </c>
      <c r="AD33">
        <f>IF(S33=0,0,IFERROR(VLOOKUP(C33,'Parties'!$B$13:$Q$112,14,FALSE),0)+SUMIFS($T$7:$T$506,$C$7:$C$506,C33,$B$7:$B$506,"&lt;="&amp;'Parties'!$E$8))</f>
        <v/>
      </c>
      <c r="AE33">
        <f>IF(OR('Parties'!$E$8="",S33=0,B33="",B33&gt;'Parties'!$E$8),0,MAX(0,MIN(S33,U33-AD33)))</f>
        <v/>
      </c>
      <c r="AF33">
        <f>IF(AND(P33="Creditor",X33=1,AE33&gt;0,Z33&lt;&gt;""),IF(Z33&lt;='Parties'!$E$8,AE33,0),0)</f>
        <v/>
      </c>
      <c r="AG33">
        <f>IF(OR(AE33=0,Z33=""),0,MAX(0,'Parties'!$E$8-Z33))</f>
        <v/>
      </c>
      <c r="AH33">
        <f>IF(AND(P33="Creditor",X33=1,AG33&gt;0),AE33*((1+3*N('Parties'!$E$10)/12)^(AG33*12/365)-1),0)</f>
        <v/>
      </c>
      <c r="AI33">
        <f>IF(AND(C33&lt;&gt;"",C33='Ledger Account'!$D$4,B33&lt;&gt;"",B33&gt;='Ledger Account'!$D$5,B33&lt;='Ledger Account'!$D$6),1,0)</f>
        <v/>
      </c>
      <c r="AJ33">
        <f>IF(AI33=1,SUM(AI$7:AI33),"")</f>
        <v/>
      </c>
      <c r="AK33">
        <f>IF(OR(N33="",N33="OK"),0,1)</f>
        <v/>
      </c>
    </row>
    <row r="34">
      <c r="B34" s="24" t="n"/>
      <c r="C34" s="14" t="n"/>
      <c r="D34" s="14" t="n"/>
      <c r="E34" s="20" t="n"/>
      <c r="F34" s="24" t="n"/>
      <c r="G34" s="14" t="n"/>
      <c r="H34" s="22" t="n"/>
      <c r="I34" s="25">
        <f>IF(Q34="D",N(H34),0)</f>
        <v/>
      </c>
      <c r="J34" s="25">
        <f>IF(Q34="C",N(H34),0)</f>
        <v/>
      </c>
      <c r="K34" s="26">
        <f>IF(Z34="","",Z34)</f>
        <v/>
      </c>
      <c r="L34" s="27">
        <f>W34</f>
        <v/>
      </c>
      <c r="M34" s="28">
        <f>AA34</f>
        <v/>
      </c>
      <c r="N34" s="23">
        <f>IF(AND(B34="",C34="",D34="",N(H34)=0),"",IF(B34="","Enter the date",IF(C34="","Pick the party",IF(P34="?","Add this party on the Parties sheet first",IF(D34="","Pick the entry type",IF(Q34="?","Pick the entry type from the list",IF(N(H34)=0,"Enter the amount",IF(AND(R34&lt;&gt;"Any",R34&lt;&gt;P34),"Sales, receipts and credit notes are for debtors; purchases, payments and debit notes for creditors",IF(AND(F34&lt;&gt;"",D34&lt;&gt;"Purchase bill"),"The received-on date is only for purchase bills",IF(AND(P34="Creditor",X34=1,AA34&gt;0),"Past due to a micro or small supplier: interest runs under MSMED s.16, and if unpaid at year end it is not deductible that year, s.37(2)(g)",IF(AND(P34="Debtor",X34=1,AA34&gt;0),"Past due to you: as a micro or small supplier you can claim interest under MSMED s.16","OK")))))))))))</f>
        <v/>
      </c>
      <c r="P34">
        <f>IF(C34="","",IFERROR(VLOOKUP(C34,'Parties'!$B$13:$Q$112,2,FALSE),"?"))</f>
        <v/>
      </c>
      <c r="Q34">
        <f>IF(D34="","",IFERROR(VLOOKUP(D34,Lists!$A$2:$D$9,3,FALSE),"?"))</f>
        <v/>
      </c>
      <c r="R34">
        <f>IF(D34="","",IFERROR(VLOOKUP(D34,Lists!$A$2:$D$9,4,FALSE),"?"))</f>
        <v/>
      </c>
      <c r="S34">
        <f>IF(P34="Debtor",I34,IF(P34="Creditor",J34,0))</f>
        <v/>
      </c>
      <c r="T34">
        <f>IF(P34="Debtor",J34,IF(P34="Creditor",I34,0))</f>
        <v/>
      </c>
      <c r="U34">
        <f>IF(OR(S34=0,B34=""),0,IFERROR(VLOOKUP(C34,'Parties'!$B$13:$Q$112,13,FALSE),0)+SUMIFS($S$7:$S$506,$C$7:$C$506,C34,$B$7:$B$506,"&lt;"&amp;B34)+SUMIFS(S$7:S34,C$7:C34,C34,B$7:B34,B34))</f>
        <v/>
      </c>
      <c r="V34">
        <f>IF(S34=0,0,IFERROR(VLOOKUP(C34,'Parties'!$B$13:$Q$112,14,FALSE),0)+SUMIFS($T$7:$T$506,$C$7:$C$506,C34,$B$7:$B$506,"&lt;="&amp;'Outstanding'!$E$5))</f>
        <v/>
      </c>
      <c r="W34">
        <f>IF(OR('Outstanding'!$E$5="",S34=0,B34="",B34&gt;'Outstanding'!$E$5),0,MAX(0,MIN(S34,U34-V34)))</f>
        <v/>
      </c>
      <c r="X34">
        <f>IF(C34="",0,IFERROR(VLOOKUP(C34,'Parties'!$B$13:$Q$112,15,FALSE),0))</f>
        <v/>
      </c>
      <c r="Y34">
        <f>IF(C34="","",IFERROR(VLOOKUP(C34,'Parties'!$B$13:$Q$112,16,FALSE),0))</f>
        <v/>
      </c>
      <c r="Z34">
        <f>IF(OR(S34=0,B34="",Y34=""),"",IF(AND(F34&lt;&gt;"",D34="Purchase bill"),F34,B34)+Y34)</f>
        <v/>
      </c>
      <c r="AA34">
        <f>IF(OR(W34=0,Z34=""),0,MAX(0,'Outstanding'!$E$5-Z34))</f>
        <v/>
      </c>
      <c r="AB34">
        <f>IF(AND(X34=1,AA34&gt;0),W34*((1+3*N('Parties'!$E$10)/12)^(AA34*12/365)-1),0)</f>
        <v/>
      </c>
      <c r="AC34">
        <f>IF(W34=0,"",'Outstanding'!$E$5-B34)</f>
        <v/>
      </c>
      <c r="AD34">
        <f>IF(S34=0,0,IFERROR(VLOOKUP(C34,'Parties'!$B$13:$Q$112,14,FALSE),0)+SUMIFS($T$7:$T$506,$C$7:$C$506,C34,$B$7:$B$506,"&lt;="&amp;'Parties'!$E$8))</f>
        <v/>
      </c>
      <c r="AE34">
        <f>IF(OR('Parties'!$E$8="",S34=0,B34="",B34&gt;'Parties'!$E$8),0,MAX(0,MIN(S34,U34-AD34)))</f>
        <v/>
      </c>
      <c r="AF34">
        <f>IF(AND(P34="Creditor",X34=1,AE34&gt;0,Z34&lt;&gt;""),IF(Z34&lt;='Parties'!$E$8,AE34,0),0)</f>
        <v/>
      </c>
      <c r="AG34">
        <f>IF(OR(AE34=0,Z34=""),0,MAX(0,'Parties'!$E$8-Z34))</f>
        <v/>
      </c>
      <c r="AH34">
        <f>IF(AND(P34="Creditor",X34=1,AG34&gt;0),AE34*((1+3*N('Parties'!$E$10)/12)^(AG34*12/365)-1),0)</f>
        <v/>
      </c>
      <c r="AI34">
        <f>IF(AND(C34&lt;&gt;"",C34='Ledger Account'!$D$4,B34&lt;&gt;"",B34&gt;='Ledger Account'!$D$5,B34&lt;='Ledger Account'!$D$6),1,0)</f>
        <v/>
      </c>
      <c r="AJ34">
        <f>IF(AI34=1,SUM(AI$7:AI34),"")</f>
        <v/>
      </c>
      <c r="AK34">
        <f>IF(OR(N34="",N34="OK"),0,1)</f>
        <v/>
      </c>
    </row>
    <row r="35">
      <c r="B35" s="24" t="n"/>
      <c r="C35" s="14" t="n"/>
      <c r="D35" s="14" t="n"/>
      <c r="E35" s="20" t="n"/>
      <c r="F35" s="24" t="n"/>
      <c r="G35" s="14" t="n"/>
      <c r="H35" s="22" t="n"/>
      <c r="I35" s="25">
        <f>IF(Q35="D",N(H35),0)</f>
        <v/>
      </c>
      <c r="J35" s="25">
        <f>IF(Q35="C",N(H35),0)</f>
        <v/>
      </c>
      <c r="K35" s="26">
        <f>IF(Z35="","",Z35)</f>
        <v/>
      </c>
      <c r="L35" s="27">
        <f>W35</f>
        <v/>
      </c>
      <c r="M35" s="28">
        <f>AA35</f>
        <v/>
      </c>
      <c r="N35" s="23">
        <f>IF(AND(B35="",C35="",D35="",N(H35)=0),"",IF(B35="","Enter the date",IF(C35="","Pick the party",IF(P35="?","Add this party on the Parties sheet first",IF(D35="","Pick the entry type",IF(Q35="?","Pick the entry type from the list",IF(N(H35)=0,"Enter the amount",IF(AND(R35&lt;&gt;"Any",R35&lt;&gt;P35),"Sales, receipts and credit notes are for debtors; purchases, payments and debit notes for creditors",IF(AND(F35&lt;&gt;"",D35&lt;&gt;"Purchase bill"),"The received-on date is only for purchase bills",IF(AND(P35="Creditor",X35=1,AA35&gt;0),"Past due to a micro or small supplier: interest runs under MSMED s.16, and if unpaid at year end it is not deductible that year, s.37(2)(g)",IF(AND(P35="Debtor",X35=1,AA35&gt;0),"Past due to you: as a micro or small supplier you can claim interest under MSMED s.16","OK")))))))))))</f>
        <v/>
      </c>
      <c r="P35">
        <f>IF(C35="","",IFERROR(VLOOKUP(C35,'Parties'!$B$13:$Q$112,2,FALSE),"?"))</f>
        <v/>
      </c>
      <c r="Q35">
        <f>IF(D35="","",IFERROR(VLOOKUP(D35,Lists!$A$2:$D$9,3,FALSE),"?"))</f>
        <v/>
      </c>
      <c r="R35">
        <f>IF(D35="","",IFERROR(VLOOKUP(D35,Lists!$A$2:$D$9,4,FALSE),"?"))</f>
        <v/>
      </c>
      <c r="S35">
        <f>IF(P35="Debtor",I35,IF(P35="Creditor",J35,0))</f>
        <v/>
      </c>
      <c r="T35">
        <f>IF(P35="Debtor",J35,IF(P35="Creditor",I35,0))</f>
        <v/>
      </c>
      <c r="U35">
        <f>IF(OR(S35=0,B35=""),0,IFERROR(VLOOKUP(C35,'Parties'!$B$13:$Q$112,13,FALSE),0)+SUMIFS($S$7:$S$506,$C$7:$C$506,C35,$B$7:$B$506,"&lt;"&amp;B35)+SUMIFS(S$7:S35,C$7:C35,C35,B$7:B35,B35))</f>
        <v/>
      </c>
      <c r="V35">
        <f>IF(S35=0,0,IFERROR(VLOOKUP(C35,'Parties'!$B$13:$Q$112,14,FALSE),0)+SUMIFS($T$7:$T$506,$C$7:$C$506,C35,$B$7:$B$506,"&lt;="&amp;'Outstanding'!$E$5))</f>
        <v/>
      </c>
      <c r="W35">
        <f>IF(OR('Outstanding'!$E$5="",S35=0,B35="",B35&gt;'Outstanding'!$E$5),0,MAX(0,MIN(S35,U35-V35)))</f>
        <v/>
      </c>
      <c r="X35">
        <f>IF(C35="",0,IFERROR(VLOOKUP(C35,'Parties'!$B$13:$Q$112,15,FALSE),0))</f>
        <v/>
      </c>
      <c r="Y35">
        <f>IF(C35="","",IFERROR(VLOOKUP(C35,'Parties'!$B$13:$Q$112,16,FALSE),0))</f>
        <v/>
      </c>
      <c r="Z35">
        <f>IF(OR(S35=0,B35="",Y35=""),"",IF(AND(F35&lt;&gt;"",D35="Purchase bill"),F35,B35)+Y35)</f>
        <v/>
      </c>
      <c r="AA35">
        <f>IF(OR(W35=0,Z35=""),0,MAX(0,'Outstanding'!$E$5-Z35))</f>
        <v/>
      </c>
      <c r="AB35">
        <f>IF(AND(X35=1,AA35&gt;0),W35*((1+3*N('Parties'!$E$10)/12)^(AA35*12/365)-1),0)</f>
        <v/>
      </c>
      <c r="AC35">
        <f>IF(W35=0,"",'Outstanding'!$E$5-B35)</f>
        <v/>
      </c>
      <c r="AD35">
        <f>IF(S35=0,0,IFERROR(VLOOKUP(C35,'Parties'!$B$13:$Q$112,14,FALSE),0)+SUMIFS($T$7:$T$506,$C$7:$C$506,C35,$B$7:$B$506,"&lt;="&amp;'Parties'!$E$8))</f>
        <v/>
      </c>
      <c r="AE35">
        <f>IF(OR('Parties'!$E$8="",S35=0,B35="",B35&gt;'Parties'!$E$8),0,MAX(0,MIN(S35,U35-AD35)))</f>
        <v/>
      </c>
      <c r="AF35">
        <f>IF(AND(P35="Creditor",X35=1,AE35&gt;0,Z35&lt;&gt;""),IF(Z35&lt;='Parties'!$E$8,AE35,0),0)</f>
        <v/>
      </c>
      <c r="AG35">
        <f>IF(OR(AE35=0,Z35=""),0,MAX(0,'Parties'!$E$8-Z35))</f>
        <v/>
      </c>
      <c r="AH35">
        <f>IF(AND(P35="Creditor",X35=1,AG35&gt;0),AE35*((1+3*N('Parties'!$E$10)/12)^(AG35*12/365)-1),0)</f>
        <v/>
      </c>
      <c r="AI35">
        <f>IF(AND(C35&lt;&gt;"",C35='Ledger Account'!$D$4,B35&lt;&gt;"",B35&gt;='Ledger Account'!$D$5,B35&lt;='Ledger Account'!$D$6),1,0)</f>
        <v/>
      </c>
      <c r="AJ35">
        <f>IF(AI35=1,SUM(AI$7:AI35),"")</f>
        <v/>
      </c>
      <c r="AK35">
        <f>IF(OR(N35="",N35="OK"),0,1)</f>
        <v/>
      </c>
    </row>
    <row r="36">
      <c r="B36" s="24" t="n"/>
      <c r="C36" s="14" t="n"/>
      <c r="D36" s="14" t="n"/>
      <c r="E36" s="20" t="n"/>
      <c r="F36" s="24" t="n"/>
      <c r="G36" s="14" t="n"/>
      <c r="H36" s="22" t="n"/>
      <c r="I36" s="25">
        <f>IF(Q36="D",N(H36),0)</f>
        <v/>
      </c>
      <c r="J36" s="25">
        <f>IF(Q36="C",N(H36),0)</f>
        <v/>
      </c>
      <c r="K36" s="26">
        <f>IF(Z36="","",Z36)</f>
        <v/>
      </c>
      <c r="L36" s="27">
        <f>W36</f>
        <v/>
      </c>
      <c r="M36" s="28">
        <f>AA36</f>
        <v/>
      </c>
      <c r="N36" s="23">
        <f>IF(AND(B36="",C36="",D36="",N(H36)=0),"",IF(B36="","Enter the date",IF(C36="","Pick the party",IF(P36="?","Add this party on the Parties sheet first",IF(D36="","Pick the entry type",IF(Q36="?","Pick the entry type from the list",IF(N(H36)=0,"Enter the amount",IF(AND(R36&lt;&gt;"Any",R36&lt;&gt;P36),"Sales, receipts and credit notes are for debtors; purchases, payments and debit notes for creditors",IF(AND(F36&lt;&gt;"",D36&lt;&gt;"Purchase bill"),"The received-on date is only for purchase bills",IF(AND(P36="Creditor",X36=1,AA36&gt;0),"Past due to a micro or small supplier: interest runs under MSMED s.16, and if unpaid at year end it is not deductible that year, s.37(2)(g)",IF(AND(P36="Debtor",X36=1,AA36&gt;0),"Past due to you: as a micro or small supplier you can claim interest under MSMED s.16","OK")))))))))))</f>
        <v/>
      </c>
      <c r="P36">
        <f>IF(C36="","",IFERROR(VLOOKUP(C36,'Parties'!$B$13:$Q$112,2,FALSE),"?"))</f>
        <v/>
      </c>
      <c r="Q36">
        <f>IF(D36="","",IFERROR(VLOOKUP(D36,Lists!$A$2:$D$9,3,FALSE),"?"))</f>
        <v/>
      </c>
      <c r="R36">
        <f>IF(D36="","",IFERROR(VLOOKUP(D36,Lists!$A$2:$D$9,4,FALSE),"?"))</f>
        <v/>
      </c>
      <c r="S36">
        <f>IF(P36="Debtor",I36,IF(P36="Creditor",J36,0))</f>
        <v/>
      </c>
      <c r="T36">
        <f>IF(P36="Debtor",J36,IF(P36="Creditor",I36,0))</f>
        <v/>
      </c>
      <c r="U36">
        <f>IF(OR(S36=0,B36=""),0,IFERROR(VLOOKUP(C36,'Parties'!$B$13:$Q$112,13,FALSE),0)+SUMIFS($S$7:$S$506,$C$7:$C$506,C36,$B$7:$B$506,"&lt;"&amp;B36)+SUMIFS(S$7:S36,C$7:C36,C36,B$7:B36,B36))</f>
        <v/>
      </c>
      <c r="V36">
        <f>IF(S36=0,0,IFERROR(VLOOKUP(C36,'Parties'!$B$13:$Q$112,14,FALSE),0)+SUMIFS($T$7:$T$506,$C$7:$C$506,C36,$B$7:$B$506,"&lt;="&amp;'Outstanding'!$E$5))</f>
        <v/>
      </c>
      <c r="W36">
        <f>IF(OR('Outstanding'!$E$5="",S36=0,B36="",B36&gt;'Outstanding'!$E$5),0,MAX(0,MIN(S36,U36-V36)))</f>
        <v/>
      </c>
      <c r="X36">
        <f>IF(C36="",0,IFERROR(VLOOKUP(C36,'Parties'!$B$13:$Q$112,15,FALSE),0))</f>
        <v/>
      </c>
      <c r="Y36">
        <f>IF(C36="","",IFERROR(VLOOKUP(C36,'Parties'!$B$13:$Q$112,16,FALSE),0))</f>
        <v/>
      </c>
      <c r="Z36">
        <f>IF(OR(S36=0,B36="",Y36=""),"",IF(AND(F36&lt;&gt;"",D36="Purchase bill"),F36,B36)+Y36)</f>
        <v/>
      </c>
      <c r="AA36">
        <f>IF(OR(W36=0,Z36=""),0,MAX(0,'Outstanding'!$E$5-Z36))</f>
        <v/>
      </c>
      <c r="AB36">
        <f>IF(AND(X36=1,AA36&gt;0),W36*((1+3*N('Parties'!$E$10)/12)^(AA36*12/365)-1),0)</f>
        <v/>
      </c>
      <c r="AC36">
        <f>IF(W36=0,"",'Outstanding'!$E$5-B36)</f>
        <v/>
      </c>
      <c r="AD36">
        <f>IF(S36=0,0,IFERROR(VLOOKUP(C36,'Parties'!$B$13:$Q$112,14,FALSE),0)+SUMIFS($T$7:$T$506,$C$7:$C$506,C36,$B$7:$B$506,"&lt;="&amp;'Parties'!$E$8))</f>
        <v/>
      </c>
      <c r="AE36">
        <f>IF(OR('Parties'!$E$8="",S36=0,B36="",B36&gt;'Parties'!$E$8),0,MAX(0,MIN(S36,U36-AD36)))</f>
        <v/>
      </c>
      <c r="AF36">
        <f>IF(AND(P36="Creditor",X36=1,AE36&gt;0,Z36&lt;&gt;""),IF(Z36&lt;='Parties'!$E$8,AE36,0),0)</f>
        <v/>
      </c>
      <c r="AG36">
        <f>IF(OR(AE36=0,Z36=""),0,MAX(0,'Parties'!$E$8-Z36))</f>
        <v/>
      </c>
      <c r="AH36">
        <f>IF(AND(P36="Creditor",X36=1,AG36&gt;0),AE36*((1+3*N('Parties'!$E$10)/12)^(AG36*12/365)-1),0)</f>
        <v/>
      </c>
      <c r="AI36">
        <f>IF(AND(C36&lt;&gt;"",C36='Ledger Account'!$D$4,B36&lt;&gt;"",B36&gt;='Ledger Account'!$D$5,B36&lt;='Ledger Account'!$D$6),1,0)</f>
        <v/>
      </c>
      <c r="AJ36">
        <f>IF(AI36=1,SUM(AI$7:AI36),"")</f>
        <v/>
      </c>
      <c r="AK36">
        <f>IF(OR(N36="",N36="OK"),0,1)</f>
        <v/>
      </c>
    </row>
    <row r="37">
      <c r="B37" s="24" t="n"/>
      <c r="C37" s="14" t="n"/>
      <c r="D37" s="14" t="n"/>
      <c r="E37" s="20" t="n"/>
      <c r="F37" s="24" t="n"/>
      <c r="G37" s="14" t="n"/>
      <c r="H37" s="22" t="n"/>
      <c r="I37" s="25">
        <f>IF(Q37="D",N(H37),0)</f>
        <v/>
      </c>
      <c r="J37" s="25">
        <f>IF(Q37="C",N(H37),0)</f>
        <v/>
      </c>
      <c r="K37" s="26">
        <f>IF(Z37="","",Z37)</f>
        <v/>
      </c>
      <c r="L37" s="27">
        <f>W37</f>
        <v/>
      </c>
      <c r="M37" s="28">
        <f>AA37</f>
        <v/>
      </c>
      <c r="N37" s="23">
        <f>IF(AND(B37="",C37="",D37="",N(H37)=0),"",IF(B37="","Enter the date",IF(C37="","Pick the party",IF(P37="?","Add this party on the Parties sheet first",IF(D37="","Pick the entry type",IF(Q37="?","Pick the entry type from the list",IF(N(H37)=0,"Enter the amount",IF(AND(R37&lt;&gt;"Any",R37&lt;&gt;P37),"Sales, receipts and credit notes are for debtors; purchases, payments and debit notes for creditors",IF(AND(F37&lt;&gt;"",D37&lt;&gt;"Purchase bill"),"The received-on date is only for purchase bills",IF(AND(P37="Creditor",X37=1,AA37&gt;0),"Past due to a micro or small supplier: interest runs under MSMED s.16, and if unpaid at year end it is not deductible that year, s.37(2)(g)",IF(AND(P37="Debtor",X37=1,AA37&gt;0),"Past due to you: as a micro or small supplier you can claim interest under MSMED s.16","OK")))))))))))</f>
        <v/>
      </c>
      <c r="P37">
        <f>IF(C37="","",IFERROR(VLOOKUP(C37,'Parties'!$B$13:$Q$112,2,FALSE),"?"))</f>
        <v/>
      </c>
      <c r="Q37">
        <f>IF(D37="","",IFERROR(VLOOKUP(D37,Lists!$A$2:$D$9,3,FALSE),"?"))</f>
        <v/>
      </c>
      <c r="R37">
        <f>IF(D37="","",IFERROR(VLOOKUP(D37,Lists!$A$2:$D$9,4,FALSE),"?"))</f>
        <v/>
      </c>
      <c r="S37">
        <f>IF(P37="Debtor",I37,IF(P37="Creditor",J37,0))</f>
        <v/>
      </c>
      <c r="T37">
        <f>IF(P37="Debtor",J37,IF(P37="Creditor",I37,0))</f>
        <v/>
      </c>
      <c r="U37">
        <f>IF(OR(S37=0,B37=""),0,IFERROR(VLOOKUP(C37,'Parties'!$B$13:$Q$112,13,FALSE),0)+SUMIFS($S$7:$S$506,$C$7:$C$506,C37,$B$7:$B$506,"&lt;"&amp;B37)+SUMIFS(S$7:S37,C$7:C37,C37,B$7:B37,B37))</f>
        <v/>
      </c>
      <c r="V37">
        <f>IF(S37=0,0,IFERROR(VLOOKUP(C37,'Parties'!$B$13:$Q$112,14,FALSE),0)+SUMIFS($T$7:$T$506,$C$7:$C$506,C37,$B$7:$B$506,"&lt;="&amp;'Outstanding'!$E$5))</f>
        <v/>
      </c>
      <c r="W37">
        <f>IF(OR('Outstanding'!$E$5="",S37=0,B37="",B37&gt;'Outstanding'!$E$5),0,MAX(0,MIN(S37,U37-V37)))</f>
        <v/>
      </c>
      <c r="X37">
        <f>IF(C37="",0,IFERROR(VLOOKUP(C37,'Parties'!$B$13:$Q$112,15,FALSE),0))</f>
        <v/>
      </c>
      <c r="Y37">
        <f>IF(C37="","",IFERROR(VLOOKUP(C37,'Parties'!$B$13:$Q$112,16,FALSE),0))</f>
        <v/>
      </c>
      <c r="Z37">
        <f>IF(OR(S37=0,B37="",Y37=""),"",IF(AND(F37&lt;&gt;"",D37="Purchase bill"),F37,B37)+Y37)</f>
        <v/>
      </c>
      <c r="AA37">
        <f>IF(OR(W37=0,Z37=""),0,MAX(0,'Outstanding'!$E$5-Z37))</f>
        <v/>
      </c>
      <c r="AB37">
        <f>IF(AND(X37=1,AA37&gt;0),W37*((1+3*N('Parties'!$E$10)/12)^(AA37*12/365)-1),0)</f>
        <v/>
      </c>
      <c r="AC37">
        <f>IF(W37=0,"",'Outstanding'!$E$5-B37)</f>
        <v/>
      </c>
      <c r="AD37">
        <f>IF(S37=0,0,IFERROR(VLOOKUP(C37,'Parties'!$B$13:$Q$112,14,FALSE),0)+SUMIFS($T$7:$T$506,$C$7:$C$506,C37,$B$7:$B$506,"&lt;="&amp;'Parties'!$E$8))</f>
        <v/>
      </c>
      <c r="AE37">
        <f>IF(OR('Parties'!$E$8="",S37=0,B37="",B37&gt;'Parties'!$E$8),0,MAX(0,MIN(S37,U37-AD37)))</f>
        <v/>
      </c>
      <c r="AF37">
        <f>IF(AND(P37="Creditor",X37=1,AE37&gt;0,Z37&lt;&gt;""),IF(Z37&lt;='Parties'!$E$8,AE37,0),0)</f>
        <v/>
      </c>
      <c r="AG37">
        <f>IF(OR(AE37=0,Z37=""),0,MAX(0,'Parties'!$E$8-Z37))</f>
        <v/>
      </c>
      <c r="AH37">
        <f>IF(AND(P37="Creditor",X37=1,AG37&gt;0),AE37*((1+3*N('Parties'!$E$10)/12)^(AG37*12/365)-1),0)</f>
        <v/>
      </c>
      <c r="AI37">
        <f>IF(AND(C37&lt;&gt;"",C37='Ledger Account'!$D$4,B37&lt;&gt;"",B37&gt;='Ledger Account'!$D$5,B37&lt;='Ledger Account'!$D$6),1,0)</f>
        <v/>
      </c>
      <c r="AJ37">
        <f>IF(AI37=1,SUM(AI$7:AI37),"")</f>
        <v/>
      </c>
      <c r="AK37">
        <f>IF(OR(N37="",N37="OK"),0,1)</f>
        <v/>
      </c>
    </row>
    <row r="38">
      <c r="B38" s="24" t="n"/>
      <c r="C38" s="14" t="n"/>
      <c r="D38" s="14" t="n"/>
      <c r="E38" s="20" t="n"/>
      <c r="F38" s="24" t="n"/>
      <c r="G38" s="14" t="n"/>
      <c r="H38" s="22" t="n"/>
      <c r="I38" s="25">
        <f>IF(Q38="D",N(H38),0)</f>
        <v/>
      </c>
      <c r="J38" s="25">
        <f>IF(Q38="C",N(H38),0)</f>
        <v/>
      </c>
      <c r="K38" s="26">
        <f>IF(Z38="","",Z38)</f>
        <v/>
      </c>
      <c r="L38" s="27">
        <f>W38</f>
        <v/>
      </c>
      <c r="M38" s="28">
        <f>AA38</f>
        <v/>
      </c>
      <c r="N38" s="23">
        <f>IF(AND(B38="",C38="",D38="",N(H38)=0),"",IF(B38="","Enter the date",IF(C38="","Pick the party",IF(P38="?","Add this party on the Parties sheet first",IF(D38="","Pick the entry type",IF(Q38="?","Pick the entry type from the list",IF(N(H38)=0,"Enter the amount",IF(AND(R38&lt;&gt;"Any",R38&lt;&gt;P38),"Sales, receipts and credit notes are for debtors; purchases, payments and debit notes for creditors",IF(AND(F38&lt;&gt;"",D38&lt;&gt;"Purchase bill"),"The received-on date is only for purchase bills",IF(AND(P38="Creditor",X38=1,AA38&gt;0),"Past due to a micro or small supplier: interest runs under MSMED s.16, and if unpaid at year end it is not deductible that year, s.37(2)(g)",IF(AND(P38="Debtor",X38=1,AA38&gt;0),"Past due to you: as a micro or small supplier you can claim interest under MSMED s.16","OK")))))))))))</f>
        <v/>
      </c>
      <c r="P38">
        <f>IF(C38="","",IFERROR(VLOOKUP(C38,'Parties'!$B$13:$Q$112,2,FALSE),"?"))</f>
        <v/>
      </c>
      <c r="Q38">
        <f>IF(D38="","",IFERROR(VLOOKUP(D38,Lists!$A$2:$D$9,3,FALSE),"?"))</f>
        <v/>
      </c>
      <c r="R38">
        <f>IF(D38="","",IFERROR(VLOOKUP(D38,Lists!$A$2:$D$9,4,FALSE),"?"))</f>
        <v/>
      </c>
      <c r="S38">
        <f>IF(P38="Debtor",I38,IF(P38="Creditor",J38,0))</f>
        <v/>
      </c>
      <c r="T38">
        <f>IF(P38="Debtor",J38,IF(P38="Creditor",I38,0))</f>
        <v/>
      </c>
      <c r="U38">
        <f>IF(OR(S38=0,B38=""),0,IFERROR(VLOOKUP(C38,'Parties'!$B$13:$Q$112,13,FALSE),0)+SUMIFS($S$7:$S$506,$C$7:$C$506,C38,$B$7:$B$506,"&lt;"&amp;B38)+SUMIFS(S$7:S38,C$7:C38,C38,B$7:B38,B38))</f>
        <v/>
      </c>
      <c r="V38">
        <f>IF(S38=0,0,IFERROR(VLOOKUP(C38,'Parties'!$B$13:$Q$112,14,FALSE),0)+SUMIFS($T$7:$T$506,$C$7:$C$506,C38,$B$7:$B$506,"&lt;="&amp;'Outstanding'!$E$5))</f>
        <v/>
      </c>
      <c r="W38">
        <f>IF(OR('Outstanding'!$E$5="",S38=0,B38="",B38&gt;'Outstanding'!$E$5),0,MAX(0,MIN(S38,U38-V38)))</f>
        <v/>
      </c>
      <c r="X38">
        <f>IF(C38="",0,IFERROR(VLOOKUP(C38,'Parties'!$B$13:$Q$112,15,FALSE),0))</f>
        <v/>
      </c>
      <c r="Y38">
        <f>IF(C38="","",IFERROR(VLOOKUP(C38,'Parties'!$B$13:$Q$112,16,FALSE),0))</f>
        <v/>
      </c>
      <c r="Z38">
        <f>IF(OR(S38=0,B38="",Y38=""),"",IF(AND(F38&lt;&gt;"",D38="Purchase bill"),F38,B38)+Y38)</f>
        <v/>
      </c>
      <c r="AA38">
        <f>IF(OR(W38=0,Z38=""),0,MAX(0,'Outstanding'!$E$5-Z38))</f>
        <v/>
      </c>
      <c r="AB38">
        <f>IF(AND(X38=1,AA38&gt;0),W38*((1+3*N('Parties'!$E$10)/12)^(AA38*12/365)-1),0)</f>
        <v/>
      </c>
      <c r="AC38">
        <f>IF(W38=0,"",'Outstanding'!$E$5-B38)</f>
        <v/>
      </c>
      <c r="AD38">
        <f>IF(S38=0,0,IFERROR(VLOOKUP(C38,'Parties'!$B$13:$Q$112,14,FALSE),0)+SUMIFS($T$7:$T$506,$C$7:$C$506,C38,$B$7:$B$506,"&lt;="&amp;'Parties'!$E$8))</f>
        <v/>
      </c>
      <c r="AE38">
        <f>IF(OR('Parties'!$E$8="",S38=0,B38="",B38&gt;'Parties'!$E$8),0,MAX(0,MIN(S38,U38-AD38)))</f>
        <v/>
      </c>
      <c r="AF38">
        <f>IF(AND(P38="Creditor",X38=1,AE38&gt;0,Z38&lt;&gt;""),IF(Z38&lt;='Parties'!$E$8,AE38,0),0)</f>
        <v/>
      </c>
      <c r="AG38">
        <f>IF(OR(AE38=0,Z38=""),0,MAX(0,'Parties'!$E$8-Z38))</f>
        <v/>
      </c>
      <c r="AH38">
        <f>IF(AND(P38="Creditor",X38=1,AG38&gt;0),AE38*((1+3*N('Parties'!$E$10)/12)^(AG38*12/365)-1),0)</f>
        <v/>
      </c>
      <c r="AI38">
        <f>IF(AND(C38&lt;&gt;"",C38='Ledger Account'!$D$4,B38&lt;&gt;"",B38&gt;='Ledger Account'!$D$5,B38&lt;='Ledger Account'!$D$6),1,0)</f>
        <v/>
      </c>
      <c r="AJ38">
        <f>IF(AI38=1,SUM(AI$7:AI38),"")</f>
        <v/>
      </c>
      <c r="AK38">
        <f>IF(OR(N38="",N38="OK"),0,1)</f>
        <v/>
      </c>
    </row>
    <row r="39">
      <c r="B39" s="24" t="n"/>
      <c r="C39" s="14" t="n"/>
      <c r="D39" s="14" t="n"/>
      <c r="E39" s="20" t="n"/>
      <c r="F39" s="24" t="n"/>
      <c r="G39" s="14" t="n"/>
      <c r="H39" s="22" t="n"/>
      <c r="I39" s="25">
        <f>IF(Q39="D",N(H39),0)</f>
        <v/>
      </c>
      <c r="J39" s="25">
        <f>IF(Q39="C",N(H39),0)</f>
        <v/>
      </c>
      <c r="K39" s="26">
        <f>IF(Z39="","",Z39)</f>
        <v/>
      </c>
      <c r="L39" s="27">
        <f>W39</f>
        <v/>
      </c>
      <c r="M39" s="28">
        <f>AA39</f>
        <v/>
      </c>
      <c r="N39" s="23">
        <f>IF(AND(B39="",C39="",D39="",N(H39)=0),"",IF(B39="","Enter the date",IF(C39="","Pick the party",IF(P39="?","Add this party on the Parties sheet first",IF(D39="","Pick the entry type",IF(Q39="?","Pick the entry type from the list",IF(N(H39)=0,"Enter the amount",IF(AND(R39&lt;&gt;"Any",R39&lt;&gt;P39),"Sales, receipts and credit notes are for debtors; purchases, payments and debit notes for creditors",IF(AND(F39&lt;&gt;"",D39&lt;&gt;"Purchase bill"),"The received-on date is only for purchase bills",IF(AND(P39="Creditor",X39=1,AA39&gt;0),"Past due to a micro or small supplier: interest runs under MSMED s.16, and if unpaid at year end it is not deductible that year, s.37(2)(g)",IF(AND(P39="Debtor",X39=1,AA39&gt;0),"Past due to you: as a micro or small supplier you can claim interest under MSMED s.16","OK")))))))))))</f>
        <v/>
      </c>
      <c r="P39">
        <f>IF(C39="","",IFERROR(VLOOKUP(C39,'Parties'!$B$13:$Q$112,2,FALSE),"?"))</f>
        <v/>
      </c>
      <c r="Q39">
        <f>IF(D39="","",IFERROR(VLOOKUP(D39,Lists!$A$2:$D$9,3,FALSE),"?"))</f>
        <v/>
      </c>
      <c r="R39">
        <f>IF(D39="","",IFERROR(VLOOKUP(D39,Lists!$A$2:$D$9,4,FALSE),"?"))</f>
        <v/>
      </c>
      <c r="S39">
        <f>IF(P39="Debtor",I39,IF(P39="Creditor",J39,0))</f>
        <v/>
      </c>
      <c r="T39">
        <f>IF(P39="Debtor",J39,IF(P39="Creditor",I39,0))</f>
        <v/>
      </c>
      <c r="U39">
        <f>IF(OR(S39=0,B39=""),0,IFERROR(VLOOKUP(C39,'Parties'!$B$13:$Q$112,13,FALSE),0)+SUMIFS($S$7:$S$506,$C$7:$C$506,C39,$B$7:$B$506,"&lt;"&amp;B39)+SUMIFS(S$7:S39,C$7:C39,C39,B$7:B39,B39))</f>
        <v/>
      </c>
      <c r="V39">
        <f>IF(S39=0,0,IFERROR(VLOOKUP(C39,'Parties'!$B$13:$Q$112,14,FALSE),0)+SUMIFS($T$7:$T$506,$C$7:$C$506,C39,$B$7:$B$506,"&lt;="&amp;'Outstanding'!$E$5))</f>
        <v/>
      </c>
      <c r="W39">
        <f>IF(OR('Outstanding'!$E$5="",S39=0,B39="",B39&gt;'Outstanding'!$E$5),0,MAX(0,MIN(S39,U39-V39)))</f>
        <v/>
      </c>
      <c r="X39">
        <f>IF(C39="",0,IFERROR(VLOOKUP(C39,'Parties'!$B$13:$Q$112,15,FALSE),0))</f>
        <v/>
      </c>
      <c r="Y39">
        <f>IF(C39="","",IFERROR(VLOOKUP(C39,'Parties'!$B$13:$Q$112,16,FALSE),0))</f>
        <v/>
      </c>
      <c r="Z39">
        <f>IF(OR(S39=0,B39="",Y39=""),"",IF(AND(F39&lt;&gt;"",D39="Purchase bill"),F39,B39)+Y39)</f>
        <v/>
      </c>
      <c r="AA39">
        <f>IF(OR(W39=0,Z39=""),0,MAX(0,'Outstanding'!$E$5-Z39))</f>
        <v/>
      </c>
      <c r="AB39">
        <f>IF(AND(X39=1,AA39&gt;0),W39*((1+3*N('Parties'!$E$10)/12)^(AA39*12/365)-1),0)</f>
        <v/>
      </c>
      <c r="AC39">
        <f>IF(W39=0,"",'Outstanding'!$E$5-B39)</f>
        <v/>
      </c>
      <c r="AD39">
        <f>IF(S39=0,0,IFERROR(VLOOKUP(C39,'Parties'!$B$13:$Q$112,14,FALSE),0)+SUMIFS($T$7:$T$506,$C$7:$C$506,C39,$B$7:$B$506,"&lt;="&amp;'Parties'!$E$8))</f>
        <v/>
      </c>
      <c r="AE39">
        <f>IF(OR('Parties'!$E$8="",S39=0,B39="",B39&gt;'Parties'!$E$8),0,MAX(0,MIN(S39,U39-AD39)))</f>
        <v/>
      </c>
      <c r="AF39">
        <f>IF(AND(P39="Creditor",X39=1,AE39&gt;0,Z39&lt;&gt;""),IF(Z39&lt;='Parties'!$E$8,AE39,0),0)</f>
        <v/>
      </c>
      <c r="AG39">
        <f>IF(OR(AE39=0,Z39=""),0,MAX(0,'Parties'!$E$8-Z39))</f>
        <v/>
      </c>
      <c r="AH39">
        <f>IF(AND(P39="Creditor",X39=1,AG39&gt;0),AE39*((1+3*N('Parties'!$E$10)/12)^(AG39*12/365)-1),0)</f>
        <v/>
      </c>
      <c r="AI39">
        <f>IF(AND(C39&lt;&gt;"",C39='Ledger Account'!$D$4,B39&lt;&gt;"",B39&gt;='Ledger Account'!$D$5,B39&lt;='Ledger Account'!$D$6),1,0)</f>
        <v/>
      </c>
      <c r="AJ39">
        <f>IF(AI39=1,SUM(AI$7:AI39),"")</f>
        <v/>
      </c>
      <c r="AK39">
        <f>IF(OR(N39="",N39="OK"),0,1)</f>
        <v/>
      </c>
    </row>
    <row r="40">
      <c r="B40" s="24" t="n"/>
      <c r="C40" s="14" t="n"/>
      <c r="D40" s="14" t="n"/>
      <c r="E40" s="20" t="n"/>
      <c r="F40" s="24" t="n"/>
      <c r="G40" s="14" t="n"/>
      <c r="H40" s="22" t="n"/>
      <c r="I40" s="25">
        <f>IF(Q40="D",N(H40),0)</f>
        <v/>
      </c>
      <c r="J40" s="25">
        <f>IF(Q40="C",N(H40),0)</f>
        <v/>
      </c>
      <c r="K40" s="26">
        <f>IF(Z40="","",Z40)</f>
        <v/>
      </c>
      <c r="L40" s="27">
        <f>W40</f>
        <v/>
      </c>
      <c r="M40" s="28">
        <f>AA40</f>
        <v/>
      </c>
      <c r="N40" s="23">
        <f>IF(AND(B40="",C40="",D40="",N(H40)=0),"",IF(B40="","Enter the date",IF(C40="","Pick the party",IF(P40="?","Add this party on the Parties sheet first",IF(D40="","Pick the entry type",IF(Q40="?","Pick the entry type from the list",IF(N(H40)=0,"Enter the amount",IF(AND(R40&lt;&gt;"Any",R40&lt;&gt;P40),"Sales, receipts and credit notes are for debtors; purchases, payments and debit notes for creditors",IF(AND(F40&lt;&gt;"",D40&lt;&gt;"Purchase bill"),"The received-on date is only for purchase bills",IF(AND(P40="Creditor",X40=1,AA40&gt;0),"Past due to a micro or small supplier: interest runs under MSMED s.16, and if unpaid at year end it is not deductible that year, s.37(2)(g)",IF(AND(P40="Debtor",X40=1,AA40&gt;0),"Past due to you: as a micro or small supplier you can claim interest under MSMED s.16","OK")))))))))))</f>
        <v/>
      </c>
      <c r="P40">
        <f>IF(C40="","",IFERROR(VLOOKUP(C40,'Parties'!$B$13:$Q$112,2,FALSE),"?"))</f>
        <v/>
      </c>
      <c r="Q40">
        <f>IF(D40="","",IFERROR(VLOOKUP(D40,Lists!$A$2:$D$9,3,FALSE),"?"))</f>
        <v/>
      </c>
      <c r="R40">
        <f>IF(D40="","",IFERROR(VLOOKUP(D40,Lists!$A$2:$D$9,4,FALSE),"?"))</f>
        <v/>
      </c>
      <c r="S40">
        <f>IF(P40="Debtor",I40,IF(P40="Creditor",J40,0))</f>
        <v/>
      </c>
      <c r="T40">
        <f>IF(P40="Debtor",J40,IF(P40="Creditor",I40,0))</f>
        <v/>
      </c>
      <c r="U40">
        <f>IF(OR(S40=0,B40=""),0,IFERROR(VLOOKUP(C40,'Parties'!$B$13:$Q$112,13,FALSE),0)+SUMIFS($S$7:$S$506,$C$7:$C$506,C40,$B$7:$B$506,"&lt;"&amp;B40)+SUMIFS(S$7:S40,C$7:C40,C40,B$7:B40,B40))</f>
        <v/>
      </c>
      <c r="V40">
        <f>IF(S40=0,0,IFERROR(VLOOKUP(C40,'Parties'!$B$13:$Q$112,14,FALSE),0)+SUMIFS($T$7:$T$506,$C$7:$C$506,C40,$B$7:$B$506,"&lt;="&amp;'Outstanding'!$E$5))</f>
        <v/>
      </c>
      <c r="W40">
        <f>IF(OR('Outstanding'!$E$5="",S40=0,B40="",B40&gt;'Outstanding'!$E$5),0,MAX(0,MIN(S40,U40-V40)))</f>
        <v/>
      </c>
      <c r="X40">
        <f>IF(C40="",0,IFERROR(VLOOKUP(C40,'Parties'!$B$13:$Q$112,15,FALSE),0))</f>
        <v/>
      </c>
      <c r="Y40">
        <f>IF(C40="","",IFERROR(VLOOKUP(C40,'Parties'!$B$13:$Q$112,16,FALSE),0))</f>
        <v/>
      </c>
      <c r="Z40">
        <f>IF(OR(S40=0,B40="",Y40=""),"",IF(AND(F40&lt;&gt;"",D40="Purchase bill"),F40,B40)+Y40)</f>
        <v/>
      </c>
      <c r="AA40">
        <f>IF(OR(W40=0,Z40=""),0,MAX(0,'Outstanding'!$E$5-Z40))</f>
        <v/>
      </c>
      <c r="AB40">
        <f>IF(AND(X40=1,AA40&gt;0),W40*((1+3*N('Parties'!$E$10)/12)^(AA40*12/365)-1),0)</f>
        <v/>
      </c>
      <c r="AC40">
        <f>IF(W40=0,"",'Outstanding'!$E$5-B40)</f>
        <v/>
      </c>
      <c r="AD40">
        <f>IF(S40=0,0,IFERROR(VLOOKUP(C40,'Parties'!$B$13:$Q$112,14,FALSE),0)+SUMIFS($T$7:$T$506,$C$7:$C$506,C40,$B$7:$B$506,"&lt;="&amp;'Parties'!$E$8))</f>
        <v/>
      </c>
      <c r="AE40">
        <f>IF(OR('Parties'!$E$8="",S40=0,B40="",B40&gt;'Parties'!$E$8),0,MAX(0,MIN(S40,U40-AD40)))</f>
        <v/>
      </c>
      <c r="AF40">
        <f>IF(AND(P40="Creditor",X40=1,AE40&gt;0,Z40&lt;&gt;""),IF(Z40&lt;='Parties'!$E$8,AE40,0),0)</f>
        <v/>
      </c>
      <c r="AG40">
        <f>IF(OR(AE40=0,Z40=""),0,MAX(0,'Parties'!$E$8-Z40))</f>
        <v/>
      </c>
      <c r="AH40">
        <f>IF(AND(P40="Creditor",X40=1,AG40&gt;0),AE40*((1+3*N('Parties'!$E$10)/12)^(AG40*12/365)-1),0)</f>
        <v/>
      </c>
      <c r="AI40">
        <f>IF(AND(C40&lt;&gt;"",C40='Ledger Account'!$D$4,B40&lt;&gt;"",B40&gt;='Ledger Account'!$D$5,B40&lt;='Ledger Account'!$D$6),1,0)</f>
        <v/>
      </c>
      <c r="AJ40">
        <f>IF(AI40=1,SUM(AI$7:AI40),"")</f>
        <v/>
      </c>
      <c r="AK40">
        <f>IF(OR(N40="",N40="OK"),0,1)</f>
        <v/>
      </c>
    </row>
    <row r="41">
      <c r="B41" s="24" t="n"/>
      <c r="C41" s="14" t="n"/>
      <c r="D41" s="14" t="n"/>
      <c r="E41" s="20" t="n"/>
      <c r="F41" s="24" t="n"/>
      <c r="G41" s="14" t="n"/>
      <c r="H41" s="22" t="n"/>
      <c r="I41" s="25">
        <f>IF(Q41="D",N(H41),0)</f>
        <v/>
      </c>
      <c r="J41" s="25">
        <f>IF(Q41="C",N(H41),0)</f>
        <v/>
      </c>
      <c r="K41" s="26">
        <f>IF(Z41="","",Z41)</f>
        <v/>
      </c>
      <c r="L41" s="27">
        <f>W41</f>
        <v/>
      </c>
      <c r="M41" s="28">
        <f>AA41</f>
        <v/>
      </c>
      <c r="N41" s="23">
        <f>IF(AND(B41="",C41="",D41="",N(H41)=0),"",IF(B41="","Enter the date",IF(C41="","Pick the party",IF(P41="?","Add this party on the Parties sheet first",IF(D41="","Pick the entry type",IF(Q41="?","Pick the entry type from the list",IF(N(H41)=0,"Enter the amount",IF(AND(R41&lt;&gt;"Any",R41&lt;&gt;P41),"Sales, receipts and credit notes are for debtors; purchases, payments and debit notes for creditors",IF(AND(F41&lt;&gt;"",D41&lt;&gt;"Purchase bill"),"The received-on date is only for purchase bills",IF(AND(P41="Creditor",X41=1,AA41&gt;0),"Past due to a micro or small supplier: interest runs under MSMED s.16, and if unpaid at year end it is not deductible that year, s.37(2)(g)",IF(AND(P41="Debtor",X41=1,AA41&gt;0),"Past due to you: as a micro or small supplier you can claim interest under MSMED s.16","OK")))))))))))</f>
        <v/>
      </c>
      <c r="P41">
        <f>IF(C41="","",IFERROR(VLOOKUP(C41,'Parties'!$B$13:$Q$112,2,FALSE),"?"))</f>
        <v/>
      </c>
      <c r="Q41">
        <f>IF(D41="","",IFERROR(VLOOKUP(D41,Lists!$A$2:$D$9,3,FALSE),"?"))</f>
        <v/>
      </c>
      <c r="R41">
        <f>IF(D41="","",IFERROR(VLOOKUP(D41,Lists!$A$2:$D$9,4,FALSE),"?"))</f>
        <v/>
      </c>
      <c r="S41">
        <f>IF(P41="Debtor",I41,IF(P41="Creditor",J41,0))</f>
        <v/>
      </c>
      <c r="T41">
        <f>IF(P41="Debtor",J41,IF(P41="Creditor",I41,0))</f>
        <v/>
      </c>
      <c r="U41">
        <f>IF(OR(S41=0,B41=""),0,IFERROR(VLOOKUP(C41,'Parties'!$B$13:$Q$112,13,FALSE),0)+SUMIFS($S$7:$S$506,$C$7:$C$506,C41,$B$7:$B$506,"&lt;"&amp;B41)+SUMIFS(S$7:S41,C$7:C41,C41,B$7:B41,B41))</f>
        <v/>
      </c>
      <c r="V41">
        <f>IF(S41=0,0,IFERROR(VLOOKUP(C41,'Parties'!$B$13:$Q$112,14,FALSE),0)+SUMIFS($T$7:$T$506,$C$7:$C$506,C41,$B$7:$B$506,"&lt;="&amp;'Outstanding'!$E$5))</f>
        <v/>
      </c>
      <c r="W41">
        <f>IF(OR('Outstanding'!$E$5="",S41=0,B41="",B41&gt;'Outstanding'!$E$5),0,MAX(0,MIN(S41,U41-V41)))</f>
        <v/>
      </c>
      <c r="X41">
        <f>IF(C41="",0,IFERROR(VLOOKUP(C41,'Parties'!$B$13:$Q$112,15,FALSE),0))</f>
        <v/>
      </c>
      <c r="Y41">
        <f>IF(C41="","",IFERROR(VLOOKUP(C41,'Parties'!$B$13:$Q$112,16,FALSE),0))</f>
        <v/>
      </c>
      <c r="Z41">
        <f>IF(OR(S41=0,B41="",Y41=""),"",IF(AND(F41&lt;&gt;"",D41="Purchase bill"),F41,B41)+Y41)</f>
        <v/>
      </c>
      <c r="AA41">
        <f>IF(OR(W41=0,Z41=""),0,MAX(0,'Outstanding'!$E$5-Z41))</f>
        <v/>
      </c>
      <c r="AB41">
        <f>IF(AND(X41=1,AA41&gt;0),W41*((1+3*N('Parties'!$E$10)/12)^(AA41*12/365)-1),0)</f>
        <v/>
      </c>
      <c r="AC41">
        <f>IF(W41=0,"",'Outstanding'!$E$5-B41)</f>
        <v/>
      </c>
      <c r="AD41">
        <f>IF(S41=0,0,IFERROR(VLOOKUP(C41,'Parties'!$B$13:$Q$112,14,FALSE),0)+SUMIFS($T$7:$T$506,$C$7:$C$506,C41,$B$7:$B$506,"&lt;="&amp;'Parties'!$E$8))</f>
        <v/>
      </c>
      <c r="AE41">
        <f>IF(OR('Parties'!$E$8="",S41=0,B41="",B41&gt;'Parties'!$E$8),0,MAX(0,MIN(S41,U41-AD41)))</f>
        <v/>
      </c>
      <c r="AF41">
        <f>IF(AND(P41="Creditor",X41=1,AE41&gt;0,Z41&lt;&gt;""),IF(Z41&lt;='Parties'!$E$8,AE41,0),0)</f>
        <v/>
      </c>
      <c r="AG41">
        <f>IF(OR(AE41=0,Z41=""),0,MAX(0,'Parties'!$E$8-Z41))</f>
        <v/>
      </c>
      <c r="AH41">
        <f>IF(AND(P41="Creditor",X41=1,AG41&gt;0),AE41*((1+3*N('Parties'!$E$10)/12)^(AG41*12/365)-1),0)</f>
        <v/>
      </c>
      <c r="AI41">
        <f>IF(AND(C41&lt;&gt;"",C41='Ledger Account'!$D$4,B41&lt;&gt;"",B41&gt;='Ledger Account'!$D$5,B41&lt;='Ledger Account'!$D$6),1,0)</f>
        <v/>
      </c>
      <c r="AJ41">
        <f>IF(AI41=1,SUM(AI$7:AI41),"")</f>
        <v/>
      </c>
      <c r="AK41">
        <f>IF(OR(N41="",N41="OK"),0,1)</f>
        <v/>
      </c>
    </row>
    <row r="42">
      <c r="B42" s="24" t="n"/>
      <c r="C42" s="14" t="n"/>
      <c r="D42" s="14" t="n"/>
      <c r="E42" s="20" t="n"/>
      <c r="F42" s="24" t="n"/>
      <c r="G42" s="14" t="n"/>
      <c r="H42" s="22" t="n"/>
      <c r="I42" s="25">
        <f>IF(Q42="D",N(H42),0)</f>
        <v/>
      </c>
      <c r="J42" s="25">
        <f>IF(Q42="C",N(H42),0)</f>
        <v/>
      </c>
      <c r="K42" s="26">
        <f>IF(Z42="","",Z42)</f>
        <v/>
      </c>
      <c r="L42" s="27">
        <f>W42</f>
        <v/>
      </c>
      <c r="M42" s="28">
        <f>AA42</f>
        <v/>
      </c>
      <c r="N42" s="23">
        <f>IF(AND(B42="",C42="",D42="",N(H42)=0),"",IF(B42="","Enter the date",IF(C42="","Pick the party",IF(P42="?","Add this party on the Parties sheet first",IF(D42="","Pick the entry type",IF(Q42="?","Pick the entry type from the list",IF(N(H42)=0,"Enter the amount",IF(AND(R42&lt;&gt;"Any",R42&lt;&gt;P42),"Sales, receipts and credit notes are for debtors; purchases, payments and debit notes for creditors",IF(AND(F42&lt;&gt;"",D42&lt;&gt;"Purchase bill"),"The received-on date is only for purchase bills",IF(AND(P42="Creditor",X42=1,AA42&gt;0),"Past due to a micro or small supplier: interest runs under MSMED s.16, and if unpaid at year end it is not deductible that year, s.37(2)(g)",IF(AND(P42="Debtor",X42=1,AA42&gt;0),"Past due to you: as a micro or small supplier you can claim interest under MSMED s.16","OK")))))))))))</f>
        <v/>
      </c>
      <c r="P42">
        <f>IF(C42="","",IFERROR(VLOOKUP(C42,'Parties'!$B$13:$Q$112,2,FALSE),"?"))</f>
        <v/>
      </c>
      <c r="Q42">
        <f>IF(D42="","",IFERROR(VLOOKUP(D42,Lists!$A$2:$D$9,3,FALSE),"?"))</f>
        <v/>
      </c>
      <c r="R42">
        <f>IF(D42="","",IFERROR(VLOOKUP(D42,Lists!$A$2:$D$9,4,FALSE),"?"))</f>
        <v/>
      </c>
      <c r="S42">
        <f>IF(P42="Debtor",I42,IF(P42="Creditor",J42,0))</f>
        <v/>
      </c>
      <c r="T42">
        <f>IF(P42="Debtor",J42,IF(P42="Creditor",I42,0))</f>
        <v/>
      </c>
      <c r="U42">
        <f>IF(OR(S42=0,B42=""),0,IFERROR(VLOOKUP(C42,'Parties'!$B$13:$Q$112,13,FALSE),0)+SUMIFS($S$7:$S$506,$C$7:$C$506,C42,$B$7:$B$506,"&lt;"&amp;B42)+SUMIFS(S$7:S42,C$7:C42,C42,B$7:B42,B42))</f>
        <v/>
      </c>
      <c r="V42">
        <f>IF(S42=0,0,IFERROR(VLOOKUP(C42,'Parties'!$B$13:$Q$112,14,FALSE),0)+SUMIFS($T$7:$T$506,$C$7:$C$506,C42,$B$7:$B$506,"&lt;="&amp;'Outstanding'!$E$5))</f>
        <v/>
      </c>
      <c r="W42">
        <f>IF(OR('Outstanding'!$E$5="",S42=0,B42="",B42&gt;'Outstanding'!$E$5),0,MAX(0,MIN(S42,U42-V42)))</f>
        <v/>
      </c>
      <c r="X42">
        <f>IF(C42="",0,IFERROR(VLOOKUP(C42,'Parties'!$B$13:$Q$112,15,FALSE),0))</f>
        <v/>
      </c>
      <c r="Y42">
        <f>IF(C42="","",IFERROR(VLOOKUP(C42,'Parties'!$B$13:$Q$112,16,FALSE),0))</f>
        <v/>
      </c>
      <c r="Z42">
        <f>IF(OR(S42=0,B42="",Y42=""),"",IF(AND(F42&lt;&gt;"",D42="Purchase bill"),F42,B42)+Y42)</f>
        <v/>
      </c>
      <c r="AA42">
        <f>IF(OR(W42=0,Z42=""),0,MAX(0,'Outstanding'!$E$5-Z42))</f>
        <v/>
      </c>
      <c r="AB42">
        <f>IF(AND(X42=1,AA42&gt;0),W42*((1+3*N('Parties'!$E$10)/12)^(AA42*12/365)-1),0)</f>
        <v/>
      </c>
      <c r="AC42">
        <f>IF(W42=0,"",'Outstanding'!$E$5-B42)</f>
        <v/>
      </c>
      <c r="AD42">
        <f>IF(S42=0,0,IFERROR(VLOOKUP(C42,'Parties'!$B$13:$Q$112,14,FALSE),0)+SUMIFS($T$7:$T$506,$C$7:$C$506,C42,$B$7:$B$506,"&lt;="&amp;'Parties'!$E$8))</f>
        <v/>
      </c>
      <c r="AE42">
        <f>IF(OR('Parties'!$E$8="",S42=0,B42="",B42&gt;'Parties'!$E$8),0,MAX(0,MIN(S42,U42-AD42)))</f>
        <v/>
      </c>
      <c r="AF42">
        <f>IF(AND(P42="Creditor",X42=1,AE42&gt;0,Z42&lt;&gt;""),IF(Z42&lt;='Parties'!$E$8,AE42,0),0)</f>
        <v/>
      </c>
      <c r="AG42">
        <f>IF(OR(AE42=0,Z42=""),0,MAX(0,'Parties'!$E$8-Z42))</f>
        <v/>
      </c>
      <c r="AH42">
        <f>IF(AND(P42="Creditor",X42=1,AG42&gt;0),AE42*((1+3*N('Parties'!$E$10)/12)^(AG42*12/365)-1),0)</f>
        <v/>
      </c>
      <c r="AI42">
        <f>IF(AND(C42&lt;&gt;"",C42='Ledger Account'!$D$4,B42&lt;&gt;"",B42&gt;='Ledger Account'!$D$5,B42&lt;='Ledger Account'!$D$6),1,0)</f>
        <v/>
      </c>
      <c r="AJ42">
        <f>IF(AI42=1,SUM(AI$7:AI42),"")</f>
        <v/>
      </c>
      <c r="AK42">
        <f>IF(OR(N42="",N42="OK"),0,1)</f>
        <v/>
      </c>
    </row>
    <row r="43">
      <c r="B43" s="24" t="n"/>
      <c r="C43" s="14" t="n"/>
      <c r="D43" s="14" t="n"/>
      <c r="E43" s="20" t="n"/>
      <c r="F43" s="24" t="n"/>
      <c r="G43" s="14" t="n"/>
      <c r="H43" s="22" t="n"/>
      <c r="I43" s="25">
        <f>IF(Q43="D",N(H43),0)</f>
        <v/>
      </c>
      <c r="J43" s="25">
        <f>IF(Q43="C",N(H43),0)</f>
        <v/>
      </c>
      <c r="K43" s="26">
        <f>IF(Z43="","",Z43)</f>
        <v/>
      </c>
      <c r="L43" s="27">
        <f>W43</f>
        <v/>
      </c>
      <c r="M43" s="28">
        <f>AA43</f>
        <v/>
      </c>
      <c r="N43" s="23">
        <f>IF(AND(B43="",C43="",D43="",N(H43)=0),"",IF(B43="","Enter the date",IF(C43="","Pick the party",IF(P43="?","Add this party on the Parties sheet first",IF(D43="","Pick the entry type",IF(Q43="?","Pick the entry type from the list",IF(N(H43)=0,"Enter the amount",IF(AND(R43&lt;&gt;"Any",R43&lt;&gt;P43),"Sales, receipts and credit notes are for debtors; purchases, payments and debit notes for creditors",IF(AND(F43&lt;&gt;"",D43&lt;&gt;"Purchase bill"),"The received-on date is only for purchase bills",IF(AND(P43="Creditor",X43=1,AA43&gt;0),"Past due to a micro or small supplier: interest runs under MSMED s.16, and if unpaid at year end it is not deductible that year, s.37(2)(g)",IF(AND(P43="Debtor",X43=1,AA43&gt;0),"Past due to you: as a micro or small supplier you can claim interest under MSMED s.16","OK")))))))))))</f>
        <v/>
      </c>
      <c r="P43">
        <f>IF(C43="","",IFERROR(VLOOKUP(C43,'Parties'!$B$13:$Q$112,2,FALSE),"?"))</f>
        <v/>
      </c>
      <c r="Q43">
        <f>IF(D43="","",IFERROR(VLOOKUP(D43,Lists!$A$2:$D$9,3,FALSE),"?"))</f>
        <v/>
      </c>
      <c r="R43">
        <f>IF(D43="","",IFERROR(VLOOKUP(D43,Lists!$A$2:$D$9,4,FALSE),"?"))</f>
        <v/>
      </c>
      <c r="S43">
        <f>IF(P43="Debtor",I43,IF(P43="Creditor",J43,0))</f>
        <v/>
      </c>
      <c r="T43">
        <f>IF(P43="Debtor",J43,IF(P43="Creditor",I43,0))</f>
        <v/>
      </c>
      <c r="U43">
        <f>IF(OR(S43=0,B43=""),0,IFERROR(VLOOKUP(C43,'Parties'!$B$13:$Q$112,13,FALSE),0)+SUMIFS($S$7:$S$506,$C$7:$C$506,C43,$B$7:$B$506,"&lt;"&amp;B43)+SUMIFS(S$7:S43,C$7:C43,C43,B$7:B43,B43))</f>
        <v/>
      </c>
      <c r="V43">
        <f>IF(S43=0,0,IFERROR(VLOOKUP(C43,'Parties'!$B$13:$Q$112,14,FALSE),0)+SUMIFS($T$7:$T$506,$C$7:$C$506,C43,$B$7:$B$506,"&lt;="&amp;'Outstanding'!$E$5))</f>
        <v/>
      </c>
      <c r="W43">
        <f>IF(OR('Outstanding'!$E$5="",S43=0,B43="",B43&gt;'Outstanding'!$E$5),0,MAX(0,MIN(S43,U43-V43)))</f>
        <v/>
      </c>
      <c r="X43">
        <f>IF(C43="",0,IFERROR(VLOOKUP(C43,'Parties'!$B$13:$Q$112,15,FALSE),0))</f>
        <v/>
      </c>
      <c r="Y43">
        <f>IF(C43="","",IFERROR(VLOOKUP(C43,'Parties'!$B$13:$Q$112,16,FALSE),0))</f>
        <v/>
      </c>
      <c r="Z43">
        <f>IF(OR(S43=0,B43="",Y43=""),"",IF(AND(F43&lt;&gt;"",D43="Purchase bill"),F43,B43)+Y43)</f>
        <v/>
      </c>
      <c r="AA43">
        <f>IF(OR(W43=0,Z43=""),0,MAX(0,'Outstanding'!$E$5-Z43))</f>
        <v/>
      </c>
      <c r="AB43">
        <f>IF(AND(X43=1,AA43&gt;0),W43*((1+3*N('Parties'!$E$10)/12)^(AA43*12/365)-1),0)</f>
        <v/>
      </c>
      <c r="AC43">
        <f>IF(W43=0,"",'Outstanding'!$E$5-B43)</f>
        <v/>
      </c>
      <c r="AD43">
        <f>IF(S43=0,0,IFERROR(VLOOKUP(C43,'Parties'!$B$13:$Q$112,14,FALSE),0)+SUMIFS($T$7:$T$506,$C$7:$C$506,C43,$B$7:$B$506,"&lt;="&amp;'Parties'!$E$8))</f>
        <v/>
      </c>
      <c r="AE43">
        <f>IF(OR('Parties'!$E$8="",S43=0,B43="",B43&gt;'Parties'!$E$8),0,MAX(0,MIN(S43,U43-AD43)))</f>
        <v/>
      </c>
      <c r="AF43">
        <f>IF(AND(P43="Creditor",X43=1,AE43&gt;0,Z43&lt;&gt;""),IF(Z43&lt;='Parties'!$E$8,AE43,0),0)</f>
        <v/>
      </c>
      <c r="AG43">
        <f>IF(OR(AE43=0,Z43=""),0,MAX(0,'Parties'!$E$8-Z43))</f>
        <v/>
      </c>
      <c r="AH43">
        <f>IF(AND(P43="Creditor",X43=1,AG43&gt;0),AE43*((1+3*N('Parties'!$E$10)/12)^(AG43*12/365)-1),0)</f>
        <v/>
      </c>
      <c r="AI43">
        <f>IF(AND(C43&lt;&gt;"",C43='Ledger Account'!$D$4,B43&lt;&gt;"",B43&gt;='Ledger Account'!$D$5,B43&lt;='Ledger Account'!$D$6),1,0)</f>
        <v/>
      </c>
      <c r="AJ43">
        <f>IF(AI43=1,SUM(AI$7:AI43),"")</f>
        <v/>
      </c>
      <c r="AK43">
        <f>IF(OR(N43="",N43="OK"),0,1)</f>
        <v/>
      </c>
    </row>
    <row r="44">
      <c r="B44" s="24" t="n"/>
      <c r="C44" s="14" t="n"/>
      <c r="D44" s="14" t="n"/>
      <c r="E44" s="20" t="n"/>
      <c r="F44" s="24" t="n"/>
      <c r="G44" s="14" t="n"/>
      <c r="H44" s="22" t="n"/>
      <c r="I44" s="25">
        <f>IF(Q44="D",N(H44),0)</f>
        <v/>
      </c>
      <c r="J44" s="25">
        <f>IF(Q44="C",N(H44),0)</f>
        <v/>
      </c>
      <c r="K44" s="26">
        <f>IF(Z44="","",Z44)</f>
        <v/>
      </c>
      <c r="L44" s="27">
        <f>W44</f>
        <v/>
      </c>
      <c r="M44" s="28">
        <f>AA44</f>
        <v/>
      </c>
      <c r="N44" s="23">
        <f>IF(AND(B44="",C44="",D44="",N(H44)=0),"",IF(B44="","Enter the date",IF(C44="","Pick the party",IF(P44="?","Add this party on the Parties sheet first",IF(D44="","Pick the entry type",IF(Q44="?","Pick the entry type from the list",IF(N(H44)=0,"Enter the amount",IF(AND(R44&lt;&gt;"Any",R44&lt;&gt;P44),"Sales, receipts and credit notes are for debtors; purchases, payments and debit notes for creditors",IF(AND(F44&lt;&gt;"",D44&lt;&gt;"Purchase bill"),"The received-on date is only for purchase bills",IF(AND(P44="Creditor",X44=1,AA44&gt;0),"Past due to a micro or small supplier: interest runs under MSMED s.16, and if unpaid at year end it is not deductible that year, s.37(2)(g)",IF(AND(P44="Debtor",X44=1,AA44&gt;0),"Past due to you: as a micro or small supplier you can claim interest under MSMED s.16","OK")))))))))))</f>
        <v/>
      </c>
      <c r="P44">
        <f>IF(C44="","",IFERROR(VLOOKUP(C44,'Parties'!$B$13:$Q$112,2,FALSE),"?"))</f>
        <v/>
      </c>
      <c r="Q44">
        <f>IF(D44="","",IFERROR(VLOOKUP(D44,Lists!$A$2:$D$9,3,FALSE),"?"))</f>
        <v/>
      </c>
      <c r="R44">
        <f>IF(D44="","",IFERROR(VLOOKUP(D44,Lists!$A$2:$D$9,4,FALSE),"?"))</f>
        <v/>
      </c>
      <c r="S44">
        <f>IF(P44="Debtor",I44,IF(P44="Creditor",J44,0))</f>
        <v/>
      </c>
      <c r="T44">
        <f>IF(P44="Debtor",J44,IF(P44="Creditor",I44,0))</f>
        <v/>
      </c>
      <c r="U44">
        <f>IF(OR(S44=0,B44=""),0,IFERROR(VLOOKUP(C44,'Parties'!$B$13:$Q$112,13,FALSE),0)+SUMIFS($S$7:$S$506,$C$7:$C$506,C44,$B$7:$B$506,"&lt;"&amp;B44)+SUMIFS(S$7:S44,C$7:C44,C44,B$7:B44,B44))</f>
        <v/>
      </c>
      <c r="V44">
        <f>IF(S44=0,0,IFERROR(VLOOKUP(C44,'Parties'!$B$13:$Q$112,14,FALSE),0)+SUMIFS($T$7:$T$506,$C$7:$C$506,C44,$B$7:$B$506,"&lt;="&amp;'Outstanding'!$E$5))</f>
        <v/>
      </c>
      <c r="W44">
        <f>IF(OR('Outstanding'!$E$5="",S44=0,B44="",B44&gt;'Outstanding'!$E$5),0,MAX(0,MIN(S44,U44-V44)))</f>
        <v/>
      </c>
      <c r="X44">
        <f>IF(C44="",0,IFERROR(VLOOKUP(C44,'Parties'!$B$13:$Q$112,15,FALSE),0))</f>
        <v/>
      </c>
      <c r="Y44">
        <f>IF(C44="","",IFERROR(VLOOKUP(C44,'Parties'!$B$13:$Q$112,16,FALSE),0))</f>
        <v/>
      </c>
      <c r="Z44">
        <f>IF(OR(S44=0,B44="",Y44=""),"",IF(AND(F44&lt;&gt;"",D44="Purchase bill"),F44,B44)+Y44)</f>
        <v/>
      </c>
      <c r="AA44">
        <f>IF(OR(W44=0,Z44=""),0,MAX(0,'Outstanding'!$E$5-Z44))</f>
        <v/>
      </c>
      <c r="AB44">
        <f>IF(AND(X44=1,AA44&gt;0),W44*((1+3*N('Parties'!$E$10)/12)^(AA44*12/365)-1),0)</f>
        <v/>
      </c>
      <c r="AC44">
        <f>IF(W44=0,"",'Outstanding'!$E$5-B44)</f>
        <v/>
      </c>
      <c r="AD44">
        <f>IF(S44=0,0,IFERROR(VLOOKUP(C44,'Parties'!$B$13:$Q$112,14,FALSE),0)+SUMIFS($T$7:$T$506,$C$7:$C$506,C44,$B$7:$B$506,"&lt;="&amp;'Parties'!$E$8))</f>
        <v/>
      </c>
      <c r="AE44">
        <f>IF(OR('Parties'!$E$8="",S44=0,B44="",B44&gt;'Parties'!$E$8),0,MAX(0,MIN(S44,U44-AD44)))</f>
        <v/>
      </c>
      <c r="AF44">
        <f>IF(AND(P44="Creditor",X44=1,AE44&gt;0,Z44&lt;&gt;""),IF(Z44&lt;='Parties'!$E$8,AE44,0),0)</f>
        <v/>
      </c>
      <c r="AG44">
        <f>IF(OR(AE44=0,Z44=""),0,MAX(0,'Parties'!$E$8-Z44))</f>
        <v/>
      </c>
      <c r="AH44">
        <f>IF(AND(P44="Creditor",X44=1,AG44&gt;0),AE44*((1+3*N('Parties'!$E$10)/12)^(AG44*12/365)-1),0)</f>
        <v/>
      </c>
      <c r="AI44">
        <f>IF(AND(C44&lt;&gt;"",C44='Ledger Account'!$D$4,B44&lt;&gt;"",B44&gt;='Ledger Account'!$D$5,B44&lt;='Ledger Account'!$D$6),1,0)</f>
        <v/>
      </c>
      <c r="AJ44">
        <f>IF(AI44=1,SUM(AI$7:AI44),"")</f>
        <v/>
      </c>
      <c r="AK44">
        <f>IF(OR(N44="",N44="OK"),0,1)</f>
        <v/>
      </c>
    </row>
    <row r="45">
      <c r="B45" s="24" t="n"/>
      <c r="C45" s="14" t="n"/>
      <c r="D45" s="14" t="n"/>
      <c r="E45" s="20" t="n"/>
      <c r="F45" s="24" t="n"/>
      <c r="G45" s="14" t="n"/>
      <c r="H45" s="22" t="n"/>
      <c r="I45" s="25">
        <f>IF(Q45="D",N(H45),0)</f>
        <v/>
      </c>
      <c r="J45" s="25">
        <f>IF(Q45="C",N(H45),0)</f>
        <v/>
      </c>
      <c r="K45" s="26">
        <f>IF(Z45="","",Z45)</f>
        <v/>
      </c>
      <c r="L45" s="27">
        <f>W45</f>
        <v/>
      </c>
      <c r="M45" s="28">
        <f>AA45</f>
        <v/>
      </c>
      <c r="N45" s="23">
        <f>IF(AND(B45="",C45="",D45="",N(H45)=0),"",IF(B45="","Enter the date",IF(C45="","Pick the party",IF(P45="?","Add this party on the Parties sheet first",IF(D45="","Pick the entry type",IF(Q45="?","Pick the entry type from the list",IF(N(H45)=0,"Enter the amount",IF(AND(R45&lt;&gt;"Any",R45&lt;&gt;P45),"Sales, receipts and credit notes are for debtors; purchases, payments and debit notes for creditors",IF(AND(F45&lt;&gt;"",D45&lt;&gt;"Purchase bill"),"The received-on date is only for purchase bills",IF(AND(P45="Creditor",X45=1,AA45&gt;0),"Past due to a micro or small supplier: interest runs under MSMED s.16, and if unpaid at year end it is not deductible that year, s.37(2)(g)",IF(AND(P45="Debtor",X45=1,AA45&gt;0),"Past due to you: as a micro or small supplier you can claim interest under MSMED s.16","OK")))))))))))</f>
        <v/>
      </c>
      <c r="P45">
        <f>IF(C45="","",IFERROR(VLOOKUP(C45,'Parties'!$B$13:$Q$112,2,FALSE),"?"))</f>
        <v/>
      </c>
      <c r="Q45">
        <f>IF(D45="","",IFERROR(VLOOKUP(D45,Lists!$A$2:$D$9,3,FALSE),"?"))</f>
        <v/>
      </c>
      <c r="R45">
        <f>IF(D45="","",IFERROR(VLOOKUP(D45,Lists!$A$2:$D$9,4,FALSE),"?"))</f>
        <v/>
      </c>
      <c r="S45">
        <f>IF(P45="Debtor",I45,IF(P45="Creditor",J45,0))</f>
        <v/>
      </c>
      <c r="T45">
        <f>IF(P45="Debtor",J45,IF(P45="Creditor",I45,0))</f>
        <v/>
      </c>
      <c r="U45">
        <f>IF(OR(S45=0,B45=""),0,IFERROR(VLOOKUP(C45,'Parties'!$B$13:$Q$112,13,FALSE),0)+SUMIFS($S$7:$S$506,$C$7:$C$506,C45,$B$7:$B$506,"&lt;"&amp;B45)+SUMIFS(S$7:S45,C$7:C45,C45,B$7:B45,B45))</f>
        <v/>
      </c>
      <c r="V45">
        <f>IF(S45=0,0,IFERROR(VLOOKUP(C45,'Parties'!$B$13:$Q$112,14,FALSE),0)+SUMIFS($T$7:$T$506,$C$7:$C$506,C45,$B$7:$B$506,"&lt;="&amp;'Outstanding'!$E$5))</f>
        <v/>
      </c>
      <c r="W45">
        <f>IF(OR('Outstanding'!$E$5="",S45=0,B45="",B45&gt;'Outstanding'!$E$5),0,MAX(0,MIN(S45,U45-V45)))</f>
        <v/>
      </c>
      <c r="X45">
        <f>IF(C45="",0,IFERROR(VLOOKUP(C45,'Parties'!$B$13:$Q$112,15,FALSE),0))</f>
        <v/>
      </c>
      <c r="Y45">
        <f>IF(C45="","",IFERROR(VLOOKUP(C45,'Parties'!$B$13:$Q$112,16,FALSE),0))</f>
        <v/>
      </c>
      <c r="Z45">
        <f>IF(OR(S45=0,B45="",Y45=""),"",IF(AND(F45&lt;&gt;"",D45="Purchase bill"),F45,B45)+Y45)</f>
        <v/>
      </c>
      <c r="AA45">
        <f>IF(OR(W45=0,Z45=""),0,MAX(0,'Outstanding'!$E$5-Z45))</f>
        <v/>
      </c>
      <c r="AB45">
        <f>IF(AND(X45=1,AA45&gt;0),W45*((1+3*N('Parties'!$E$10)/12)^(AA45*12/365)-1),0)</f>
        <v/>
      </c>
      <c r="AC45">
        <f>IF(W45=0,"",'Outstanding'!$E$5-B45)</f>
        <v/>
      </c>
      <c r="AD45">
        <f>IF(S45=0,0,IFERROR(VLOOKUP(C45,'Parties'!$B$13:$Q$112,14,FALSE),0)+SUMIFS($T$7:$T$506,$C$7:$C$506,C45,$B$7:$B$506,"&lt;="&amp;'Parties'!$E$8))</f>
        <v/>
      </c>
      <c r="AE45">
        <f>IF(OR('Parties'!$E$8="",S45=0,B45="",B45&gt;'Parties'!$E$8),0,MAX(0,MIN(S45,U45-AD45)))</f>
        <v/>
      </c>
      <c r="AF45">
        <f>IF(AND(P45="Creditor",X45=1,AE45&gt;0,Z45&lt;&gt;""),IF(Z45&lt;='Parties'!$E$8,AE45,0),0)</f>
        <v/>
      </c>
      <c r="AG45">
        <f>IF(OR(AE45=0,Z45=""),0,MAX(0,'Parties'!$E$8-Z45))</f>
        <v/>
      </c>
      <c r="AH45">
        <f>IF(AND(P45="Creditor",X45=1,AG45&gt;0),AE45*((1+3*N('Parties'!$E$10)/12)^(AG45*12/365)-1),0)</f>
        <v/>
      </c>
      <c r="AI45">
        <f>IF(AND(C45&lt;&gt;"",C45='Ledger Account'!$D$4,B45&lt;&gt;"",B45&gt;='Ledger Account'!$D$5,B45&lt;='Ledger Account'!$D$6),1,0)</f>
        <v/>
      </c>
      <c r="AJ45">
        <f>IF(AI45=1,SUM(AI$7:AI45),"")</f>
        <v/>
      </c>
      <c r="AK45">
        <f>IF(OR(N45="",N45="OK"),0,1)</f>
        <v/>
      </c>
    </row>
    <row r="46">
      <c r="B46" s="24" t="n"/>
      <c r="C46" s="14" t="n"/>
      <c r="D46" s="14" t="n"/>
      <c r="E46" s="20" t="n"/>
      <c r="F46" s="24" t="n"/>
      <c r="G46" s="14" t="n"/>
      <c r="H46" s="22" t="n"/>
      <c r="I46" s="25">
        <f>IF(Q46="D",N(H46),0)</f>
        <v/>
      </c>
      <c r="J46" s="25">
        <f>IF(Q46="C",N(H46),0)</f>
        <v/>
      </c>
      <c r="K46" s="26">
        <f>IF(Z46="","",Z46)</f>
        <v/>
      </c>
      <c r="L46" s="27">
        <f>W46</f>
        <v/>
      </c>
      <c r="M46" s="28">
        <f>AA46</f>
        <v/>
      </c>
      <c r="N46" s="23">
        <f>IF(AND(B46="",C46="",D46="",N(H46)=0),"",IF(B46="","Enter the date",IF(C46="","Pick the party",IF(P46="?","Add this party on the Parties sheet first",IF(D46="","Pick the entry type",IF(Q46="?","Pick the entry type from the list",IF(N(H46)=0,"Enter the amount",IF(AND(R46&lt;&gt;"Any",R46&lt;&gt;P46),"Sales, receipts and credit notes are for debtors; purchases, payments and debit notes for creditors",IF(AND(F46&lt;&gt;"",D46&lt;&gt;"Purchase bill"),"The received-on date is only for purchase bills",IF(AND(P46="Creditor",X46=1,AA46&gt;0),"Past due to a micro or small supplier: interest runs under MSMED s.16, and if unpaid at year end it is not deductible that year, s.37(2)(g)",IF(AND(P46="Debtor",X46=1,AA46&gt;0),"Past due to you: as a micro or small supplier you can claim interest under MSMED s.16","OK")))))))))))</f>
        <v/>
      </c>
      <c r="P46">
        <f>IF(C46="","",IFERROR(VLOOKUP(C46,'Parties'!$B$13:$Q$112,2,FALSE),"?"))</f>
        <v/>
      </c>
      <c r="Q46">
        <f>IF(D46="","",IFERROR(VLOOKUP(D46,Lists!$A$2:$D$9,3,FALSE),"?"))</f>
        <v/>
      </c>
      <c r="R46">
        <f>IF(D46="","",IFERROR(VLOOKUP(D46,Lists!$A$2:$D$9,4,FALSE),"?"))</f>
        <v/>
      </c>
      <c r="S46">
        <f>IF(P46="Debtor",I46,IF(P46="Creditor",J46,0))</f>
        <v/>
      </c>
      <c r="T46">
        <f>IF(P46="Debtor",J46,IF(P46="Creditor",I46,0))</f>
        <v/>
      </c>
      <c r="U46">
        <f>IF(OR(S46=0,B46=""),0,IFERROR(VLOOKUP(C46,'Parties'!$B$13:$Q$112,13,FALSE),0)+SUMIFS($S$7:$S$506,$C$7:$C$506,C46,$B$7:$B$506,"&lt;"&amp;B46)+SUMIFS(S$7:S46,C$7:C46,C46,B$7:B46,B46))</f>
        <v/>
      </c>
      <c r="V46">
        <f>IF(S46=0,0,IFERROR(VLOOKUP(C46,'Parties'!$B$13:$Q$112,14,FALSE),0)+SUMIFS($T$7:$T$506,$C$7:$C$506,C46,$B$7:$B$506,"&lt;="&amp;'Outstanding'!$E$5))</f>
        <v/>
      </c>
      <c r="W46">
        <f>IF(OR('Outstanding'!$E$5="",S46=0,B46="",B46&gt;'Outstanding'!$E$5),0,MAX(0,MIN(S46,U46-V46)))</f>
        <v/>
      </c>
      <c r="X46">
        <f>IF(C46="",0,IFERROR(VLOOKUP(C46,'Parties'!$B$13:$Q$112,15,FALSE),0))</f>
        <v/>
      </c>
      <c r="Y46">
        <f>IF(C46="","",IFERROR(VLOOKUP(C46,'Parties'!$B$13:$Q$112,16,FALSE),0))</f>
        <v/>
      </c>
      <c r="Z46">
        <f>IF(OR(S46=0,B46="",Y46=""),"",IF(AND(F46&lt;&gt;"",D46="Purchase bill"),F46,B46)+Y46)</f>
        <v/>
      </c>
      <c r="AA46">
        <f>IF(OR(W46=0,Z46=""),0,MAX(0,'Outstanding'!$E$5-Z46))</f>
        <v/>
      </c>
      <c r="AB46">
        <f>IF(AND(X46=1,AA46&gt;0),W46*((1+3*N('Parties'!$E$10)/12)^(AA46*12/365)-1),0)</f>
        <v/>
      </c>
      <c r="AC46">
        <f>IF(W46=0,"",'Outstanding'!$E$5-B46)</f>
        <v/>
      </c>
      <c r="AD46">
        <f>IF(S46=0,0,IFERROR(VLOOKUP(C46,'Parties'!$B$13:$Q$112,14,FALSE),0)+SUMIFS($T$7:$T$506,$C$7:$C$506,C46,$B$7:$B$506,"&lt;="&amp;'Parties'!$E$8))</f>
        <v/>
      </c>
      <c r="AE46">
        <f>IF(OR('Parties'!$E$8="",S46=0,B46="",B46&gt;'Parties'!$E$8),0,MAX(0,MIN(S46,U46-AD46)))</f>
        <v/>
      </c>
      <c r="AF46">
        <f>IF(AND(P46="Creditor",X46=1,AE46&gt;0,Z46&lt;&gt;""),IF(Z46&lt;='Parties'!$E$8,AE46,0),0)</f>
        <v/>
      </c>
      <c r="AG46">
        <f>IF(OR(AE46=0,Z46=""),0,MAX(0,'Parties'!$E$8-Z46))</f>
        <v/>
      </c>
      <c r="AH46">
        <f>IF(AND(P46="Creditor",X46=1,AG46&gt;0),AE46*((1+3*N('Parties'!$E$10)/12)^(AG46*12/365)-1),0)</f>
        <v/>
      </c>
      <c r="AI46">
        <f>IF(AND(C46&lt;&gt;"",C46='Ledger Account'!$D$4,B46&lt;&gt;"",B46&gt;='Ledger Account'!$D$5,B46&lt;='Ledger Account'!$D$6),1,0)</f>
        <v/>
      </c>
      <c r="AJ46">
        <f>IF(AI46=1,SUM(AI$7:AI46),"")</f>
        <v/>
      </c>
      <c r="AK46">
        <f>IF(OR(N46="",N46="OK"),0,1)</f>
        <v/>
      </c>
    </row>
    <row r="47">
      <c r="B47" s="24" t="n"/>
      <c r="C47" s="14" t="n"/>
      <c r="D47" s="14" t="n"/>
      <c r="E47" s="20" t="n"/>
      <c r="F47" s="24" t="n"/>
      <c r="G47" s="14" t="n"/>
      <c r="H47" s="22" t="n"/>
      <c r="I47" s="25">
        <f>IF(Q47="D",N(H47),0)</f>
        <v/>
      </c>
      <c r="J47" s="25">
        <f>IF(Q47="C",N(H47),0)</f>
        <v/>
      </c>
      <c r="K47" s="26">
        <f>IF(Z47="","",Z47)</f>
        <v/>
      </c>
      <c r="L47" s="27">
        <f>W47</f>
        <v/>
      </c>
      <c r="M47" s="28">
        <f>AA47</f>
        <v/>
      </c>
      <c r="N47" s="23">
        <f>IF(AND(B47="",C47="",D47="",N(H47)=0),"",IF(B47="","Enter the date",IF(C47="","Pick the party",IF(P47="?","Add this party on the Parties sheet first",IF(D47="","Pick the entry type",IF(Q47="?","Pick the entry type from the list",IF(N(H47)=0,"Enter the amount",IF(AND(R47&lt;&gt;"Any",R47&lt;&gt;P47),"Sales, receipts and credit notes are for debtors; purchases, payments and debit notes for creditors",IF(AND(F47&lt;&gt;"",D47&lt;&gt;"Purchase bill"),"The received-on date is only for purchase bills",IF(AND(P47="Creditor",X47=1,AA47&gt;0),"Past due to a micro or small supplier: interest runs under MSMED s.16, and if unpaid at year end it is not deductible that year, s.37(2)(g)",IF(AND(P47="Debtor",X47=1,AA47&gt;0),"Past due to you: as a micro or small supplier you can claim interest under MSMED s.16","OK")))))))))))</f>
        <v/>
      </c>
      <c r="P47">
        <f>IF(C47="","",IFERROR(VLOOKUP(C47,'Parties'!$B$13:$Q$112,2,FALSE),"?"))</f>
        <v/>
      </c>
      <c r="Q47">
        <f>IF(D47="","",IFERROR(VLOOKUP(D47,Lists!$A$2:$D$9,3,FALSE),"?"))</f>
        <v/>
      </c>
      <c r="R47">
        <f>IF(D47="","",IFERROR(VLOOKUP(D47,Lists!$A$2:$D$9,4,FALSE),"?"))</f>
        <v/>
      </c>
      <c r="S47">
        <f>IF(P47="Debtor",I47,IF(P47="Creditor",J47,0))</f>
        <v/>
      </c>
      <c r="T47">
        <f>IF(P47="Debtor",J47,IF(P47="Creditor",I47,0))</f>
        <v/>
      </c>
      <c r="U47">
        <f>IF(OR(S47=0,B47=""),0,IFERROR(VLOOKUP(C47,'Parties'!$B$13:$Q$112,13,FALSE),0)+SUMIFS($S$7:$S$506,$C$7:$C$506,C47,$B$7:$B$506,"&lt;"&amp;B47)+SUMIFS(S$7:S47,C$7:C47,C47,B$7:B47,B47))</f>
        <v/>
      </c>
      <c r="V47">
        <f>IF(S47=0,0,IFERROR(VLOOKUP(C47,'Parties'!$B$13:$Q$112,14,FALSE),0)+SUMIFS($T$7:$T$506,$C$7:$C$506,C47,$B$7:$B$506,"&lt;="&amp;'Outstanding'!$E$5))</f>
        <v/>
      </c>
      <c r="W47">
        <f>IF(OR('Outstanding'!$E$5="",S47=0,B47="",B47&gt;'Outstanding'!$E$5),0,MAX(0,MIN(S47,U47-V47)))</f>
        <v/>
      </c>
      <c r="X47">
        <f>IF(C47="",0,IFERROR(VLOOKUP(C47,'Parties'!$B$13:$Q$112,15,FALSE),0))</f>
        <v/>
      </c>
      <c r="Y47">
        <f>IF(C47="","",IFERROR(VLOOKUP(C47,'Parties'!$B$13:$Q$112,16,FALSE),0))</f>
        <v/>
      </c>
      <c r="Z47">
        <f>IF(OR(S47=0,B47="",Y47=""),"",IF(AND(F47&lt;&gt;"",D47="Purchase bill"),F47,B47)+Y47)</f>
        <v/>
      </c>
      <c r="AA47">
        <f>IF(OR(W47=0,Z47=""),0,MAX(0,'Outstanding'!$E$5-Z47))</f>
        <v/>
      </c>
      <c r="AB47">
        <f>IF(AND(X47=1,AA47&gt;0),W47*((1+3*N('Parties'!$E$10)/12)^(AA47*12/365)-1),0)</f>
        <v/>
      </c>
      <c r="AC47">
        <f>IF(W47=0,"",'Outstanding'!$E$5-B47)</f>
        <v/>
      </c>
      <c r="AD47">
        <f>IF(S47=0,0,IFERROR(VLOOKUP(C47,'Parties'!$B$13:$Q$112,14,FALSE),0)+SUMIFS($T$7:$T$506,$C$7:$C$506,C47,$B$7:$B$506,"&lt;="&amp;'Parties'!$E$8))</f>
        <v/>
      </c>
      <c r="AE47">
        <f>IF(OR('Parties'!$E$8="",S47=0,B47="",B47&gt;'Parties'!$E$8),0,MAX(0,MIN(S47,U47-AD47)))</f>
        <v/>
      </c>
      <c r="AF47">
        <f>IF(AND(P47="Creditor",X47=1,AE47&gt;0,Z47&lt;&gt;""),IF(Z47&lt;='Parties'!$E$8,AE47,0),0)</f>
        <v/>
      </c>
      <c r="AG47">
        <f>IF(OR(AE47=0,Z47=""),0,MAX(0,'Parties'!$E$8-Z47))</f>
        <v/>
      </c>
      <c r="AH47">
        <f>IF(AND(P47="Creditor",X47=1,AG47&gt;0),AE47*((1+3*N('Parties'!$E$10)/12)^(AG47*12/365)-1),0)</f>
        <v/>
      </c>
      <c r="AI47">
        <f>IF(AND(C47&lt;&gt;"",C47='Ledger Account'!$D$4,B47&lt;&gt;"",B47&gt;='Ledger Account'!$D$5,B47&lt;='Ledger Account'!$D$6),1,0)</f>
        <v/>
      </c>
      <c r="AJ47">
        <f>IF(AI47=1,SUM(AI$7:AI47),"")</f>
        <v/>
      </c>
      <c r="AK47">
        <f>IF(OR(N47="",N47="OK"),0,1)</f>
        <v/>
      </c>
    </row>
    <row r="48">
      <c r="B48" s="24" t="n"/>
      <c r="C48" s="14" t="n"/>
      <c r="D48" s="14" t="n"/>
      <c r="E48" s="20" t="n"/>
      <c r="F48" s="24" t="n"/>
      <c r="G48" s="14" t="n"/>
      <c r="H48" s="22" t="n"/>
      <c r="I48" s="25">
        <f>IF(Q48="D",N(H48),0)</f>
        <v/>
      </c>
      <c r="J48" s="25">
        <f>IF(Q48="C",N(H48),0)</f>
        <v/>
      </c>
      <c r="K48" s="26">
        <f>IF(Z48="","",Z48)</f>
        <v/>
      </c>
      <c r="L48" s="27">
        <f>W48</f>
        <v/>
      </c>
      <c r="M48" s="28">
        <f>AA48</f>
        <v/>
      </c>
      <c r="N48" s="23">
        <f>IF(AND(B48="",C48="",D48="",N(H48)=0),"",IF(B48="","Enter the date",IF(C48="","Pick the party",IF(P48="?","Add this party on the Parties sheet first",IF(D48="","Pick the entry type",IF(Q48="?","Pick the entry type from the list",IF(N(H48)=0,"Enter the amount",IF(AND(R48&lt;&gt;"Any",R48&lt;&gt;P48),"Sales, receipts and credit notes are for debtors; purchases, payments and debit notes for creditors",IF(AND(F48&lt;&gt;"",D48&lt;&gt;"Purchase bill"),"The received-on date is only for purchase bills",IF(AND(P48="Creditor",X48=1,AA48&gt;0),"Past due to a micro or small supplier: interest runs under MSMED s.16, and if unpaid at year end it is not deductible that year, s.37(2)(g)",IF(AND(P48="Debtor",X48=1,AA48&gt;0),"Past due to you: as a micro or small supplier you can claim interest under MSMED s.16","OK")))))))))))</f>
        <v/>
      </c>
      <c r="P48">
        <f>IF(C48="","",IFERROR(VLOOKUP(C48,'Parties'!$B$13:$Q$112,2,FALSE),"?"))</f>
        <v/>
      </c>
      <c r="Q48">
        <f>IF(D48="","",IFERROR(VLOOKUP(D48,Lists!$A$2:$D$9,3,FALSE),"?"))</f>
        <v/>
      </c>
      <c r="R48">
        <f>IF(D48="","",IFERROR(VLOOKUP(D48,Lists!$A$2:$D$9,4,FALSE),"?"))</f>
        <v/>
      </c>
      <c r="S48">
        <f>IF(P48="Debtor",I48,IF(P48="Creditor",J48,0))</f>
        <v/>
      </c>
      <c r="T48">
        <f>IF(P48="Debtor",J48,IF(P48="Creditor",I48,0))</f>
        <v/>
      </c>
      <c r="U48">
        <f>IF(OR(S48=0,B48=""),0,IFERROR(VLOOKUP(C48,'Parties'!$B$13:$Q$112,13,FALSE),0)+SUMIFS($S$7:$S$506,$C$7:$C$506,C48,$B$7:$B$506,"&lt;"&amp;B48)+SUMIFS(S$7:S48,C$7:C48,C48,B$7:B48,B48))</f>
        <v/>
      </c>
      <c r="V48">
        <f>IF(S48=0,0,IFERROR(VLOOKUP(C48,'Parties'!$B$13:$Q$112,14,FALSE),0)+SUMIFS($T$7:$T$506,$C$7:$C$506,C48,$B$7:$B$506,"&lt;="&amp;'Outstanding'!$E$5))</f>
        <v/>
      </c>
      <c r="W48">
        <f>IF(OR('Outstanding'!$E$5="",S48=0,B48="",B48&gt;'Outstanding'!$E$5),0,MAX(0,MIN(S48,U48-V48)))</f>
        <v/>
      </c>
      <c r="X48">
        <f>IF(C48="",0,IFERROR(VLOOKUP(C48,'Parties'!$B$13:$Q$112,15,FALSE),0))</f>
        <v/>
      </c>
      <c r="Y48">
        <f>IF(C48="","",IFERROR(VLOOKUP(C48,'Parties'!$B$13:$Q$112,16,FALSE),0))</f>
        <v/>
      </c>
      <c r="Z48">
        <f>IF(OR(S48=0,B48="",Y48=""),"",IF(AND(F48&lt;&gt;"",D48="Purchase bill"),F48,B48)+Y48)</f>
        <v/>
      </c>
      <c r="AA48">
        <f>IF(OR(W48=0,Z48=""),0,MAX(0,'Outstanding'!$E$5-Z48))</f>
        <v/>
      </c>
      <c r="AB48">
        <f>IF(AND(X48=1,AA48&gt;0),W48*((1+3*N('Parties'!$E$10)/12)^(AA48*12/365)-1),0)</f>
        <v/>
      </c>
      <c r="AC48">
        <f>IF(W48=0,"",'Outstanding'!$E$5-B48)</f>
        <v/>
      </c>
      <c r="AD48">
        <f>IF(S48=0,0,IFERROR(VLOOKUP(C48,'Parties'!$B$13:$Q$112,14,FALSE),0)+SUMIFS($T$7:$T$506,$C$7:$C$506,C48,$B$7:$B$506,"&lt;="&amp;'Parties'!$E$8))</f>
        <v/>
      </c>
      <c r="AE48">
        <f>IF(OR('Parties'!$E$8="",S48=0,B48="",B48&gt;'Parties'!$E$8),0,MAX(0,MIN(S48,U48-AD48)))</f>
        <v/>
      </c>
      <c r="AF48">
        <f>IF(AND(P48="Creditor",X48=1,AE48&gt;0,Z48&lt;&gt;""),IF(Z48&lt;='Parties'!$E$8,AE48,0),0)</f>
        <v/>
      </c>
      <c r="AG48">
        <f>IF(OR(AE48=0,Z48=""),0,MAX(0,'Parties'!$E$8-Z48))</f>
        <v/>
      </c>
      <c r="AH48">
        <f>IF(AND(P48="Creditor",X48=1,AG48&gt;0),AE48*((1+3*N('Parties'!$E$10)/12)^(AG48*12/365)-1),0)</f>
        <v/>
      </c>
      <c r="AI48">
        <f>IF(AND(C48&lt;&gt;"",C48='Ledger Account'!$D$4,B48&lt;&gt;"",B48&gt;='Ledger Account'!$D$5,B48&lt;='Ledger Account'!$D$6),1,0)</f>
        <v/>
      </c>
      <c r="AJ48">
        <f>IF(AI48=1,SUM(AI$7:AI48),"")</f>
        <v/>
      </c>
      <c r="AK48">
        <f>IF(OR(N48="",N48="OK"),0,1)</f>
        <v/>
      </c>
    </row>
    <row r="49">
      <c r="B49" s="24" t="n"/>
      <c r="C49" s="14" t="n"/>
      <c r="D49" s="14" t="n"/>
      <c r="E49" s="20" t="n"/>
      <c r="F49" s="24" t="n"/>
      <c r="G49" s="14" t="n"/>
      <c r="H49" s="22" t="n"/>
      <c r="I49" s="25">
        <f>IF(Q49="D",N(H49),0)</f>
        <v/>
      </c>
      <c r="J49" s="25">
        <f>IF(Q49="C",N(H49),0)</f>
        <v/>
      </c>
      <c r="K49" s="26">
        <f>IF(Z49="","",Z49)</f>
        <v/>
      </c>
      <c r="L49" s="27">
        <f>W49</f>
        <v/>
      </c>
      <c r="M49" s="28">
        <f>AA49</f>
        <v/>
      </c>
      <c r="N49" s="23">
        <f>IF(AND(B49="",C49="",D49="",N(H49)=0),"",IF(B49="","Enter the date",IF(C49="","Pick the party",IF(P49="?","Add this party on the Parties sheet first",IF(D49="","Pick the entry type",IF(Q49="?","Pick the entry type from the list",IF(N(H49)=0,"Enter the amount",IF(AND(R49&lt;&gt;"Any",R49&lt;&gt;P49),"Sales, receipts and credit notes are for debtors; purchases, payments and debit notes for creditors",IF(AND(F49&lt;&gt;"",D49&lt;&gt;"Purchase bill"),"The received-on date is only for purchase bills",IF(AND(P49="Creditor",X49=1,AA49&gt;0),"Past due to a micro or small supplier: interest runs under MSMED s.16, and if unpaid at year end it is not deductible that year, s.37(2)(g)",IF(AND(P49="Debtor",X49=1,AA49&gt;0),"Past due to you: as a micro or small supplier you can claim interest under MSMED s.16","OK")))))))))))</f>
        <v/>
      </c>
      <c r="P49">
        <f>IF(C49="","",IFERROR(VLOOKUP(C49,'Parties'!$B$13:$Q$112,2,FALSE),"?"))</f>
        <v/>
      </c>
      <c r="Q49">
        <f>IF(D49="","",IFERROR(VLOOKUP(D49,Lists!$A$2:$D$9,3,FALSE),"?"))</f>
        <v/>
      </c>
      <c r="R49">
        <f>IF(D49="","",IFERROR(VLOOKUP(D49,Lists!$A$2:$D$9,4,FALSE),"?"))</f>
        <v/>
      </c>
      <c r="S49">
        <f>IF(P49="Debtor",I49,IF(P49="Creditor",J49,0))</f>
        <v/>
      </c>
      <c r="T49">
        <f>IF(P49="Debtor",J49,IF(P49="Creditor",I49,0))</f>
        <v/>
      </c>
      <c r="U49">
        <f>IF(OR(S49=0,B49=""),0,IFERROR(VLOOKUP(C49,'Parties'!$B$13:$Q$112,13,FALSE),0)+SUMIFS($S$7:$S$506,$C$7:$C$506,C49,$B$7:$B$506,"&lt;"&amp;B49)+SUMIFS(S$7:S49,C$7:C49,C49,B$7:B49,B49))</f>
        <v/>
      </c>
      <c r="V49">
        <f>IF(S49=0,0,IFERROR(VLOOKUP(C49,'Parties'!$B$13:$Q$112,14,FALSE),0)+SUMIFS($T$7:$T$506,$C$7:$C$506,C49,$B$7:$B$506,"&lt;="&amp;'Outstanding'!$E$5))</f>
        <v/>
      </c>
      <c r="W49">
        <f>IF(OR('Outstanding'!$E$5="",S49=0,B49="",B49&gt;'Outstanding'!$E$5),0,MAX(0,MIN(S49,U49-V49)))</f>
        <v/>
      </c>
      <c r="X49">
        <f>IF(C49="",0,IFERROR(VLOOKUP(C49,'Parties'!$B$13:$Q$112,15,FALSE),0))</f>
        <v/>
      </c>
      <c r="Y49">
        <f>IF(C49="","",IFERROR(VLOOKUP(C49,'Parties'!$B$13:$Q$112,16,FALSE),0))</f>
        <v/>
      </c>
      <c r="Z49">
        <f>IF(OR(S49=0,B49="",Y49=""),"",IF(AND(F49&lt;&gt;"",D49="Purchase bill"),F49,B49)+Y49)</f>
        <v/>
      </c>
      <c r="AA49">
        <f>IF(OR(W49=0,Z49=""),0,MAX(0,'Outstanding'!$E$5-Z49))</f>
        <v/>
      </c>
      <c r="AB49">
        <f>IF(AND(X49=1,AA49&gt;0),W49*((1+3*N('Parties'!$E$10)/12)^(AA49*12/365)-1),0)</f>
        <v/>
      </c>
      <c r="AC49">
        <f>IF(W49=0,"",'Outstanding'!$E$5-B49)</f>
        <v/>
      </c>
      <c r="AD49">
        <f>IF(S49=0,0,IFERROR(VLOOKUP(C49,'Parties'!$B$13:$Q$112,14,FALSE),0)+SUMIFS($T$7:$T$506,$C$7:$C$506,C49,$B$7:$B$506,"&lt;="&amp;'Parties'!$E$8))</f>
        <v/>
      </c>
      <c r="AE49">
        <f>IF(OR('Parties'!$E$8="",S49=0,B49="",B49&gt;'Parties'!$E$8),0,MAX(0,MIN(S49,U49-AD49)))</f>
        <v/>
      </c>
      <c r="AF49">
        <f>IF(AND(P49="Creditor",X49=1,AE49&gt;0,Z49&lt;&gt;""),IF(Z49&lt;='Parties'!$E$8,AE49,0),0)</f>
        <v/>
      </c>
      <c r="AG49">
        <f>IF(OR(AE49=0,Z49=""),0,MAX(0,'Parties'!$E$8-Z49))</f>
        <v/>
      </c>
      <c r="AH49">
        <f>IF(AND(P49="Creditor",X49=1,AG49&gt;0),AE49*((1+3*N('Parties'!$E$10)/12)^(AG49*12/365)-1),0)</f>
        <v/>
      </c>
      <c r="AI49">
        <f>IF(AND(C49&lt;&gt;"",C49='Ledger Account'!$D$4,B49&lt;&gt;"",B49&gt;='Ledger Account'!$D$5,B49&lt;='Ledger Account'!$D$6),1,0)</f>
        <v/>
      </c>
      <c r="AJ49">
        <f>IF(AI49=1,SUM(AI$7:AI49),"")</f>
        <v/>
      </c>
      <c r="AK49">
        <f>IF(OR(N49="",N49="OK"),0,1)</f>
        <v/>
      </c>
    </row>
    <row r="50">
      <c r="B50" s="24" t="n"/>
      <c r="C50" s="14" t="n"/>
      <c r="D50" s="14" t="n"/>
      <c r="E50" s="20" t="n"/>
      <c r="F50" s="24" t="n"/>
      <c r="G50" s="14" t="n"/>
      <c r="H50" s="22" t="n"/>
      <c r="I50" s="25">
        <f>IF(Q50="D",N(H50),0)</f>
        <v/>
      </c>
      <c r="J50" s="25">
        <f>IF(Q50="C",N(H50),0)</f>
        <v/>
      </c>
      <c r="K50" s="26">
        <f>IF(Z50="","",Z50)</f>
        <v/>
      </c>
      <c r="L50" s="27">
        <f>W50</f>
        <v/>
      </c>
      <c r="M50" s="28">
        <f>AA50</f>
        <v/>
      </c>
      <c r="N50" s="23">
        <f>IF(AND(B50="",C50="",D50="",N(H50)=0),"",IF(B50="","Enter the date",IF(C50="","Pick the party",IF(P50="?","Add this party on the Parties sheet first",IF(D50="","Pick the entry type",IF(Q50="?","Pick the entry type from the list",IF(N(H50)=0,"Enter the amount",IF(AND(R50&lt;&gt;"Any",R50&lt;&gt;P50),"Sales, receipts and credit notes are for debtors; purchases, payments and debit notes for creditors",IF(AND(F50&lt;&gt;"",D50&lt;&gt;"Purchase bill"),"The received-on date is only for purchase bills",IF(AND(P50="Creditor",X50=1,AA50&gt;0),"Past due to a micro or small supplier: interest runs under MSMED s.16, and if unpaid at year end it is not deductible that year, s.37(2)(g)",IF(AND(P50="Debtor",X50=1,AA50&gt;0),"Past due to you: as a micro or small supplier you can claim interest under MSMED s.16","OK")))))))))))</f>
        <v/>
      </c>
      <c r="P50">
        <f>IF(C50="","",IFERROR(VLOOKUP(C50,'Parties'!$B$13:$Q$112,2,FALSE),"?"))</f>
        <v/>
      </c>
      <c r="Q50">
        <f>IF(D50="","",IFERROR(VLOOKUP(D50,Lists!$A$2:$D$9,3,FALSE),"?"))</f>
        <v/>
      </c>
      <c r="R50">
        <f>IF(D50="","",IFERROR(VLOOKUP(D50,Lists!$A$2:$D$9,4,FALSE),"?"))</f>
        <v/>
      </c>
      <c r="S50">
        <f>IF(P50="Debtor",I50,IF(P50="Creditor",J50,0))</f>
        <v/>
      </c>
      <c r="T50">
        <f>IF(P50="Debtor",J50,IF(P50="Creditor",I50,0))</f>
        <v/>
      </c>
      <c r="U50">
        <f>IF(OR(S50=0,B50=""),0,IFERROR(VLOOKUP(C50,'Parties'!$B$13:$Q$112,13,FALSE),0)+SUMIFS($S$7:$S$506,$C$7:$C$506,C50,$B$7:$B$506,"&lt;"&amp;B50)+SUMIFS(S$7:S50,C$7:C50,C50,B$7:B50,B50))</f>
        <v/>
      </c>
      <c r="V50">
        <f>IF(S50=0,0,IFERROR(VLOOKUP(C50,'Parties'!$B$13:$Q$112,14,FALSE),0)+SUMIFS($T$7:$T$506,$C$7:$C$506,C50,$B$7:$B$506,"&lt;="&amp;'Outstanding'!$E$5))</f>
        <v/>
      </c>
      <c r="W50">
        <f>IF(OR('Outstanding'!$E$5="",S50=0,B50="",B50&gt;'Outstanding'!$E$5),0,MAX(0,MIN(S50,U50-V50)))</f>
        <v/>
      </c>
      <c r="X50">
        <f>IF(C50="",0,IFERROR(VLOOKUP(C50,'Parties'!$B$13:$Q$112,15,FALSE),0))</f>
        <v/>
      </c>
      <c r="Y50">
        <f>IF(C50="","",IFERROR(VLOOKUP(C50,'Parties'!$B$13:$Q$112,16,FALSE),0))</f>
        <v/>
      </c>
      <c r="Z50">
        <f>IF(OR(S50=0,B50="",Y50=""),"",IF(AND(F50&lt;&gt;"",D50="Purchase bill"),F50,B50)+Y50)</f>
        <v/>
      </c>
      <c r="AA50">
        <f>IF(OR(W50=0,Z50=""),0,MAX(0,'Outstanding'!$E$5-Z50))</f>
        <v/>
      </c>
      <c r="AB50">
        <f>IF(AND(X50=1,AA50&gt;0),W50*((1+3*N('Parties'!$E$10)/12)^(AA50*12/365)-1),0)</f>
        <v/>
      </c>
      <c r="AC50">
        <f>IF(W50=0,"",'Outstanding'!$E$5-B50)</f>
        <v/>
      </c>
      <c r="AD50">
        <f>IF(S50=0,0,IFERROR(VLOOKUP(C50,'Parties'!$B$13:$Q$112,14,FALSE),0)+SUMIFS($T$7:$T$506,$C$7:$C$506,C50,$B$7:$B$506,"&lt;="&amp;'Parties'!$E$8))</f>
        <v/>
      </c>
      <c r="AE50">
        <f>IF(OR('Parties'!$E$8="",S50=0,B50="",B50&gt;'Parties'!$E$8),0,MAX(0,MIN(S50,U50-AD50)))</f>
        <v/>
      </c>
      <c r="AF50">
        <f>IF(AND(P50="Creditor",X50=1,AE50&gt;0,Z50&lt;&gt;""),IF(Z50&lt;='Parties'!$E$8,AE50,0),0)</f>
        <v/>
      </c>
      <c r="AG50">
        <f>IF(OR(AE50=0,Z50=""),0,MAX(0,'Parties'!$E$8-Z50))</f>
        <v/>
      </c>
      <c r="AH50">
        <f>IF(AND(P50="Creditor",X50=1,AG50&gt;0),AE50*((1+3*N('Parties'!$E$10)/12)^(AG50*12/365)-1),0)</f>
        <v/>
      </c>
      <c r="AI50">
        <f>IF(AND(C50&lt;&gt;"",C50='Ledger Account'!$D$4,B50&lt;&gt;"",B50&gt;='Ledger Account'!$D$5,B50&lt;='Ledger Account'!$D$6),1,0)</f>
        <v/>
      </c>
      <c r="AJ50">
        <f>IF(AI50=1,SUM(AI$7:AI50),"")</f>
        <v/>
      </c>
      <c r="AK50">
        <f>IF(OR(N50="",N50="OK"),0,1)</f>
        <v/>
      </c>
    </row>
    <row r="51">
      <c r="B51" s="24" t="n"/>
      <c r="C51" s="14" t="n"/>
      <c r="D51" s="14" t="n"/>
      <c r="E51" s="20" t="n"/>
      <c r="F51" s="24" t="n"/>
      <c r="G51" s="14" t="n"/>
      <c r="H51" s="22" t="n"/>
      <c r="I51" s="25">
        <f>IF(Q51="D",N(H51),0)</f>
        <v/>
      </c>
      <c r="J51" s="25">
        <f>IF(Q51="C",N(H51),0)</f>
        <v/>
      </c>
      <c r="K51" s="26">
        <f>IF(Z51="","",Z51)</f>
        <v/>
      </c>
      <c r="L51" s="27">
        <f>W51</f>
        <v/>
      </c>
      <c r="M51" s="28">
        <f>AA51</f>
        <v/>
      </c>
      <c r="N51" s="23">
        <f>IF(AND(B51="",C51="",D51="",N(H51)=0),"",IF(B51="","Enter the date",IF(C51="","Pick the party",IF(P51="?","Add this party on the Parties sheet first",IF(D51="","Pick the entry type",IF(Q51="?","Pick the entry type from the list",IF(N(H51)=0,"Enter the amount",IF(AND(R51&lt;&gt;"Any",R51&lt;&gt;P51),"Sales, receipts and credit notes are for debtors; purchases, payments and debit notes for creditors",IF(AND(F51&lt;&gt;"",D51&lt;&gt;"Purchase bill"),"The received-on date is only for purchase bills",IF(AND(P51="Creditor",X51=1,AA51&gt;0),"Past due to a micro or small supplier: interest runs under MSMED s.16, and if unpaid at year end it is not deductible that year, s.37(2)(g)",IF(AND(P51="Debtor",X51=1,AA51&gt;0),"Past due to you: as a micro or small supplier you can claim interest under MSMED s.16","OK")))))))))))</f>
        <v/>
      </c>
      <c r="P51">
        <f>IF(C51="","",IFERROR(VLOOKUP(C51,'Parties'!$B$13:$Q$112,2,FALSE),"?"))</f>
        <v/>
      </c>
      <c r="Q51">
        <f>IF(D51="","",IFERROR(VLOOKUP(D51,Lists!$A$2:$D$9,3,FALSE),"?"))</f>
        <v/>
      </c>
      <c r="R51">
        <f>IF(D51="","",IFERROR(VLOOKUP(D51,Lists!$A$2:$D$9,4,FALSE),"?"))</f>
        <v/>
      </c>
      <c r="S51">
        <f>IF(P51="Debtor",I51,IF(P51="Creditor",J51,0))</f>
        <v/>
      </c>
      <c r="T51">
        <f>IF(P51="Debtor",J51,IF(P51="Creditor",I51,0))</f>
        <v/>
      </c>
      <c r="U51">
        <f>IF(OR(S51=0,B51=""),0,IFERROR(VLOOKUP(C51,'Parties'!$B$13:$Q$112,13,FALSE),0)+SUMIFS($S$7:$S$506,$C$7:$C$506,C51,$B$7:$B$506,"&lt;"&amp;B51)+SUMIFS(S$7:S51,C$7:C51,C51,B$7:B51,B51))</f>
        <v/>
      </c>
      <c r="V51">
        <f>IF(S51=0,0,IFERROR(VLOOKUP(C51,'Parties'!$B$13:$Q$112,14,FALSE),0)+SUMIFS($T$7:$T$506,$C$7:$C$506,C51,$B$7:$B$506,"&lt;="&amp;'Outstanding'!$E$5))</f>
        <v/>
      </c>
      <c r="W51">
        <f>IF(OR('Outstanding'!$E$5="",S51=0,B51="",B51&gt;'Outstanding'!$E$5),0,MAX(0,MIN(S51,U51-V51)))</f>
        <v/>
      </c>
      <c r="X51">
        <f>IF(C51="",0,IFERROR(VLOOKUP(C51,'Parties'!$B$13:$Q$112,15,FALSE),0))</f>
        <v/>
      </c>
      <c r="Y51">
        <f>IF(C51="","",IFERROR(VLOOKUP(C51,'Parties'!$B$13:$Q$112,16,FALSE),0))</f>
        <v/>
      </c>
      <c r="Z51">
        <f>IF(OR(S51=0,B51="",Y51=""),"",IF(AND(F51&lt;&gt;"",D51="Purchase bill"),F51,B51)+Y51)</f>
        <v/>
      </c>
      <c r="AA51">
        <f>IF(OR(W51=0,Z51=""),0,MAX(0,'Outstanding'!$E$5-Z51))</f>
        <v/>
      </c>
      <c r="AB51">
        <f>IF(AND(X51=1,AA51&gt;0),W51*((1+3*N('Parties'!$E$10)/12)^(AA51*12/365)-1),0)</f>
        <v/>
      </c>
      <c r="AC51">
        <f>IF(W51=0,"",'Outstanding'!$E$5-B51)</f>
        <v/>
      </c>
      <c r="AD51">
        <f>IF(S51=0,0,IFERROR(VLOOKUP(C51,'Parties'!$B$13:$Q$112,14,FALSE),0)+SUMIFS($T$7:$T$506,$C$7:$C$506,C51,$B$7:$B$506,"&lt;="&amp;'Parties'!$E$8))</f>
        <v/>
      </c>
      <c r="AE51">
        <f>IF(OR('Parties'!$E$8="",S51=0,B51="",B51&gt;'Parties'!$E$8),0,MAX(0,MIN(S51,U51-AD51)))</f>
        <v/>
      </c>
      <c r="AF51">
        <f>IF(AND(P51="Creditor",X51=1,AE51&gt;0,Z51&lt;&gt;""),IF(Z51&lt;='Parties'!$E$8,AE51,0),0)</f>
        <v/>
      </c>
      <c r="AG51">
        <f>IF(OR(AE51=0,Z51=""),0,MAX(0,'Parties'!$E$8-Z51))</f>
        <v/>
      </c>
      <c r="AH51">
        <f>IF(AND(P51="Creditor",X51=1,AG51&gt;0),AE51*((1+3*N('Parties'!$E$10)/12)^(AG51*12/365)-1),0)</f>
        <v/>
      </c>
      <c r="AI51">
        <f>IF(AND(C51&lt;&gt;"",C51='Ledger Account'!$D$4,B51&lt;&gt;"",B51&gt;='Ledger Account'!$D$5,B51&lt;='Ledger Account'!$D$6),1,0)</f>
        <v/>
      </c>
      <c r="AJ51">
        <f>IF(AI51=1,SUM(AI$7:AI51),"")</f>
        <v/>
      </c>
      <c r="AK51">
        <f>IF(OR(N51="",N51="OK"),0,1)</f>
        <v/>
      </c>
    </row>
    <row r="52">
      <c r="B52" s="24" t="n"/>
      <c r="C52" s="14" t="n"/>
      <c r="D52" s="14" t="n"/>
      <c r="E52" s="20" t="n"/>
      <c r="F52" s="24" t="n"/>
      <c r="G52" s="14" t="n"/>
      <c r="H52" s="22" t="n"/>
      <c r="I52" s="25">
        <f>IF(Q52="D",N(H52),0)</f>
        <v/>
      </c>
      <c r="J52" s="25">
        <f>IF(Q52="C",N(H52),0)</f>
        <v/>
      </c>
      <c r="K52" s="26">
        <f>IF(Z52="","",Z52)</f>
        <v/>
      </c>
      <c r="L52" s="27">
        <f>W52</f>
        <v/>
      </c>
      <c r="M52" s="28">
        <f>AA52</f>
        <v/>
      </c>
      <c r="N52" s="23">
        <f>IF(AND(B52="",C52="",D52="",N(H52)=0),"",IF(B52="","Enter the date",IF(C52="","Pick the party",IF(P52="?","Add this party on the Parties sheet first",IF(D52="","Pick the entry type",IF(Q52="?","Pick the entry type from the list",IF(N(H52)=0,"Enter the amount",IF(AND(R52&lt;&gt;"Any",R52&lt;&gt;P52),"Sales, receipts and credit notes are for debtors; purchases, payments and debit notes for creditors",IF(AND(F52&lt;&gt;"",D52&lt;&gt;"Purchase bill"),"The received-on date is only for purchase bills",IF(AND(P52="Creditor",X52=1,AA52&gt;0),"Past due to a micro or small supplier: interest runs under MSMED s.16, and if unpaid at year end it is not deductible that year, s.37(2)(g)",IF(AND(P52="Debtor",X52=1,AA52&gt;0),"Past due to you: as a micro or small supplier you can claim interest under MSMED s.16","OK")))))))))))</f>
        <v/>
      </c>
      <c r="P52">
        <f>IF(C52="","",IFERROR(VLOOKUP(C52,'Parties'!$B$13:$Q$112,2,FALSE),"?"))</f>
        <v/>
      </c>
      <c r="Q52">
        <f>IF(D52="","",IFERROR(VLOOKUP(D52,Lists!$A$2:$D$9,3,FALSE),"?"))</f>
        <v/>
      </c>
      <c r="R52">
        <f>IF(D52="","",IFERROR(VLOOKUP(D52,Lists!$A$2:$D$9,4,FALSE),"?"))</f>
        <v/>
      </c>
      <c r="S52">
        <f>IF(P52="Debtor",I52,IF(P52="Creditor",J52,0))</f>
        <v/>
      </c>
      <c r="T52">
        <f>IF(P52="Debtor",J52,IF(P52="Creditor",I52,0))</f>
        <v/>
      </c>
      <c r="U52">
        <f>IF(OR(S52=0,B52=""),0,IFERROR(VLOOKUP(C52,'Parties'!$B$13:$Q$112,13,FALSE),0)+SUMIFS($S$7:$S$506,$C$7:$C$506,C52,$B$7:$B$506,"&lt;"&amp;B52)+SUMIFS(S$7:S52,C$7:C52,C52,B$7:B52,B52))</f>
        <v/>
      </c>
      <c r="V52">
        <f>IF(S52=0,0,IFERROR(VLOOKUP(C52,'Parties'!$B$13:$Q$112,14,FALSE),0)+SUMIFS($T$7:$T$506,$C$7:$C$506,C52,$B$7:$B$506,"&lt;="&amp;'Outstanding'!$E$5))</f>
        <v/>
      </c>
      <c r="W52">
        <f>IF(OR('Outstanding'!$E$5="",S52=0,B52="",B52&gt;'Outstanding'!$E$5),0,MAX(0,MIN(S52,U52-V52)))</f>
        <v/>
      </c>
      <c r="X52">
        <f>IF(C52="",0,IFERROR(VLOOKUP(C52,'Parties'!$B$13:$Q$112,15,FALSE),0))</f>
        <v/>
      </c>
      <c r="Y52">
        <f>IF(C52="","",IFERROR(VLOOKUP(C52,'Parties'!$B$13:$Q$112,16,FALSE),0))</f>
        <v/>
      </c>
      <c r="Z52">
        <f>IF(OR(S52=0,B52="",Y52=""),"",IF(AND(F52&lt;&gt;"",D52="Purchase bill"),F52,B52)+Y52)</f>
        <v/>
      </c>
      <c r="AA52">
        <f>IF(OR(W52=0,Z52=""),0,MAX(0,'Outstanding'!$E$5-Z52))</f>
        <v/>
      </c>
      <c r="AB52">
        <f>IF(AND(X52=1,AA52&gt;0),W52*((1+3*N('Parties'!$E$10)/12)^(AA52*12/365)-1),0)</f>
        <v/>
      </c>
      <c r="AC52">
        <f>IF(W52=0,"",'Outstanding'!$E$5-B52)</f>
        <v/>
      </c>
      <c r="AD52">
        <f>IF(S52=0,0,IFERROR(VLOOKUP(C52,'Parties'!$B$13:$Q$112,14,FALSE),0)+SUMIFS($T$7:$T$506,$C$7:$C$506,C52,$B$7:$B$506,"&lt;="&amp;'Parties'!$E$8))</f>
        <v/>
      </c>
      <c r="AE52">
        <f>IF(OR('Parties'!$E$8="",S52=0,B52="",B52&gt;'Parties'!$E$8),0,MAX(0,MIN(S52,U52-AD52)))</f>
        <v/>
      </c>
      <c r="AF52">
        <f>IF(AND(P52="Creditor",X52=1,AE52&gt;0,Z52&lt;&gt;""),IF(Z52&lt;='Parties'!$E$8,AE52,0),0)</f>
        <v/>
      </c>
      <c r="AG52">
        <f>IF(OR(AE52=0,Z52=""),0,MAX(0,'Parties'!$E$8-Z52))</f>
        <v/>
      </c>
      <c r="AH52">
        <f>IF(AND(P52="Creditor",X52=1,AG52&gt;0),AE52*((1+3*N('Parties'!$E$10)/12)^(AG52*12/365)-1),0)</f>
        <v/>
      </c>
      <c r="AI52">
        <f>IF(AND(C52&lt;&gt;"",C52='Ledger Account'!$D$4,B52&lt;&gt;"",B52&gt;='Ledger Account'!$D$5,B52&lt;='Ledger Account'!$D$6),1,0)</f>
        <v/>
      </c>
      <c r="AJ52">
        <f>IF(AI52=1,SUM(AI$7:AI52),"")</f>
        <v/>
      </c>
      <c r="AK52">
        <f>IF(OR(N52="",N52="OK"),0,1)</f>
        <v/>
      </c>
    </row>
    <row r="53">
      <c r="B53" s="24" t="n"/>
      <c r="C53" s="14" t="n"/>
      <c r="D53" s="14" t="n"/>
      <c r="E53" s="20" t="n"/>
      <c r="F53" s="24" t="n"/>
      <c r="G53" s="14" t="n"/>
      <c r="H53" s="22" t="n"/>
      <c r="I53" s="25">
        <f>IF(Q53="D",N(H53),0)</f>
        <v/>
      </c>
      <c r="J53" s="25">
        <f>IF(Q53="C",N(H53),0)</f>
        <v/>
      </c>
      <c r="K53" s="26">
        <f>IF(Z53="","",Z53)</f>
        <v/>
      </c>
      <c r="L53" s="27">
        <f>W53</f>
        <v/>
      </c>
      <c r="M53" s="28">
        <f>AA53</f>
        <v/>
      </c>
      <c r="N53" s="23">
        <f>IF(AND(B53="",C53="",D53="",N(H53)=0),"",IF(B53="","Enter the date",IF(C53="","Pick the party",IF(P53="?","Add this party on the Parties sheet first",IF(D53="","Pick the entry type",IF(Q53="?","Pick the entry type from the list",IF(N(H53)=0,"Enter the amount",IF(AND(R53&lt;&gt;"Any",R53&lt;&gt;P53),"Sales, receipts and credit notes are for debtors; purchases, payments and debit notes for creditors",IF(AND(F53&lt;&gt;"",D53&lt;&gt;"Purchase bill"),"The received-on date is only for purchase bills",IF(AND(P53="Creditor",X53=1,AA53&gt;0),"Past due to a micro or small supplier: interest runs under MSMED s.16, and if unpaid at year end it is not deductible that year, s.37(2)(g)",IF(AND(P53="Debtor",X53=1,AA53&gt;0),"Past due to you: as a micro or small supplier you can claim interest under MSMED s.16","OK")))))))))))</f>
        <v/>
      </c>
      <c r="P53">
        <f>IF(C53="","",IFERROR(VLOOKUP(C53,'Parties'!$B$13:$Q$112,2,FALSE),"?"))</f>
        <v/>
      </c>
      <c r="Q53">
        <f>IF(D53="","",IFERROR(VLOOKUP(D53,Lists!$A$2:$D$9,3,FALSE),"?"))</f>
        <v/>
      </c>
      <c r="R53">
        <f>IF(D53="","",IFERROR(VLOOKUP(D53,Lists!$A$2:$D$9,4,FALSE),"?"))</f>
        <v/>
      </c>
      <c r="S53">
        <f>IF(P53="Debtor",I53,IF(P53="Creditor",J53,0))</f>
        <v/>
      </c>
      <c r="T53">
        <f>IF(P53="Debtor",J53,IF(P53="Creditor",I53,0))</f>
        <v/>
      </c>
      <c r="U53">
        <f>IF(OR(S53=0,B53=""),0,IFERROR(VLOOKUP(C53,'Parties'!$B$13:$Q$112,13,FALSE),0)+SUMIFS($S$7:$S$506,$C$7:$C$506,C53,$B$7:$B$506,"&lt;"&amp;B53)+SUMIFS(S$7:S53,C$7:C53,C53,B$7:B53,B53))</f>
        <v/>
      </c>
      <c r="V53">
        <f>IF(S53=0,0,IFERROR(VLOOKUP(C53,'Parties'!$B$13:$Q$112,14,FALSE),0)+SUMIFS($T$7:$T$506,$C$7:$C$506,C53,$B$7:$B$506,"&lt;="&amp;'Outstanding'!$E$5))</f>
        <v/>
      </c>
      <c r="W53">
        <f>IF(OR('Outstanding'!$E$5="",S53=0,B53="",B53&gt;'Outstanding'!$E$5),0,MAX(0,MIN(S53,U53-V53)))</f>
        <v/>
      </c>
      <c r="X53">
        <f>IF(C53="",0,IFERROR(VLOOKUP(C53,'Parties'!$B$13:$Q$112,15,FALSE),0))</f>
        <v/>
      </c>
      <c r="Y53">
        <f>IF(C53="","",IFERROR(VLOOKUP(C53,'Parties'!$B$13:$Q$112,16,FALSE),0))</f>
        <v/>
      </c>
      <c r="Z53">
        <f>IF(OR(S53=0,B53="",Y53=""),"",IF(AND(F53&lt;&gt;"",D53="Purchase bill"),F53,B53)+Y53)</f>
        <v/>
      </c>
      <c r="AA53">
        <f>IF(OR(W53=0,Z53=""),0,MAX(0,'Outstanding'!$E$5-Z53))</f>
        <v/>
      </c>
      <c r="AB53">
        <f>IF(AND(X53=1,AA53&gt;0),W53*((1+3*N('Parties'!$E$10)/12)^(AA53*12/365)-1),0)</f>
        <v/>
      </c>
      <c r="AC53">
        <f>IF(W53=0,"",'Outstanding'!$E$5-B53)</f>
        <v/>
      </c>
      <c r="AD53">
        <f>IF(S53=0,0,IFERROR(VLOOKUP(C53,'Parties'!$B$13:$Q$112,14,FALSE),0)+SUMIFS($T$7:$T$506,$C$7:$C$506,C53,$B$7:$B$506,"&lt;="&amp;'Parties'!$E$8))</f>
        <v/>
      </c>
      <c r="AE53">
        <f>IF(OR('Parties'!$E$8="",S53=0,B53="",B53&gt;'Parties'!$E$8),0,MAX(0,MIN(S53,U53-AD53)))</f>
        <v/>
      </c>
      <c r="AF53">
        <f>IF(AND(P53="Creditor",X53=1,AE53&gt;0,Z53&lt;&gt;""),IF(Z53&lt;='Parties'!$E$8,AE53,0),0)</f>
        <v/>
      </c>
      <c r="AG53">
        <f>IF(OR(AE53=0,Z53=""),0,MAX(0,'Parties'!$E$8-Z53))</f>
        <v/>
      </c>
      <c r="AH53">
        <f>IF(AND(P53="Creditor",X53=1,AG53&gt;0),AE53*((1+3*N('Parties'!$E$10)/12)^(AG53*12/365)-1),0)</f>
        <v/>
      </c>
      <c r="AI53">
        <f>IF(AND(C53&lt;&gt;"",C53='Ledger Account'!$D$4,B53&lt;&gt;"",B53&gt;='Ledger Account'!$D$5,B53&lt;='Ledger Account'!$D$6),1,0)</f>
        <v/>
      </c>
      <c r="AJ53">
        <f>IF(AI53=1,SUM(AI$7:AI53),"")</f>
        <v/>
      </c>
      <c r="AK53">
        <f>IF(OR(N53="",N53="OK"),0,1)</f>
        <v/>
      </c>
    </row>
    <row r="54">
      <c r="B54" s="24" t="n"/>
      <c r="C54" s="14" t="n"/>
      <c r="D54" s="14" t="n"/>
      <c r="E54" s="20" t="n"/>
      <c r="F54" s="24" t="n"/>
      <c r="G54" s="14" t="n"/>
      <c r="H54" s="22" t="n"/>
      <c r="I54" s="25">
        <f>IF(Q54="D",N(H54),0)</f>
        <v/>
      </c>
      <c r="J54" s="25">
        <f>IF(Q54="C",N(H54),0)</f>
        <v/>
      </c>
      <c r="K54" s="26">
        <f>IF(Z54="","",Z54)</f>
        <v/>
      </c>
      <c r="L54" s="27">
        <f>W54</f>
        <v/>
      </c>
      <c r="M54" s="28">
        <f>AA54</f>
        <v/>
      </c>
      <c r="N54" s="23">
        <f>IF(AND(B54="",C54="",D54="",N(H54)=0),"",IF(B54="","Enter the date",IF(C54="","Pick the party",IF(P54="?","Add this party on the Parties sheet first",IF(D54="","Pick the entry type",IF(Q54="?","Pick the entry type from the list",IF(N(H54)=0,"Enter the amount",IF(AND(R54&lt;&gt;"Any",R54&lt;&gt;P54),"Sales, receipts and credit notes are for debtors; purchases, payments and debit notes for creditors",IF(AND(F54&lt;&gt;"",D54&lt;&gt;"Purchase bill"),"The received-on date is only for purchase bills",IF(AND(P54="Creditor",X54=1,AA54&gt;0),"Past due to a micro or small supplier: interest runs under MSMED s.16, and if unpaid at year end it is not deductible that year, s.37(2)(g)",IF(AND(P54="Debtor",X54=1,AA54&gt;0),"Past due to you: as a micro or small supplier you can claim interest under MSMED s.16","OK")))))))))))</f>
        <v/>
      </c>
      <c r="P54">
        <f>IF(C54="","",IFERROR(VLOOKUP(C54,'Parties'!$B$13:$Q$112,2,FALSE),"?"))</f>
        <v/>
      </c>
      <c r="Q54">
        <f>IF(D54="","",IFERROR(VLOOKUP(D54,Lists!$A$2:$D$9,3,FALSE),"?"))</f>
        <v/>
      </c>
      <c r="R54">
        <f>IF(D54="","",IFERROR(VLOOKUP(D54,Lists!$A$2:$D$9,4,FALSE),"?"))</f>
        <v/>
      </c>
      <c r="S54">
        <f>IF(P54="Debtor",I54,IF(P54="Creditor",J54,0))</f>
        <v/>
      </c>
      <c r="T54">
        <f>IF(P54="Debtor",J54,IF(P54="Creditor",I54,0))</f>
        <v/>
      </c>
      <c r="U54">
        <f>IF(OR(S54=0,B54=""),0,IFERROR(VLOOKUP(C54,'Parties'!$B$13:$Q$112,13,FALSE),0)+SUMIFS($S$7:$S$506,$C$7:$C$506,C54,$B$7:$B$506,"&lt;"&amp;B54)+SUMIFS(S$7:S54,C$7:C54,C54,B$7:B54,B54))</f>
        <v/>
      </c>
      <c r="V54">
        <f>IF(S54=0,0,IFERROR(VLOOKUP(C54,'Parties'!$B$13:$Q$112,14,FALSE),0)+SUMIFS($T$7:$T$506,$C$7:$C$506,C54,$B$7:$B$506,"&lt;="&amp;'Outstanding'!$E$5))</f>
        <v/>
      </c>
      <c r="W54">
        <f>IF(OR('Outstanding'!$E$5="",S54=0,B54="",B54&gt;'Outstanding'!$E$5),0,MAX(0,MIN(S54,U54-V54)))</f>
        <v/>
      </c>
      <c r="X54">
        <f>IF(C54="",0,IFERROR(VLOOKUP(C54,'Parties'!$B$13:$Q$112,15,FALSE),0))</f>
        <v/>
      </c>
      <c r="Y54">
        <f>IF(C54="","",IFERROR(VLOOKUP(C54,'Parties'!$B$13:$Q$112,16,FALSE),0))</f>
        <v/>
      </c>
      <c r="Z54">
        <f>IF(OR(S54=0,B54="",Y54=""),"",IF(AND(F54&lt;&gt;"",D54="Purchase bill"),F54,B54)+Y54)</f>
        <v/>
      </c>
      <c r="AA54">
        <f>IF(OR(W54=0,Z54=""),0,MAX(0,'Outstanding'!$E$5-Z54))</f>
        <v/>
      </c>
      <c r="AB54">
        <f>IF(AND(X54=1,AA54&gt;0),W54*((1+3*N('Parties'!$E$10)/12)^(AA54*12/365)-1),0)</f>
        <v/>
      </c>
      <c r="AC54">
        <f>IF(W54=0,"",'Outstanding'!$E$5-B54)</f>
        <v/>
      </c>
      <c r="AD54">
        <f>IF(S54=0,0,IFERROR(VLOOKUP(C54,'Parties'!$B$13:$Q$112,14,FALSE),0)+SUMIFS($T$7:$T$506,$C$7:$C$506,C54,$B$7:$B$506,"&lt;="&amp;'Parties'!$E$8))</f>
        <v/>
      </c>
      <c r="AE54">
        <f>IF(OR('Parties'!$E$8="",S54=0,B54="",B54&gt;'Parties'!$E$8),0,MAX(0,MIN(S54,U54-AD54)))</f>
        <v/>
      </c>
      <c r="AF54">
        <f>IF(AND(P54="Creditor",X54=1,AE54&gt;0,Z54&lt;&gt;""),IF(Z54&lt;='Parties'!$E$8,AE54,0),0)</f>
        <v/>
      </c>
      <c r="AG54">
        <f>IF(OR(AE54=0,Z54=""),0,MAX(0,'Parties'!$E$8-Z54))</f>
        <v/>
      </c>
      <c r="AH54">
        <f>IF(AND(P54="Creditor",X54=1,AG54&gt;0),AE54*((1+3*N('Parties'!$E$10)/12)^(AG54*12/365)-1),0)</f>
        <v/>
      </c>
      <c r="AI54">
        <f>IF(AND(C54&lt;&gt;"",C54='Ledger Account'!$D$4,B54&lt;&gt;"",B54&gt;='Ledger Account'!$D$5,B54&lt;='Ledger Account'!$D$6),1,0)</f>
        <v/>
      </c>
      <c r="AJ54">
        <f>IF(AI54=1,SUM(AI$7:AI54),"")</f>
        <v/>
      </c>
      <c r="AK54">
        <f>IF(OR(N54="",N54="OK"),0,1)</f>
        <v/>
      </c>
    </row>
    <row r="55">
      <c r="B55" s="24" t="n"/>
      <c r="C55" s="14" t="n"/>
      <c r="D55" s="14" t="n"/>
      <c r="E55" s="20" t="n"/>
      <c r="F55" s="24" t="n"/>
      <c r="G55" s="14" t="n"/>
      <c r="H55" s="22" t="n"/>
      <c r="I55" s="25">
        <f>IF(Q55="D",N(H55),0)</f>
        <v/>
      </c>
      <c r="J55" s="25">
        <f>IF(Q55="C",N(H55),0)</f>
        <v/>
      </c>
      <c r="K55" s="26">
        <f>IF(Z55="","",Z55)</f>
        <v/>
      </c>
      <c r="L55" s="27">
        <f>W55</f>
        <v/>
      </c>
      <c r="M55" s="28">
        <f>AA55</f>
        <v/>
      </c>
      <c r="N55" s="23">
        <f>IF(AND(B55="",C55="",D55="",N(H55)=0),"",IF(B55="","Enter the date",IF(C55="","Pick the party",IF(P55="?","Add this party on the Parties sheet first",IF(D55="","Pick the entry type",IF(Q55="?","Pick the entry type from the list",IF(N(H55)=0,"Enter the amount",IF(AND(R55&lt;&gt;"Any",R55&lt;&gt;P55),"Sales, receipts and credit notes are for debtors; purchases, payments and debit notes for creditors",IF(AND(F55&lt;&gt;"",D55&lt;&gt;"Purchase bill"),"The received-on date is only for purchase bills",IF(AND(P55="Creditor",X55=1,AA55&gt;0),"Past due to a micro or small supplier: interest runs under MSMED s.16, and if unpaid at year end it is not deductible that year, s.37(2)(g)",IF(AND(P55="Debtor",X55=1,AA55&gt;0),"Past due to you: as a micro or small supplier you can claim interest under MSMED s.16","OK")))))))))))</f>
        <v/>
      </c>
      <c r="P55">
        <f>IF(C55="","",IFERROR(VLOOKUP(C55,'Parties'!$B$13:$Q$112,2,FALSE),"?"))</f>
        <v/>
      </c>
      <c r="Q55">
        <f>IF(D55="","",IFERROR(VLOOKUP(D55,Lists!$A$2:$D$9,3,FALSE),"?"))</f>
        <v/>
      </c>
      <c r="R55">
        <f>IF(D55="","",IFERROR(VLOOKUP(D55,Lists!$A$2:$D$9,4,FALSE),"?"))</f>
        <v/>
      </c>
      <c r="S55">
        <f>IF(P55="Debtor",I55,IF(P55="Creditor",J55,0))</f>
        <v/>
      </c>
      <c r="T55">
        <f>IF(P55="Debtor",J55,IF(P55="Creditor",I55,0))</f>
        <v/>
      </c>
      <c r="U55">
        <f>IF(OR(S55=0,B55=""),0,IFERROR(VLOOKUP(C55,'Parties'!$B$13:$Q$112,13,FALSE),0)+SUMIFS($S$7:$S$506,$C$7:$C$506,C55,$B$7:$B$506,"&lt;"&amp;B55)+SUMIFS(S$7:S55,C$7:C55,C55,B$7:B55,B55))</f>
        <v/>
      </c>
      <c r="V55">
        <f>IF(S55=0,0,IFERROR(VLOOKUP(C55,'Parties'!$B$13:$Q$112,14,FALSE),0)+SUMIFS($T$7:$T$506,$C$7:$C$506,C55,$B$7:$B$506,"&lt;="&amp;'Outstanding'!$E$5))</f>
        <v/>
      </c>
      <c r="W55">
        <f>IF(OR('Outstanding'!$E$5="",S55=0,B55="",B55&gt;'Outstanding'!$E$5),0,MAX(0,MIN(S55,U55-V55)))</f>
        <v/>
      </c>
      <c r="X55">
        <f>IF(C55="",0,IFERROR(VLOOKUP(C55,'Parties'!$B$13:$Q$112,15,FALSE),0))</f>
        <v/>
      </c>
      <c r="Y55">
        <f>IF(C55="","",IFERROR(VLOOKUP(C55,'Parties'!$B$13:$Q$112,16,FALSE),0))</f>
        <v/>
      </c>
      <c r="Z55">
        <f>IF(OR(S55=0,B55="",Y55=""),"",IF(AND(F55&lt;&gt;"",D55="Purchase bill"),F55,B55)+Y55)</f>
        <v/>
      </c>
      <c r="AA55">
        <f>IF(OR(W55=0,Z55=""),0,MAX(0,'Outstanding'!$E$5-Z55))</f>
        <v/>
      </c>
      <c r="AB55">
        <f>IF(AND(X55=1,AA55&gt;0),W55*((1+3*N('Parties'!$E$10)/12)^(AA55*12/365)-1),0)</f>
        <v/>
      </c>
      <c r="AC55">
        <f>IF(W55=0,"",'Outstanding'!$E$5-B55)</f>
        <v/>
      </c>
      <c r="AD55">
        <f>IF(S55=0,0,IFERROR(VLOOKUP(C55,'Parties'!$B$13:$Q$112,14,FALSE),0)+SUMIFS($T$7:$T$506,$C$7:$C$506,C55,$B$7:$B$506,"&lt;="&amp;'Parties'!$E$8))</f>
        <v/>
      </c>
      <c r="AE55">
        <f>IF(OR('Parties'!$E$8="",S55=0,B55="",B55&gt;'Parties'!$E$8),0,MAX(0,MIN(S55,U55-AD55)))</f>
        <v/>
      </c>
      <c r="AF55">
        <f>IF(AND(P55="Creditor",X55=1,AE55&gt;0,Z55&lt;&gt;""),IF(Z55&lt;='Parties'!$E$8,AE55,0),0)</f>
        <v/>
      </c>
      <c r="AG55">
        <f>IF(OR(AE55=0,Z55=""),0,MAX(0,'Parties'!$E$8-Z55))</f>
        <v/>
      </c>
      <c r="AH55">
        <f>IF(AND(P55="Creditor",X55=1,AG55&gt;0),AE55*((1+3*N('Parties'!$E$10)/12)^(AG55*12/365)-1),0)</f>
        <v/>
      </c>
      <c r="AI55">
        <f>IF(AND(C55&lt;&gt;"",C55='Ledger Account'!$D$4,B55&lt;&gt;"",B55&gt;='Ledger Account'!$D$5,B55&lt;='Ledger Account'!$D$6),1,0)</f>
        <v/>
      </c>
      <c r="AJ55">
        <f>IF(AI55=1,SUM(AI$7:AI55),"")</f>
        <v/>
      </c>
      <c r="AK55">
        <f>IF(OR(N55="",N55="OK"),0,1)</f>
        <v/>
      </c>
    </row>
    <row r="56">
      <c r="B56" s="24" t="n"/>
      <c r="C56" s="14" t="n"/>
      <c r="D56" s="14" t="n"/>
      <c r="E56" s="20" t="n"/>
      <c r="F56" s="24" t="n"/>
      <c r="G56" s="14" t="n"/>
      <c r="H56" s="22" t="n"/>
      <c r="I56" s="25">
        <f>IF(Q56="D",N(H56),0)</f>
        <v/>
      </c>
      <c r="J56" s="25">
        <f>IF(Q56="C",N(H56),0)</f>
        <v/>
      </c>
      <c r="K56" s="26">
        <f>IF(Z56="","",Z56)</f>
        <v/>
      </c>
      <c r="L56" s="27">
        <f>W56</f>
        <v/>
      </c>
      <c r="M56" s="28">
        <f>AA56</f>
        <v/>
      </c>
      <c r="N56" s="23">
        <f>IF(AND(B56="",C56="",D56="",N(H56)=0),"",IF(B56="","Enter the date",IF(C56="","Pick the party",IF(P56="?","Add this party on the Parties sheet first",IF(D56="","Pick the entry type",IF(Q56="?","Pick the entry type from the list",IF(N(H56)=0,"Enter the amount",IF(AND(R56&lt;&gt;"Any",R56&lt;&gt;P56),"Sales, receipts and credit notes are for debtors; purchases, payments and debit notes for creditors",IF(AND(F56&lt;&gt;"",D56&lt;&gt;"Purchase bill"),"The received-on date is only for purchase bills",IF(AND(P56="Creditor",X56=1,AA56&gt;0),"Past due to a micro or small supplier: interest runs under MSMED s.16, and if unpaid at year end it is not deductible that year, s.37(2)(g)",IF(AND(P56="Debtor",X56=1,AA56&gt;0),"Past due to you: as a micro or small supplier you can claim interest under MSMED s.16","OK")))))))))))</f>
        <v/>
      </c>
      <c r="P56">
        <f>IF(C56="","",IFERROR(VLOOKUP(C56,'Parties'!$B$13:$Q$112,2,FALSE),"?"))</f>
        <v/>
      </c>
      <c r="Q56">
        <f>IF(D56="","",IFERROR(VLOOKUP(D56,Lists!$A$2:$D$9,3,FALSE),"?"))</f>
        <v/>
      </c>
      <c r="R56">
        <f>IF(D56="","",IFERROR(VLOOKUP(D56,Lists!$A$2:$D$9,4,FALSE),"?"))</f>
        <v/>
      </c>
      <c r="S56">
        <f>IF(P56="Debtor",I56,IF(P56="Creditor",J56,0))</f>
        <v/>
      </c>
      <c r="T56">
        <f>IF(P56="Debtor",J56,IF(P56="Creditor",I56,0))</f>
        <v/>
      </c>
      <c r="U56">
        <f>IF(OR(S56=0,B56=""),0,IFERROR(VLOOKUP(C56,'Parties'!$B$13:$Q$112,13,FALSE),0)+SUMIFS($S$7:$S$506,$C$7:$C$506,C56,$B$7:$B$506,"&lt;"&amp;B56)+SUMIFS(S$7:S56,C$7:C56,C56,B$7:B56,B56))</f>
        <v/>
      </c>
      <c r="V56">
        <f>IF(S56=0,0,IFERROR(VLOOKUP(C56,'Parties'!$B$13:$Q$112,14,FALSE),0)+SUMIFS($T$7:$T$506,$C$7:$C$506,C56,$B$7:$B$506,"&lt;="&amp;'Outstanding'!$E$5))</f>
        <v/>
      </c>
      <c r="W56">
        <f>IF(OR('Outstanding'!$E$5="",S56=0,B56="",B56&gt;'Outstanding'!$E$5),0,MAX(0,MIN(S56,U56-V56)))</f>
        <v/>
      </c>
      <c r="X56">
        <f>IF(C56="",0,IFERROR(VLOOKUP(C56,'Parties'!$B$13:$Q$112,15,FALSE),0))</f>
        <v/>
      </c>
      <c r="Y56">
        <f>IF(C56="","",IFERROR(VLOOKUP(C56,'Parties'!$B$13:$Q$112,16,FALSE),0))</f>
        <v/>
      </c>
      <c r="Z56">
        <f>IF(OR(S56=0,B56="",Y56=""),"",IF(AND(F56&lt;&gt;"",D56="Purchase bill"),F56,B56)+Y56)</f>
        <v/>
      </c>
      <c r="AA56">
        <f>IF(OR(W56=0,Z56=""),0,MAX(0,'Outstanding'!$E$5-Z56))</f>
        <v/>
      </c>
      <c r="AB56">
        <f>IF(AND(X56=1,AA56&gt;0),W56*((1+3*N('Parties'!$E$10)/12)^(AA56*12/365)-1),0)</f>
        <v/>
      </c>
      <c r="AC56">
        <f>IF(W56=0,"",'Outstanding'!$E$5-B56)</f>
        <v/>
      </c>
      <c r="AD56">
        <f>IF(S56=0,0,IFERROR(VLOOKUP(C56,'Parties'!$B$13:$Q$112,14,FALSE),0)+SUMIFS($T$7:$T$506,$C$7:$C$506,C56,$B$7:$B$506,"&lt;="&amp;'Parties'!$E$8))</f>
        <v/>
      </c>
      <c r="AE56">
        <f>IF(OR('Parties'!$E$8="",S56=0,B56="",B56&gt;'Parties'!$E$8),0,MAX(0,MIN(S56,U56-AD56)))</f>
        <v/>
      </c>
      <c r="AF56">
        <f>IF(AND(P56="Creditor",X56=1,AE56&gt;0,Z56&lt;&gt;""),IF(Z56&lt;='Parties'!$E$8,AE56,0),0)</f>
        <v/>
      </c>
      <c r="AG56">
        <f>IF(OR(AE56=0,Z56=""),0,MAX(0,'Parties'!$E$8-Z56))</f>
        <v/>
      </c>
      <c r="AH56">
        <f>IF(AND(P56="Creditor",X56=1,AG56&gt;0),AE56*((1+3*N('Parties'!$E$10)/12)^(AG56*12/365)-1),0)</f>
        <v/>
      </c>
      <c r="AI56">
        <f>IF(AND(C56&lt;&gt;"",C56='Ledger Account'!$D$4,B56&lt;&gt;"",B56&gt;='Ledger Account'!$D$5,B56&lt;='Ledger Account'!$D$6),1,0)</f>
        <v/>
      </c>
      <c r="AJ56">
        <f>IF(AI56=1,SUM(AI$7:AI56),"")</f>
        <v/>
      </c>
      <c r="AK56">
        <f>IF(OR(N56="",N56="OK"),0,1)</f>
        <v/>
      </c>
    </row>
    <row r="57">
      <c r="B57" s="24" t="n"/>
      <c r="C57" s="14" t="n"/>
      <c r="D57" s="14" t="n"/>
      <c r="E57" s="20" t="n"/>
      <c r="F57" s="24" t="n"/>
      <c r="G57" s="14" t="n"/>
      <c r="H57" s="22" t="n"/>
      <c r="I57" s="25">
        <f>IF(Q57="D",N(H57),0)</f>
        <v/>
      </c>
      <c r="J57" s="25">
        <f>IF(Q57="C",N(H57),0)</f>
        <v/>
      </c>
      <c r="K57" s="26">
        <f>IF(Z57="","",Z57)</f>
        <v/>
      </c>
      <c r="L57" s="27">
        <f>W57</f>
        <v/>
      </c>
      <c r="M57" s="28">
        <f>AA57</f>
        <v/>
      </c>
      <c r="N57" s="23">
        <f>IF(AND(B57="",C57="",D57="",N(H57)=0),"",IF(B57="","Enter the date",IF(C57="","Pick the party",IF(P57="?","Add this party on the Parties sheet first",IF(D57="","Pick the entry type",IF(Q57="?","Pick the entry type from the list",IF(N(H57)=0,"Enter the amount",IF(AND(R57&lt;&gt;"Any",R57&lt;&gt;P57),"Sales, receipts and credit notes are for debtors; purchases, payments and debit notes for creditors",IF(AND(F57&lt;&gt;"",D57&lt;&gt;"Purchase bill"),"The received-on date is only for purchase bills",IF(AND(P57="Creditor",X57=1,AA57&gt;0),"Past due to a micro or small supplier: interest runs under MSMED s.16, and if unpaid at year end it is not deductible that year, s.37(2)(g)",IF(AND(P57="Debtor",X57=1,AA57&gt;0),"Past due to you: as a micro or small supplier you can claim interest under MSMED s.16","OK")))))))))))</f>
        <v/>
      </c>
      <c r="P57">
        <f>IF(C57="","",IFERROR(VLOOKUP(C57,'Parties'!$B$13:$Q$112,2,FALSE),"?"))</f>
        <v/>
      </c>
      <c r="Q57">
        <f>IF(D57="","",IFERROR(VLOOKUP(D57,Lists!$A$2:$D$9,3,FALSE),"?"))</f>
        <v/>
      </c>
      <c r="R57">
        <f>IF(D57="","",IFERROR(VLOOKUP(D57,Lists!$A$2:$D$9,4,FALSE),"?"))</f>
        <v/>
      </c>
      <c r="S57">
        <f>IF(P57="Debtor",I57,IF(P57="Creditor",J57,0))</f>
        <v/>
      </c>
      <c r="T57">
        <f>IF(P57="Debtor",J57,IF(P57="Creditor",I57,0))</f>
        <v/>
      </c>
      <c r="U57">
        <f>IF(OR(S57=0,B57=""),0,IFERROR(VLOOKUP(C57,'Parties'!$B$13:$Q$112,13,FALSE),0)+SUMIFS($S$7:$S$506,$C$7:$C$506,C57,$B$7:$B$506,"&lt;"&amp;B57)+SUMIFS(S$7:S57,C$7:C57,C57,B$7:B57,B57))</f>
        <v/>
      </c>
      <c r="V57">
        <f>IF(S57=0,0,IFERROR(VLOOKUP(C57,'Parties'!$B$13:$Q$112,14,FALSE),0)+SUMIFS($T$7:$T$506,$C$7:$C$506,C57,$B$7:$B$506,"&lt;="&amp;'Outstanding'!$E$5))</f>
        <v/>
      </c>
      <c r="W57">
        <f>IF(OR('Outstanding'!$E$5="",S57=0,B57="",B57&gt;'Outstanding'!$E$5),0,MAX(0,MIN(S57,U57-V57)))</f>
        <v/>
      </c>
      <c r="X57">
        <f>IF(C57="",0,IFERROR(VLOOKUP(C57,'Parties'!$B$13:$Q$112,15,FALSE),0))</f>
        <v/>
      </c>
      <c r="Y57">
        <f>IF(C57="","",IFERROR(VLOOKUP(C57,'Parties'!$B$13:$Q$112,16,FALSE),0))</f>
        <v/>
      </c>
      <c r="Z57">
        <f>IF(OR(S57=0,B57="",Y57=""),"",IF(AND(F57&lt;&gt;"",D57="Purchase bill"),F57,B57)+Y57)</f>
        <v/>
      </c>
      <c r="AA57">
        <f>IF(OR(W57=0,Z57=""),0,MAX(0,'Outstanding'!$E$5-Z57))</f>
        <v/>
      </c>
      <c r="AB57">
        <f>IF(AND(X57=1,AA57&gt;0),W57*((1+3*N('Parties'!$E$10)/12)^(AA57*12/365)-1),0)</f>
        <v/>
      </c>
      <c r="AC57">
        <f>IF(W57=0,"",'Outstanding'!$E$5-B57)</f>
        <v/>
      </c>
      <c r="AD57">
        <f>IF(S57=0,0,IFERROR(VLOOKUP(C57,'Parties'!$B$13:$Q$112,14,FALSE),0)+SUMIFS($T$7:$T$506,$C$7:$C$506,C57,$B$7:$B$506,"&lt;="&amp;'Parties'!$E$8))</f>
        <v/>
      </c>
      <c r="AE57">
        <f>IF(OR('Parties'!$E$8="",S57=0,B57="",B57&gt;'Parties'!$E$8),0,MAX(0,MIN(S57,U57-AD57)))</f>
        <v/>
      </c>
      <c r="AF57">
        <f>IF(AND(P57="Creditor",X57=1,AE57&gt;0,Z57&lt;&gt;""),IF(Z57&lt;='Parties'!$E$8,AE57,0),0)</f>
        <v/>
      </c>
      <c r="AG57">
        <f>IF(OR(AE57=0,Z57=""),0,MAX(0,'Parties'!$E$8-Z57))</f>
        <v/>
      </c>
      <c r="AH57">
        <f>IF(AND(P57="Creditor",X57=1,AG57&gt;0),AE57*((1+3*N('Parties'!$E$10)/12)^(AG57*12/365)-1),0)</f>
        <v/>
      </c>
      <c r="AI57">
        <f>IF(AND(C57&lt;&gt;"",C57='Ledger Account'!$D$4,B57&lt;&gt;"",B57&gt;='Ledger Account'!$D$5,B57&lt;='Ledger Account'!$D$6),1,0)</f>
        <v/>
      </c>
      <c r="AJ57">
        <f>IF(AI57=1,SUM(AI$7:AI57),"")</f>
        <v/>
      </c>
      <c r="AK57">
        <f>IF(OR(N57="",N57="OK"),0,1)</f>
        <v/>
      </c>
    </row>
    <row r="58">
      <c r="B58" s="24" t="n"/>
      <c r="C58" s="14" t="n"/>
      <c r="D58" s="14" t="n"/>
      <c r="E58" s="20" t="n"/>
      <c r="F58" s="24" t="n"/>
      <c r="G58" s="14" t="n"/>
      <c r="H58" s="22" t="n"/>
      <c r="I58" s="25">
        <f>IF(Q58="D",N(H58),0)</f>
        <v/>
      </c>
      <c r="J58" s="25">
        <f>IF(Q58="C",N(H58),0)</f>
        <v/>
      </c>
      <c r="K58" s="26">
        <f>IF(Z58="","",Z58)</f>
        <v/>
      </c>
      <c r="L58" s="27">
        <f>W58</f>
        <v/>
      </c>
      <c r="M58" s="28">
        <f>AA58</f>
        <v/>
      </c>
      <c r="N58" s="23">
        <f>IF(AND(B58="",C58="",D58="",N(H58)=0),"",IF(B58="","Enter the date",IF(C58="","Pick the party",IF(P58="?","Add this party on the Parties sheet first",IF(D58="","Pick the entry type",IF(Q58="?","Pick the entry type from the list",IF(N(H58)=0,"Enter the amount",IF(AND(R58&lt;&gt;"Any",R58&lt;&gt;P58),"Sales, receipts and credit notes are for debtors; purchases, payments and debit notes for creditors",IF(AND(F58&lt;&gt;"",D58&lt;&gt;"Purchase bill"),"The received-on date is only for purchase bills",IF(AND(P58="Creditor",X58=1,AA58&gt;0),"Past due to a micro or small supplier: interest runs under MSMED s.16, and if unpaid at year end it is not deductible that year, s.37(2)(g)",IF(AND(P58="Debtor",X58=1,AA58&gt;0),"Past due to you: as a micro or small supplier you can claim interest under MSMED s.16","OK")))))))))))</f>
        <v/>
      </c>
      <c r="P58">
        <f>IF(C58="","",IFERROR(VLOOKUP(C58,'Parties'!$B$13:$Q$112,2,FALSE),"?"))</f>
        <v/>
      </c>
      <c r="Q58">
        <f>IF(D58="","",IFERROR(VLOOKUP(D58,Lists!$A$2:$D$9,3,FALSE),"?"))</f>
        <v/>
      </c>
      <c r="R58">
        <f>IF(D58="","",IFERROR(VLOOKUP(D58,Lists!$A$2:$D$9,4,FALSE),"?"))</f>
        <v/>
      </c>
      <c r="S58">
        <f>IF(P58="Debtor",I58,IF(P58="Creditor",J58,0))</f>
        <v/>
      </c>
      <c r="T58">
        <f>IF(P58="Debtor",J58,IF(P58="Creditor",I58,0))</f>
        <v/>
      </c>
      <c r="U58">
        <f>IF(OR(S58=0,B58=""),0,IFERROR(VLOOKUP(C58,'Parties'!$B$13:$Q$112,13,FALSE),0)+SUMIFS($S$7:$S$506,$C$7:$C$506,C58,$B$7:$B$506,"&lt;"&amp;B58)+SUMIFS(S$7:S58,C$7:C58,C58,B$7:B58,B58))</f>
        <v/>
      </c>
      <c r="V58">
        <f>IF(S58=0,0,IFERROR(VLOOKUP(C58,'Parties'!$B$13:$Q$112,14,FALSE),0)+SUMIFS($T$7:$T$506,$C$7:$C$506,C58,$B$7:$B$506,"&lt;="&amp;'Outstanding'!$E$5))</f>
        <v/>
      </c>
      <c r="W58">
        <f>IF(OR('Outstanding'!$E$5="",S58=0,B58="",B58&gt;'Outstanding'!$E$5),0,MAX(0,MIN(S58,U58-V58)))</f>
        <v/>
      </c>
      <c r="X58">
        <f>IF(C58="",0,IFERROR(VLOOKUP(C58,'Parties'!$B$13:$Q$112,15,FALSE),0))</f>
        <v/>
      </c>
      <c r="Y58">
        <f>IF(C58="","",IFERROR(VLOOKUP(C58,'Parties'!$B$13:$Q$112,16,FALSE),0))</f>
        <v/>
      </c>
      <c r="Z58">
        <f>IF(OR(S58=0,B58="",Y58=""),"",IF(AND(F58&lt;&gt;"",D58="Purchase bill"),F58,B58)+Y58)</f>
        <v/>
      </c>
      <c r="AA58">
        <f>IF(OR(W58=0,Z58=""),0,MAX(0,'Outstanding'!$E$5-Z58))</f>
        <v/>
      </c>
      <c r="AB58">
        <f>IF(AND(X58=1,AA58&gt;0),W58*((1+3*N('Parties'!$E$10)/12)^(AA58*12/365)-1),0)</f>
        <v/>
      </c>
      <c r="AC58">
        <f>IF(W58=0,"",'Outstanding'!$E$5-B58)</f>
        <v/>
      </c>
      <c r="AD58">
        <f>IF(S58=0,0,IFERROR(VLOOKUP(C58,'Parties'!$B$13:$Q$112,14,FALSE),0)+SUMIFS($T$7:$T$506,$C$7:$C$506,C58,$B$7:$B$506,"&lt;="&amp;'Parties'!$E$8))</f>
        <v/>
      </c>
      <c r="AE58">
        <f>IF(OR('Parties'!$E$8="",S58=0,B58="",B58&gt;'Parties'!$E$8),0,MAX(0,MIN(S58,U58-AD58)))</f>
        <v/>
      </c>
      <c r="AF58">
        <f>IF(AND(P58="Creditor",X58=1,AE58&gt;0,Z58&lt;&gt;""),IF(Z58&lt;='Parties'!$E$8,AE58,0),0)</f>
        <v/>
      </c>
      <c r="AG58">
        <f>IF(OR(AE58=0,Z58=""),0,MAX(0,'Parties'!$E$8-Z58))</f>
        <v/>
      </c>
      <c r="AH58">
        <f>IF(AND(P58="Creditor",X58=1,AG58&gt;0),AE58*((1+3*N('Parties'!$E$10)/12)^(AG58*12/365)-1),0)</f>
        <v/>
      </c>
      <c r="AI58">
        <f>IF(AND(C58&lt;&gt;"",C58='Ledger Account'!$D$4,B58&lt;&gt;"",B58&gt;='Ledger Account'!$D$5,B58&lt;='Ledger Account'!$D$6),1,0)</f>
        <v/>
      </c>
      <c r="AJ58">
        <f>IF(AI58=1,SUM(AI$7:AI58),"")</f>
        <v/>
      </c>
      <c r="AK58">
        <f>IF(OR(N58="",N58="OK"),0,1)</f>
        <v/>
      </c>
    </row>
    <row r="59">
      <c r="B59" s="24" t="n"/>
      <c r="C59" s="14" t="n"/>
      <c r="D59" s="14" t="n"/>
      <c r="E59" s="20" t="n"/>
      <c r="F59" s="24" t="n"/>
      <c r="G59" s="14" t="n"/>
      <c r="H59" s="22" t="n"/>
      <c r="I59" s="25">
        <f>IF(Q59="D",N(H59),0)</f>
        <v/>
      </c>
      <c r="J59" s="25">
        <f>IF(Q59="C",N(H59),0)</f>
        <v/>
      </c>
      <c r="K59" s="26">
        <f>IF(Z59="","",Z59)</f>
        <v/>
      </c>
      <c r="L59" s="27">
        <f>W59</f>
        <v/>
      </c>
      <c r="M59" s="28">
        <f>AA59</f>
        <v/>
      </c>
      <c r="N59" s="23">
        <f>IF(AND(B59="",C59="",D59="",N(H59)=0),"",IF(B59="","Enter the date",IF(C59="","Pick the party",IF(P59="?","Add this party on the Parties sheet first",IF(D59="","Pick the entry type",IF(Q59="?","Pick the entry type from the list",IF(N(H59)=0,"Enter the amount",IF(AND(R59&lt;&gt;"Any",R59&lt;&gt;P59),"Sales, receipts and credit notes are for debtors; purchases, payments and debit notes for creditors",IF(AND(F59&lt;&gt;"",D59&lt;&gt;"Purchase bill"),"The received-on date is only for purchase bills",IF(AND(P59="Creditor",X59=1,AA59&gt;0),"Past due to a micro or small supplier: interest runs under MSMED s.16, and if unpaid at year end it is not deductible that year, s.37(2)(g)",IF(AND(P59="Debtor",X59=1,AA59&gt;0),"Past due to you: as a micro or small supplier you can claim interest under MSMED s.16","OK")))))))))))</f>
        <v/>
      </c>
      <c r="P59">
        <f>IF(C59="","",IFERROR(VLOOKUP(C59,'Parties'!$B$13:$Q$112,2,FALSE),"?"))</f>
        <v/>
      </c>
      <c r="Q59">
        <f>IF(D59="","",IFERROR(VLOOKUP(D59,Lists!$A$2:$D$9,3,FALSE),"?"))</f>
        <v/>
      </c>
      <c r="R59">
        <f>IF(D59="","",IFERROR(VLOOKUP(D59,Lists!$A$2:$D$9,4,FALSE),"?"))</f>
        <v/>
      </c>
      <c r="S59">
        <f>IF(P59="Debtor",I59,IF(P59="Creditor",J59,0))</f>
        <v/>
      </c>
      <c r="T59">
        <f>IF(P59="Debtor",J59,IF(P59="Creditor",I59,0))</f>
        <v/>
      </c>
      <c r="U59">
        <f>IF(OR(S59=0,B59=""),0,IFERROR(VLOOKUP(C59,'Parties'!$B$13:$Q$112,13,FALSE),0)+SUMIFS($S$7:$S$506,$C$7:$C$506,C59,$B$7:$B$506,"&lt;"&amp;B59)+SUMIFS(S$7:S59,C$7:C59,C59,B$7:B59,B59))</f>
        <v/>
      </c>
      <c r="V59">
        <f>IF(S59=0,0,IFERROR(VLOOKUP(C59,'Parties'!$B$13:$Q$112,14,FALSE),0)+SUMIFS($T$7:$T$506,$C$7:$C$506,C59,$B$7:$B$506,"&lt;="&amp;'Outstanding'!$E$5))</f>
        <v/>
      </c>
      <c r="W59">
        <f>IF(OR('Outstanding'!$E$5="",S59=0,B59="",B59&gt;'Outstanding'!$E$5),0,MAX(0,MIN(S59,U59-V59)))</f>
        <v/>
      </c>
      <c r="X59">
        <f>IF(C59="",0,IFERROR(VLOOKUP(C59,'Parties'!$B$13:$Q$112,15,FALSE),0))</f>
        <v/>
      </c>
      <c r="Y59">
        <f>IF(C59="","",IFERROR(VLOOKUP(C59,'Parties'!$B$13:$Q$112,16,FALSE),0))</f>
        <v/>
      </c>
      <c r="Z59">
        <f>IF(OR(S59=0,B59="",Y59=""),"",IF(AND(F59&lt;&gt;"",D59="Purchase bill"),F59,B59)+Y59)</f>
        <v/>
      </c>
      <c r="AA59">
        <f>IF(OR(W59=0,Z59=""),0,MAX(0,'Outstanding'!$E$5-Z59))</f>
        <v/>
      </c>
      <c r="AB59">
        <f>IF(AND(X59=1,AA59&gt;0),W59*((1+3*N('Parties'!$E$10)/12)^(AA59*12/365)-1),0)</f>
        <v/>
      </c>
      <c r="AC59">
        <f>IF(W59=0,"",'Outstanding'!$E$5-B59)</f>
        <v/>
      </c>
      <c r="AD59">
        <f>IF(S59=0,0,IFERROR(VLOOKUP(C59,'Parties'!$B$13:$Q$112,14,FALSE),0)+SUMIFS($T$7:$T$506,$C$7:$C$506,C59,$B$7:$B$506,"&lt;="&amp;'Parties'!$E$8))</f>
        <v/>
      </c>
      <c r="AE59">
        <f>IF(OR('Parties'!$E$8="",S59=0,B59="",B59&gt;'Parties'!$E$8),0,MAX(0,MIN(S59,U59-AD59)))</f>
        <v/>
      </c>
      <c r="AF59">
        <f>IF(AND(P59="Creditor",X59=1,AE59&gt;0,Z59&lt;&gt;""),IF(Z59&lt;='Parties'!$E$8,AE59,0),0)</f>
        <v/>
      </c>
      <c r="AG59">
        <f>IF(OR(AE59=0,Z59=""),0,MAX(0,'Parties'!$E$8-Z59))</f>
        <v/>
      </c>
      <c r="AH59">
        <f>IF(AND(P59="Creditor",X59=1,AG59&gt;0),AE59*((1+3*N('Parties'!$E$10)/12)^(AG59*12/365)-1),0)</f>
        <v/>
      </c>
      <c r="AI59">
        <f>IF(AND(C59&lt;&gt;"",C59='Ledger Account'!$D$4,B59&lt;&gt;"",B59&gt;='Ledger Account'!$D$5,B59&lt;='Ledger Account'!$D$6),1,0)</f>
        <v/>
      </c>
      <c r="AJ59">
        <f>IF(AI59=1,SUM(AI$7:AI59),"")</f>
        <v/>
      </c>
      <c r="AK59">
        <f>IF(OR(N59="",N59="OK"),0,1)</f>
        <v/>
      </c>
    </row>
    <row r="60">
      <c r="B60" s="24" t="n"/>
      <c r="C60" s="14" t="n"/>
      <c r="D60" s="14" t="n"/>
      <c r="E60" s="20" t="n"/>
      <c r="F60" s="24" t="n"/>
      <c r="G60" s="14" t="n"/>
      <c r="H60" s="22" t="n"/>
      <c r="I60" s="25">
        <f>IF(Q60="D",N(H60),0)</f>
        <v/>
      </c>
      <c r="J60" s="25">
        <f>IF(Q60="C",N(H60),0)</f>
        <v/>
      </c>
      <c r="K60" s="26">
        <f>IF(Z60="","",Z60)</f>
        <v/>
      </c>
      <c r="L60" s="27">
        <f>W60</f>
        <v/>
      </c>
      <c r="M60" s="28">
        <f>AA60</f>
        <v/>
      </c>
      <c r="N60" s="23">
        <f>IF(AND(B60="",C60="",D60="",N(H60)=0),"",IF(B60="","Enter the date",IF(C60="","Pick the party",IF(P60="?","Add this party on the Parties sheet first",IF(D60="","Pick the entry type",IF(Q60="?","Pick the entry type from the list",IF(N(H60)=0,"Enter the amount",IF(AND(R60&lt;&gt;"Any",R60&lt;&gt;P60),"Sales, receipts and credit notes are for debtors; purchases, payments and debit notes for creditors",IF(AND(F60&lt;&gt;"",D60&lt;&gt;"Purchase bill"),"The received-on date is only for purchase bills",IF(AND(P60="Creditor",X60=1,AA60&gt;0),"Past due to a micro or small supplier: interest runs under MSMED s.16, and if unpaid at year end it is not deductible that year, s.37(2)(g)",IF(AND(P60="Debtor",X60=1,AA60&gt;0),"Past due to you: as a micro or small supplier you can claim interest under MSMED s.16","OK")))))))))))</f>
        <v/>
      </c>
      <c r="P60">
        <f>IF(C60="","",IFERROR(VLOOKUP(C60,'Parties'!$B$13:$Q$112,2,FALSE),"?"))</f>
        <v/>
      </c>
      <c r="Q60">
        <f>IF(D60="","",IFERROR(VLOOKUP(D60,Lists!$A$2:$D$9,3,FALSE),"?"))</f>
        <v/>
      </c>
      <c r="R60">
        <f>IF(D60="","",IFERROR(VLOOKUP(D60,Lists!$A$2:$D$9,4,FALSE),"?"))</f>
        <v/>
      </c>
      <c r="S60">
        <f>IF(P60="Debtor",I60,IF(P60="Creditor",J60,0))</f>
        <v/>
      </c>
      <c r="T60">
        <f>IF(P60="Debtor",J60,IF(P60="Creditor",I60,0))</f>
        <v/>
      </c>
      <c r="U60">
        <f>IF(OR(S60=0,B60=""),0,IFERROR(VLOOKUP(C60,'Parties'!$B$13:$Q$112,13,FALSE),0)+SUMIFS($S$7:$S$506,$C$7:$C$506,C60,$B$7:$B$506,"&lt;"&amp;B60)+SUMIFS(S$7:S60,C$7:C60,C60,B$7:B60,B60))</f>
        <v/>
      </c>
      <c r="V60">
        <f>IF(S60=0,0,IFERROR(VLOOKUP(C60,'Parties'!$B$13:$Q$112,14,FALSE),0)+SUMIFS($T$7:$T$506,$C$7:$C$506,C60,$B$7:$B$506,"&lt;="&amp;'Outstanding'!$E$5))</f>
        <v/>
      </c>
      <c r="W60">
        <f>IF(OR('Outstanding'!$E$5="",S60=0,B60="",B60&gt;'Outstanding'!$E$5),0,MAX(0,MIN(S60,U60-V60)))</f>
        <v/>
      </c>
      <c r="X60">
        <f>IF(C60="",0,IFERROR(VLOOKUP(C60,'Parties'!$B$13:$Q$112,15,FALSE),0))</f>
        <v/>
      </c>
      <c r="Y60">
        <f>IF(C60="","",IFERROR(VLOOKUP(C60,'Parties'!$B$13:$Q$112,16,FALSE),0))</f>
        <v/>
      </c>
      <c r="Z60">
        <f>IF(OR(S60=0,B60="",Y60=""),"",IF(AND(F60&lt;&gt;"",D60="Purchase bill"),F60,B60)+Y60)</f>
        <v/>
      </c>
      <c r="AA60">
        <f>IF(OR(W60=0,Z60=""),0,MAX(0,'Outstanding'!$E$5-Z60))</f>
        <v/>
      </c>
      <c r="AB60">
        <f>IF(AND(X60=1,AA60&gt;0),W60*((1+3*N('Parties'!$E$10)/12)^(AA60*12/365)-1),0)</f>
        <v/>
      </c>
      <c r="AC60">
        <f>IF(W60=0,"",'Outstanding'!$E$5-B60)</f>
        <v/>
      </c>
      <c r="AD60">
        <f>IF(S60=0,0,IFERROR(VLOOKUP(C60,'Parties'!$B$13:$Q$112,14,FALSE),0)+SUMIFS($T$7:$T$506,$C$7:$C$506,C60,$B$7:$B$506,"&lt;="&amp;'Parties'!$E$8))</f>
        <v/>
      </c>
      <c r="AE60">
        <f>IF(OR('Parties'!$E$8="",S60=0,B60="",B60&gt;'Parties'!$E$8),0,MAX(0,MIN(S60,U60-AD60)))</f>
        <v/>
      </c>
      <c r="AF60">
        <f>IF(AND(P60="Creditor",X60=1,AE60&gt;0,Z60&lt;&gt;""),IF(Z60&lt;='Parties'!$E$8,AE60,0),0)</f>
        <v/>
      </c>
      <c r="AG60">
        <f>IF(OR(AE60=0,Z60=""),0,MAX(0,'Parties'!$E$8-Z60))</f>
        <v/>
      </c>
      <c r="AH60">
        <f>IF(AND(P60="Creditor",X60=1,AG60&gt;0),AE60*((1+3*N('Parties'!$E$10)/12)^(AG60*12/365)-1),0)</f>
        <v/>
      </c>
      <c r="AI60">
        <f>IF(AND(C60&lt;&gt;"",C60='Ledger Account'!$D$4,B60&lt;&gt;"",B60&gt;='Ledger Account'!$D$5,B60&lt;='Ledger Account'!$D$6),1,0)</f>
        <v/>
      </c>
      <c r="AJ60">
        <f>IF(AI60=1,SUM(AI$7:AI60),"")</f>
        <v/>
      </c>
      <c r="AK60">
        <f>IF(OR(N60="",N60="OK"),0,1)</f>
        <v/>
      </c>
    </row>
    <row r="61">
      <c r="B61" s="24" t="n"/>
      <c r="C61" s="14" t="n"/>
      <c r="D61" s="14" t="n"/>
      <c r="E61" s="20" t="n"/>
      <c r="F61" s="24" t="n"/>
      <c r="G61" s="14" t="n"/>
      <c r="H61" s="22" t="n"/>
      <c r="I61" s="25">
        <f>IF(Q61="D",N(H61),0)</f>
        <v/>
      </c>
      <c r="J61" s="25">
        <f>IF(Q61="C",N(H61),0)</f>
        <v/>
      </c>
      <c r="K61" s="26">
        <f>IF(Z61="","",Z61)</f>
        <v/>
      </c>
      <c r="L61" s="27">
        <f>W61</f>
        <v/>
      </c>
      <c r="M61" s="28">
        <f>AA61</f>
        <v/>
      </c>
      <c r="N61" s="23">
        <f>IF(AND(B61="",C61="",D61="",N(H61)=0),"",IF(B61="","Enter the date",IF(C61="","Pick the party",IF(P61="?","Add this party on the Parties sheet first",IF(D61="","Pick the entry type",IF(Q61="?","Pick the entry type from the list",IF(N(H61)=0,"Enter the amount",IF(AND(R61&lt;&gt;"Any",R61&lt;&gt;P61),"Sales, receipts and credit notes are for debtors; purchases, payments and debit notes for creditors",IF(AND(F61&lt;&gt;"",D61&lt;&gt;"Purchase bill"),"The received-on date is only for purchase bills",IF(AND(P61="Creditor",X61=1,AA61&gt;0),"Past due to a micro or small supplier: interest runs under MSMED s.16, and if unpaid at year end it is not deductible that year, s.37(2)(g)",IF(AND(P61="Debtor",X61=1,AA61&gt;0),"Past due to you: as a micro or small supplier you can claim interest under MSMED s.16","OK")))))))))))</f>
        <v/>
      </c>
      <c r="P61">
        <f>IF(C61="","",IFERROR(VLOOKUP(C61,'Parties'!$B$13:$Q$112,2,FALSE),"?"))</f>
        <v/>
      </c>
      <c r="Q61">
        <f>IF(D61="","",IFERROR(VLOOKUP(D61,Lists!$A$2:$D$9,3,FALSE),"?"))</f>
        <v/>
      </c>
      <c r="R61">
        <f>IF(D61="","",IFERROR(VLOOKUP(D61,Lists!$A$2:$D$9,4,FALSE),"?"))</f>
        <v/>
      </c>
      <c r="S61">
        <f>IF(P61="Debtor",I61,IF(P61="Creditor",J61,0))</f>
        <v/>
      </c>
      <c r="T61">
        <f>IF(P61="Debtor",J61,IF(P61="Creditor",I61,0))</f>
        <v/>
      </c>
      <c r="U61">
        <f>IF(OR(S61=0,B61=""),0,IFERROR(VLOOKUP(C61,'Parties'!$B$13:$Q$112,13,FALSE),0)+SUMIFS($S$7:$S$506,$C$7:$C$506,C61,$B$7:$B$506,"&lt;"&amp;B61)+SUMIFS(S$7:S61,C$7:C61,C61,B$7:B61,B61))</f>
        <v/>
      </c>
      <c r="V61">
        <f>IF(S61=0,0,IFERROR(VLOOKUP(C61,'Parties'!$B$13:$Q$112,14,FALSE),0)+SUMIFS($T$7:$T$506,$C$7:$C$506,C61,$B$7:$B$506,"&lt;="&amp;'Outstanding'!$E$5))</f>
        <v/>
      </c>
      <c r="W61">
        <f>IF(OR('Outstanding'!$E$5="",S61=0,B61="",B61&gt;'Outstanding'!$E$5),0,MAX(0,MIN(S61,U61-V61)))</f>
        <v/>
      </c>
      <c r="X61">
        <f>IF(C61="",0,IFERROR(VLOOKUP(C61,'Parties'!$B$13:$Q$112,15,FALSE),0))</f>
        <v/>
      </c>
      <c r="Y61">
        <f>IF(C61="","",IFERROR(VLOOKUP(C61,'Parties'!$B$13:$Q$112,16,FALSE),0))</f>
        <v/>
      </c>
      <c r="Z61">
        <f>IF(OR(S61=0,B61="",Y61=""),"",IF(AND(F61&lt;&gt;"",D61="Purchase bill"),F61,B61)+Y61)</f>
        <v/>
      </c>
      <c r="AA61">
        <f>IF(OR(W61=0,Z61=""),0,MAX(0,'Outstanding'!$E$5-Z61))</f>
        <v/>
      </c>
      <c r="AB61">
        <f>IF(AND(X61=1,AA61&gt;0),W61*((1+3*N('Parties'!$E$10)/12)^(AA61*12/365)-1),0)</f>
        <v/>
      </c>
      <c r="AC61">
        <f>IF(W61=0,"",'Outstanding'!$E$5-B61)</f>
        <v/>
      </c>
      <c r="AD61">
        <f>IF(S61=0,0,IFERROR(VLOOKUP(C61,'Parties'!$B$13:$Q$112,14,FALSE),0)+SUMIFS($T$7:$T$506,$C$7:$C$506,C61,$B$7:$B$506,"&lt;="&amp;'Parties'!$E$8))</f>
        <v/>
      </c>
      <c r="AE61">
        <f>IF(OR('Parties'!$E$8="",S61=0,B61="",B61&gt;'Parties'!$E$8),0,MAX(0,MIN(S61,U61-AD61)))</f>
        <v/>
      </c>
      <c r="AF61">
        <f>IF(AND(P61="Creditor",X61=1,AE61&gt;0,Z61&lt;&gt;""),IF(Z61&lt;='Parties'!$E$8,AE61,0),0)</f>
        <v/>
      </c>
      <c r="AG61">
        <f>IF(OR(AE61=0,Z61=""),0,MAX(0,'Parties'!$E$8-Z61))</f>
        <v/>
      </c>
      <c r="AH61">
        <f>IF(AND(P61="Creditor",X61=1,AG61&gt;0),AE61*((1+3*N('Parties'!$E$10)/12)^(AG61*12/365)-1),0)</f>
        <v/>
      </c>
      <c r="AI61">
        <f>IF(AND(C61&lt;&gt;"",C61='Ledger Account'!$D$4,B61&lt;&gt;"",B61&gt;='Ledger Account'!$D$5,B61&lt;='Ledger Account'!$D$6),1,0)</f>
        <v/>
      </c>
      <c r="AJ61">
        <f>IF(AI61=1,SUM(AI$7:AI61),"")</f>
        <v/>
      </c>
      <c r="AK61">
        <f>IF(OR(N61="",N61="OK"),0,1)</f>
        <v/>
      </c>
    </row>
    <row r="62">
      <c r="B62" s="24" t="n"/>
      <c r="C62" s="14" t="n"/>
      <c r="D62" s="14" t="n"/>
      <c r="E62" s="20" t="n"/>
      <c r="F62" s="24" t="n"/>
      <c r="G62" s="14" t="n"/>
      <c r="H62" s="22" t="n"/>
      <c r="I62" s="25">
        <f>IF(Q62="D",N(H62),0)</f>
        <v/>
      </c>
      <c r="J62" s="25">
        <f>IF(Q62="C",N(H62),0)</f>
        <v/>
      </c>
      <c r="K62" s="26">
        <f>IF(Z62="","",Z62)</f>
        <v/>
      </c>
      <c r="L62" s="27">
        <f>W62</f>
        <v/>
      </c>
      <c r="M62" s="28">
        <f>AA62</f>
        <v/>
      </c>
      <c r="N62" s="23">
        <f>IF(AND(B62="",C62="",D62="",N(H62)=0),"",IF(B62="","Enter the date",IF(C62="","Pick the party",IF(P62="?","Add this party on the Parties sheet first",IF(D62="","Pick the entry type",IF(Q62="?","Pick the entry type from the list",IF(N(H62)=0,"Enter the amount",IF(AND(R62&lt;&gt;"Any",R62&lt;&gt;P62),"Sales, receipts and credit notes are for debtors; purchases, payments and debit notes for creditors",IF(AND(F62&lt;&gt;"",D62&lt;&gt;"Purchase bill"),"The received-on date is only for purchase bills",IF(AND(P62="Creditor",X62=1,AA62&gt;0),"Past due to a micro or small supplier: interest runs under MSMED s.16, and if unpaid at year end it is not deductible that year, s.37(2)(g)",IF(AND(P62="Debtor",X62=1,AA62&gt;0),"Past due to you: as a micro or small supplier you can claim interest under MSMED s.16","OK")))))))))))</f>
        <v/>
      </c>
      <c r="P62">
        <f>IF(C62="","",IFERROR(VLOOKUP(C62,'Parties'!$B$13:$Q$112,2,FALSE),"?"))</f>
        <v/>
      </c>
      <c r="Q62">
        <f>IF(D62="","",IFERROR(VLOOKUP(D62,Lists!$A$2:$D$9,3,FALSE),"?"))</f>
        <v/>
      </c>
      <c r="R62">
        <f>IF(D62="","",IFERROR(VLOOKUP(D62,Lists!$A$2:$D$9,4,FALSE),"?"))</f>
        <v/>
      </c>
      <c r="S62">
        <f>IF(P62="Debtor",I62,IF(P62="Creditor",J62,0))</f>
        <v/>
      </c>
      <c r="T62">
        <f>IF(P62="Debtor",J62,IF(P62="Creditor",I62,0))</f>
        <v/>
      </c>
      <c r="U62">
        <f>IF(OR(S62=0,B62=""),0,IFERROR(VLOOKUP(C62,'Parties'!$B$13:$Q$112,13,FALSE),0)+SUMIFS($S$7:$S$506,$C$7:$C$506,C62,$B$7:$B$506,"&lt;"&amp;B62)+SUMIFS(S$7:S62,C$7:C62,C62,B$7:B62,B62))</f>
        <v/>
      </c>
      <c r="V62">
        <f>IF(S62=0,0,IFERROR(VLOOKUP(C62,'Parties'!$B$13:$Q$112,14,FALSE),0)+SUMIFS($T$7:$T$506,$C$7:$C$506,C62,$B$7:$B$506,"&lt;="&amp;'Outstanding'!$E$5))</f>
        <v/>
      </c>
      <c r="W62">
        <f>IF(OR('Outstanding'!$E$5="",S62=0,B62="",B62&gt;'Outstanding'!$E$5),0,MAX(0,MIN(S62,U62-V62)))</f>
        <v/>
      </c>
      <c r="X62">
        <f>IF(C62="",0,IFERROR(VLOOKUP(C62,'Parties'!$B$13:$Q$112,15,FALSE),0))</f>
        <v/>
      </c>
      <c r="Y62">
        <f>IF(C62="","",IFERROR(VLOOKUP(C62,'Parties'!$B$13:$Q$112,16,FALSE),0))</f>
        <v/>
      </c>
      <c r="Z62">
        <f>IF(OR(S62=0,B62="",Y62=""),"",IF(AND(F62&lt;&gt;"",D62="Purchase bill"),F62,B62)+Y62)</f>
        <v/>
      </c>
      <c r="AA62">
        <f>IF(OR(W62=0,Z62=""),0,MAX(0,'Outstanding'!$E$5-Z62))</f>
        <v/>
      </c>
      <c r="AB62">
        <f>IF(AND(X62=1,AA62&gt;0),W62*((1+3*N('Parties'!$E$10)/12)^(AA62*12/365)-1),0)</f>
        <v/>
      </c>
      <c r="AC62">
        <f>IF(W62=0,"",'Outstanding'!$E$5-B62)</f>
        <v/>
      </c>
      <c r="AD62">
        <f>IF(S62=0,0,IFERROR(VLOOKUP(C62,'Parties'!$B$13:$Q$112,14,FALSE),0)+SUMIFS($T$7:$T$506,$C$7:$C$506,C62,$B$7:$B$506,"&lt;="&amp;'Parties'!$E$8))</f>
        <v/>
      </c>
      <c r="AE62">
        <f>IF(OR('Parties'!$E$8="",S62=0,B62="",B62&gt;'Parties'!$E$8),0,MAX(0,MIN(S62,U62-AD62)))</f>
        <v/>
      </c>
      <c r="AF62">
        <f>IF(AND(P62="Creditor",X62=1,AE62&gt;0,Z62&lt;&gt;""),IF(Z62&lt;='Parties'!$E$8,AE62,0),0)</f>
        <v/>
      </c>
      <c r="AG62">
        <f>IF(OR(AE62=0,Z62=""),0,MAX(0,'Parties'!$E$8-Z62))</f>
        <v/>
      </c>
      <c r="AH62">
        <f>IF(AND(P62="Creditor",X62=1,AG62&gt;0),AE62*((1+3*N('Parties'!$E$10)/12)^(AG62*12/365)-1),0)</f>
        <v/>
      </c>
      <c r="AI62">
        <f>IF(AND(C62&lt;&gt;"",C62='Ledger Account'!$D$4,B62&lt;&gt;"",B62&gt;='Ledger Account'!$D$5,B62&lt;='Ledger Account'!$D$6),1,0)</f>
        <v/>
      </c>
      <c r="AJ62">
        <f>IF(AI62=1,SUM(AI$7:AI62),"")</f>
        <v/>
      </c>
      <c r="AK62">
        <f>IF(OR(N62="",N62="OK"),0,1)</f>
        <v/>
      </c>
    </row>
    <row r="63">
      <c r="B63" s="24" t="n"/>
      <c r="C63" s="14" t="n"/>
      <c r="D63" s="14" t="n"/>
      <c r="E63" s="20" t="n"/>
      <c r="F63" s="24" t="n"/>
      <c r="G63" s="14" t="n"/>
      <c r="H63" s="22" t="n"/>
      <c r="I63" s="25">
        <f>IF(Q63="D",N(H63),0)</f>
        <v/>
      </c>
      <c r="J63" s="25">
        <f>IF(Q63="C",N(H63),0)</f>
        <v/>
      </c>
      <c r="K63" s="26">
        <f>IF(Z63="","",Z63)</f>
        <v/>
      </c>
      <c r="L63" s="27">
        <f>W63</f>
        <v/>
      </c>
      <c r="M63" s="28">
        <f>AA63</f>
        <v/>
      </c>
      <c r="N63" s="23">
        <f>IF(AND(B63="",C63="",D63="",N(H63)=0),"",IF(B63="","Enter the date",IF(C63="","Pick the party",IF(P63="?","Add this party on the Parties sheet first",IF(D63="","Pick the entry type",IF(Q63="?","Pick the entry type from the list",IF(N(H63)=0,"Enter the amount",IF(AND(R63&lt;&gt;"Any",R63&lt;&gt;P63),"Sales, receipts and credit notes are for debtors; purchases, payments and debit notes for creditors",IF(AND(F63&lt;&gt;"",D63&lt;&gt;"Purchase bill"),"The received-on date is only for purchase bills",IF(AND(P63="Creditor",X63=1,AA63&gt;0),"Past due to a micro or small supplier: interest runs under MSMED s.16, and if unpaid at year end it is not deductible that year, s.37(2)(g)",IF(AND(P63="Debtor",X63=1,AA63&gt;0),"Past due to you: as a micro or small supplier you can claim interest under MSMED s.16","OK")))))))))))</f>
        <v/>
      </c>
      <c r="P63">
        <f>IF(C63="","",IFERROR(VLOOKUP(C63,'Parties'!$B$13:$Q$112,2,FALSE),"?"))</f>
        <v/>
      </c>
      <c r="Q63">
        <f>IF(D63="","",IFERROR(VLOOKUP(D63,Lists!$A$2:$D$9,3,FALSE),"?"))</f>
        <v/>
      </c>
      <c r="R63">
        <f>IF(D63="","",IFERROR(VLOOKUP(D63,Lists!$A$2:$D$9,4,FALSE),"?"))</f>
        <v/>
      </c>
      <c r="S63">
        <f>IF(P63="Debtor",I63,IF(P63="Creditor",J63,0))</f>
        <v/>
      </c>
      <c r="T63">
        <f>IF(P63="Debtor",J63,IF(P63="Creditor",I63,0))</f>
        <v/>
      </c>
      <c r="U63">
        <f>IF(OR(S63=0,B63=""),0,IFERROR(VLOOKUP(C63,'Parties'!$B$13:$Q$112,13,FALSE),0)+SUMIFS($S$7:$S$506,$C$7:$C$506,C63,$B$7:$B$506,"&lt;"&amp;B63)+SUMIFS(S$7:S63,C$7:C63,C63,B$7:B63,B63))</f>
        <v/>
      </c>
      <c r="V63">
        <f>IF(S63=0,0,IFERROR(VLOOKUP(C63,'Parties'!$B$13:$Q$112,14,FALSE),0)+SUMIFS($T$7:$T$506,$C$7:$C$506,C63,$B$7:$B$506,"&lt;="&amp;'Outstanding'!$E$5))</f>
        <v/>
      </c>
      <c r="W63">
        <f>IF(OR('Outstanding'!$E$5="",S63=0,B63="",B63&gt;'Outstanding'!$E$5),0,MAX(0,MIN(S63,U63-V63)))</f>
        <v/>
      </c>
      <c r="X63">
        <f>IF(C63="",0,IFERROR(VLOOKUP(C63,'Parties'!$B$13:$Q$112,15,FALSE),0))</f>
        <v/>
      </c>
      <c r="Y63">
        <f>IF(C63="","",IFERROR(VLOOKUP(C63,'Parties'!$B$13:$Q$112,16,FALSE),0))</f>
        <v/>
      </c>
      <c r="Z63">
        <f>IF(OR(S63=0,B63="",Y63=""),"",IF(AND(F63&lt;&gt;"",D63="Purchase bill"),F63,B63)+Y63)</f>
        <v/>
      </c>
      <c r="AA63">
        <f>IF(OR(W63=0,Z63=""),0,MAX(0,'Outstanding'!$E$5-Z63))</f>
        <v/>
      </c>
      <c r="AB63">
        <f>IF(AND(X63=1,AA63&gt;0),W63*((1+3*N('Parties'!$E$10)/12)^(AA63*12/365)-1),0)</f>
        <v/>
      </c>
      <c r="AC63">
        <f>IF(W63=0,"",'Outstanding'!$E$5-B63)</f>
        <v/>
      </c>
      <c r="AD63">
        <f>IF(S63=0,0,IFERROR(VLOOKUP(C63,'Parties'!$B$13:$Q$112,14,FALSE),0)+SUMIFS($T$7:$T$506,$C$7:$C$506,C63,$B$7:$B$506,"&lt;="&amp;'Parties'!$E$8))</f>
        <v/>
      </c>
      <c r="AE63">
        <f>IF(OR('Parties'!$E$8="",S63=0,B63="",B63&gt;'Parties'!$E$8),0,MAX(0,MIN(S63,U63-AD63)))</f>
        <v/>
      </c>
      <c r="AF63">
        <f>IF(AND(P63="Creditor",X63=1,AE63&gt;0,Z63&lt;&gt;""),IF(Z63&lt;='Parties'!$E$8,AE63,0),0)</f>
        <v/>
      </c>
      <c r="AG63">
        <f>IF(OR(AE63=0,Z63=""),0,MAX(0,'Parties'!$E$8-Z63))</f>
        <v/>
      </c>
      <c r="AH63">
        <f>IF(AND(P63="Creditor",X63=1,AG63&gt;0),AE63*((1+3*N('Parties'!$E$10)/12)^(AG63*12/365)-1),0)</f>
        <v/>
      </c>
      <c r="AI63">
        <f>IF(AND(C63&lt;&gt;"",C63='Ledger Account'!$D$4,B63&lt;&gt;"",B63&gt;='Ledger Account'!$D$5,B63&lt;='Ledger Account'!$D$6),1,0)</f>
        <v/>
      </c>
      <c r="AJ63">
        <f>IF(AI63=1,SUM(AI$7:AI63),"")</f>
        <v/>
      </c>
      <c r="AK63">
        <f>IF(OR(N63="",N63="OK"),0,1)</f>
        <v/>
      </c>
    </row>
    <row r="64">
      <c r="B64" s="24" t="n"/>
      <c r="C64" s="14" t="n"/>
      <c r="D64" s="14" t="n"/>
      <c r="E64" s="20" t="n"/>
      <c r="F64" s="24" t="n"/>
      <c r="G64" s="14" t="n"/>
      <c r="H64" s="22" t="n"/>
      <c r="I64" s="25">
        <f>IF(Q64="D",N(H64),0)</f>
        <v/>
      </c>
      <c r="J64" s="25">
        <f>IF(Q64="C",N(H64),0)</f>
        <v/>
      </c>
      <c r="K64" s="26">
        <f>IF(Z64="","",Z64)</f>
        <v/>
      </c>
      <c r="L64" s="27">
        <f>W64</f>
        <v/>
      </c>
      <c r="M64" s="28">
        <f>AA64</f>
        <v/>
      </c>
      <c r="N64" s="23">
        <f>IF(AND(B64="",C64="",D64="",N(H64)=0),"",IF(B64="","Enter the date",IF(C64="","Pick the party",IF(P64="?","Add this party on the Parties sheet first",IF(D64="","Pick the entry type",IF(Q64="?","Pick the entry type from the list",IF(N(H64)=0,"Enter the amount",IF(AND(R64&lt;&gt;"Any",R64&lt;&gt;P64),"Sales, receipts and credit notes are for debtors; purchases, payments and debit notes for creditors",IF(AND(F64&lt;&gt;"",D64&lt;&gt;"Purchase bill"),"The received-on date is only for purchase bills",IF(AND(P64="Creditor",X64=1,AA64&gt;0),"Past due to a micro or small supplier: interest runs under MSMED s.16, and if unpaid at year end it is not deductible that year, s.37(2)(g)",IF(AND(P64="Debtor",X64=1,AA64&gt;0),"Past due to you: as a micro or small supplier you can claim interest under MSMED s.16","OK")))))))))))</f>
        <v/>
      </c>
      <c r="P64">
        <f>IF(C64="","",IFERROR(VLOOKUP(C64,'Parties'!$B$13:$Q$112,2,FALSE),"?"))</f>
        <v/>
      </c>
      <c r="Q64">
        <f>IF(D64="","",IFERROR(VLOOKUP(D64,Lists!$A$2:$D$9,3,FALSE),"?"))</f>
        <v/>
      </c>
      <c r="R64">
        <f>IF(D64="","",IFERROR(VLOOKUP(D64,Lists!$A$2:$D$9,4,FALSE),"?"))</f>
        <v/>
      </c>
      <c r="S64">
        <f>IF(P64="Debtor",I64,IF(P64="Creditor",J64,0))</f>
        <v/>
      </c>
      <c r="T64">
        <f>IF(P64="Debtor",J64,IF(P64="Creditor",I64,0))</f>
        <v/>
      </c>
      <c r="U64">
        <f>IF(OR(S64=0,B64=""),0,IFERROR(VLOOKUP(C64,'Parties'!$B$13:$Q$112,13,FALSE),0)+SUMIFS($S$7:$S$506,$C$7:$C$506,C64,$B$7:$B$506,"&lt;"&amp;B64)+SUMIFS(S$7:S64,C$7:C64,C64,B$7:B64,B64))</f>
        <v/>
      </c>
      <c r="V64">
        <f>IF(S64=0,0,IFERROR(VLOOKUP(C64,'Parties'!$B$13:$Q$112,14,FALSE),0)+SUMIFS($T$7:$T$506,$C$7:$C$506,C64,$B$7:$B$506,"&lt;="&amp;'Outstanding'!$E$5))</f>
        <v/>
      </c>
      <c r="W64">
        <f>IF(OR('Outstanding'!$E$5="",S64=0,B64="",B64&gt;'Outstanding'!$E$5),0,MAX(0,MIN(S64,U64-V64)))</f>
        <v/>
      </c>
      <c r="X64">
        <f>IF(C64="",0,IFERROR(VLOOKUP(C64,'Parties'!$B$13:$Q$112,15,FALSE),0))</f>
        <v/>
      </c>
      <c r="Y64">
        <f>IF(C64="","",IFERROR(VLOOKUP(C64,'Parties'!$B$13:$Q$112,16,FALSE),0))</f>
        <v/>
      </c>
      <c r="Z64">
        <f>IF(OR(S64=0,B64="",Y64=""),"",IF(AND(F64&lt;&gt;"",D64="Purchase bill"),F64,B64)+Y64)</f>
        <v/>
      </c>
      <c r="AA64">
        <f>IF(OR(W64=0,Z64=""),0,MAX(0,'Outstanding'!$E$5-Z64))</f>
        <v/>
      </c>
      <c r="AB64">
        <f>IF(AND(X64=1,AA64&gt;0),W64*((1+3*N('Parties'!$E$10)/12)^(AA64*12/365)-1),0)</f>
        <v/>
      </c>
      <c r="AC64">
        <f>IF(W64=0,"",'Outstanding'!$E$5-B64)</f>
        <v/>
      </c>
      <c r="AD64">
        <f>IF(S64=0,0,IFERROR(VLOOKUP(C64,'Parties'!$B$13:$Q$112,14,FALSE),0)+SUMIFS($T$7:$T$506,$C$7:$C$506,C64,$B$7:$B$506,"&lt;="&amp;'Parties'!$E$8))</f>
        <v/>
      </c>
      <c r="AE64">
        <f>IF(OR('Parties'!$E$8="",S64=0,B64="",B64&gt;'Parties'!$E$8),0,MAX(0,MIN(S64,U64-AD64)))</f>
        <v/>
      </c>
      <c r="AF64">
        <f>IF(AND(P64="Creditor",X64=1,AE64&gt;0,Z64&lt;&gt;""),IF(Z64&lt;='Parties'!$E$8,AE64,0),0)</f>
        <v/>
      </c>
      <c r="AG64">
        <f>IF(OR(AE64=0,Z64=""),0,MAX(0,'Parties'!$E$8-Z64))</f>
        <v/>
      </c>
      <c r="AH64">
        <f>IF(AND(P64="Creditor",X64=1,AG64&gt;0),AE64*((1+3*N('Parties'!$E$10)/12)^(AG64*12/365)-1),0)</f>
        <v/>
      </c>
      <c r="AI64">
        <f>IF(AND(C64&lt;&gt;"",C64='Ledger Account'!$D$4,B64&lt;&gt;"",B64&gt;='Ledger Account'!$D$5,B64&lt;='Ledger Account'!$D$6),1,0)</f>
        <v/>
      </c>
      <c r="AJ64">
        <f>IF(AI64=1,SUM(AI$7:AI64),"")</f>
        <v/>
      </c>
      <c r="AK64">
        <f>IF(OR(N64="",N64="OK"),0,1)</f>
        <v/>
      </c>
    </row>
    <row r="65">
      <c r="B65" s="24" t="n"/>
      <c r="C65" s="14" t="n"/>
      <c r="D65" s="14" t="n"/>
      <c r="E65" s="20" t="n"/>
      <c r="F65" s="24" t="n"/>
      <c r="G65" s="14" t="n"/>
      <c r="H65" s="22" t="n"/>
      <c r="I65" s="25">
        <f>IF(Q65="D",N(H65),0)</f>
        <v/>
      </c>
      <c r="J65" s="25">
        <f>IF(Q65="C",N(H65),0)</f>
        <v/>
      </c>
      <c r="K65" s="26">
        <f>IF(Z65="","",Z65)</f>
        <v/>
      </c>
      <c r="L65" s="27">
        <f>W65</f>
        <v/>
      </c>
      <c r="M65" s="28">
        <f>AA65</f>
        <v/>
      </c>
      <c r="N65" s="23">
        <f>IF(AND(B65="",C65="",D65="",N(H65)=0),"",IF(B65="","Enter the date",IF(C65="","Pick the party",IF(P65="?","Add this party on the Parties sheet first",IF(D65="","Pick the entry type",IF(Q65="?","Pick the entry type from the list",IF(N(H65)=0,"Enter the amount",IF(AND(R65&lt;&gt;"Any",R65&lt;&gt;P65),"Sales, receipts and credit notes are for debtors; purchases, payments and debit notes for creditors",IF(AND(F65&lt;&gt;"",D65&lt;&gt;"Purchase bill"),"The received-on date is only for purchase bills",IF(AND(P65="Creditor",X65=1,AA65&gt;0),"Past due to a micro or small supplier: interest runs under MSMED s.16, and if unpaid at year end it is not deductible that year, s.37(2)(g)",IF(AND(P65="Debtor",X65=1,AA65&gt;0),"Past due to you: as a micro or small supplier you can claim interest under MSMED s.16","OK")))))))))))</f>
        <v/>
      </c>
      <c r="P65">
        <f>IF(C65="","",IFERROR(VLOOKUP(C65,'Parties'!$B$13:$Q$112,2,FALSE),"?"))</f>
        <v/>
      </c>
      <c r="Q65">
        <f>IF(D65="","",IFERROR(VLOOKUP(D65,Lists!$A$2:$D$9,3,FALSE),"?"))</f>
        <v/>
      </c>
      <c r="R65">
        <f>IF(D65="","",IFERROR(VLOOKUP(D65,Lists!$A$2:$D$9,4,FALSE),"?"))</f>
        <v/>
      </c>
      <c r="S65">
        <f>IF(P65="Debtor",I65,IF(P65="Creditor",J65,0))</f>
        <v/>
      </c>
      <c r="T65">
        <f>IF(P65="Debtor",J65,IF(P65="Creditor",I65,0))</f>
        <v/>
      </c>
      <c r="U65">
        <f>IF(OR(S65=0,B65=""),0,IFERROR(VLOOKUP(C65,'Parties'!$B$13:$Q$112,13,FALSE),0)+SUMIFS($S$7:$S$506,$C$7:$C$506,C65,$B$7:$B$506,"&lt;"&amp;B65)+SUMIFS(S$7:S65,C$7:C65,C65,B$7:B65,B65))</f>
        <v/>
      </c>
      <c r="V65">
        <f>IF(S65=0,0,IFERROR(VLOOKUP(C65,'Parties'!$B$13:$Q$112,14,FALSE),0)+SUMIFS($T$7:$T$506,$C$7:$C$506,C65,$B$7:$B$506,"&lt;="&amp;'Outstanding'!$E$5))</f>
        <v/>
      </c>
      <c r="W65">
        <f>IF(OR('Outstanding'!$E$5="",S65=0,B65="",B65&gt;'Outstanding'!$E$5),0,MAX(0,MIN(S65,U65-V65)))</f>
        <v/>
      </c>
      <c r="X65">
        <f>IF(C65="",0,IFERROR(VLOOKUP(C65,'Parties'!$B$13:$Q$112,15,FALSE),0))</f>
        <v/>
      </c>
      <c r="Y65">
        <f>IF(C65="","",IFERROR(VLOOKUP(C65,'Parties'!$B$13:$Q$112,16,FALSE),0))</f>
        <v/>
      </c>
      <c r="Z65">
        <f>IF(OR(S65=0,B65="",Y65=""),"",IF(AND(F65&lt;&gt;"",D65="Purchase bill"),F65,B65)+Y65)</f>
        <v/>
      </c>
      <c r="AA65">
        <f>IF(OR(W65=0,Z65=""),0,MAX(0,'Outstanding'!$E$5-Z65))</f>
        <v/>
      </c>
      <c r="AB65">
        <f>IF(AND(X65=1,AA65&gt;0),W65*((1+3*N('Parties'!$E$10)/12)^(AA65*12/365)-1),0)</f>
        <v/>
      </c>
      <c r="AC65">
        <f>IF(W65=0,"",'Outstanding'!$E$5-B65)</f>
        <v/>
      </c>
      <c r="AD65">
        <f>IF(S65=0,0,IFERROR(VLOOKUP(C65,'Parties'!$B$13:$Q$112,14,FALSE),0)+SUMIFS($T$7:$T$506,$C$7:$C$506,C65,$B$7:$B$506,"&lt;="&amp;'Parties'!$E$8))</f>
        <v/>
      </c>
      <c r="AE65">
        <f>IF(OR('Parties'!$E$8="",S65=0,B65="",B65&gt;'Parties'!$E$8),0,MAX(0,MIN(S65,U65-AD65)))</f>
        <v/>
      </c>
      <c r="AF65">
        <f>IF(AND(P65="Creditor",X65=1,AE65&gt;0,Z65&lt;&gt;""),IF(Z65&lt;='Parties'!$E$8,AE65,0),0)</f>
        <v/>
      </c>
      <c r="AG65">
        <f>IF(OR(AE65=0,Z65=""),0,MAX(0,'Parties'!$E$8-Z65))</f>
        <v/>
      </c>
      <c r="AH65">
        <f>IF(AND(P65="Creditor",X65=1,AG65&gt;0),AE65*((1+3*N('Parties'!$E$10)/12)^(AG65*12/365)-1),0)</f>
        <v/>
      </c>
      <c r="AI65">
        <f>IF(AND(C65&lt;&gt;"",C65='Ledger Account'!$D$4,B65&lt;&gt;"",B65&gt;='Ledger Account'!$D$5,B65&lt;='Ledger Account'!$D$6),1,0)</f>
        <v/>
      </c>
      <c r="AJ65">
        <f>IF(AI65=1,SUM(AI$7:AI65),"")</f>
        <v/>
      </c>
      <c r="AK65">
        <f>IF(OR(N65="",N65="OK"),0,1)</f>
        <v/>
      </c>
    </row>
    <row r="66">
      <c r="B66" s="24" t="n"/>
      <c r="C66" s="14" t="n"/>
      <c r="D66" s="14" t="n"/>
      <c r="E66" s="20" t="n"/>
      <c r="F66" s="24" t="n"/>
      <c r="G66" s="14" t="n"/>
      <c r="H66" s="22" t="n"/>
      <c r="I66" s="25">
        <f>IF(Q66="D",N(H66),0)</f>
        <v/>
      </c>
      <c r="J66" s="25">
        <f>IF(Q66="C",N(H66),0)</f>
        <v/>
      </c>
      <c r="K66" s="26">
        <f>IF(Z66="","",Z66)</f>
        <v/>
      </c>
      <c r="L66" s="27">
        <f>W66</f>
        <v/>
      </c>
      <c r="M66" s="28">
        <f>AA66</f>
        <v/>
      </c>
      <c r="N66" s="23">
        <f>IF(AND(B66="",C66="",D66="",N(H66)=0),"",IF(B66="","Enter the date",IF(C66="","Pick the party",IF(P66="?","Add this party on the Parties sheet first",IF(D66="","Pick the entry type",IF(Q66="?","Pick the entry type from the list",IF(N(H66)=0,"Enter the amount",IF(AND(R66&lt;&gt;"Any",R66&lt;&gt;P66),"Sales, receipts and credit notes are for debtors; purchases, payments and debit notes for creditors",IF(AND(F66&lt;&gt;"",D66&lt;&gt;"Purchase bill"),"The received-on date is only for purchase bills",IF(AND(P66="Creditor",X66=1,AA66&gt;0),"Past due to a micro or small supplier: interest runs under MSMED s.16, and if unpaid at year end it is not deductible that year, s.37(2)(g)",IF(AND(P66="Debtor",X66=1,AA66&gt;0),"Past due to you: as a micro or small supplier you can claim interest under MSMED s.16","OK")))))))))))</f>
        <v/>
      </c>
      <c r="P66">
        <f>IF(C66="","",IFERROR(VLOOKUP(C66,'Parties'!$B$13:$Q$112,2,FALSE),"?"))</f>
        <v/>
      </c>
      <c r="Q66">
        <f>IF(D66="","",IFERROR(VLOOKUP(D66,Lists!$A$2:$D$9,3,FALSE),"?"))</f>
        <v/>
      </c>
      <c r="R66">
        <f>IF(D66="","",IFERROR(VLOOKUP(D66,Lists!$A$2:$D$9,4,FALSE),"?"))</f>
        <v/>
      </c>
      <c r="S66">
        <f>IF(P66="Debtor",I66,IF(P66="Creditor",J66,0))</f>
        <v/>
      </c>
      <c r="T66">
        <f>IF(P66="Debtor",J66,IF(P66="Creditor",I66,0))</f>
        <v/>
      </c>
      <c r="U66">
        <f>IF(OR(S66=0,B66=""),0,IFERROR(VLOOKUP(C66,'Parties'!$B$13:$Q$112,13,FALSE),0)+SUMIFS($S$7:$S$506,$C$7:$C$506,C66,$B$7:$B$506,"&lt;"&amp;B66)+SUMIFS(S$7:S66,C$7:C66,C66,B$7:B66,B66))</f>
        <v/>
      </c>
      <c r="V66">
        <f>IF(S66=0,0,IFERROR(VLOOKUP(C66,'Parties'!$B$13:$Q$112,14,FALSE),0)+SUMIFS($T$7:$T$506,$C$7:$C$506,C66,$B$7:$B$506,"&lt;="&amp;'Outstanding'!$E$5))</f>
        <v/>
      </c>
      <c r="W66">
        <f>IF(OR('Outstanding'!$E$5="",S66=0,B66="",B66&gt;'Outstanding'!$E$5),0,MAX(0,MIN(S66,U66-V66)))</f>
        <v/>
      </c>
      <c r="X66">
        <f>IF(C66="",0,IFERROR(VLOOKUP(C66,'Parties'!$B$13:$Q$112,15,FALSE),0))</f>
        <v/>
      </c>
      <c r="Y66">
        <f>IF(C66="","",IFERROR(VLOOKUP(C66,'Parties'!$B$13:$Q$112,16,FALSE),0))</f>
        <v/>
      </c>
      <c r="Z66">
        <f>IF(OR(S66=0,B66="",Y66=""),"",IF(AND(F66&lt;&gt;"",D66="Purchase bill"),F66,B66)+Y66)</f>
        <v/>
      </c>
      <c r="AA66">
        <f>IF(OR(W66=0,Z66=""),0,MAX(0,'Outstanding'!$E$5-Z66))</f>
        <v/>
      </c>
      <c r="AB66">
        <f>IF(AND(X66=1,AA66&gt;0),W66*((1+3*N('Parties'!$E$10)/12)^(AA66*12/365)-1),0)</f>
        <v/>
      </c>
      <c r="AC66">
        <f>IF(W66=0,"",'Outstanding'!$E$5-B66)</f>
        <v/>
      </c>
      <c r="AD66">
        <f>IF(S66=0,0,IFERROR(VLOOKUP(C66,'Parties'!$B$13:$Q$112,14,FALSE),0)+SUMIFS($T$7:$T$506,$C$7:$C$506,C66,$B$7:$B$506,"&lt;="&amp;'Parties'!$E$8))</f>
        <v/>
      </c>
      <c r="AE66">
        <f>IF(OR('Parties'!$E$8="",S66=0,B66="",B66&gt;'Parties'!$E$8),0,MAX(0,MIN(S66,U66-AD66)))</f>
        <v/>
      </c>
      <c r="AF66">
        <f>IF(AND(P66="Creditor",X66=1,AE66&gt;0,Z66&lt;&gt;""),IF(Z66&lt;='Parties'!$E$8,AE66,0),0)</f>
        <v/>
      </c>
      <c r="AG66">
        <f>IF(OR(AE66=0,Z66=""),0,MAX(0,'Parties'!$E$8-Z66))</f>
        <v/>
      </c>
      <c r="AH66">
        <f>IF(AND(P66="Creditor",X66=1,AG66&gt;0),AE66*((1+3*N('Parties'!$E$10)/12)^(AG66*12/365)-1),0)</f>
        <v/>
      </c>
      <c r="AI66">
        <f>IF(AND(C66&lt;&gt;"",C66='Ledger Account'!$D$4,B66&lt;&gt;"",B66&gt;='Ledger Account'!$D$5,B66&lt;='Ledger Account'!$D$6),1,0)</f>
        <v/>
      </c>
      <c r="AJ66">
        <f>IF(AI66=1,SUM(AI$7:AI66),"")</f>
        <v/>
      </c>
      <c r="AK66">
        <f>IF(OR(N66="",N66="OK"),0,1)</f>
        <v/>
      </c>
    </row>
    <row r="67">
      <c r="B67" s="24" t="n"/>
      <c r="C67" s="14" t="n"/>
      <c r="D67" s="14" t="n"/>
      <c r="E67" s="20" t="n"/>
      <c r="F67" s="24" t="n"/>
      <c r="G67" s="14" t="n"/>
      <c r="H67" s="22" t="n"/>
      <c r="I67" s="25">
        <f>IF(Q67="D",N(H67),0)</f>
        <v/>
      </c>
      <c r="J67" s="25">
        <f>IF(Q67="C",N(H67),0)</f>
        <v/>
      </c>
      <c r="K67" s="26">
        <f>IF(Z67="","",Z67)</f>
        <v/>
      </c>
      <c r="L67" s="27">
        <f>W67</f>
        <v/>
      </c>
      <c r="M67" s="28">
        <f>AA67</f>
        <v/>
      </c>
      <c r="N67" s="23">
        <f>IF(AND(B67="",C67="",D67="",N(H67)=0),"",IF(B67="","Enter the date",IF(C67="","Pick the party",IF(P67="?","Add this party on the Parties sheet first",IF(D67="","Pick the entry type",IF(Q67="?","Pick the entry type from the list",IF(N(H67)=0,"Enter the amount",IF(AND(R67&lt;&gt;"Any",R67&lt;&gt;P67),"Sales, receipts and credit notes are for debtors; purchases, payments and debit notes for creditors",IF(AND(F67&lt;&gt;"",D67&lt;&gt;"Purchase bill"),"The received-on date is only for purchase bills",IF(AND(P67="Creditor",X67=1,AA67&gt;0),"Past due to a micro or small supplier: interest runs under MSMED s.16, and if unpaid at year end it is not deductible that year, s.37(2)(g)",IF(AND(P67="Debtor",X67=1,AA67&gt;0),"Past due to you: as a micro or small supplier you can claim interest under MSMED s.16","OK")))))))))))</f>
        <v/>
      </c>
      <c r="P67">
        <f>IF(C67="","",IFERROR(VLOOKUP(C67,'Parties'!$B$13:$Q$112,2,FALSE),"?"))</f>
        <v/>
      </c>
      <c r="Q67">
        <f>IF(D67="","",IFERROR(VLOOKUP(D67,Lists!$A$2:$D$9,3,FALSE),"?"))</f>
        <v/>
      </c>
      <c r="R67">
        <f>IF(D67="","",IFERROR(VLOOKUP(D67,Lists!$A$2:$D$9,4,FALSE),"?"))</f>
        <v/>
      </c>
      <c r="S67">
        <f>IF(P67="Debtor",I67,IF(P67="Creditor",J67,0))</f>
        <v/>
      </c>
      <c r="T67">
        <f>IF(P67="Debtor",J67,IF(P67="Creditor",I67,0))</f>
        <v/>
      </c>
      <c r="U67">
        <f>IF(OR(S67=0,B67=""),0,IFERROR(VLOOKUP(C67,'Parties'!$B$13:$Q$112,13,FALSE),0)+SUMIFS($S$7:$S$506,$C$7:$C$506,C67,$B$7:$B$506,"&lt;"&amp;B67)+SUMIFS(S$7:S67,C$7:C67,C67,B$7:B67,B67))</f>
        <v/>
      </c>
      <c r="V67">
        <f>IF(S67=0,0,IFERROR(VLOOKUP(C67,'Parties'!$B$13:$Q$112,14,FALSE),0)+SUMIFS($T$7:$T$506,$C$7:$C$506,C67,$B$7:$B$506,"&lt;="&amp;'Outstanding'!$E$5))</f>
        <v/>
      </c>
      <c r="W67">
        <f>IF(OR('Outstanding'!$E$5="",S67=0,B67="",B67&gt;'Outstanding'!$E$5),0,MAX(0,MIN(S67,U67-V67)))</f>
        <v/>
      </c>
      <c r="X67">
        <f>IF(C67="",0,IFERROR(VLOOKUP(C67,'Parties'!$B$13:$Q$112,15,FALSE),0))</f>
        <v/>
      </c>
      <c r="Y67">
        <f>IF(C67="","",IFERROR(VLOOKUP(C67,'Parties'!$B$13:$Q$112,16,FALSE),0))</f>
        <v/>
      </c>
      <c r="Z67">
        <f>IF(OR(S67=0,B67="",Y67=""),"",IF(AND(F67&lt;&gt;"",D67="Purchase bill"),F67,B67)+Y67)</f>
        <v/>
      </c>
      <c r="AA67">
        <f>IF(OR(W67=0,Z67=""),0,MAX(0,'Outstanding'!$E$5-Z67))</f>
        <v/>
      </c>
      <c r="AB67">
        <f>IF(AND(X67=1,AA67&gt;0),W67*((1+3*N('Parties'!$E$10)/12)^(AA67*12/365)-1),0)</f>
        <v/>
      </c>
      <c r="AC67">
        <f>IF(W67=0,"",'Outstanding'!$E$5-B67)</f>
        <v/>
      </c>
      <c r="AD67">
        <f>IF(S67=0,0,IFERROR(VLOOKUP(C67,'Parties'!$B$13:$Q$112,14,FALSE),0)+SUMIFS($T$7:$T$506,$C$7:$C$506,C67,$B$7:$B$506,"&lt;="&amp;'Parties'!$E$8))</f>
        <v/>
      </c>
      <c r="AE67">
        <f>IF(OR('Parties'!$E$8="",S67=0,B67="",B67&gt;'Parties'!$E$8),0,MAX(0,MIN(S67,U67-AD67)))</f>
        <v/>
      </c>
      <c r="AF67">
        <f>IF(AND(P67="Creditor",X67=1,AE67&gt;0,Z67&lt;&gt;""),IF(Z67&lt;='Parties'!$E$8,AE67,0),0)</f>
        <v/>
      </c>
      <c r="AG67">
        <f>IF(OR(AE67=0,Z67=""),0,MAX(0,'Parties'!$E$8-Z67))</f>
        <v/>
      </c>
      <c r="AH67">
        <f>IF(AND(P67="Creditor",X67=1,AG67&gt;0),AE67*((1+3*N('Parties'!$E$10)/12)^(AG67*12/365)-1),0)</f>
        <v/>
      </c>
      <c r="AI67">
        <f>IF(AND(C67&lt;&gt;"",C67='Ledger Account'!$D$4,B67&lt;&gt;"",B67&gt;='Ledger Account'!$D$5,B67&lt;='Ledger Account'!$D$6),1,0)</f>
        <v/>
      </c>
      <c r="AJ67">
        <f>IF(AI67=1,SUM(AI$7:AI67),"")</f>
        <v/>
      </c>
      <c r="AK67">
        <f>IF(OR(N67="",N67="OK"),0,1)</f>
        <v/>
      </c>
    </row>
    <row r="68">
      <c r="B68" s="24" t="n"/>
      <c r="C68" s="14" t="n"/>
      <c r="D68" s="14" t="n"/>
      <c r="E68" s="20" t="n"/>
      <c r="F68" s="24" t="n"/>
      <c r="G68" s="14" t="n"/>
      <c r="H68" s="22" t="n"/>
      <c r="I68" s="25">
        <f>IF(Q68="D",N(H68),0)</f>
        <v/>
      </c>
      <c r="J68" s="25">
        <f>IF(Q68="C",N(H68),0)</f>
        <v/>
      </c>
      <c r="K68" s="26">
        <f>IF(Z68="","",Z68)</f>
        <v/>
      </c>
      <c r="L68" s="27">
        <f>W68</f>
        <v/>
      </c>
      <c r="M68" s="28">
        <f>AA68</f>
        <v/>
      </c>
      <c r="N68" s="23">
        <f>IF(AND(B68="",C68="",D68="",N(H68)=0),"",IF(B68="","Enter the date",IF(C68="","Pick the party",IF(P68="?","Add this party on the Parties sheet first",IF(D68="","Pick the entry type",IF(Q68="?","Pick the entry type from the list",IF(N(H68)=0,"Enter the amount",IF(AND(R68&lt;&gt;"Any",R68&lt;&gt;P68),"Sales, receipts and credit notes are for debtors; purchases, payments and debit notes for creditors",IF(AND(F68&lt;&gt;"",D68&lt;&gt;"Purchase bill"),"The received-on date is only for purchase bills",IF(AND(P68="Creditor",X68=1,AA68&gt;0),"Past due to a micro or small supplier: interest runs under MSMED s.16, and if unpaid at year end it is not deductible that year, s.37(2)(g)",IF(AND(P68="Debtor",X68=1,AA68&gt;0),"Past due to you: as a micro or small supplier you can claim interest under MSMED s.16","OK")))))))))))</f>
        <v/>
      </c>
      <c r="P68">
        <f>IF(C68="","",IFERROR(VLOOKUP(C68,'Parties'!$B$13:$Q$112,2,FALSE),"?"))</f>
        <v/>
      </c>
      <c r="Q68">
        <f>IF(D68="","",IFERROR(VLOOKUP(D68,Lists!$A$2:$D$9,3,FALSE),"?"))</f>
        <v/>
      </c>
      <c r="R68">
        <f>IF(D68="","",IFERROR(VLOOKUP(D68,Lists!$A$2:$D$9,4,FALSE),"?"))</f>
        <v/>
      </c>
      <c r="S68">
        <f>IF(P68="Debtor",I68,IF(P68="Creditor",J68,0))</f>
        <v/>
      </c>
      <c r="T68">
        <f>IF(P68="Debtor",J68,IF(P68="Creditor",I68,0))</f>
        <v/>
      </c>
      <c r="U68">
        <f>IF(OR(S68=0,B68=""),0,IFERROR(VLOOKUP(C68,'Parties'!$B$13:$Q$112,13,FALSE),0)+SUMIFS($S$7:$S$506,$C$7:$C$506,C68,$B$7:$B$506,"&lt;"&amp;B68)+SUMIFS(S$7:S68,C$7:C68,C68,B$7:B68,B68))</f>
        <v/>
      </c>
      <c r="V68">
        <f>IF(S68=0,0,IFERROR(VLOOKUP(C68,'Parties'!$B$13:$Q$112,14,FALSE),0)+SUMIFS($T$7:$T$506,$C$7:$C$506,C68,$B$7:$B$506,"&lt;="&amp;'Outstanding'!$E$5))</f>
        <v/>
      </c>
      <c r="W68">
        <f>IF(OR('Outstanding'!$E$5="",S68=0,B68="",B68&gt;'Outstanding'!$E$5),0,MAX(0,MIN(S68,U68-V68)))</f>
        <v/>
      </c>
      <c r="X68">
        <f>IF(C68="",0,IFERROR(VLOOKUP(C68,'Parties'!$B$13:$Q$112,15,FALSE),0))</f>
        <v/>
      </c>
      <c r="Y68">
        <f>IF(C68="","",IFERROR(VLOOKUP(C68,'Parties'!$B$13:$Q$112,16,FALSE),0))</f>
        <v/>
      </c>
      <c r="Z68">
        <f>IF(OR(S68=0,B68="",Y68=""),"",IF(AND(F68&lt;&gt;"",D68="Purchase bill"),F68,B68)+Y68)</f>
        <v/>
      </c>
      <c r="AA68">
        <f>IF(OR(W68=0,Z68=""),0,MAX(0,'Outstanding'!$E$5-Z68))</f>
        <v/>
      </c>
      <c r="AB68">
        <f>IF(AND(X68=1,AA68&gt;0),W68*((1+3*N('Parties'!$E$10)/12)^(AA68*12/365)-1),0)</f>
        <v/>
      </c>
      <c r="AC68">
        <f>IF(W68=0,"",'Outstanding'!$E$5-B68)</f>
        <v/>
      </c>
      <c r="AD68">
        <f>IF(S68=0,0,IFERROR(VLOOKUP(C68,'Parties'!$B$13:$Q$112,14,FALSE),0)+SUMIFS($T$7:$T$506,$C$7:$C$506,C68,$B$7:$B$506,"&lt;="&amp;'Parties'!$E$8))</f>
        <v/>
      </c>
      <c r="AE68">
        <f>IF(OR('Parties'!$E$8="",S68=0,B68="",B68&gt;'Parties'!$E$8),0,MAX(0,MIN(S68,U68-AD68)))</f>
        <v/>
      </c>
      <c r="AF68">
        <f>IF(AND(P68="Creditor",X68=1,AE68&gt;0,Z68&lt;&gt;""),IF(Z68&lt;='Parties'!$E$8,AE68,0),0)</f>
        <v/>
      </c>
      <c r="AG68">
        <f>IF(OR(AE68=0,Z68=""),0,MAX(0,'Parties'!$E$8-Z68))</f>
        <v/>
      </c>
      <c r="AH68">
        <f>IF(AND(P68="Creditor",X68=1,AG68&gt;0),AE68*((1+3*N('Parties'!$E$10)/12)^(AG68*12/365)-1),0)</f>
        <v/>
      </c>
      <c r="AI68">
        <f>IF(AND(C68&lt;&gt;"",C68='Ledger Account'!$D$4,B68&lt;&gt;"",B68&gt;='Ledger Account'!$D$5,B68&lt;='Ledger Account'!$D$6),1,0)</f>
        <v/>
      </c>
      <c r="AJ68">
        <f>IF(AI68=1,SUM(AI$7:AI68),"")</f>
        <v/>
      </c>
      <c r="AK68">
        <f>IF(OR(N68="",N68="OK"),0,1)</f>
        <v/>
      </c>
    </row>
    <row r="69">
      <c r="B69" s="24" t="n"/>
      <c r="C69" s="14" t="n"/>
      <c r="D69" s="14" t="n"/>
      <c r="E69" s="20" t="n"/>
      <c r="F69" s="24" t="n"/>
      <c r="G69" s="14" t="n"/>
      <c r="H69" s="22" t="n"/>
      <c r="I69" s="25">
        <f>IF(Q69="D",N(H69),0)</f>
        <v/>
      </c>
      <c r="J69" s="25">
        <f>IF(Q69="C",N(H69),0)</f>
        <v/>
      </c>
      <c r="K69" s="26">
        <f>IF(Z69="","",Z69)</f>
        <v/>
      </c>
      <c r="L69" s="27">
        <f>W69</f>
        <v/>
      </c>
      <c r="M69" s="28">
        <f>AA69</f>
        <v/>
      </c>
      <c r="N69" s="23">
        <f>IF(AND(B69="",C69="",D69="",N(H69)=0),"",IF(B69="","Enter the date",IF(C69="","Pick the party",IF(P69="?","Add this party on the Parties sheet first",IF(D69="","Pick the entry type",IF(Q69="?","Pick the entry type from the list",IF(N(H69)=0,"Enter the amount",IF(AND(R69&lt;&gt;"Any",R69&lt;&gt;P69),"Sales, receipts and credit notes are for debtors; purchases, payments and debit notes for creditors",IF(AND(F69&lt;&gt;"",D69&lt;&gt;"Purchase bill"),"The received-on date is only for purchase bills",IF(AND(P69="Creditor",X69=1,AA69&gt;0),"Past due to a micro or small supplier: interest runs under MSMED s.16, and if unpaid at year end it is not deductible that year, s.37(2)(g)",IF(AND(P69="Debtor",X69=1,AA69&gt;0),"Past due to you: as a micro or small supplier you can claim interest under MSMED s.16","OK")))))))))))</f>
        <v/>
      </c>
      <c r="P69">
        <f>IF(C69="","",IFERROR(VLOOKUP(C69,'Parties'!$B$13:$Q$112,2,FALSE),"?"))</f>
        <v/>
      </c>
      <c r="Q69">
        <f>IF(D69="","",IFERROR(VLOOKUP(D69,Lists!$A$2:$D$9,3,FALSE),"?"))</f>
        <v/>
      </c>
      <c r="R69">
        <f>IF(D69="","",IFERROR(VLOOKUP(D69,Lists!$A$2:$D$9,4,FALSE),"?"))</f>
        <v/>
      </c>
      <c r="S69">
        <f>IF(P69="Debtor",I69,IF(P69="Creditor",J69,0))</f>
        <v/>
      </c>
      <c r="T69">
        <f>IF(P69="Debtor",J69,IF(P69="Creditor",I69,0))</f>
        <v/>
      </c>
      <c r="U69">
        <f>IF(OR(S69=0,B69=""),0,IFERROR(VLOOKUP(C69,'Parties'!$B$13:$Q$112,13,FALSE),0)+SUMIFS($S$7:$S$506,$C$7:$C$506,C69,$B$7:$B$506,"&lt;"&amp;B69)+SUMIFS(S$7:S69,C$7:C69,C69,B$7:B69,B69))</f>
        <v/>
      </c>
      <c r="V69">
        <f>IF(S69=0,0,IFERROR(VLOOKUP(C69,'Parties'!$B$13:$Q$112,14,FALSE),0)+SUMIFS($T$7:$T$506,$C$7:$C$506,C69,$B$7:$B$506,"&lt;="&amp;'Outstanding'!$E$5))</f>
        <v/>
      </c>
      <c r="W69">
        <f>IF(OR('Outstanding'!$E$5="",S69=0,B69="",B69&gt;'Outstanding'!$E$5),0,MAX(0,MIN(S69,U69-V69)))</f>
        <v/>
      </c>
      <c r="X69">
        <f>IF(C69="",0,IFERROR(VLOOKUP(C69,'Parties'!$B$13:$Q$112,15,FALSE),0))</f>
        <v/>
      </c>
      <c r="Y69">
        <f>IF(C69="","",IFERROR(VLOOKUP(C69,'Parties'!$B$13:$Q$112,16,FALSE),0))</f>
        <v/>
      </c>
      <c r="Z69">
        <f>IF(OR(S69=0,B69="",Y69=""),"",IF(AND(F69&lt;&gt;"",D69="Purchase bill"),F69,B69)+Y69)</f>
        <v/>
      </c>
      <c r="AA69">
        <f>IF(OR(W69=0,Z69=""),0,MAX(0,'Outstanding'!$E$5-Z69))</f>
        <v/>
      </c>
      <c r="AB69">
        <f>IF(AND(X69=1,AA69&gt;0),W69*((1+3*N('Parties'!$E$10)/12)^(AA69*12/365)-1),0)</f>
        <v/>
      </c>
      <c r="AC69">
        <f>IF(W69=0,"",'Outstanding'!$E$5-B69)</f>
        <v/>
      </c>
      <c r="AD69">
        <f>IF(S69=0,0,IFERROR(VLOOKUP(C69,'Parties'!$B$13:$Q$112,14,FALSE),0)+SUMIFS($T$7:$T$506,$C$7:$C$506,C69,$B$7:$B$506,"&lt;="&amp;'Parties'!$E$8))</f>
        <v/>
      </c>
      <c r="AE69">
        <f>IF(OR('Parties'!$E$8="",S69=0,B69="",B69&gt;'Parties'!$E$8),0,MAX(0,MIN(S69,U69-AD69)))</f>
        <v/>
      </c>
      <c r="AF69">
        <f>IF(AND(P69="Creditor",X69=1,AE69&gt;0,Z69&lt;&gt;""),IF(Z69&lt;='Parties'!$E$8,AE69,0),0)</f>
        <v/>
      </c>
      <c r="AG69">
        <f>IF(OR(AE69=0,Z69=""),0,MAX(0,'Parties'!$E$8-Z69))</f>
        <v/>
      </c>
      <c r="AH69">
        <f>IF(AND(P69="Creditor",X69=1,AG69&gt;0),AE69*((1+3*N('Parties'!$E$10)/12)^(AG69*12/365)-1),0)</f>
        <v/>
      </c>
      <c r="AI69">
        <f>IF(AND(C69&lt;&gt;"",C69='Ledger Account'!$D$4,B69&lt;&gt;"",B69&gt;='Ledger Account'!$D$5,B69&lt;='Ledger Account'!$D$6),1,0)</f>
        <v/>
      </c>
      <c r="AJ69">
        <f>IF(AI69=1,SUM(AI$7:AI69),"")</f>
        <v/>
      </c>
      <c r="AK69">
        <f>IF(OR(N69="",N69="OK"),0,1)</f>
        <v/>
      </c>
    </row>
    <row r="70">
      <c r="B70" s="24" t="n"/>
      <c r="C70" s="14" t="n"/>
      <c r="D70" s="14" t="n"/>
      <c r="E70" s="20" t="n"/>
      <c r="F70" s="24" t="n"/>
      <c r="G70" s="14" t="n"/>
      <c r="H70" s="22" t="n"/>
      <c r="I70" s="25">
        <f>IF(Q70="D",N(H70),0)</f>
        <v/>
      </c>
      <c r="J70" s="25">
        <f>IF(Q70="C",N(H70),0)</f>
        <v/>
      </c>
      <c r="K70" s="26">
        <f>IF(Z70="","",Z70)</f>
        <v/>
      </c>
      <c r="L70" s="27">
        <f>W70</f>
        <v/>
      </c>
      <c r="M70" s="28">
        <f>AA70</f>
        <v/>
      </c>
      <c r="N70" s="23">
        <f>IF(AND(B70="",C70="",D70="",N(H70)=0),"",IF(B70="","Enter the date",IF(C70="","Pick the party",IF(P70="?","Add this party on the Parties sheet first",IF(D70="","Pick the entry type",IF(Q70="?","Pick the entry type from the list",IF(N(H70)=0,"Enter the amount",IF(AND(R70&lt;&gt;"Any",R70&lt;&gt;P70),"Sales, receipts and credit notes are for debtors; purchases, payments and debit notes for creditors",IF(AND(F70&lt;&gt;"",D70&lt;&gt;"Purchase bill"),"The received-on date is only for purchase bills",IF(AND(P70="Creditor",X70=1,AA70&gt;0),"Past due to a micro or small supplier: interest runs under MSMED s.16, and if unpaid at year end it is not deductible that year, s.37(2)(g)",IF(AND(P70="Debtor",X70=1,AA70&gt;0),"Past due to you: as a micro or small supplier you can claim interest under MSMED s.16","OK")))))))))))</f>
        <v/>
      </c>
      <c r="P70">
        <f>IF(C70="","",IFERROR(VLOOKUP(C70,'Parties'!$B$13:$Q$112,2,FALSE),"?"))</f>
        <v/>
      </c>
      <c r="Q70">
        <f>IF(D70="","",IFERROR(VLOOKUP(D70,Lists!$A$2:$D$9,3,FALSE),"?"))</f>
        <v/>
      </c>
      <c r="R70">
        <f>IF(D70="","",IFERROR(VLOOKUP(D70,Lists!$A$2:$D$9,4,FALSE),"?"))</f>
        <v/>
      </c>
      <c r="S70">
        <f>IF(P70="Debtor",I70,IF(P70="Creditor",J70,0))</f>
        <v/>
      </c>
      <c r="T70">
        <f>IF(P70="Debtor",J70,IF(P70="Creditor",I70,0))</f>
        <v/>
      </c>
      <c r="U70">
        <f>IF(OR(S70=0,B70=""),0,IFERROR(VLOOKUP(C70,'Parties'!$B$13:$Q$112,13,FALSE),0)+SUMIFS($S$7:$S$506,$C$7:$C$506,C70,$B$7:$B$506,"&lt;"&amp;B70)+SUMIFS(S$7:S70,C$7:C70,C70,B$7:B70,B70))</f>
        <v/>
      </c>
      <c r="V70">
        <f>IF(S70=0,0,IFERROR(VLOOKUP(C70,'Parties'!$B$13:$Q$112,14,FALSE),0)+SUMIFS($T$7:$T$506,$C$7:$C$506,C70,$B$7:$B$506,"&lt;="&amp;'Outstanding'!$E$5))</f>
        <v/>
      </c>
      <c r="W70">
        <f>IF(OR('Outstanding'!$E$5="",S70=0,B70="",B70&gt;'Outstanding'!$E$5),0,MAX(0,MIN(S70,U70-V70)))</f>
        <v/>
      </c>
      <c r="X70">
        <f>IF(C70="",0,IFERROR(VLOOKUP(C70,'Parties'!$B$13:$Q$112,15,FALSE),0))</f>
        <v/>
      </c>
      <c r="Y70">
        <f>IF(C70="","",IFERROR(VLOOKUP(C70,'Parties'!$B$13:$Q$112,16,FALSE),0))</f>
        <v/>
      </c>
      <c r="Z70">
        <f>IF(OR(S70=0,B70="",Y70=""),"",IF(AND(F70&lt;&gt;"",D70="Purchase bill"),F70,B70)+Y70)</f>
        <v/>
      </c>
      <c r="AA70">
        <f>IF(OR(W70=0,Z70=""),0,MAX(0,'Outstanding'!$E$5-Z70))</f>
        <v/>
      </c>
      <c r="AB70">
        <f>IF(AND(X70=1,AA70&gt;0),W70*((1+3*N('Parties'!$E$10)/12)^(AA70*12/365)-1),0)</f>
        <v/>
      </c>
      <c r="AC70">
        <f>IF(W70=0,"",'Outstanding'!$E$5-B70)</f>
        <v/>
      </c>
      <c r="AD70">
        <f>IF(S70=0,0,IFERROR(VLOOKUP(C70,'Parties'!$B$13:$Q$112,14,FALSE),0)+SUMIFS($T$7:$T$506,$C$7:$C$506,C70,$B$7:$B$506,"&lt;="&amp;'Parties'!$E$8))</f>
        <v/>
      </c>
      <c r="AE70">
        <f>IF(OR('Parties'!$E$8="",S70=0,B70="",B70&gt;'Parties'!$E$8),0,MAX(0,MIN(S70,U70-AD70)))</f>
        <v/>
      </c>
      <c r="AF70">
        <f>IF(AND(P70="Creditor",X70=1,AE70&gt;0,Z70&lt;&gt;""),IF(Z70&lt;='Parties'!$E$8,AE70,0),0)</f>
        <v/>
      </c>
      <c r="AG70">
        <f>IF(OR(AE70=0,Z70=""),0,MAX(0,'Parties'!$E$8-Z70))</f>
        <v/>
      </c>
      <c r="AH70">
        <f>IF(AND(P70="Creditor",X70=1,AG70&gt;0),AE70*((1+3*N('Parties'!$E$10)/12)^(AG70*12/365)-1),0)</f>
        <v/>
      </c>
      <c r="AI70">
        <f>IF(AND(C70&lt;&gt;"",C70='Ledger Account'!$D$4,B70&lt;&gt;"",B70&gt;='Ledger Account'!$D$5,B70&lt;='Ledger Account'!$D$6),1,0)</f>
        <v/>
      </c>
      <c r="AJ70">
        <f>IF(AI70=1,SUM(AI$7:AI70),"")</f>
        <v/>
      </c>
      <c r="AK70">
        <f>IF(OR(N70="",N70="OK"),0,1)</f>
        <v/>
      </c>
    </row>
    <row r="71">
      <c r="B71" s="24" t="n"/>
      <c r="C71" s="14" t="n"/>
      <c r="D71" s="14" t="n"/>
      <c r="E71" s="20" t="n"/>
      <c r="F71" s="24" t="n"/>
      <c r="G71" s="14" t="n"/>
      <c r="H71" s="22" t="n"/>
      <c r="I71" s="25">
        <f>IF(Q71="D",N(H71),0)</f>
        <v/>
      </c>
      <c r="J71" s="25">
        <f>IF(Q71="C",N(H71),0)</f>
        <v/>
      </c>
      <c r="K71" s="26">
        <f>IF(Z71="","",Z71)</f>
        <v/>
      </c>
      <c r="L71" s="27">
        <f>W71</f>
        <v/>
      </c>
      <c r="M71" s="28">
        <f>AA71</f>
        <v/>
      </c>
      <c r="N71" s="23">
        <f>IF(AND(B71="",C71="",D71="",N(H71)=0),"",IF(B71="","Enter the date",IF(C71="","Pick the party",IF(P71="?","Add this party on the Parties sheet first",IF(D71="","Pick the entry type",IF(Q71="?","Pick the entry type from the list",IF(N(H71)=0,"Enter the amount",IF(AND(R71&lt;&gt;"Any",R71&lt;&gt;P71),"Sales, receipts and credit notes are for debtors; purchases, payments and debit notes for creditors",IF(AND(F71&lt;&gt;"",D71&lt;&gt;"Purchase bill"),"The received-on date is only for purchase bills",IF(AND(P71="Creditor",X71=1,AA71&gt;0),"Past due to a micro or small supplier: interest runs under MSMED s.16, and if unpaid at year end it is not deductible that year, s.37(2)(g)",IF(AND(P71="Debtor",X71=1,AA71&gt;0),"Past due to you: as a micro or small supplier you can claim interest under MSMED s.16","OK")))))))))))</f>
        <v/>
      </c>
      <c r="P71">
        <f>IF(C71="","",IFERROR(VLOOKUP(C71,'Parties'!$B$13:$Q$112,2,FALSE),"?"))</f>
        <v/>
      </c>
      <c r="Q71">
        <f>IF(D71="","",IFERROR(VLOOKUP(D71,Lists!$A$2:$D$9,3,FALSE),"?"))</f>
        <v/>
      </c>
      <c r="R71">
        <f>IF(D71="","",IFERROR(VLOOKUP(D71,Lists!$A$2:$D$9,4,FALSE),"?"))</f>
        <v/>
      </c>
      <c r="S71">
        <f>IF(P71="Debtor",I71,IF(P71="Creditor",J71,0))</f>
        <v/>
      </c>
      <c r="T71">
        <f>IF(P71="Debtor",J71,IF(P71="Creditor",I71,0))</f>
        <v/>
      </c>
      <c r="U71">
        <f>IF(OR(S71=0,B71=""),0,IFERROR(VLOOKUP(C71,'Parties'!$B$13:$Q$112,13,FALSE),0)+SUMIFS($S$7:$S$506,$C$7:$C$506,C71,$B$7:$B$506,"&lt;"&amp;B71)+SUMIFS(S$7:S71,C$7:C71,C71,B$7:B71,B71))</f>
        <v/>
      </c>
      <c r="V71">
        <f>IF(S71=0,0,IFERROR(VLOOKUP(C71,'Parties'!$B$13:$Q$112,14,FALSE),0)+SUMIFS($T$7:$T$506,$C$7:$C$506,C71,$B$7:$B$506,"&lt;="&amp;'Outstanding'!$E$5))</f>
        <v/>
      </c>
      <c r="W71">
        <f>IF(OR('Outstanding'!$E$5="",S71=0,B71="",B71&gt;'Outstanding'!$E$5),0,MAX(0,MIN(S71,U71-V71)))</f>
        <v/>
      </c>
      <c r="X71">
        <f>IF(C71="",0,IFERROR(VLOOKUP(C71,'Parties'!$B$13:$Q$112,15,FALSE),0))</f>
        <v/>
      </c>
      <c r="Y71">
        <f>IF(C71="","",IFERROR(VLOOKUP(C71,'Parties'!$B$13:$Q$112,16,FALSE),0))</f>
        <v/>
      </c>
      <c r="Z71">
        <f>IF(OR(S71=0,B71="",Y71=""),"",IF(AND(F71&lt;&gt;"",D71="Purchase bill"),F71,B71)+Y71)</f>
        <v/>
      </c>
      <c r="AA71">
        <f>IF(OR(W71=0,Z71=""),0,MAX(0,'Outstanding'!$E$5-Z71))</f>
        <v/>
      </c>
      <c r="AB71">
        <f>IF(AND(X71=1,AA71&gt;0),W71*((1+3*N('Parties'!$E$10)/12)^(AA71*12/365)-1),0)</f>
        <v/>
      </c>
      <c r="AC71">
        <f>IF(W71=0,"",'Outstanding'!$E$5-B71)</f>
        <v/>
      </c>
      <c r="AD71">
        <f>IF(S71=0,0,IFERROR(VLOOKUP(C71,'Parties'!$B$13:$Q$112,14,FALSE),0)+SUMIFS($T$7:$T$506,$C$7:$C$506,C71,$B$7:$B$506,"&lt;="&amp;'Parties'!$E$8))</f>
        <v/>
      </c>
      <c r="AE71">
        <f>IF(OR('Parties'!$E$8="",S71=0,B71="",B71&gt;'Parties'!$E$8),0,MAX(0,MIN(S71,U71-AD71)))</f>
        <v/>
      </c>
      <c r="AF71">
        <f>IF(AND(P71="Creditor",X71=1,AE71&gt;0,Z71&lt;&gt;""),IF(Z71&lt;='Parties'!$E$8,AE71,0),0)</f>
        <v/>
      </c>
      <c r="AG71">
        <f>IF(OR(AE71=0,Z71=""),0,MAX(0,'Parties'!$E$8-Z71))</f>
        <v/>
      </c>
      <c r="AH71">
        <f>IF(AND(P71="Creditor",X71=1,AG71&gt;0),AE71*((1+3*N('Parties'!$E$10)/12)^(AG71*12/365)-1),0)</f>
        <v/>
      </c>
      <c r="AI71">
        <f>IF(AND(C71&lt;&gt;"",C71='Ledger Account'!$D$4,B71&lt;&gt;"",B71&gt;='Ledger Account'!$D$5,B71&lt;='Ledger Account'!$D$6),1,0)</f>
        <v/>
      </c>
      <c r="AJ71">
        <f>IF(AI71=1,SUM(AI$7:AI71),"")</f>
        <v/>
      </c>
      <c r="AK71">
        <f>IF(OR(N71="",N71="OK"),0,1)</f>
        <v/>
      </c>
    </row>
    <row r="72">
      <c r="B72" s="24" t="n"/>
      <c r="C72" s="14" t="n"/>
      <c r="D72" s="14" t="n"/>
      <c r="E72" s="20" t="n"/>
      <c r="F72" s="24" t="n"/>
      <c r="G72" s="14" t="n"/>
      <c r="H72" s="22" t="n"/>
      <c r="I72" s="25">
        <f>IF(Q72="D",N(H72),0)</f>
        <v/>
      </c>
      <c r="J72" s="25">
        <f>IF(Q72="C",N(H72),0)</f>
        <v/>
      </c>
      <c r="K72" s="26">
        <f>IF(Z72="","",Z72)</f>
        <v/>
      </c>
      <c r="L72" s="27">
        <f>W72</f>
        <v/>
      </c>
      <c r="M72" s="28">
        <f>AA72</f>
        <v/>
      </c>
      <c r="N72" s="23">
        <f>IF(AND(B72="",C72="",D72="",N(H72)=0),"",IF(B72="","Enter the date",IF(C72="","Pick the party",IF(P72="?","Add this party on the Parties sheet first",IF(D72="","Pick the entry type",IF(Q72="?","Pick the entry type from the list",IF(N(H72)=0,"Enter the amount",IF(AND(R72&lt;&gt;"Any",R72&lt;&gt;P72),"Sales, receipts and credit notes are for debtors; purchases, payments and debit notes for creditors",IF(AND(F72&lt;&gt;"",D72&lt;&gt;"Purchase bill"),"The received-on date is only for purchase bills",IF(AND(P72="Creditor",X72=1,AA72&gt;0),"Past due to a micro or small supplier: interest runs under MSMED s.16, and if unpaid at year end it is not deductible that year, s.37(2)(g)",IF(AND(P72="Debtor",X72=1,AA72&gt;0),"Past due to you: as a micro or small supplier you can claim interest under MSMED s.16","OK")))))))))))</f>
        <v/>
      </c>
      <c r="P72">
        <f>IF(C72="","",IFERROR(VLOOKUP(C72,'Parties'!$B$13:$Q$112,2,FALSE),"?"))</f>
        <v/>
      </c>
      <c r="Q72">
        <f>IF(D72="","",IFERROR(VLOOKUP(D72,Lists!$A$2:$D$9,3,FALSE),"?"))</f>
        <v/>
      </c>
      <c r="R72">
        <f>IF(D72="","",IFERROR(VLOOKUP(D72,Lists!$A$2:$D$9,4,FALSE),"?"))</f>
        <v/>
      </c>
      <c r="S72">
        <f>IF(P72="Debtor",I72,IF(P72="Creditor",J72,0))</f>
        <v/>
      </c>
      <c r="T72">
        <f>IF(P72="Debtor",J72,IF(P72="Creditor",I72,0))</f>
        <v/>
      </c>
      <c r="U72">
        <f>IF(OR(S72=0,B72=""),0,IFERROR(VLOOKUP(C72,'Parties'!$B$13:$Q$112,13,FALSE),0)+SUMIFS($S$7:$S$506,$C$7:$C$506,C72,$B$7:$B$506,"&lt;"&amp;B72)+SUMIFS(S$7:S72,C$7:C72,C72,B$7:B72,B72))</f>
        <v/>
      </c>
      <c r="V72">
        <f>IF(S72=0,0,IFERROR(VLOOKUP(C72,'Parties'!$B$13:$Q$112,14,FALSE),0)+SUMIFS($T$7:$T$506,$C$7:$C$506,C72,$B$7:$B$506,"&lt;="&amp;'Outstanding'!$E$5))</f>
        <v/>
      </c>
      <c r="W72">
        <f>IF(OR('Outstanding'!$E$5="",S72=0,B72="",B72&gt;'Outstanding'!$E$5),0,MAX(0,MIN(S72,U72-V72)))</f>
        <v/>
      </c>
      <c r="X72">
        <f>IF(C72="",0,IFERROR(VLOOKUP(C72,'Parties'!$B$13:$Q$112,15,FALSE),0))</f>
        <v/>
      </c>
      <c r="Y72">
        <f>IF(C72="","",IFERROR(VLOOKUP(C72,'Parties'!$B$13:$Q$112,16,FALSE),0))</f>
        <v/>
      </c>
      <c r="Z72">
        <f>IF(OR(S72=0,B72="",Y72=""),"",IF(AND(F72&lt;&gt;"",D72="Purchase bill"),F72,B72)+Y72)</f>
        <v/>
      </c>
      <c r="AA72">
        <f>IF(OR(W72=0,Z72=""),0,MAX(0,'Outstanding'!$E$5-Z72))</f>
        <v/>
      </c>
      <c r="AB72">
        <f>IF(AND(X72=1,AA72&gt;0),W72*((1+3*N('Parties'!$E$10)/12)^(AA72*12/365)-1),0)</f>
        <v/>
      </c>
      <c r="AC72">
        <f>IF(W72=0,"",'Outstanding'!$E$5-B72)</f>
        <v/>
      </c>
      <c r="AD72">
        <f>IF(S72=0,0,IFERROR(VLOOKUP(C72,'Parties'!$B$13:$Q$112,14,FALSE),0)+SUMIFS($T$7:$T$506,$C$7:$C$506,C72,$B$7:$B$506,"&lt;="&amp;'Parties'!$E$8))</f>
        <v/>
      </c>
      <c r="AE72">
        <f>IF(OR('Parties'!$E$8="",S72=0,B72="",B72&gt;'Parties'!$E$8),0,MAX(0,MIN(S72,U72-AD72)))</f>
        <v/>
      </c>
      <c r="AF72">
        <f>IF(AND(P72="Creditor",X72=1,AE72&gt;0,Z72&lt;&gt;""),IF(Z72&lt;='Parties'!$E$8,AE72,0),0)</f>
        <v/>
      </c>
      <c r="AG72">
        <f>IF(OR(AE72=0,Z72=""),0,MAX(0,'Parties'!$E$8-Z72))</f>
        <v/>
      </c>
      <c r="AH72">
        <f>IF(AND(P72="Creditor",X72=1,AG72&gt;0),AE72*((1+3*N('Parties'!$E$10)/12)^(AG72*12/365)-1),0)</f>
        <v/>
      </c>
      <c r="AI72">
        <f>IF(AND(C72&lt;&gt;"",C72='Ledger Account'!$D$4,B72&lt;&gt;"",B72&gt;='Ledger Account'!$D$5,B72&lt;='Ledger Account'!$D$6),1,0)</f>
        <v/>
      </c>
      <c r="AJ72">
        <f>IF(AI72=1,SUM(AI$7:AI72),"")</f>
        <v/>
      </c>
      <c r="AK72">
        <f>IF(OR(N72="",N72="OK"),0,1)</f>
        <v/>
      </c>
    </row>
    <row r="73">
      <c r="B73" s="24" t="n"/>
      <c r="C73" s="14" t="n"/>
      <c r="D73" s="14" t="n"/>
      <c r="E73" s="20" t="n"/>
      <c r="F73" s="24" t="n"/>
      <c r="G73" s="14" t="n"/>
      <c r="H73" s="22" t="n"/>
      <c r="I73" s="25">
        <f>IF(Q73="D",N(H73),0)</f>
        <v/>
      </c>
      <c r="J73" s="25">
        <f>IF(Q73="C",N(H73),0)</f>
        <v/>
      </c>
      <c r="K73" s="26">
        <f>IF(Z73="","",Z73)</f>
        <v/>
      </c>
      <c r="L73" s="27">
        <f>W73</f>
        <v/>
      </c>
      <c r="M73" s="28">
        <f>AA73</f>
        <v/>
      </c>
      <c r="N73" s="23">
        <f>IF(AND(B73="",C73="",D73="",N(H73)=0),"",IF(B73="","Enter the date",IF(C73="","Pick the party",IF(P73="?","Add this party on the Parties sheet first",IF(D73="","Pick the entry type",IF(Q73="?","Pick the entry type from the list",IF(N(H73)=0,"Enter the amount",IF(AND(R73&lt;&gt;"Any",R73&lt;&gt;P73),"Sales, receipts and credit notes are for debtors; purchases, payments and debit notes for creditors",IF(AND(F73&lt;&gt;"",D73&lt;&gt;"Purchase bill"),"The received-on date is only for purchase bills",IF(AND(P73="Creditor",X73=1,AA73&gt;0),"Past due to a micro or small supplier: interest runs under MSMED s.16, and if unpaid at year end it is not deductible that year, s.37(2)(g)",IF(AND(P73="Debtor",X73=1,AA73&gt;0),"Past due to you: as a micro or small supplier you can claim interest under MSMED s.16","OK")))))))))))</f>
        <v/>
      </c>
      <c r="P73">
        <f>IF(C73="","",IFERROR(VLOOKUP(C73,'Parties'!$B$13:$Q$112,2,FALSE),"?"))</f>
        <v/>
      </c>
      <c r="Q73">
        <f>IF(D73="","",IFERROR(VLOOKUP(D73,Lists!$A$2:$D$9,3,FALSE),"?"))</f>
        <v/>
      </c>
      <c r="R73">
        <f>IF(D73="","",IFERROR(VLOOKUP(D73,Lists!$A$2:$D$9,4,FALSE),"?"))</f>
        <v/>
      </c>
      <c r="S73">
        <f>IF(P73="Debtor",I73,IF(P73="Creditor",J73,0))</f>
        <v/>
      </c>
      <c r="T73">
        <f>IF(P73="Debtor",J73,IF(P73="Creditor",I73,0))</f>
        <v/>
      </c>
      <c r="U73">
        <f>IF(OR(S73=0,B73=""),0,IFERROR(VLOOKUP(C73,'Parties'!$B$13:$Q$112,13,FALSE),0)+SUMIFS($S$7:$S$506,$C$7:$C$506,C73,$B$7:$B$506,"&lt;"&amp;B73)+SUMIFS(S$7:S73,C$7:C73,C73,B$7:B73,B73))</f>
        <v/>
      </c>
      <c r="V73">
        <f>IF(S73=0,0,IFERROR(VLOOKUP(C73,'Parties'!$B$13:$Q$112,14,FALSE),0)+SUMIFS($T$7:$T$506,$C$7:$C$506,C73,$B$7:$B$506,"&lt;="&amp;'Outstanding'!$E$5))</f>
        <v/>
      </c>
      <c r="W73">
        <f>IF(OR('Outstanding'!$E$5="",S73=0,B73="",B73&gt;'Outstanding'!$E$5),0,MAX(0,MIN(S73,U73-V73)))</f>
        <v/>
      </c>
      <c r="X73">
        <f>IF(C73="",0,IFERROR(VLOOKUP(C73,'Parties'!$B$13:$Q$112,15,FALSE),0))</f>
        <v/>
      </c>
      <c r="Y73">
        <f>IF(C73="","",IFERROR(VLOOKUP(C73,'Parties'!$B$13:$Q$112,16,FALSE),0))</f>
        <v/>
      </c>
      <c r="Z73">
        <f>IF(OR(S73=0,B73="",Y73=""),"",IF(AND(F73&lt;&gt;"",D73="Purchase bill"),F73,B73)+Y73)</f>
        <v/>
      </c>
      <c r="AA73">
        <f>IF(OR(W73=0,Z73=""),0,MAX(0,'Outstanding'!$E$5-Z73))</f>
        <v/>
      </c>
      <c r="AB73">
        <f>IF(AND(X73=1,AA73&gt;0),W73*((1+3*N('Parties'!$E$10)/12)^(AA73*12/365)-1),0)</f>
        <v/>
      </c>
      <c r="AC73">
        <f>IF(W73=0,"",'Outstanding'!$E$5-B73)</f>
        <v/>
      </c>
      <c r="AD73">
        <f>IF(S73=0,0,IFERROR(VLOOKUP(C73,'Parties'!$B$13:$Q$112,14,FALSE),0)+SUMIFS($T$7:$T$506,$C$7:$C$506,C73,$B$7:$B$506,"&lt;="&amp;'Parties'!$E$8))</f>
        <v/>
      </c>
      <c r="AE73">
        <f>IF(OR('Parties'!$E$8="",S73=0,B73="",B73&gt;'Parties'!$E$8),0,MAX(0,MIN(S73,U73-AD73)))</f>
        <v/>
      </c>
      <c r="AF73">
        <f>IF(AND(P73="Creditor",X73=1,AE73&gt;0,Z73&lt;&gt;""),IF(Z73&lt;='Parties'!$E$8,AE73,0),0)</f>
        <v/>
      </c>
      <c r="AG73">
        <f>IF(OR(AE73=0,Z73=""),0,MAX(0,'Parties'!$E$8-Z73))</f>
        <v/>
      </c>
      <c r="AH73">
        <f>IF(AND(P73="Creditor",X73=1,AG73&gt;0),AE73*((1+3*N('Parties'!$E$10)/12)^(AG73*12/365)-1),0)</f>
        <v/>
      </c>
      <c r="AI73">
        <f>IF(AND(C73&lt;&gt;"",C73='Ledger Account'!$D$4,B73&lt;&gt;"",B73&gt;='Ledger Account'!$D$5,B73&lt;='Ledger Account'!$D$6),1,0)</f>
        <v/>
      </c>
      <c r="AJ73">
        <f>IF(AI73=1,SUM(AI$7:AI73),"")</f>
        <v/>
      </c>
      <c r="AK73">
        <f>IF(OR(N73="",N73="OK"),0,1)</f>
        <v/>
      </c>
    </row>
    <row r="74">
      <c r="B74" s="24" t="n"/>
      <c r="C74" s="14" t="n"/>
      <c r="D74" s="14" t="n"/>
      <c r="E74" s="20" t="n"/>
      <c r="F74" s="24" t="n"/>
      <c r="G74" s="14" t="n"/>
      <c r="H74" s="22" t="n"/>
      <c r="I74" s="25">
        <f>IF(Q74="D",N(H74),0)</f>
        <v/>
      </c>
      <c r="J74" s="25">
        <f>IF(Q74="C",N(H74),0)</f>
        <v/>
      </c>
      <c r="K74" s="26">
        <f>IF(Z74="","",Z74)</f>
        <v/>
      </c>
      <c r="L74" s="27">
        <f>W74</f>
        <v/>
      </c>
      <c r="M74" s="28">
        <f>AA74</f>
        <v/>
      </c>
      <c r="N74" s="23">
        <f>IF(AND(B74="",C74="",D74="",N(H74)=0),"",IF(B74="","Enter the date",IF(C74="","Pick the party",IF(P74="?","Add this party on the Parties sheet first",IF(D74="","Pick the entry type",IF(Q74="?","Pick the entry type from the list",IF(N(H74)=0,"Enter the amount",IF(AND(R74&lt;&gt;"Any",R74&lt;&gt;P74),"Sales, receipts and credit notes are for debtors; purchases, payments and debit notes for creditors",IF(AND(F74&lt;&gt;"",D74&lt;&gt;"Purchase bill"),"The received-on date is only for purchase bills",IF(AND(P74="Creditor",X74=1,AA74&gt;0),"Past due to a micro or small supplier: interest runs under MSMED s.16, and if unpaid at year end it is not deductible that year, s.37(2)(g)",IF(AND(P74="Debtor",X74=1,AA74&gt;0),"Past due to you: as a micro or small supplier you can claim interest under MSMED s.16","OK")))))))))))</f>
        <v/>
      </c>
      <c r="P74">
        <f>IF(C74="","",IFERROR(VLOOKUP(C74,'Parties'!$B$13:$Q$112,2,FALSE),"?"))</f>
        <v/>
      </c>
      <c r="Q74">
        <f>IF(D74="","",IFERROR(VLOOKUP(D74,Lists!$A$2:$D$9,3,FALSE),"?"))</f>
        <v/>
      </c>
      <c r="R74">
        <f>IF(D74="","",IFERROR(VLOOKUP(D74,Lists!$A$2:$D$9,4,FALSE),"?"))</f>
        <v/>
      </c>
      <c r="S74">
        <f>IF(P74="Debtor",I74,IF(P74="Creditor",J74,0))</f>
        <v/>
      </c>
      <c r="T74">
        <f>IF(P74="Debtor",J74,IF(P74="Creditor",I74,0))</f>
        <v/>
      </c>
      <c r="U74">
        <f>IF(OR(S74=0,B74=""),0,IFERROR(VLOOKUP(C74,'Parties'!$B$13:$Q$112,13,FALSE),0)+SUMIFS($S$7:$S$506,$C$7:$C$506,C74,$B$7:$B$506,"&lt;"&amp;B74)+SUMIFS(S$7:S74,C$7:C74,C74,B$7:B74,B74))</f>
        <v/>
      </c>
      <c r="V74">
        <f>IF(S74=0,0,IFERROR(VLOOKUP(C74,'Parties'!$B$13:$Q$112,14,FALSE),0)+SUMIFS($T$7:$T$506,$C$7:$C$506,C74,$B$7:$B$506,"&lt;="&amp;'Outstanding'!$E$5))</f>
        <v/>
      </c>
      <c r="W74">
        <f>IF(OR('Outstanding'!$E$5="",S74=0,B74="",B74&gt;'Outstanding'!$E$5),0,MAX(0,MIN(S74,U74-V74)))</f>
        <v/>
      </c>
      <c r="X74">
        <f>IF(C74="",0,IFERROR(VLOOKUP(C74,'Parties'!$B$13:$Q$112,15,FALSE),0))</f>
        <v/>
      </c>
      <c r="Y74">
        <f>IF(C74="","",IFERROR(VLOOKUP(C74,'Parties'!$B$13:$Q$112,16,FALSE),0))</f>
        <v/>
      </c>
      <c r="Z74">
        <f>IF(OR(S74=0,B74="",Y74=""),"",IF(AND(F74&lt;&gt;"",D74="Purchase bill"),F74,B74)+Y74)</f>
        <v/>
      </c>
      <c r="AA74">
        <f>IF(OR(W74=0,Z74=""),0,MAX(0,'Outstanding'!$E$5-Z74))</f>
        <v/>
      </c>
      <c r="AB74">
        <f>IF(AND(X74=1,AA74&gt;0),W74*((1+3*N('Parties'!$E$10)/12)^(AA74*12/365)-1),0)</f>
        <v/>
      </c>
      <c r="AC74">
        <f>IF(W74=0,"",'Outstanding'!$E$5-B74)</f>
        <v/>
      </c>
      <c r="AD74">
        <f>IF(S74=0,0,IFERROR(VLOOKUP(C74,'Parties'!$B$13:$Q$112,14,FALSE),0)+SUMIFS($T$7:$T$506,$C$7:$C$506,C74,$B$7:$B$506,"&lt;="&amp;'Parties'!$E$8))</f>
        <v/>
      </c>
      <c r="AE74">
        <f>IF(OR('Parties'!$E$8="",S74=0,B74="",B74&gt;'Parties'!$E$8),0,MAX(0,MIN(S74,U74-AD74)))</f>
        <v/>
      </c>
      <c r="AF74">
        <f>IF(AND(P74="Creditor",X74=1,AE74&gt;0,Z74&lt;&gt;""),IF(Z74&lt;='Parties'!$E$8,AE74,0),0)</f>
        <v/>
      </c>
      <c r="AG74">
        <f>IF(OR(AE74=0,Z74=""),0,MAX(0,'Parties'!$E$8-Z74))</f>
        <v/>
      </c>
      <c r="AH74">
        <f>IF(AND(P74="Creditor",X74=1,AG74&gt;0),AE74*((1+3*N('Parties'!$E$10)/12)^(AG74*12/365)-1),0)</f>
        <v/>
      </c>
      <c r="AI74">
        <f>IF(AND(C74&lt;&gt;"",C74='Ledger Account'!$D$4,B74&lt;&gt;"",B74&gt;='Ledger Account'!$D$5,B74&lt;='Ledger Account'!$D$6),1,0)</f>
        <v/>
      </c>
      <c r="AJ74">
        <f>IF(AI74=1,SUM(AI$7:AI74),"")</f>
        <v/>
      </c>
      <c r="AK74">
        <f>IF(OR(N74="",N74="OK"),0,1)</f>
        <v/>
      </c>
    </row>
    <row r="75">
      <c r="B75" s="24" t="n"/>
      <c r="C75" s="14" t="n"/>
      <c r="D75" s="14" t="n"/>
      <c r="E75" s="20" t="n"/>
      <c r="F75" s="24" t="n"/>
      <c r="G75" s="14" t="n"/>
      <c r="H75" s="22" t="n"/>
      <c r="I75" s="25">
        <f>IF(Q75="D",N(H75),0)</f>
        <v/>
      </c>
      <c r="J75" s="25">
        <f>IF(Q75="C",N(H75),0)</f>
        <v/>
      </c>
      <c r="K75" s="26">
        <f>IF(Z75="","",Z75)</f>
        <v/>
      </c>
      <c r="L75" s="27">
        <f>W75</f>
        <v/>
      </c>
      <c r="M75" s="28">
        <f>AA75</f>
        <v/>
      </c>
      <c r="N75" s="23">
        <f>IF(AND(B75="",C75="",D75="",N(H75)=0),"",IF(B75="","Enter the date",IF(C75="","Pick the party",IF(P75="?","Add this party on the Parties sheet first",IF(D75="","Pick the entry type",IF(Q75="?","Pick the entry type from the list",IF(N(H75)=0,"Enter the amount",IF(AND(R75&lt;&gt;"Any",R75&lt;&gt;P75),"Sales, receipts and credit notes are for debtors; purchases, payments and debit notes for creditors",IF(AND(F75&lt;&gt;"",D75&lt;&gt;"Purchase bill"),"The received-on date is only for purchase bills",IF(AND(P75="Creditor",X75=1,AA75&gt;0),"Past due to a micro or small supplier: interest runs under MSMED s.16, and if unpaid at year end it is not deductible that year, s.37(2)(g)",IF(AND(P75="Debtor",X75=1,AA75&gt;0),"Past due to you: as a micro or small supplier you can claim interest under MSMED s.16","OK")))))))))))</f>
        <v/>
      </c>
      <c r="P75">
        <f>IF(C75="","",IFERROR(VLOOKUP(C75,'Parties'!$B$13:$Q$112,2,FALSE),"?"))</f>
        <v/>
      </c>
      <c r="Q75">
        <f>IF(D75="","",IFERROR(VLOOKUP(D75,Lists!$A$2:$D$9,3,FALSE),"?"))</f>
        <v/>
      </c>
      <c r="R75">
        <f>IF(D75="","",IFERROR(VLOOKUP(D75,Lists!$A$2:$D$9,4,FALSE),"?"))</f>
        <v/>
      </c>
      <c r="S75">
        <f>IF(P75="Debtor",I75,IF(P75="Creditor",J75,0))</f>
        <v/>
      </c>
      <c r="T75">
        <f>IF(P75="Debtor",J75,IF(P75="Creditor",I75,0))</f>
        <v/>
      </c>
      <c r="U75">
        <f>IF(OR(S75=0,B75=""),0,IFERROR(VLOOKUP(C75,'Parties'!$B$13:$Q$112,13,FALSE),0)+SUMIFS($S$7:$S$506,$C$7:$C$506,C75,$B$7:$B$506,"&lt;"&amp;B75)+SUMIFS(S$7:S75,C$7:C75,C75,B$7:B75,B75))</f>
        <v/>
      </c>
      <c r="V75">
        <f>IF(S75=0,0,IFERROR(VLOOKUP(C75,'Parties'!$B$13:$Q$112,14,FALSE),0)+SUMIFS($T$7:$T$506,$C$7:$C$506,C75,$B$7:$B$506,"&lt;="&amp;'Outstanding'!$E$5))</f>
        <v/>
      </c>
      <c r="W75">
        <f>IF(OR('Outstanding'!$E$5="",S75=0,B75="",B75&gt;'Outstanding'!$E$5),0,MAX(0,MIN(S75,U75-V75)))</f>
        <v/>
      </c>
      <c r="X75">
        <f>IF(C75="",0,IFERROR(VLOOKUP(C75,'Parties'!$B$13:$Q$112,15,FALSE),0))</f>
        <v/>
      </c>
      <c r="Y75">
        <f>IF(C75="","",IFERROR(VLOOKUP(C75,'Parties'!$B$13:$Q$112,16,FALSE),0))</f>
        <v/>
      </c>
      <c r="Z75">
        <f>IF(OR(S75=0,B75="",Y75=""),"",IF(AND(F75&lt;&gt;"",D75="Purchase bill"),F75,B75)+Y75)</f>
        <v/>
      </c>
      <c r="AA75">
        <f>IF(OR(W75=0,Z75=""),0,MAX(0,'Outstanding'!$E$5-Z75))</f>
        <v/>
      </c>
      <c r="AB75">
        <f>IF(AND(X75=1,AA75&gt;0),W75*((1+3*N('Parties'!$E$10)/12)^(AA75*12/365)-1),0)</f>
        <v/>
      </c>
      <c r="AC75">
        <f>IF(W75=0,"",'Outstanding'!$E$5-B75)</f>
        <v/>
      </c>
      <c r="AD75">
        <f>IF(S75=0,0,IFERROR(VLOOKUP(C75,'Parties'!$B$13:$Q$112,14,FALSE),0)+SUMIFS($T$7:$T$506,$C$7:$C$506,C75,$B$7:$B$506,"&lt;="&amp;'Parties'!$E$8))</f>
        <v/>
      </c>
      <c r="AE75">
        <f>IF(OR('Parties'!$E$8="",S75=0,B75="",B75&gt;'Parties'!$E$8),0,MAX(0,MIN(S75,U75-AD75)))</f>
        <v/>
      </c>
      <c r="AF75">
        <f>IF(AND(P75="Creditor",X75=1,AE75&gt;0,Z75&lt;&gt;""),IF(Z75&lt;='Parties'!$E$8,AE75,0),0)</f>
        <v/>
      </c>
      <c r="AG75">
        <f>IF(OR(AE75=0,Z75=""),0,MAX(0,'Parties'!$E$8-Z75))</f>
        <v/>
      </c>
      <c r="AH75">
        <f>IF(AND(P75="Creditor",X75=1,AG75&gt;0),AE75*((1+3*N('Parties'!$E$10)/12)^(AG75*12/365)-1),0)</f>
        <v/>
      </c>
      <c r="AI75">
        <f>IF(AND(C75&lt;&gt;"",C75='Ledger Account'!$D$4,B75&lt;&gt;"",B75&gt;='Ledger Account'!$D$5,B75&lt;='Ledger Account'!$D$6),1,0)</f>
        <v/>
      </c>
      <c r="AJ75">
        <f>IF(AI75=1,SUM(AI$7:AI75),"")</f>
        <v/>
      </c>
      <c r="AK75">
        <f>IF(OR(N75="",N75="OK"),0,1)</f>
        <v/>
      </c>
    </row>
    <row r="76">
      <c r="B76" s="24" t="n"/>
      <c r="C76" s="14" t="n"/>
      <c r="D76" s="14" t="n"/>
      <c r="E76" s="20" t="n"/>
      <c r="F76" s="24" t="n"/>
      <c r="G76" s="14" t="n"/>
      <c r="H76" s="22" t="n"/>
      <c r="I76" s="25">
        <f>IF(Q76="D",N(H76),0)</f>
        <v/>
      </c>
      <c r="J76" s="25">
        <f>IF(Q76="C",N(H76),0)</f>
        <v/>
      </c>
      <c r="K76" s="26">
        <f>IF(Z76="","",Z76)</f>
        <v/>
      </c>
      <c r="L76" s="27">
        <f>W76</f>
        <v/>
      </c>
      <c r="M76" s="28">
        <f>AA76</f>
        <v/>
      </c>
      <c r="N76" s="23">
        <f>IF(AND(B76="",C76="",D76="",N(H76)=0),"",IF(B76="","Enter the date",IF(C76="","Pick the party",IF(P76="?","Add this party on the Parties sheet first",IF(D76="","Pick the entry type",IF(Q76="?","Pick the entry type from the list",IF(N(H76)=0,"Enter the amount",IF(AND(R76&lt;&gt;"Any",R76&lt;&gt;P76),"Sales, receipts and credit notes are for debtors; purchases, payments and debit notes for creditors",IF(AND(F76&lt;&gt;"",D76&lt;&gt;"Purchase bill"),"The received-on date is only for purchase bills",IF(AND(P76="Creditor",X76=1,AA76&gt;0),"Past due to a micro or small supplier: interest runs under MSMED s.16, and if unpaid at year end it is not deductible that year, s.37(2)(g)",IF(AND(P76="Debtor",X76=1,AA76&gt;0),"Past due to you: as a micro or small supplier you can claim interest under MSMED s.16","OK")))))))))))</f>
        <v/>
      </c>
      <c r="P76">
        <f>IF(C76="","",IFERROR(VLOOKUP(C76,'Parties'!$B$13:$Q$112,2,FALSE),"?"))</f>
        <v/>
      </c>
      <c r="Q76">
        <f>IF(D76="","",IFERROR(VLOOKUP(D76,Lists!$A$2:$D$9,3,FALSE),"?"))</f>
        <v/>
      </c>
      <c r="R76">
        <f>IF(D76="","",IFERROR(VLOOKUP(D76,Lists!$A$2:$D$9,4,FALSE),"?"))</f>
        <v/>
      </c>
      <c r="S76">
        <f>IF(P76="Debtor",I76,IF(P76="Creditor",J76,0))</f>
        <v/>
      </c>
      <c r="T76">
        <f>IF(P76="Debtor",J76,IF(P76="Creditor",I76,0))</f>
        <v/>
      </c>
      <c r="U76">
        <f>IF(OR(S76=0,B76=""),0,IFERROR(VLOOKUP(C76,'Parties'!$B$13:$Q$112,13,FALSE),0)+SUMIFS($S$7:$S$506,$C$7:$C$506,C76,$B$7:$B$506,"&lt;"&amp;B76)+SUMIFS(S$7:S76,C$7:C76,C76,B$7:B76,B76))</f>
        <v/>
      </c>
      <c r="V76">
        <f>IF(S76=0,0,IFERROR(VLOOKUP(C76,'Parties'!$B$13:$Q$112,14,FALSE),0)+SUMIFS($T$7:$T$506,$C$7:$C$506,C76,$B$7:$B$506,"&lt;="&amp;'Outstanding'!$E$5))</f>
        <v/>
      </c>
      <c r="W76">
        <f>IF(OR('Outstanding'!$E$5="",S76=0,B76="",B76&gt;'Outstanding'!$E$5),0,MAX(0,MIN(S76,U76-V76)))</f>
        <v/>
      </c>
      <c r="X76">
        <f>IF(C76="",0,IFERROR(VLOOKUP(C76,'Parties'!$B$13:$Q$112,15,FALSE),0))</f>
        <v/>
      </c>
      <c r="Y76">
        <f>IF(C76="","",IFERROR(VLOOKUP(C76,'Parties'!$B$13:$Q$112,16,FALSE),0))</f>
        <v/>
      </c>
      <c r="Z76">
        <f>IF(OR(S76=0,B76="",Y76=""),"",IF(AND(F76&lt;&gt;"",D76="Purchase bill"),F76,B76)+Y76)</f>
        <v/>
      </c>
      <c r="AA76">
        <f>IF(OR(W76=0,Z76=""),0,MAX(0,'Outstanding'!$E$5-Z76))</f>
        <v/>
      </c>
      <c r="AB76">
        <f>IF(AND(X76=1,AA76&gt;0),W76*((1+3*N('Parties'!$E$10)/12)^(AA76*12/365)-1),0)</f>
        <v/>
      </c>
      <c r="AC76">
        <f>IF(W76=0,"",'Outstanding'!$E$5-B76)</f>
        <v/>
      </c>
      <c r="AD76">
        <f>IF(S76=0,0,IFERROR(VLOOKUP(C76,'Parties'!$B$13:$Q$112,14,FALSE),0)+SUMIFS($T$7:$T$506,$C$7:$C$506,C76,$B$7:$B$506,"&lt;="&amp;'Parties'!$E$8))</f>
        <v/>
      </c>
      <c r="AE76">
        <f>IF(OR('Parties'!$E$8="",S76=0,B76="",B76&gt;'Parties'!$E$8),0,MAX(0,MIN(S76,U76-AD76)))</f>
        <v/>
      </c>
      <c r="AF76">
        <f>IF(AND(P76="Creditor",X76=1,AE76&gt;0,Z76&lt;&gt;""),IF(Z76&lt;='Parties'!$E$8,AE76,0),0)</f>
        <v/>
      </c>
      <c r="AG76">
        <f>IF(OR(AE76=0,Z76=""),0,MAX(0,'Parties'!$E$8-Z76))</f>
        <v/>
      </c>
      <c r="AH76">
        <f>IF(AND(P76="Creditor",X76=1,AG76&gt;0),AE76*((1+3*N('Parties'!$E$10)/12)^(AG76*12/365)-1),0)</f>
        <v/>
      </c>
      <c r="AI76">
        <f>IF(AND(C76&lt;&gt;"",C76='Ledger Account'!$D$4,B76&lt;&gt;"",B76&gt;='Ledger Account'!$D$5,B76&lt;='Ledger Account'!$D$6),1,0)</f>
        <v/>
      </c>
      <c r="AJ76">
        <f>IF(AI76=1,SUM(AI$7:AI76),"")</f>
        <v/>
      </c>
      <c r="AK76">
        <f>IF(OR(N76="",N76="OK"),0,1)</f>
        <v/>
      </c>
    </row>
    <row r="77">
      <c r="B77" s="24" t="n"/>
      <c r="C77" s="14" t="n"/>
      <c r="D77" s="14" t="n"/>
      <c r="E77" s="20" t="n"/>
      <c r="F77" s="24" t="n"/>
      <c r="G77" s="14" t="n"/>
      <c r="H77" s="22" t="n"/>
      <c r="I77" s="25">
        <f>IF(Q77="D",N(H77),0)</f>
        <v/>
      </c>
      <c r="J77" s="25">
        <f>IF(Q77="C",N(H77),0)</f>
        <v/>
      </c>
      <c r="K77" s="26">
        <f>IF(Z77="","",Z77)</f>
        <v/>
      </c>
      <c r="L77" s="27">
        <f>W77</f>
        <v/>
      </c>
      <c r="M77" s="28">
        <f>AA77</f>
        <v/>
      </c>
      <c r="N77" s="23">
        <f>IF(AND(B77="",C77="",D77="",N(H77)=0),"",IF(B77="","Enter the date",IF(C77="","Pick the party",IF(P77="?","Add this party on the Parties sheet first",IF(D77="","Pick the entry type",IF(Q77="?","Pick the entry type from the list",IF(N(H77)=0,"Enter the amount",IF(AND(R77&lt;&gt;"Any",R77&lt;&gt;P77),"Sales, receipts and credit notes are for debtors; purchases, payments and debit notes for creditors",IF(AND(F77&lt;&gt;"",D77&lt;&gt;"Purchase bill"),"The received-on date is only for purchase bills",IF(AND(P77="Creditor",X77=1,AA77&gt;0),"Past due to a micro or small supplier: interest runs under MSMED s.16, and if unpaid at year end it is not deductible that year, s.37(2)(g)",IF(AND(P77="Debtor",X77=1,AA77&gt;0),"Past due to you: as a micro or small supplier you can claim interest under MSMED s.16","OK")))))))))))</f>
        <v/>
      </c>
      <c r="P77">
        <f>IF(C77="","",IFERROR(VLOOKUP(C77,'Parties'!$B$13:$Q$112,2,FALSE),"?"))</f>
        <v/>
      </c>
      <c r="Q77">
        <f>IF(D77="","",IFERROR(VLOOKUP(D77,Lists!$A$2:$D$9,3,FALSE),"?"))</f>
        <v/>
      </c>
      <c r="R77">
        <f>IF(D77="","",IFERROR(VLOOKUP(D77,Lists!$A$2:$D$9,4,FALSE),"?"))</f>
        <v/>
      </c>
      <c r="S77">
        <f>IF(P77="Debtor",I77,IF(P77="Creditor",J77,0))</f>
        <v/>
      </c>
      <c r="T77">
        <f>IF(P77="Debtor",J77,IF(P77="Creditor",I77,0))</f>
        <v/>
      </c>
      <c r="U77">
        <f>IF(OR(S77=0,B77=""),0,IFERROR(VLOOKUP(C77,'Parties'!$B$13:$Q$112,13,FALSE),0)+SUMIFS($S$7:$S$506,$C$7:$C$506,C77,$B$7:$B$506,"&lt;"&amp;B77)+SUMIFS(S$7:S77,C$7:C77,C77,B$7:B77,B77))</f>
        <v/>
      </c>
      <c r="V77">
        <f>IF(S77=0,0,IFERROR(VLOOKUP(C77,'Parties'!$B$13:$Q$112,14,FALSE),0)+SUMIFS($T$7:$T$506,$C$7:$C$506,C77,$B$7:$B$506,"&lt;="&amp;'Outstanding'!$E$5))</f>
        <v/>
      </c>
      <c r="W77">
        <f>IF(OR('Outstanding'!$E$5="",S77=0,B77="",B77&gt;'Outstanding'!$E$5),0,MAX(0,MIN(S77,U77-V77)))</f>
        <v/>
      </c>
      <c r="X77">
        <f>IF(C77="",0,IFERROR(VLOOKUP(C77,'Parties'!$B$13:$Q$112,15,FALSE),0))</f>
        <v/>
      </c>
      <c r="Y77">
        <f>IF(C77="","",IFERROR(VLOOKUP(C77,'Parties'!$B$13:$Q$112,16,FALSE),0))</f>
        <v/>
      </c>
      <c r="Z77">
        <f>IF(OR(S77=0,B77="",Y77=""),"",IF(AND(F77&lt;&gt;"",D77="Purchase bill"),F77,B77)+Y77)</f>
        <v/>
      </c>
      <c r="AA77">
        <f>IF(OR(W77=0,Z77=""),0,MAX(0,'Outstanding'!$E$5-Z77))</f>
        <v/>
      </c>
      <c r="AB77">
        <f>IF(AND(X77=1,AA77&gt;0),W77*((1+3*N('Parties'!$E$10)/12)^(AA77*12/365)-1),0)</f>
        <v/>
      </c>
      <c r="AC77">
        <f>IF(W77=0,"",'Outstanding'!$E$5-B77)</f>
        <v/>
      </c>
      <c r="AD77">
        <f>IF(S77=0,0,IFERROR(VLOOKUP(C77,'Parties'!$B$13:$Q$112,14,FALSE),0)+SUMIFS($T$7:$T$506,$C$7:$C$506,C77,$B$7:$B$506,"&lt;="&amp;'Parties'!$E$8))</f>
        <v/>
      </c>
      <c r="AE77">
        <f>IF(OR('Parties'!$E$8="",S77=0,B77="",B77&gt;'Parties'!$E$8),0,MAX(0,MIN(S77,U77-AD77)))</f>
        <v/>
      </c>
      <c r="AF77">
        <f>IF(AND(P77="Creditor",X77=1,AE77&gt;0,Z77&lt;&gt;""),IF(Z77&lt;='Parties'!$E$8,AE77,0),0)</f>
        <v/>
      </c>
      <c r="AG77">
        <f>IF(OR(AE77=0,Z77=""),0,MAX(0,'Parties'!$E$8-Z77))</f>
        <v/>
      </c>
      <c r="AH77">
        <f>IF(AND(P77="Creditor",X77=1,AG77&gt;0),AE77*((1+3*N('Parties'!$E$10)/12)^(AG77*12/365)-1),0)</f>
        <v/>
      </c>
      <c r="AI77">
        <f>IF(AND(C77&lt;&gt;"",C77='Ledger Account'!$D$4,B77&lt;&gt;"",B77&gt;='Ledger Account'!$D$5,B77&lt;='Ledger Account'!$D$6),1,0)</f>
        <v/>
      </c>
      <c r="AJ77">
        <f>IF(AI77=1,SUM(AI$7:AI77),"")</f>
        <v/>
      </c>
      <c r="AK77">
        <f>IF(OR(N77="",N77="OK"),0,1)</f>
        <v/>
      </c>
    </row>
    <row r="78">
      <c r="B78" s="24" t="n"/>
      <c r="C78" s="14" t="n"/>
      <c r="D78" s="14" t="n"/>
      <c r="E78" s="20" t="n"/>
      <c r="F78" s="24" t="n"/>
      <c r="G78" s="14" t="n"/>
      <c r="H78" s="22" t="n"/>
      <c r="I78" s="25">
        <f>IF(Q78="D",N(H78),0)</f>
        <v/>
      </c>
      <c r="J78" s="25">
        <f>IF(Q78="C",N(H78),0)</f>
        <v/>
      </c>
      <c r="K78" s="26">
        <f>IF(Z78="","",Z78)</f>
        <v/>
      </c>
      <c r="L78" s="27">
        <f>W78</f>
        <v/>
      </c>
      <c r="M78" s="28">
        <f>AA78</f>
        <v/>
      </c>
      <c r="N78" s="23">
        <f>IF(AND(B78="",C78="",D78="",N(H78)=0),"",IF(B78="","Enter the date",IF(C78="","Pick the party",IF(P78="?","Add this party on the Parties sheet first",IF(D78="","Pick the entry type",IF(Q78="?","Pick the entry type from the list",IF(N(H78)=0,"Enter the amount",IF(AND(R78&lt;&gt;"Any",R78&lt;&gt;P78),"Sales, receipts and credit notes are for debtors; purchases, payments and debit notes for creditors",IF(AND(F78&lt;&gt;"",D78&lt;&gt;"Purchase bill"),"The received-on date is only for purchase bills",IF(AND(P78="Creditor",X78=1,AA78&gt;0),"Past due to a micro or small supplier: interest runs under MSMED s.16, and if unpaid at year end it is not deductible that year, s.37(2)(g)",IF(AND(P78="Debtor",X78=1,AA78&gt;0),"Past due to you: as a micro or small supplier you can claim interest under MSMED s.16","OK")))))))))))</f>
        <v/>
      </c>
      <c r="P78">
        <f>IF(C78="","",IFERROR(VLOOKUP(C78,'Parties'!$B$13:$Q$112,2,FALSE),"?"))</f>
        <v/>
      </c>
      <c r="Q78">
        <f>IF(D78="","",IFERROR(VLOOKUP(D78,Lists!$A$2:$D$9,3,FALSE),"?"))</f>
        <v/>
      </c>
      <c r="R78">
        <f>IF(D78="","",IFERROR(VLOOKUP(D78,Lists!$A$2:$D$9,4,FALSE),"?"))</f>
        <v/>
      </c>
      <c r="S78">
        <f>IF(P78="Debtor",I78,IF(P78="Creditor",J78,0))</f>
        <v/>
      </c>
      <c r="T78">
        <f>IF(P78="Debtor",J78,IF(P78="Creditor",I78,0))</f>
        <v/>
      </c>
      <c r="U78">
        <f>IF(OR(S78=0,B78=""),0,IFERROR(VLOOKUP(C78,'Parties'!$B$13:$Q$112,13,FALSE),0)+SUMIFS($S$7:$S$506,$C$7:$C$506,C78,$B$7:$B$506,"&lt;"&amp;B78)+SUMIFS(S$7:S78,C$7:C78,C78,B$7:B78,B78))</f>
        <v/>
      </c>
      <c r="V78">
        <f>IF(S78=0,0,IFERROR(VLOOKUP(C78,'Parties'!$B$13:$Q$112,14,FALSE),0)+SUMIFS($T$7:$T$506,$C$7:$C$506,C78,$B$7:$B$506,"&lt;="&amp;'Outstanding'!$E$5))</f>
        <v/>
      </c>
      <c r="W78">
        <f>IF(OR('Outstanding'!$E$5="",S78=0,B78="",B78&gt;'Outstanding'!$E$5),0,MAX(0,MIN(S78,U78-V78)))</f>
        <v/>
      </c>
      <c r="X78">
        <f>IF(C78="",0,IFERROR(VLOOKUP(C78,'Parties'!$B$13:$Q$112,15,FALSE),0))</f>
        <v/>
      </c>
      <c r="Y78">
        <f>IF(C78="","",IFERROR(VLOOKUP(C78,'Parties'!$B$13:$Q$112,16,FALSE),0))</f>
        <v/>
      </c>
      <c r="Z78">
        <f>IF(OR(S78=0,B78="",Y78=""),"",IF(AND(F78&lt;&gt;"",D78="Purchase bill"),F78,B78)+Y78)</f>
        <v/>
      </c>
      <c r="AA78">
        <f>IF(OR(W78=0,Z78=""),0,MAX(0,'Outstanding'!$E$5-Z78))</f>
        <v/>
      </c>
      <c r="AB78">
        <f>IF(AND(X78=1,AA78&gt;0),W78*((1+3*N('Parties'!$E$10)/12)^(AA78*12/365)-1),0)</f>
        <v/>
      </c>
      <c r="AC78">
        <f>IF(W78=0,"",'Outstanding'!$E$5-B78)</f>
        <v/>
      </c>
      <c r="AD78">
        <f>IF(S78=0,0,IFERROR(VLOOKUP(C78,'Parties'!$B$13:$Q$112,14,FALSE),0)+SUMIFS($T$7:$T$506,$C$7:$C$506,C78,$B$7:$B$506,"&lt;="&amp;'Parties'!$E$8))</f>
        <v/>
      </c>
      <c r="AE78">
        <f>IF(OR('Parties'!$E$8="",S78=0,B78="",B78&gt;'Parties'!$E$8),0,MAX(0,MIN(S78,U78-AD78)))</f>
        <v/>
      </c>
      <c r="AF78">
        <f>IF(AND(P78="Creditor",X78=1,AE78&gt;0,Z78&lt;&gt;""),IF(Z78&lt;='Parties'!$E$8,AE78,0),0)</f>
        <v/>
      </c>
      <c r="AG78">
        <f>IF(OR(AE78=0,Z78=""),0,MAX(0,'Parties'!$E$8-Z78))</f>
        <v/>
      </c>
      <c r="AH78">
        <f>IF(AND(P78="Creditor",X78=1,AG78&gt;0),AE78*((1+3*N('Parties'!$E$10)/12)^(AG78*12/365)-1),0)</f>
        <v/>
      </c>
      <c r="AI78">
        <f>IF(AND(C78&lt;&gt;"",C78='Ledger Account'!$D$4,B78&lt;&gt;"",B78&gt;='Ledger Account'!$D$5,B78&lt;='Ledger Account'!$D$6),1,0)</f>
        <v/>
      </c>
      <c r="AJ78">
        <f>IF(AI78=1,SUM(AI$7:AI78),"")</f>
        <v/>
      </c>
      <c r="AK78">
        <f>IF(OR(N78="",N78="OK"),0,1)</f>
        <v/>
      </c>
    </row>
    <row r="79">
      <c r="B79" s="24" t="n"/>
      <c r="C79" s="14" t="n"/>
      <c r="D79" s="14" t="n"/>
      <c r="E79" s="20" t="n"/>
      <c r="F79" s="24" t="n"/>
      <c r="G79" s="14" t="n"/>
      <c r="H79" s="22" t="n"/>
      <c r="I79" s="25">
        <f>IF(Q79="D",N(H79),0)</f>
        <v/>
      </c>
      <c r="J79" s="25">
        <f>IF(Q79="C",N(H79),0)</f>
        <v/>
      </c>
      <c r="K79" s="26">
        <f>IF(Z79="","",Z79)</f>
        <v/>
      </c>
      <c r="L79" s="27">
        <f>W79</f>
        <v/>
      </c>
      <c r="M79" s="28">
        <f>AA79</f>
        <v/>
      </c>
      <c r="N79" s="23">
        <f>IF(AND(B79="",C79="",D79="",N(H79)=0),"",IF(B79="","Enter the date",IF(C79="","Pick the party",IF(P79="?","Add this party on the Parties sheet first",IF(D79="","Pick the entry type",IF(Q79="?","Pick the entry type from the list",IF(N(H79)=0,"Enter the amount",IF(AND(R79&lt;&gt;"Any",R79&lt;&gt;P79),"Sales, receipts and credit notes are for debtors; purchases, payments and debit notes for creditors",IF(AND(F79&lt;&gt;"",D79&lt;&gt;"Purchase bill"),"The received-on date is only for purchase bills",IF(AND(P79="Creditor",X79=1,AA79&gt;0),"Past due to a micro or small supplier: interest runs under MSMED s.16, and if unpaid at year end it is not deductible that year, s.37(2)(g)",IF(AND(P79="Debtor",X79=1,AA79&gt;0),"Past due to you: as a micro or small supplier you can claim interest under MSMED s.16","OK")))))))))))</f>
        <v/>
      </c>
      <c r="P79">
        <f>IF(C79="","",IFERROR(VLOOKUP(C79,'Parties'!$B$13:$Q$112,2,FALSE),"?"))</f>
        <v/>
      </c>
      <c r="Q79">
        <f>IF(D79="","",IFERROR(VLOOKUP(D79,Lists!$A$2:$D$9,3,FALSE),"?"))</f>
        <v/>
      </c>
      <c r="R79">
        <f>IF(D79="","",IFERROR(VLOOKUP(D79,Lists!$A$2:$D$9,4,FALSE),"?"))</f>
        <v/>
      </c>
      <c r="S79">
        <f>IF(P79="Debtor",I79,IF(P79="Creditor",J79,0))</f>
        <v/>
      </c>
      <c r="T79">
        <f>IF(P79="Debtor",J79,IF(P79="Creditor",I79,0))</f>
        <v/>
      </c>
      <c r="U79">
        <f>IF(OR(S79=0,B79=""),0,IFERROR(VLOOKUP(C79,'Parties'!$B$13:$Q$112,13,FALSE),0)+SUMIFS($S$7:$S$506,$C$7:$C$506,C79,$B$7:$B$506,"&lt;"&amp;B79)+SUMIFS(S$7:S79,C$7:C79,C79,B$7:B79,B79))</f>
        <v/>
      </c>
      <c r="V79">
        <f>IF(S79=0,0,IFERROR(VLOOKUP(C79,'Parties'!$B$13:$Q$112,14,FALSE),0)+SUMIFS($T$7:$T$506,$C$7:$C$506,C79,$B$7:$B$506,"&lt;="&amp;'Outstanding'!$E$5))</f>
        <v/>
      </c>
      <c r="W79">
        <f>IF(OR('Outstanding'!$E$5="",S79=0,B79="",B79&gt;'Outstanding'!$E$5),0,MAX(0,MIN(S79,U79-V79)))</f>
        <v/>
      </c>
      <c r="X79">
        <f>IF(C79="",0,IFERROR(VLOOKUP(C79,'Parties'!$B$13:$Q$112,15,FALSE),0))</f>
        <v/>
      </c>
      <c r="Y79">
        <f>IF(C79="","",IFERROR(VLOOKUP(C79,'Parties'!$B$13:$Q$112,16,FALSE),0))</f>
        <v/>
      </c>
      <c r="Z79">
        <f>IF(OR(S79=0,B79="",Y79=""),"",IF(AND(F79&lt;&gt;"",D79="Purchase bill"),F79,B79)+Y79)</f>
        <v/>
      </c>
      <c r="AA79">
        <f>IF(OR(W79=0,Z79=""),0,MAX(0,'Outstanding'!$E$5-Z79))</f>
        <v/>
      </c>
      <c r="AB79">
        <f>IF(AND(X79=1,AA79&gt;0),W79*((1+3*N('Parties'!$E$10)/12)^(AA79*12/365)-1),0)</f>
        <v/>
      </c>
      <c r="AC79">
        <f>IF(W79=0,"",'Outstanding'!$E$5-B79)</f>
        <v/>
      </c>
      <c r="AD79">
        <f>IF(S79=0,0,IFERROR(VLOOKUP(C79,'Parties'!$B$13:$Q$112,14,FALSE),0)+SUMIFS($T$7:$T$506,$C$7:$C$506,C79,$B$7:$B$506,"&lt;="&amp;'Parties'!$E$8))</f>
        <v/>
      </c>
      <c r="AE79">
        <f>IF(OR('Parties'!$E$8="",S79=0,B79="",B79&gt;'Parties'!$E$8),0,MAX(0,MIN(S79,U79-AD79)))</f>
        <v/>
      </c>
      <c r="AF79">
        <f>IF(AND(P79="Creditor",X79=1,AE79&gt;0,Z79&lt;&gt;""),IF(Z79&lt;='Parties'!$E$8,AE79,0),0)</f>
        <v/>
      </c>
      <c r="AG79">
        <f>IF(OR(AE79=0,Z79=""),0,MAX(0,'Parties'!$E$8-Z79))</f>
        <v/>
      </c>
      <c r="AH79">
        <f>IF(AND(P79="Creditor",X79=1,AG79&gt;0),AE79*((1+3*N('Parties'!$E$10)/12)^(AG79*12/365)-1),0)</f>
        <v/>
      </c>
      <c r="AI79">
        <f>IF(AND(C79&lt;&gt;"",C79='Ledger Account'!$D$4,B79&lt;&gt;"",B79&gt;='Ledger Account'!$D$5,B79&lt;='Ledger Account'!$D$6),1,0)</f>
        <v/>
      </c>
      <c r="AJ79">
        <f>IF(AI79=1,SUM(AI$7:AI79),"")</f>
        <v/>
      </c>
      <c r="AK79">
        <f>IF(OR(N79="",N79="OK"),0,1)</f>
        <v/>
      </c>
    </row>
    <row r="80">
      <c r="B80" s="24" t="n"/>
      <c r="C80" s="14" t="n"/>
      <c r="D80" s="14" t="n"/>
      <c r="E80" s="20" t="n"/>
      <c r="F80" s="24" t="n"/>
      <c r="G80" s="14" t="n"/>
      <c r="H80" s="22" t="n"/>
      <c r="I80" s="25">
        <f>IF(Q80="D",N(H80),0)</f>
        <v/>
      </c>
      <c r="J80" s="25">
        <f>IF(Q80="C",N(H80),0)</f>
        <v/>
      </c>
      <c r="K80" s="26">
        <f>IF(Z80="","",Z80)</f>
        <v/>
      </c>
      <c r="L80" s="27">
        <f>W80</f>
        <v/>
      </c>
      <c r="M80" s="28">
        <f>AA80</f>
        <v/>
      </c>
      <c r="N80" s="23">
        <f>IF(AND(B80="",C80="",D80="",N(H80)=0),"",IF(B80="","Enter the date",IF(C80="","Pick the party",IF(P80="?","Add this party on the Parties sheet first",IF(D80="","Pick the entry type",IF(Q80="?","Pick the entry type from the list",IF(N(H80)=0,"Enter the amount",IF(AND(R80&lt;&gt;"Any",R80&lt;&gt;P80),"Sales, receipts and credit notes are for debtors; purchases, payments and debit notes for creditors",IF(AND(F80&lt;&gt;"",D80&lt;&gt;"Purchase bill"),"The received-on date is only for purchase bills",IF(AND(P80="Creditor",X80=1,AA80&gt;0),"Past due to a micro or small supplier: interest runs under MSMED s.16, and if unpaid at year end it is not deductible that year, s.37(2)(g)",IF(AND(P80="Debtor",X80=1,AA80&gt;0),"Past due to you: as a micro or small supplier you can claim interest under MSMED s.16","OK")))))))))))</f>
        <v/>
      </c>
      <c r="P80">
        <f>IF(C80="","",IFERROR(VLOOKUP(C80,'Parties'!$B$13:$Q$112,2,FALSE),"?"))</f>
        <v/>
      </c>
      <c r="Q80">
        <f>IF(D80="","",IFERROR(VLOOKUP(D80,Lists!$A$2:$D$9,3,FALSE),"?"))</f>
        <v/>
      </c>
      <c r="R80">
        <f>IF(D80="","",IFERROR(VLOOKUP(D80,Lists!$A$2:$D$9,4,FALSE),"?"))</f>
        <v/>
      </c>
      <c r="S80">
        <f>IF(P80="Debtor",I80,IF(P80="Creditor",J80,0))</f>
        <v/>
      </c>
      <c r="T80">
        <f>IF(P80="Debtor",J80,IF(P80="Creditor",I80,0))</f>
        <v/>
      </c>
      <c r="U80">
        <f>IF(OR(S80=0,B80=""),0,IFERROR(VLOOKUP(C80,'Parties'!$B$13:$Q$112,13,FALSE),0)+SUMIFS($S$7:$S$506,$C$7:$C$506,C80,$B$7:$B$506,"&lt;"&amp;B80)+SUMIFS(S$7:S80,C$7:C80,C80,B$7:B80,B80))</f>
        <v/>
      </c>
      <c r="V80">
        <f>IF(S80=0,0,IFERROR(VLOOKUP(C80,'Parties'!$B$13:$Q$112,14,FALSE),0)+SUMIFS($T$7:$T$506,$C$7:$C$506,C80,$B$7:$B$506,"&lt;="&amp;'Outstanding'!$E$5))</f>
        <v/>
      </c>
      <c r="W80">
        <f>IF(OR('Outstanding'!$E$5="",S80=0,B80="",B80&gt;'Outstanding'!$E$5),0,MAX(0,MIN(S80,U80-V80)))</f>
        <v/>
      </c>
      <c r="X80">
        <f>IF(C80="",0,IFERROR(VLOOKUP(C80,'Parties'!$B$13:$Q$112,15,FALSE),0))</f>
        <v/>
      </c>
      <c r="Y80">
        <f>IF(C80="","",IFERROR(VLOOKUP(C80,'Parties'!$B$13:$Q$112,16,FALSE),0))</f>
        <v/>
      </c>
      <c r="Z80">
        <f>IF(OR(S80=0,B80="",Y80=""),"",IF(AND(F80&lt;&gt;"",D80="Purchase bill"),F80,B80)+Y80)</f>
        <v/>
      </c>
      <c r="AA80">
        <f>IF(OR(W80=0,Z80=""),0,MAX(0,'Outstanding'!$E$5-Z80))</f>
        <v/>
      </c>
      <c r="AB80">
        <f>IF(AND(X80=1,AA80&gt;0),W80*((1+3*N('Parties'!$E$10)/12)^(AA80*12/365)-1),0)</f>
        <v/>
      </c>
      <c r="AC80">
        <f>IF(W80=0,"",'Outstanding'!$E$5-B80)</f>
        <v/>
      </c>
      <c r="AD80">
        <f>IF(S80=0,0,IFERROR(VLOOKUP(C80,'Parties'!$B$13:$Q$112,14,FALSE),0)+SUMIFS($T$7:$T$506,$C$7:$C$506,C80,$B$7:$B$506,"&lt;="&amp;'Parties'!$E$8))</f>
        <v/>
      </c>
      <c r="AE80">
        <f>IF(OR('Parties'!$E$8="",S80=0,B80="",B80&gt;'Parties'!$E$8),0,MAX(0,MIN(S80,U80-AD80)))</f>
        <v/>
      </c>
      <c r="AF80">
        <f>IF(AND(P80="Creditor",X80=1,AE80&gt;0,Z80&lt;&gt;""),IF(Z80&lt;='Parties'!$E$8,AE80,0),0)</f>
        <v/>
      </c>
      <c r="AG80">
        <f>IF(OR(AE80=0,Z80=""),0,MAX(0,'Parties'!$E$8-Z80))</f>
        <v/>
      </c>
      <c r="AH80">
        <f>IF(AND(P80="Creditor",X80=1,AG80&gt;0),AE80*((1+3*N('Parties'!$E$10)/12)^(AG80*12/365)-1),0)</f>
        <v/>
      </c>
      <c r="AI80">
        <f>IF(AND(C80&lt;&gt;"",C80='Ledger Account'!$D$4,B80&lt;&gt;"",B80&gt;='Ledger Account'!$D$5,B80&lt;='Ledger Account'!$D$6),1,0)</f>
        <v/>
      </c>
      <c r="AJ80">
        <f>IF(AI80=1,SUM(AI$7:AI80),"")</f>
        <v/>
      </c>
      <c r="AK80">
        <f>IF(OR(N80="",N80="OK"),0,1)</f>
        <v/>
      </c>
    </row>
    <row r="81">
      <c r="B81" s="24" t="n"/>
      <c r="C81" s="14" t="n"/>
      <c r="D81" s="14" t="n"/>
      <c r="E81" s="20" t="n"/>
      <c r="F81" s="24" t="n"/>
      <c r="G81" s="14" t="n"/>
      <c r="H81" s="22" t="n"/>
      <c r="I81" s="25">
        <f>IF(Q81="D",N(H81),0)</f>
        <v/>
      </c>
      <c r="J81" s="25">
        <f>IF(Q81="C",N(H81),0)</f>
        <v/>
      </c>
      <c r="K81" s="26">
        <f>IF(Z81="","",Z81)</f>
        <v/>
      </c>
      <c r="L81" s="27">
        <f>W81</f>
        <v/>
      </c>
      <c r="M81" s="28">
        <f>AA81</f>
        <v/>
      </c>
      <c r="N81" s="23">
        <f>IF(AND(B81="",C81="",D81="",N(H81)=0),"",IF(B81="","Enter the date",IF(C81="","Pick the party",IF(P81="?","Add this party on the Parties sheet first",IF(D81="","Pick the entry type",IF(Q81="?","Pick the entry type from the list",IF(N(H81)=0,"Enter the amount",IF(AND(R81&lt;&gt;"Any",R81&lt;&gt;P81),"Sales, receipts and credit notes are for debtors; purchases, payments and debit notes for creditors",IF(AND(F81&lt;&gt;"",D81&lt;&gt;"Purchase bill"),"The received-on date is only for purchase bills",IF(AND(P81="Creditor",X81=1,AA81&gt;0),"Past due to a micro or small supplier: interest runs under MSMED s.16, and if unpaid at year end it is not deductible that year, s.37(2)(g)",IF(AND(P81="Debtor",X81=1,AA81&gt;0),"Past due to you: as a micro or small supplier you can claim interest under MSMED s.16","OK")))))))))))</f>
        <v/>
      </c>
      <c r="P81">
        <f>IF(C81="","",IFERROR(VLOOKUP(C81,'Parties'!$B$13:$Q$112,2,FALSE),"?"))</f>
        <v/>
      </c>
      <c r="Q81">
        <f>IF(D81="","",IFERROR(VLOOKUP(D81,Lists!$A$2:$D$9,3,FALSE),"?"))</f>
        <v/>
      </c>
      <c r="R81">
        <f>IF(D81="","",IFERROR(VLOOKUP(D81,Lists!$A$2:$D$9,4,FALSE),"?"))</f>
        <v/>
      </c>
      <c r="S81">
        <f>IF(P81="Debtor",I81,IF(P81="Creditor",J81,0))</f>
        <v/>
      </c>
      <c r="T81">
        <f>IF(P81="Debtor",J81,IF(P81="Creditor",I81,0))</f>
        <v/>
      </c>
      <c r="U81">
        <f>IF(OR(S81=0,B81=""),0,IFERROR(VLOOKUP(C81,'Parties'!$B$13:$Q$112,13,FALSE),0)+SUMIFS($S$7:$S$506,$C$7:$C$506,C81,$B$7:$B$506,"&lt;"&amp;B81)+SUMIFS(S$7:S81,C$7:C81,C81,B$7:B81,B81))</f>
        <v/>
      </c>
      <c r="V81">
        <f>IF(S81=0,0,IFERROR(VLOOKUP(C81,'Parties'!$B$13:$Q$112,14,FALSE),0)+SUMIFS($T$7:$T$506,$C$7:$C$506,C81,$B$7:$B$506,"&lt;="&amp;'Outstanding'!$E$5))</f>
        <v/>
      </c>
      <c r="W81">
        <f>IF(OR('Outstanding'!$E$5="",S81=0,B81="",B81&gt;'Outstanding'!$E$5),0,MAX(0,MIN(S81,U81-V81)))</f>
        <v/>
      </c>
      <c r="X81">
        <f>IF(C81="",0,IFERROR(VLOOKUP(C81,'Parties'!$B$13:$Q$112,15,FALSE),0))</f>
        <v/>
      </c>
      <c r="Y81">
        <f>IF(C81="","",IFERROR(VLOOKUP(C81,'Parties'!$B$13:$Q$112,16,FALSE),0))</f>
        <v/>
      </c>
      <c r="Z81">
        <f>IF(OR(S81=0,B81="",Y81=""),"",IF(AND(F81&lt;&gt;"",D81="Purchase bill"),F81,B81)+Y81)</f>
        <v/>
      </c>
      <c r="AA81">
        <f>IF(OR(W81=0,Z81=""),0,MAX(0,'Outstanding'!$E$5-Z81))</f>
        <v/>
      </c>
      <c r="AB81">
        <f>IF(AND(X81=1,AA81&gt;0),W81*((1+3*N('Parties'!$E$10)/12)^(AA81*12/365)-1),0)</f>
        <v/>
      </c>
      <c r="AC81">
        <f>IF(W81=0,"",'Outstanding'!$E$5-B81)</f>
        <v/>
      </c>
      <c r="AD81">
        <f>IF(S81=0,0,IFERROR(VLOOKUP(C81,'Parties'!$B$13:$Q$112,14,FALSE),0)+SUMIFS($T$7:$T$506,$C$7:$C$506,C81,$B$7:$B$506,"&lt;="&amp;'Parties'!$E$8))</f>
        <v/>
      </c>
      <c r="AE81">
        <f>IF(OR('Parties'!$E$8="",S81=0,B81="",B81&gt;'Parties'!$E$8),0,MAX(0,MIN(S81,U81-AD81)))</f>
        <v/>
      </c>
      <c r="AF81">
        <f>IF(AND(P81="Creditor",X81=1,AE81&gt;0,Z81&lt;&gt;""),IF(Z81&lt;='Parties'!$E$8,AE81,0),0)</f>
        <v/>
      </c>
      <c r="AG81">
        <f>IF(OR(AE81=0,Z81=""),0,MAX(0,'Parties'!$E$8-Z81))</f>
        <v/>
      </c>
      <c r="AH81">
        <f>IF(AND(P81="Creditor",X81=1,AG81&gt;0),AE81*((1+3*N('Parties'!$E$10)/12)^(AG81*12/365)-1),0)</f>
        <v/>
      </c>
      <c r="AI81">
        <f>IF(AND(C81&lt;&gt;"",C81='Ledger Account'!$D$4,B81&lt;&gt;"",B81&gt;='Ledger Account'!$D$5,B81&lt;='Ledger Account'!$D$6),1,0)</f>
        <v/>
      </c>
      <c r="AJ81">
        <f>IF(AI81=1,SUM(AI$7:AI81),"")</f>
        <v/>
      </c>
      <c r="AK81">
        <f>IF(OR(N81="",N81="OK"),0,1)</f>
        <v/>
      </c>
    </row>
    <row r="82">
      <c r="B82" s="24" t="n"/>
      <c r="C82" s="14" t="n"/>
      <c r="D82" s="14" t="n"/>
      <c r="E82" s="20" t="n"/>
      <c r="F82" s="24" t="n"/>
      <c r="G82" s="14" t="n"/>
      <c r="H82" s="22" t="n"/>
      <c r="I82" s="25">
        <f>IF(Q82="D",N(H82),0)</f>
        <v/>
      </c>
      <c r="J82" s="25">
        <f>IF(Q82="C",N(H82),0)</f>
        <v/>
      </c>
      <c r="K82" s="26">
        <f>IF(Z82="","",Z82)</f>
        <v/>
      </c>
      <c r="L82" s="27">
        <f>W82</f>
        <v/>
      </c>
      <c r="M82" s="28">
        <f>AA82</f>
        <v/>
      </c>
      <c r="N82" s="23">
        <f>IF(AND(B82="",C82="",D82="",N(H82)=0),"",IF(B82="","Enter the date",IF(C82="","Pick the party",IF(P82="?","Add this party on the Parties sheet first",IF(D82="","Pick the entry type",IF(Q82="?","Pick the entry type from the list",IF(N(H82)=0,"Enter the amount",IF(AND(R82&lt;&gt;"Any",R82&lt;&gt;P82),"Sales, receipts and credit notes are for debtors; purchases, payments and debit notes for creditors",IF(AND(F82&lt;&gt;"",D82&lt;&gt;"Purchase bill"),"The received-on date is only for purchase bills",IF(AND(P82="Creditor",X82=1,AA82&gt;0),"Past due to a micro or small supplier: interest runs under MSMED s.16, and if unpaid at year end it is not deductible that year, s.37(2)(g)",IF(AND(P82="Debtor",X82=1,AA82&gt;0),"Past due to you: as a micro or small supplier you can claim interest under MSMED s.16","OK")))))))))))</f>
        <v/>
      </c>
      <c r="P82">
        <f>IF(C82="","",IFERROR(VLOOKUP(C82,'Parties'!$B$13:$Q$112,2,FALSE),"?"))</f>
        <v/>
      </c>
      <c r="Q82">
        <f>IF(D82="","",IFERROR(VLOOKUP(D82,Lists!$A$2:$D$9,3,FALSE),"?"))</f>
        <v/>
      </c>
      <c r="R82">
        <f>IF(D82="","",IFERROR(VLOOKUP(D82,Lists!$A$2:$D$9,4,FALSE),"?"))</f>
        <v/>
      </c>
      <c r="S82">
        <f>IF(P82="Debtor",I82,IF(P82="Creditor",J82,0))</f>
        <v/>
      </c>
      <c r="T82">
        <f>IF(P82="Debtor",J82,IF(P82="Creditor",I82,0))</f>
        <v/>
      </c>
      <c r="U82">
        <f>IF(OR(S82=0,B82=""),0,IFERROR(VLOOKUP(C82,'Parties'!$B$13:$Q$112,13,FALSE),0)+SUMIFS($S$7:$S$506,$C$7:$C$506,C82,$B$7:$B$506,"&lt;"&amp;B82)+SUMIFS(S$7:S82,C$7:C82,C82,B$7:B82,B82))</f>
        <v/>
      </c>
      <c r="V82">
        <f>IF(S82=0,0,IFERROR(VLOOKUP(C82,'Parties'!$B$13:$Q$112,14,FALSE),0)+SUMIFS($T$7:$T$506,$C$7:$C$506,C82,$B$7:$B$506,"&lt;="&amp;'Outstanding'!$E$5))</f>
        <v/>
      </c>
      <c r="W82">
        <f>IF(OR('Outstanding'!$E$5="",S82=0,B82="",B82&gt;'Outstanding'!$E$5),0,MAX(0,MIN(S82,U82-V82)))</f>
        <v/>
      </c>
      <c r="X82">
        <f>IF(C82="",0,IFERROR(VLOOKUP(C82,'Parties'!$B$13:$Q$112,15,FALSE),0))</f>
        <v/>
      </c>
      <c r="Y82">
        <f>IF(C82="","",IFERROR(VLOOKUP(C82,'Parties'!$B$13:$Q$112,16,FALSE),0))</f>
        <v/>
      </c>
      <c r="Z82">
        <f>IF(OR(S82=0,B82="",Y82=""),"",IF(AND(F82&lt;&gt;"",D82="Purchase bill"),F82,B82)+Y82)</f>
        <v/>
      </c>
      <c r="AA82">
        <f>IF(OR(W82=0,Z82=""),0,MAX(0,'Outstanding'!$E$5-Z82))</f>
        <v/>
      </c>
      <c r="AB82">
        <f>IF(AND(X82=1,AA82&gt;0),W82*((1+3*N('Parties'!$E$10)/12)^(AA82*12/365)-1),0)</f>
        <v/>
      </c>
      <c r="AC82">
        <f>IF(W82=0,"",'Outstanding'!$E$5-B82)</f>
        <v/>
      </c>
      <c r="AD82">
        <f>IF(S82=0,0,IFERROR(VLOOKUP(C82,'Parties'!$B$13:$Q$112,14,FALSE),0)+SUMIFS($T$7:$T$506,$C$7:$C$506,C82,$B$7:$B$506,"&lt;="&amp;'Parties'!$E$8))</f>
        <v/>
      </c>
      <c r="AE82">
        <f>IF(OR('Parties'!$E$8="",S82=0,B82="",B82&gt;'Parties'!$E$8),0,MAX(0,MIN(S82,U82-AD82)))</f>
        <v/>
      </c>
      <c r="AF82">
        <f>IF(AND(P82="Creditor",X82=1,AE82&gt;0,Z82&lt;&gt;""),IF(Z82&lt;='Parties'!$E$8,AE82,0),0)</f>
        <v/>
      </c>
      <c r="AG82">
        <f>IF(OR(AE82=0,Z82=""),0,MAX(0,'Parties'!$E$8-Z82))</f>
        <v/>
      </c>
      <c r="AH82">
        <f>IF(AND(P82="Creditor",X82=1,AG82&gt;0),AE82*((1+3*N('Parties'!$E$10)/12)^(AG82*12/365)-1),0)</f>
        <v/>
      </c>
      <c r="AI82">
        <f>IF(AND(C82&lt;&gt;"",C82='Ledger Account'!$D$4,B82&lt;&gt;"",B82&gt;='Ledger Account'!$D$5,B82&lt;='Ledger Account'!$D$6),1,0)</f>
        <v/>
      </c>
      <c r="AJ82">
        <f>IF(AI82=1,SUM(AI$7:AI82),"")</f>
        <v/>
      </c>
      <c r="AK82">
        <f>IF(OR(N82="",N82="OK"),0,1)</f>
        <v/>
      </c>
    </row>
    <row r="83">
      <c r="B83" s="24" t="n"/>
      <c r="C83" s="14" t="n"/>
      <c r="D83" s="14" t="n"/>
      <c r="E83" s="20" t="n"/>
      <c r="F83" s="24" t="n"/>
      <c r="G83" s="14" t="n"/>
      <c r="H83" s="22" t="n"/>
      <c r="I83" s="25">
        <f>IF(Q83="D",N(H83),0)</f>
        <v/>
      </c>
      <c r="J83" s="25">
        <f>IF(Q83="C",N(H83),0)</f>
        <v/>
      </c>
      <c r="K83" s="26">
        <f>IF(Z83="","",Z83)</f>
        <v/>
      </c>
      <c r="L83" s="27">
        <f>W83</f>
        <v/>
      </c>
      <c r="M83" s="28">
        <f>AA83</f>
        <v/>
      </c>
      <c r="N83" s="23">
        <f>IF(AND(B83="",C83="",D83="",N(H83)=0),"",IF(B83="","Enter the date",IF(C83="","Pick the party",IF(P83="?","Add this party on the Parties sheet first",IF(D83="","Pick the entry type",IF(Q83="?","Pick the entry type from the list",IF(N(H83)=0,"Enter the amount",IF(AND(R83&lt;&gt;"Any",R83&lt;&gt;P83),"Sales, receipts and credit notes are for debtors; purchases, payments and debit notes for creditors",IF(AND(F83&lt;&gt;"",D83&lt;&gt;"Purchase bill"),"The received-on date is only for purchase bills",IF(AND(P83="Creditor",X83=1,AA83&gt;0),"Past due to a micro or small supplier: interest runs under MSMED s.16, and if unpaid at year end it is not deductible that year, s.37(2)(g)",IF(AND(P83="Debtor",X83=1,AA83&gt;0),"Past due to you: as a micro or small supplier you can claim interest under MSMED s.16","OK")))))))))))</f>
        <v/>
      </c>
      <c r="P83">
        <f>IF(C83="","",IFERROR(VLOOKUP(C83,'Parties'!$B$13:$Q$112,2,FALSE),"?"))</f>
        <v/>
      </c>
      <c r="Q83">
        <f>IF(D83="","",IFERROR(VLOOKUP(D83,Lists!$A$2:$D$9,3,FALSE),"?"))</f>
        <v/>
      </c>
      <c r="R83">
        <f>IF(D83="","",IFERROR(VLOOKUP(D83,Lists!$A$2:$D$9,4,FALSE),"?"))</f>
        <v/>
      </c>
      <c r="S83">
        <f>IF(P83="Debtor",I83,IF(P83="Creditor",J83,0))</f>
        <v/>
      </c>
      <c r="T83">
        <f>IF(P83="Debtor",J83,IF(P83="Creditor",I83,0))</f>
        <v/>
      </c>
      <c r="U83">
        <f>IF(OR(S83=0,B83=""),0,IFERROR(VLOOKUP(C83,'Parties'!$B$13:$Q$112,13,FALSE),0)+SUMIFS($S$7:$S$506,$C$7:$C$506,C83,$B$7:$B$506,"&lt;"&amp;B83)+SUMIFS(S$7:S83,C$7:C83,C83,B$7:B83,B83))</f>
        <v/>
      </c>
      <c r="V83">
        <f>IF(S83=0,0,IFERROR(VLOOKUP(C83,'Parties'!$B$13:$Q$112,14,FALSE),0)+SUMIFS($T$7:$T$506,$C$7:$C$506,C83,$B$7:$B$506,"&lt;="&amp;'Outstanding'!$E$5))</f>
        <v/>
      </c>
      <c r="W83">
        <f>IF(OR('Outstanding'!$E$5="",S83=0,B83="",B83&gt;'Outstanding'!$E$5),0,MAX(0,MIN(S83,U83-V83)))</f>
        <v/>
      </c>
      <c r="X83">
        <f>IF(C83="",0,IFERROR(VLOOKUP(C83,'Parties'!$B$13:$Q$112,15,FALSE),0))</f>
        <v/>
      </c>
      <c r="Y83">
        <f>IF(C83="","",IFERROR(VLOOKUP(C83,'Parties'!$B$13:$Q$112,16,FALSE),0))</f>
        <v/>
      </c>
      <c r="Z83">
        <f>IF(OR(S83=0,B83="",Y83=""),"",IF(AND(F83&lt;&gt;"",D83="Purchase bill"),F83,B83)+Y83)</f>
        <v/>
      </c>
      <c r="AA83">
        <f>IF(OR(W83=0,Z83=""),0,MAX(0,'Outstanding'!$E$5-Z83))</f>
        <v/>
      </c>
      <c r="AB83">
        <f>IF(AND(X83=1,AA83&gt;0),W83*((1+3*N('Parties'!$E$10)/12)^(AA83*12/365)-1),0)</f>
        <v/>
      </c>
      <c r="AC83">
        <f>IF(W83=0,"",'Outstanding'!$E$5-B83)</f>
        <v/>
      </c>
      <c r="AD83">
        <f>IF(S83=0,0,IFERROR(VLOOKUP(C83,'Parties'!$B$13:$Q$112,14,FALSE),0)+SUMIFS($T$7:$T$506,$C$7:$C$506,C83,$B$7:$B$506,"&lt;="&amp;'Parties'!$E$8))</f>
        <v/>
      </c>
      <c r="AE83">
        <f>IF(OR('Parties'!$E$8="",S83=0,B83="",B83&gt;'Parties'!$E$8),0,MAX(0,MIN(S83,U83-AD83)))</f>
        <v/>
      </c>
      <c r="AF83">
        <f>IF(AND(P83="Creditor",X83=1,AE83&gt;0,Z83&lt;&gt;""),IF(Z83&lt;='Parties'!$E$8,AE83,0),0)</f>
        <v/>
      </c>
      <c r="AG83">
        <f>IF(OR(AE83=0,Z83=""),0,MAX(0,'Parties'!$E$8-Z83))</f>
        <v/>
      </c>
      <c r="AH83">
        <f>IF(AND(P83="Creditor",X83=1,AG83&gt;0),AE83*((1+3*N('Parties'!$E$10)/12)^(AG83*12/365)-1),0)</f>
        <v/>
      </c>
      <c r="AI83">
        <f>IF(AND(C83&lt;&gt;"",C83='Ledger Account'!$D$4,B83&lt;&gt;"",B83&gt;='Ledger Account'!$D$5,B83&lt;='Ledger Account'!$D$6),1,0)</f>
        <v/>
      </c>
      <c r="AJ83">
        <f>IF(AI83=1,SUM(AI$7:AI83),"")</f>
        <v/>
      </c>
      <c r="AK83">
        <f>IF(OR(N83="",N83="OK"),0,1)</f>
        <v/>
      </c>
    </row>
    <row r="84">
      <c r="B84" s="24" t="n"/>
      <c r="C84" s="14" t="n"/>
      <c r="D84" s="14" t="n"/>
      <c r="E84" s="20" t="n"/>
      <c r="F84" s="24" t="n"/>
      <c r="G84" s="14" t="n"/>
      <c r="H84" s="22" t="n"/>
      <c r="I84" s="25">
        <f>IF(Q84="D",N(H84),0)</f>
        <v/>
      </c>
      <c r="J84" s="25">
        <f>IF(Q84="C",N(H84),0)</f>
        <v/>
      </c>
      <c r="K84" s="26">
        <f>IF(Z84="","",Z84)</f>
        <v/>
      </c>
      <c r="L84" s="27">
        <f>W84</f>
        <v/>
      </c>
      <c r="M84" s="28">
        <f>AA84</f>
        <v/>
      </c>
      <c r="N84" s="23">
        <f>IF(AND(B84="",C84="",D84="",N(H84)=0),"",IF(B84="","Enter the date",IF(C84="","Pick the party",IF(P84="?","Add this party on the Parties sheet first",IF(D84="","Pick the entry type",IF(Q84="?","Pick the entry type from the list",IF(N(H84)=0,"Enter the amount",IF(AND(R84&lt;&gt;"Any",R84&lt;&gt;P84),"Sales, receipts and credit notes are for debtors; purchases, payments and debit notes for creditors",IF(AND(F84&lt;&gt;"",D84&lt;&gt;"Purchase bill"),"The received-on date is only for purchase bills",IF(AND(P84="Creditor",X84=1,AA84&gt;0),"Past due to a micro or small supplier: interest runs under MSMED s.16, and if unpaid at year end it is not deductible that year, s.37(2)(g)",IF(AND(P84="Debtor",X84=1,AA84&gt;0),"Past due to you: as a micro or small supplier you can claim interest under MSMED s.16","OK")))))))))))</f>
        <v/>
      </c>
      <c r="P84">
        <f>IF(C84="","",IFERROR(VLOOKUP(C84,'Parties'!$B$13:$Q$112,2,FALSE),"?"))</f>
        <v/>
      </c>
      <c r="Q84">
        <f>IF(D84="","",IFERROR(VLOOKUP(D84,Lists!$A$2:$D$9,3,FALSE),"?"))</f>
        <v/>
      </c>
      <c r="R84">
        <f>IF(D84="","",IFERROR(VLOOKUP(D84,Lists!$A$2:$D$9,4,FALSE),"?"))</f>
        <v/>
      </c>
      <c r="S84">
        <f>IF(P84="Debtor",I84,IF(P84="Creditor",J84,0))</f>
        <v/>
      </c>
      <c r="T84">
        <f>IF(P84="Debtor",J84,IF(P84="Creditor",I84,0))</f>
        <v/>
      </c>
      <c r="U84">
        <f>IF(OR(S84=0,B84=""),0,IFERROR(VLOOKUP(C84,'Parties'!$B$13:$Q$112,13,FALSE),0)+SUMIFS($S$7:$S$506,$C$7:$C$506,C84,$B$7:$B$506,"&lt;"&amp;B84)+SUMIFS(S$7:S84,C$7:C84,C84,B$7:B84,B84))</f>
        <v/>
      </c>
      <c r="V84">
        <f>IF(S84=0,0,IFERROR(VLOOKUP(C84,'Parties'!$B$13:$Q$112,14,FALSE),0)+SUMIFS($T$7:$T$506,$C$7:$C$506,C84,$B$7:$B$506,"&lt;="&amp;'Outstanding'!$E$5))</f>
        <v/>
      </c>
      <c r="W84">
        <f>IF(OR('Outstanding'!$E$5="",S84=0,B84="",B84&gt;'Outstanding'!$E$5),0,MAX(0,MIN(S84,U84-V84)))</f>
        <v/>
      </c>
      <c r="X84">
        <f>IF(C84="",0,IFERROR(VLOOKUP(C84,'Parties'!$B$13:$Q$112,15,FALSE),0))</f>
        <v/>
      </c>
      <c r="Y84">
        <f>IF(C84="","",IFERROR(VLOOKUP(C84,'Parties'!$B$13:$Q$112,16,FALSE),0))</f>
        <v/>
      </c>
      <c r="Z84">
        <f>IF(OR(S84=0,B84="",Y84=""),"",IF(AND(F84&lt;&gt;"",D84="Purchase bill"),F84,B84)+Y84)</f>
        <v/>
      </c>
      <c r="AA84">
        <f>IF(OR(W84=0,Z84=""),0,MAX(0,'Outstanding'!$E$5-Z84))</f>
        <v/>
      </c>
      <c r="AB84">
        <f>IF(AND(X84=1,AA84&gt;0),W84*((1+3*N('Parties'!$E$10)/12)^(AA84*12/365)-1),0)</f>
        <v/>
      </c>
      <c r="AC84">
        <f>IF(W84=0,"",'Outstanding'!$E$5-B84)</f>
        <v/>
      </c>
      <c r="AD84">
        <f>IF(S84=0,0,IFERROR(VLOOKUP(C84,'Parties'!$B$13:$Q$112,14,FALSE),0)+SUMIFS($T$7:$T$506,$C$7:$C$506,C84,$B$7:$B$506,"&lt;="&amp;'Parties'!$E$8))</f>
        <v/>
      </c>
      <c r="AE84">
        <f>IF(OR('Parties'!$E$8="",S84=0,B84="",B84&gt;'Parties'!$E$8),0,MAX(0,MIN(S84,U84-AD84)))</f>
        <v/>
      </c>
      <c r="AF84">
        <f>IF(AND(P84="Creditor",X84=1,AE84&gt;0,Z84&lt;&gt;""),IF(Z84&lt;='Parties'!$E$8,AE84,0),0)</f>
        <v/>
      </c>
      <c r="AG84">
        <f>IF(OR(AE84=0,Z84=""),0,MAX(0,'Parties'!$E$8-Z84))</f>
        <v/>
      </c>
      <c r="AH84">
        <f>IF(AND(P84="Creditor",X84=1,AG84&gt;0),AE84*((1+3*N('Parties'!$E$10)/12)^(AG84*12/365)-1),0)</f>
        <v/>
      </c>
      <c r="AI84">
        <f>IF(AND(C84&lt;&gt;"",C84='Ledger Account'!$D$4,B84&lt;&gt;"",B84&gt;='Ledger Account'!$D$5,B84&lt;='Ledger Account'!$D$6),1,0)</f>
        <v/>
      </c>
      <c r="AJ84">
        <f>IF(AI84=1,SUM(AI$7:AI84),"")</f>
        <v/>
      </c>
      <c r="AK84">
        <f>IF(OR(N84="",N84="OK"),0,1)</f>
        <v/>
      </c>
    </row>
    <row r="85">
      <c r="B85" s="24" t="n"/>
      <c r="C85" s="14" t="n"/>
      <c r="D85" s="14" t="n"/>
      <c r="E85" s="20" t="n"/>
      <c r="F85" s="24" t="n"/>
      <c r="G85" s="14" t="n"/>
      <c r="H85" s="22" t="n"/>
      <c r="I85" s="25">
        <f>IF(Q85="D",N(H85),0)</f>
        <v/>
      </c>
      <c r="J85" s="25">
        <f>IF(Q85="C",N(H85),0)</f>
        <v/>
      </c>
      <c r="K85" s="26">
        <f>IF(Z85="","",Z85)</f>
        <v/>
      </c>
      <c r="L85" s="27">
        <f>W85</f>
        <v/>
      </c>
      <c r="M85" s="28">
        <f>AA85</f>
        <v/>
      </c>
      <c r="N85" s="23">
        <f>IF(AND(B85="",C85="",D85="",N(H85)=0),"",IF(B85="","Enter the date",IF(C85="","Pick the party",IF(P85="?","Add this party on the Parties sheet first",IF(D85="","Pick the entry type",IF(Q85="?","Pick the entry type from the list",IF(N(H85)=0,"Enter the amount",IF(AND(R85&lt;&gt;"Any",R85&lt;&gt;P85),"Sales, receipts and credit notes are for debtors; purchases, payments and debit notes for creditors",IF(AND(F85&lt;&gt;"",D85&lt;&gt;"Purchase bill"),"The received-on date is only for purchase bills",IF(AND(P85="Creditor",X85=1,AA85&gt;0),"Past due to a micro or small supplier: interest runs under MSMED s.16, and if unpaid at year end it is not deductible that year, s.37(2)(g)",IF(AND(P85="Debtor",X85=1,AA85&gt;0),"Past due to you: as a micro or small supplier you can claim interest under MSMED s.16","OK")))))))))))</f>
        <v/>
      </c>
      <c r="P85">
        <f>IF(C85="","",IFERROR(VLOOKUP(C85,'Parties'!$B$13:$Q$112,2,FALSE),"?"))</f>
        <v/>
      </c>
      <c r="Q85">
        <f>IF(D85="","",IFERROR(VLOOKUP(D85,Lists!$A$2:$D$9,3,FALSE),"?"))</f>
        <v/>
      </c>
      <c r="R85">
        <f>IF(D85="","",IFERROR(VLOOKUP(D85,Lists!$A$2:$D$9,4,FALSE),"?"))</f>
        <v/>
      </c>
      <c r="S85">
        <f>IF(P85="Debtor",I85,IF(P85="Creditor",J85,0))</f>
        <v/>
      </c>
      <c r="T85">
        <f>IF(P85="Debtor",J85,IF(P85="Creditor",I85,0))</f>
        <v/>
      </c>
      <c r="U85">
        <f>IF(OR(S85=0,B85=""),0,IFERROR(VLOOKUP(C85,'Parties'!$B$13:$Q$112,13,FALSE),0)+SUMIFS($S$7:$S$506,$C$7:$C$506,C85,$B$7:$B$506,"&lt;"&amp;B85)+SUMIFS(S$7:S85,C$7:C85,C85,B$7:B85,B85))</f>
        <v/>
      </c>
      <c r="V85">
        <f>IF(S85=0,0,IFERROR(VLOOKUP(C85,'Parties'!$B$13:$Q$112,14,FALSE),0)+SUMIFS($T$7:$T$506,$C$7:$C$506,C85,$B$7:$B$506,"&lt;="&amp;'Outstanding'!$E$5))</f>
        <v/>
      </c>
      <c r="W85">
        <f>IF(OR('Outstanding'!$E$5="",S85=0,B85="",B85&gt;'Outstanding'!$E$5),0,MAX(0,MIN(S85,U85-V85)))</f>
        <v/>
      </c>
      <c r="X85">
        <f>IF(C85="",0,IFERROR(VLOOKUP(C85,'Parties'!$B$13:$Q$112,15,FALSE),0))</f>
        <v/>
      </c>
      <c r="Y85">
        <f>IF(C85="","",IFERROR(VLOOKUP(C85,'Parties'!$B$13:$Q$112,16,FALSE),0))</f>
        <v/>
      </c>
      <c r="Z85">
        <f>IF(OR(S85=0,B85="",Y85=""),"",IF(AND(F85&lt;&gt;"",D85="Purchase bill"),F85,B85)+Y85)</f>
        <v/>
      </c>
      <c r="AA85">
        <f>IF(OR(W85=0,Z85=""),0,MAX(0,'Outstanding'!$E$5-Z85))</f>
        <v/>
      </c>
      <c r="AB85">
        <f>IF(AND(X85=1,AA85&gt;0),W85*((1+3*N('Parties'!$E$10)/12)^(AA85*12/365)-1),0)</f>
        <v/>
      </c>
      <c r="AC85">
        <f>IF(W85=0,"",'Outstanding'!$E$5-B85)</f>
        <v/>
      </c>
      <c r="AD85">
        <f>IF(S85=0,0,IFERROR(VLOOKUP(C85,'Parties'!$B$13:$Q$112,14,FALSE),0)+SUMIFS($T$7:$T$506,$C$7:$C$506,C85,$B$7:$B$506,"&lt;="&amp;'Parties'!$E$8))</f>
        <v/>
      </c>
      <c r="AE85">
        <f>IF(OR('Parties'!$E$8="",S85=0,B85="",B85&gt;'Parties'!$E$8),0,MAX(0,MIN(S85,U85-AD85)))</f>
        <v/>
      </c>
      <c r="AF85">
        <f>IF(AND(P85="Creditor",X85=1,AE85&gt;0,Z85&lt;&gt;""),IF(Z85&lt;='Parties'!$E$8,AE85,0),0)</f>
        <v/>
      </c>
      <c r="AG85">
        <f>IF(OR(AE85=0,Z85=""),0,MAX(0,'Parties'!$E$8-Z85))</f>
        <v/>
      </c>
      <c r="AH85">
        <f>IF(AND(P85="Creditor",X85=1,AG85&gt;0),AE85*((1+3*N('Parties'!$E$10)/12)^(AG85*12/365)-1),0)</f>
        <v/>
      </c>
      <c r="AI85">
        <f>IF(AND(C85&lt;&gt;"",C85='Ledger Account'!$D$4,B85&lt;&gt;"",B85&gt;='Ledger Account'!$D$5,B85&lt;='Ledger Account'!$D$6),1,0)</f>
        <v/>
      </c>
      <c r="AJ85">
        <f>IF(AI85=1,SUM(AI$7:AI85),"")</f>
        <v/>
      </c>
      <c r="AK85">
        <f>IF(OR(N85="",N85="OK"),0,1)</f>
        <v/>
      </c>
    </row>
    <row r="86">
      <c r="B86" s="24" t="n"/>
      <c r="C86" s="14" t="n"/>
      <c r="D86" s="14" t="n"/>
      <c r="E86" s="20" t="n"/>
      <c r="F86" s="24" t="n"/>
      <c r="G86" s="14" t="n"/>
      <c r="H86" s="22" t="n"/>
      <c r="I86" s="25">
        <f>IF(Q86="D",N(H86),0)</f>
        <v/>
      </c>
      <c r="J86" s="25">
        <f>IF(Q86="C",N(H86),0)</f>
        <v/>
      </c>
      <c r="K86" s="26">
        <f>IF(Z86="","",Z86)</f>
        <v/>
      </c>
      <c r="L86" s="27">
        <f>W86</f>
        <v/>
      </c>
      <c r="M86" s="28">
        <f>AA86</f>
        <v/>
      </c>
      <c r="N86" s="23">
        <f>IF(AND(B86="",C86="",D86="",N(H86)=0),"",IF(B86="","Enter the date",IF(C86="","Pick the party",IF(P86="?","Add this party on the Parties sheet first",IF(D86="","Pick the entry type",IF(Q86="?","Pick the entry type from the list",IF(N(H86)=0,"Enter the amount",IF(AND(R86&lt;&gt;"Any",R86&lt;&gt;P86),"Sales, receipts and credit notes are for debtors; purchases, payments and debit notes for creditors",IF(AND(F86&lt;&gt;"",D86&lt;&gt;"Purchase bill"),"The received-on date is only for purchase bills",IF(AND(P86="Creditor",X86=1,AA86&gt;0),"Past due to a micro or small supplier: interest runs under MSMED s.16, and if unpaid at year end it is not deductible that year, s.37(2)(g)",IF(AND(P86="Debtor",X86=1,AA86&gt;0),"Past due to you: as a micro or small supplier you can claim interest under MSMED s.16","OK")))))))))))</f>
        <v/>
      </c>
      <c r="P86">
        <f>IF(C86="","",IFERROR(VLOOKUP(C86,'Parties'!$B$13:$Q$112,2,FALSE),"?"))</f>
        <v/>
      </c>
      <c r="Q86">
        <f>IF(D86="","",IFERROR(VLOOKUP(D86,Lists!$A$2:$D$9,3,FALSE),"?"))</f>
        <v/>
      </c>
      <c r="R86">
        <f>IF(D86="","",IFERROR(VLOOKUP(D86,Lists!$A$2:$D$9,4,FALSE),"?"))</f>
        <v/>
      </c>
      <c r="S86">
        <f>IF(P86="Debtor",I86,IF(P86="Creditor",J86,0))</f>
        <v/>
      </c>
      <c r="T86">
        <f>IF(P86="Debtor",J86,IF(P86="Creditor",I86,0))</f>
        <v/>
      </c>
      <c r="U86">
        <f>IF(OR(S86=0,B86=""),0,IFERROR(VLOOKUP(C86,'Parties'!$B$13:$Q$112,13,FALSE),0)+SUMIFS($S$7:$S$506,$C$7:$C$506,C86,$B$7:$B$506,"&lt;"&amp;B86)+SUMIFS(S$7:S86,C$7:C86,C86,B$7:B86,B86))</f>
        <v/>
      </c>
      <c r="V86">
        <f>IF(S86=0,0,IFERROR(VLOOKUP(C86,'Parties'!$B$13:$Q$112,14,FALSE),0)+SUMIFS($T$7:$T$506,$C$7:$C$506,C86,$B$7:$B$506,"&lt;="&amp;'Outstanding'!$E$5))</f>
        <v/>
      </c>
      <c r="W86">
        <f>IF(OR('Outstanding'!$E$5="",S86=0,B86="",B86&gt;'Outstanding'!$E$5),0,MAX(0,MIN(S86,U86-V86)))</f>
        <v/>
      </c>
      <c r="X86">
        <f>IF(C86="",0,IFERROR(VLOOKUP(C86,'Parties'!$B$13:$Q$112,15,FALSE),0))</f>
        <v/>
      </c>
      <c r="Y86">
        <f>IF(C86="","",IFERROR(VLOOKUP(C86,'Parties'!$B$13:$Q$112,16,FALSE),0))</f>
        <v/>
      </c>
      <c r="Z86">
        <f>IF(OR(S86=0,B86="",Y86=""),"",IF(AND(F86&lt;&gt;"",D86="Purchase bill"),F86,B86)+Y86)</f>
        <v/>
      </c>
      <c r="AA86">
        <f>IF(OR(W86=0,Z86=""),0,MAX(0,'Outstanding'!$E$5-Z86))</f>
        <v/>
      </c>
      <c r="AB86">
        <f>IF(AND(X86=1,AA86&gt;0),W86*((1+3*N('Parties'!$E$10)/12)^(AA86*12/365)-1),0)</f>
        <v/>
      </c>
      <c r="AC86">
        <f>IF(W86=0,"",'Outstanding'!$E$5-B86)</f>
        <v/>
      </c>
      <c r="AD86">
        <f>IF(S86=0,0,IFERROR(VLOOKUP(C86,'Parties'!$B$13:$Q$112,14,FALSE),0)+SUMIFS($T$7:$T$506,$C$7:$C$506,C86,$B$7:$B$506,"&lt;="&amp;'Parties'!$E$8))</f>
        <v/>
      </c>
      <c r="AE86">
        <f>IF(OR('Parties'!$E$8="",S86=0,B86="",B86&gt;'Parties'!$E$8),0,MAX(0,MIN(S86,U86-AD86)))</f>
        <v/>
      </c>
      <c r="AF86">
        <f>IF(AND(P86="Creditor",X86=1,AE86&gt;0,Z86&lt;&gt;""),IF(Z86&lt;='Parties'!$E$8,AE86,0),0)</f>
        <v/>
      </c>
      <c r="AG86">
        <f>IF(OR(AE86=0,Z86=""),0,MAX(0,'Parties'!$E$8-Z86))</f>
        <v/>
      </c>
      <c r="AH86">
        <f>IF(AND(P86="Creditor",X86=1,AG86&gt;0),AE86*((1+3*N('Parties'!$E$10)/12)^(AG86*12/365)-1),0)</f>
        <v/>
      </c>
      <c r="AI86">
        <f>IF(AND(C86&lt;&gt;"",C86='Ledger Account'!$D$4,B86&lt;&gt;"",B86&gt;='Ledger Account'!$D$5,B86&lt;='Ledger Account'!$D$6),1,0)</f>
        <v/>
      </c>
      <c r="AJ86">
        <f>IF(AI86=1,SUM(AI$7:AI86),"")</f>
        <v/>
      </c>
      <c r="AK86">
        <f>IF(OR(N86="",N86="OK"),0,1)</f>
        <v/>
      </c>
    </row>
    <row r="87">
      <c r="B87" s="24" t="n"/>
      <c r="C87" s="14" t="n"/>
      <c r="D87" s="14" t="n"/>
      <c r="E87" s="20" t="n"/>
      <c r="F87" s="24" t="n"/>
      <c r="G87" s="14" t="n"/>
      <c r="H87" s="22" t="n"/>
      <c r="I87" s="25">
        <f>IF(Q87="D",N(H87),0)</f>
        <v/>
      </c>
      <c r="J87" s="25">
        <f>IF(Q87="C",N(H87),0)</f>
        <v/>
      </c>
      <c r="K87" s="26">
        <f>IF(Z87="","",Z87)</f>
        <v/>
      </c>
      <c r="L87" s="27">
        <f>W87</f>
        <v/>
      </c>
      <c r="M87" s="28">
        <f>AA87</f>
        <v/>
      </c>
      <c r="N87" s="23">
        <f>IF(AND(B87="",C87="",D87="",N(H87)=0),"",IF(B87="","Enter the date",IF(C87="","Pick the party",IF(P87="?","Add this party on the Parties sheet first",IF(D87="","Pick the entry type",IF(Q87="?","Pick the entry type from the list",IF(N(H87)=0,"Enter the amount",IF(AND(R87&lt;&gt;"Any",R87&lt;&gt;P87),"Sales, receipts and credit notes are for debtors; purchases, payments and debit notes for creditors",IF(AND(F87&lt;&gt;"",D87&lt;&gt;"Purchase bill"),"The received-on date is only for purchase bills",IF(AND(P87="Creditor",X87=1,AA87&gt;0),"Past due to a micro or small supplier: interest runs under MSMED s.16, and if unpaid at year end it is not deductible that year, s.37(2)(g)",IF(AND(P87="Debtor",X87=1,AA87&gt;0),"Past due to you: as a micro or small supplier you can claim interest under MSMED s.16","OK")))))))))))</f>
        <v/>
      </c>
      <c r="P87">
        <f>IF(C87="","",IFERROR(VLOOKUP(C87,'Parties'!$B$13:$Q$112,2,FALSE),"?"))</f>
        <v/>
      </c>
      <c r="Q87">
        <f>IF(D87="","",IFERROR(VLOOKUP(D87,Lists!$A$2:$D$9,3,FALSE),"?"))</f>
        <v/>
      </c>
      <c r="R87">
        <f>IF(D87="","",IFERROR(VLOOKUP(D87,Lists!$A$2:$D$9,4,FALSE),"?"))</f>
        <v/>
      </c>
      <c r="S87">
        <f>IF(P87="Debtor",I87,IF(P87="Creditor",J87,0))</f>
        <v/>
      </c>
      <c r="T87">
        <f>IF(P87="Debtor",J87,IF(P87="Creditor",I87,0))</f>
        <v/>
      </c>
      <c r="U87">
        <f>IF(OR(S87=0,B87=""),0,IFERROR(VLOOKUP(C87,'Parties'!$B$13:$Q$112,13,FALSE),0)+SUMIFS($S$7:$S$506,$C$7:$C$506,C87,$B$7:$B$506,"&lt;"&amp;B87)+SUMIFS(S$7:S87,C$7:C87,C87,B$7:B87,B87))</f>
        <v/>
      </c>
      <c r="V87">
        <f>IF(S87=0,0,IFERROR(VLOOKUP(C87,'Parties'!$B$13:$Q$112,14,FALSE),0)+SUMIFS($T$7:$T$506,$C$7:$C$506,C87,$B$7:$B$506,"&lt;="&amp;'Outstanding'!$E$5))</f>
        <v/>
      </c>
      <c r="W87">
        <f>IF(OR('Outstanding'!$E$5="",S87=0,B87="",B87&gt;'Outstanding'!$E$5),0,MAX(0,MIN(S87,U87-V87)))</f>
        <v/>
      </c>
      <c r="X87">
        <f>IF(C87="",0,IFERROR(VLOOKUP(C87,'Parties'!$B$13:$Q$112,15,FALSE),0))</f>
        <v/>
      </c>
      <c r="Y87">
        <f>IF(C87="","",IFERROR(VLOOKUP(C87,'Parties'!$B$13:$Q$112,16,FALSE),0))</f>
        <v/>
      </c>
      <c r="Z87">
        <f>IF(OR(S87=0,B87="",Y87=""),"",IF(AND(F87&lt;&gt;"",D87="Purchase bill"),F87,B87)+Y87)</f>
        <v/>
      </c>
      <c r="AA87">
        <f>IF(OR(W87=0,Z87=""),0,MAX(0,'Outstanding'!$E$5-Z87))</f>
        <v/>
      </c>
      <c r="AB87">
        <f>IF(AND(X87=1,AA87&gt;0),W87*((1+3*N('Parties'!$E$10)/12)^(AA87*12/365)-1),0)</f>
        <v/>
      </c>
      <c r="AC87">
        <f>IF(W87=0,"",'Outstanding'!$E$5-B87)</f>
        <v/>
      </c>
      <c r="AD87">
        <f>IF(S87=0,0,IFERROR(VLOOKUP(C87,'Parties'!$B$13:$Q$112,14,FALSE),0)+SUMIFS($T$7:$T$506,$C$7:$C$506,C87,$B$7:$B$506,"&lt;="&amp;'Parties'!$E$8))</f>
        <v/>
      </c>
      <c r="AE87">
        <f>IF(OR('Parties'!$E$8="",S87=0,B87="",B87&gt;'Parties'!$E$8),0,MAX(0,MIN(S87,U87-AD87)))</f>
        <v/>
      </c>
      <c r="AF87">
        <f>IF(AND(P87="Creditor",X87=1,AE87&gt;0,Z87&lt;&gt;""),IF(Z87&lt;='Parties'!$E$8,AE87,0),0)</f>
        <v/>
      </c>
      <c r="AG87">
        <f>IF(OR(AE87=0,Z87=""),0,MAX(0,'Parties'!$E$8-Z87))</f>
        <v/>
      </c>
      <c r="AH87">
        <f>IF(AND(P87="Creditor",X87=1,AG87&gt;0),AE87*((1+3*N('Parties'!$E$10)/12)^(AG87*12/365)-1),0)</f>
        <v/>
      </c>
      <c r="AI87">
        <f>IF(AND(C87&lt;&gt;"",C87='Ledger Account'!$D$4,B87&lt;&gt;"",B87&gt;='Ledger Account'!$D$5,B87&lt;='Ledger Account'!$D$6),1,0)</f>
        <v/>
      </c>
      <c r="AJ87">
        <f>IF(AI87=1,SUM(AI$7:AI87),"")</f>
        <v/>
      </c>
      <c r="AK87">
        <f>IF(OR(N87="",N87="OK"),0,1)</f>
        <v/>
      </c>
    </row>
    <row r="88">
      <c r="B88" s="24" t="n"/>
      <c r="C88" s="14" t="n"/>
      <c r="D88" s="14" t="n"/>
      <c r="E88" s="20" t="n"/>
      <c r="F88" s="24" t="n"/>
      <c r="G88" s="14" t="n"/>
      <c r="H88" s="22" t="n"/>
      <c r="I88" s="25">
        <f>IF(Q88="D",N(H88),0)</f>
        <v/>
      </c>
      <c r="J88" s="25">
        <f>IF(Q88="C",N(H88),0)</f>
        <v/>
      </c>
      <c r="K88" s="26">
        <f>IF(Z88="","",Z88)</f>
        <v/>
      </c>
      <c r="L88" s="27">
        <f>W88</f>
        <v/>
      </c>
      <c r="M88" s="28">
        <f>AA88</f>
        <v/>
      </c>
      <c r="N88" s="23">
        <f>IF(AND(B88="",C88="",D88="",N(H88)=0),"",IF(B88="","Enter the date",IF(C88="","Pick the party",IF(P88="?","Add this party on the Parties sheet first",IF(D88="","Pick the entry type",IF(Q88="?","Pick the entry type from the list",IF(N(H88)=0,"Enter the amount",IF(AND(R88&lt;&gt;"Any",R88&lt;&gt;P88),"Sales, receipts and credit notes are for debtors; purchases, payments and debit notes for creditors",IF(AND(F88&lt;&gt;"",D88&lt;&gt;"Purchase bill"),"The received-on date is only for purchase bills",IF(AND(P88="Creditor",X88=1,AA88&gt;0),"Past due to a micro or small supplier: interest runs under MSMED s.16, and if unpaid at year end it is not deductible that year, s.37(2)(g)",IF(AND(P88="Debtor",X88=1,AA88&gt;0),"Past due to you: as a micro or small supplier you can claim interest under MSMED s.16","OK")))))))))))</f>
        <v/>
      </c>
      <c r="P88">
        <f>IF(C88="","",IFERROR(VLOOKUP(C88,'Parties'!$B$13:$Q$112,2,FALSE),"?"))</f>
        <v/>
      </c>
      <c r="Q88">
        <f>IF(D88="","",IFERROR(VLOOKUP(D88,Lists!$A$2:$D$9,3,FALSE),"?"))</f>
        <v/>
      </c>
      <c r="R88">
        <f>IF(D88="","",IFERROR(VLOOKUP(D88,Lists!$A$2:$D$9,4,FALSE),"?"))</f>
        <v/>
      </c>
      <c r="S88">
        <f>IF(P88="Debtor",I88,IF(P88="Creditor",J88,0))</f>
        <v/>
      </c>
      <c r="T88">
        <f>IF(P88="Debtor",J88,IF(P88="Creditor",I88,0))</f>
        <v/>
      </c>
      <c r="U88">
        <f>IF(OR(S88=0,B88=""),0,IFERROR(VLOOKUP(C88,'Parties'!$B$13:$Q$112,13,FALSE),0)+SUMIFS($S$7:$S$506,$C$7:$C$506,C88,$B$7:$B$506,"&lt;"&amp;B88)+SUMIFS(S$7:S88,C$7:C88,C88,B$7:B88,B88))</f>
        <v/>
      </c>
      <c r="V88">
        <f>IF(S88=0,0,IFERROR(VLOOKUP(C88,'Parties'!$B$13:$Q$112,14,FALSE),0)+SUMIFS($T$7:$T$506,$C$7:$C$506,C88,$B$7:$B$506,"&lt;="&amp;'Outstanding'!$E$5))</f>
        <v/>
      </c>
      <c r="W88">
        <f>IF(OR('Outstanding'!$E$5="",S88=0,B88="",B88&gt;'Outstanding'!$E$5),0,MAX(0,MIN(S88,U88-V88)))</f>
        <v/>
      </c>
      <c r="X88">
        <f>IF(C88="",0,IFERROR(VLOOKUP(C88,'Parties'!$B$13:$Q$112,15,FALSE),0))</f>
        <v/>
      </c>
      <c r="Y88">
        <f>IF(C88="","",IFERROR(VLOOKUP(C88,'Parties'!$B$13:$Q$112,16,FALSE),0))</f>
        <v/>
      </c>
      <c r="Z88">
        <f>IF(OR(S88=0,B88="",Y88=""),"",IF(AND(F88&lt;&gt;"",D88="Purchase bill"),F88,B88)+Y88)</f>
        <v/>
      </c>
      <c r="AA88">
        <f>IF(OR(W88=0,Z88=""),0,MAX(0,'Outstanding'!$E$5-Z88))</f>
        <v/>
      </c>
      <c r="AB88">
        <f>IF(AND(X88=1,AA88&gt;0),W88*((1+3*N('Parties'!$E$10)/12)^(AA88*12/365)-1),0)</f>
        <v/>
      </c>
      <c r="AC88">
        <f>IF(W88=0,"",'Outstanding'!$E$5-B88)</f>
        <v/>
      </c>
      <c r="AD88">
        <f>IF(S88=0,0,IFERROR(VLOOKUP(C88,'Parties'!$B$13:$Q$112,14,FALSE),0)+SUMIFS($T$7:$T$506,$C$7:$C$506,C88,$B$7:$B$506,"&lt;="&amp;'Parties'!$E$8))</f>
        <v/>
      </c>
      <c r="AE88">
        <f>IF(OR('Parties'!$E$8="",S88=0,B88="",B88&gt;'Parties'!$E$8),0,MAX(0,MIN(S88,U88-AD88)))</f>
        <v/>
      </c>
      <c r="AF88">
        <f>IF(AND(P88="Creditor",X88=1,AE88&gt;0,Z88&lt;&gt;""),IF(Z88&lt;='Parties'!$E$8,AE88,0),0)</f>
        <v/>
      </c>
      <c r="AG88">
        <f>IF(OR(AE88=0,Z88=""),0,MAX(0,'Parties'!$E$8-Z88))</f>
        <v/>
      </c>
      <c r="AH88">
        <f>IF(AND(P88="Creditor",X88=1,AG88&gt;0),AE88*((1+3*N('Parties'!$E$10)/12)^(AG88*12/365)-1),0)</f>
        <v/>
      </c>
      <c r="AI88">
        <f>IF(AND(C88&lt;&gt;"",C88='Ledger Account'!$D$4,B88&lt;&gt;"",B88&gt;='Ledger Account'!$D$5,B88&lt;='Ledger Account'!$D$6),1,0)</f>
        <v/>
      </c>
      <c r="AJ88">
        <f>IF(AI88=1,SUM(AI$7:AI88),"")</f>
        <v/>
      </c>
      <c r="AK88">
        <f>IF(OR(N88="",N88="OK"),0,1)</f>
        <v/>
      </c>
    </row>
    <row r="89">
      <c r="B89" s="24" t="n"/>
      <c r="C89" s="14" t="n"/>
      <c r="D89" s="14" t="n"/>
      <c r="E89" s="20" t="n"/>
      <c r="F89" s="24" t="n"/>
      <c r="G89" s="14" t="n"/>
      <c r="H89" s="22" t="n"/>
      <c r="I89" s="25">
        <f>IF(Q89="D",N(H89),0)</f>
        <v/>
      </c>
      <c r="J89" s="25">
        <f>IF(Q89="C",N(H89),0)</f>
        <v/>
      </c>
      <c r="K89" s="26">
        <f>IF(Z89="","",Z89)</f>
        <v/>
      </c>
      <c r="L89" s="27">
        <f>W89</f>
        <v/>
      </c>
      <c r="M89" s="28">
        <f>AA89</f>
        <v/>
      </c>
      <c r="N89" s="23">
        <f>IF(AND(B89="",C89="",D89="",N(H89)=0),"",IF(B89="","Enter the date",IF(C89="","Pick the party",IF(P89="?","Add this party on the Parties sheet first",IF(D89="","Pick the entry type",IF(Q89="?","Pick the entry type from the list",IF(N(H89)=0,"Enter the amount",IF(AND(R89&lt;&gt;"Any",R89&lt;&gt;P89),"Sales, receipts and credit notes are for debtors; purchases, payments and debit notes for creditors",IF(AND(F89&lt;&gt;"",D89&lt;&gt;"Purchase bill"),"The received-on date is only for purchase bills",IF(AND(P89="Creditor",X89=1,AA89&gt;0),"Past due to a micro or small supplier: interest runs under MSMED s.16, and if unpaid at year end it is not deductible that year, s.37(2)(g)",IF(AND(P89="Debtor",X89=1,AA89&gt;0),"Past due to you: as a micro or small supplier you can claim interest under MSMED s.16","OK")))))))))))</f>
        <v/>
      </c>
      <c r="P89">
        <f>IF(C89="","",IFERROR(VLOOKUP(C89,'Parties'!$B$13:$Q$112,2,FALSE),"?"))</f>
        <v/>
      </c>
      <c r="Q89">
        <f>IF(D89="","",IFERROR(VLOOKUP(D89,Lists!$A$2:$D$9,3,FALSE),"?"))</f>
        <v/>
      </c>
      <c r="R89">
        <f>IF(D89="","",IFERROR(VLOOKUP(D89,Lists!$A$2:$D$9,4,FALSE),"?"))</f>
        <v/>
      </c>
      <c r="S89">
        <f>IF(P89="Debtor",I89,IF(P89="Creditor",J89,0))</f>
        <v/>
      </c>
      <c r="T89">
        <f>IF(P89="Debtor",J89,IF(P89="Creditor",I89,0))</f>
        <v/>
      </c>
      <c r="U89">
        <f>IF(OR(S89=0,B89=""),0,IFERROR(VLOOKUP(C89,'Parties'!$B$13:$Q$112,13,FALSE),0)+SUMIFS($S$7:$S$506,$C$7:$C$506,C89,$B$7:$B$506,"&lt;"&amp;B89)+SUMIFS(S$7:S89,C$7:C89,C89,B$7:B89,B89))</f>
        <v/>
      </c>
      <c r="V89">
        <f>IF(S89=0,0,IFERROR(VLOOKUP(C89,'Parties'!$B$13:$Q$112,14,FALSE),0)+SUMIFS($T$7:$T$506,$C$7:$C$506,C89,$B$7:$B$506,"&lt;="&amp;'Outstanding'!$E$5))</f>
        <v/>
      </c>
      <c r="W89">
        <f>IF(OR('Outstanding'!$E$5="",S89=0,B89="",B89&gt;'Outstanding'!$E$5),0,MAX(0,MIN(S89,U89-V89)))</f>
        <v/>
      </c>
      <c r="X89">
        <f>IF(C89="",0,IFERROR(VLOOKUP(C89,'Parties'!$B$13:$Q$112,15,FALSE),0))</f>
        <v/>
      </c>
      <c r="Y89">
        <f>IF(C89="","",IFERROR(VLOOKUP(C89,'Parties'!$B$13:$Q$112,16,FALSE),0))</f>
        <v/>
      </c>
      <c r="Z89">
        <f>IF(OR(S89=0,B89="",Y89=""),"",IF(AND(F89&lt;&gt;"",D89="Purchase bill"),F89,B89)+Y89)</f>
        <v/>
      </c>
      <c r="AA89">
        <f>IF(OR(W89=0,Z89=""),0,MAX(0,'Outstanding'!$E$5-Z89))</f>
        <v/>
      </c>
      <c r="AB89">
        <f>IF(AND(X89=1,AA89&gt;0),W89*((1+3*N('Parties'!$E$10)/12)^(AA89*12/365)-1),0)</f>
        <v/>
      </c>
      <c r="AC89">
        <f>IF(W89=0,"",'Outstanding'!$E$5-B89)</f>
        <v/>
      </c>
      <c r="AD89">
        <f>IF(S89=0,0,IFERROR(VLOOKUP(C89,'Parties'!$B$13:$Q$112,14,FALSE),0)+SUMIFS($T$7:$T$506,$C$7:$C$506,C89,$B$7:$B$506,"&lt;="&amp;'Parties'!$E$8))</f>
        <v/>
      </c>
      <c r="AE89">
        <f>IF(OR('Parties'!$E$8="",S89=0,B89="",B89&gt;'Parties'!$E$8),0,MAX(0,MIN(S89,U89-AD89)))</f>
        <v/>
      </c>
      <c r="AF89">
        <f>IF(AND(P89="Creditor",X89=1,AE89&gt;0,Z89&lt;&gt;""),IF(Z89&lt;='Parties'!$E$8,AE89,0),0)</f>
        <v/>
      </c>
      <c r="AG89">
        <f>IF(OR(AE89=0,Z89=""),0,MAX(0,'Parties'!$E$8-Z89))</f>
        <v/>
      </c>
      <c r="AH89">
        <f>IF(AND(P89="Creditor",X89=1,AG89&gt;0),AE89*((1+3*N('Parties'!$E$10)/12)^(AG89*12/365)-1),0)</f>
        <v/>
      </c>
      <c r="AI89">
        <f>IF(AND(C89&lt;&gt;"",C89='Ledger Account'!$D$4,B89&lt;&gt;"",B89&gt;='Ledger Account'!$D$5,B89&lt;='Ledger Account'!$D$6),1,0)</f>
        <v/>
      </c>
      <c r="AJ89">
        <f>IF(AI89=1,SUM(AI$7:AI89),"")</f>
        <v/>
      </c>
      <c r="AK89">
        <f>IF(OR(N89="",N89="OK"),0,1)</f>
        <v/>
      </c>
    </row>
    <row r="90">
      <c r="B90" s="24" t="n"/>
      <c r="C90" s="14" t="n"/>
      <c r="D90" s="14" t="n"/>
      <c r="E90" s="20" t="n"/>
      <c r="F90" s="24" t="n"/>
      <c r="G90" s="14" t="n"/>
      <c r="H90" s="22" t="n"/>
      <c r="I90" s="25">
        <f>IF(Q90="D",N(H90),0)</f>
        <v/>
      </c>
      <c r="J90" s="25">
        <f>IF(Q90="C",N(H90),0)</f>
        <v/>
      </c>
      <c r="K90" s="26">
        <f>IF(Z90="","",Z90)</f>
        <v/>
      </c>
      <c r="L90" s="27">
        <f>W90</f>
        <v/>
      </c>
      <c r="M90" s="28">
        <f>AA90</f>
        <v/>
      </c>
      <c r="N90" s="23">
        <f>IF(AND(B90="",C90="",D90="",N(H90)=0),"",IF(B90="","Enter the date",IF(C90="","Pick the party",IF(P90="?","Add this party on the Parties sheet first",IF(D90="","Pick the entry type",IF(Q90="?","Pick the entry type from the list",IF(N(H90)=0,"Enter the amount",IF(AND(R90&lt;&gt;"Any",R90&lt;&gt;P90),"Sales, receipts and credit notes are for debtors; purchases, payments and debit notes for creditors",IF(AND(F90&lt;&gt;"",D90&lt;&gt;"Purchase bill"),"The received-on date is only for purchase bills",IF(AND(P90="Creditor",X90=1,AA90&gt;0),"Past due to a micro or small supplier: interest runs under MSMED s.16, and if unpaid at year end it is not deductible that year, s.37(2)(g)",IF(AND(P90="Debtor",X90=1,AA90&gt;0),"Past due to you: as a micro or small supplier you can claim interest under MSMED s.16","OK")))))))))))</f>
        <v/>
      </c>
      <c r="P90">
        <f>IF(C90="","",IFERROR(VLOOKUP(C90,'Parties'!$B$13:$Q$112,2,FALSE),"?"))</f>
        <v/>
      </c>
      <c r="Q90">
        <f>IF(D90="","",IFERROR(VLOOKUP(D90,Lists!$A$2:$D$9,3,FALSE),"?"))</f>
        <v/>
      </c>
      <c r="R90">
        <f>IF(D90="","",IFERROR(VLOOKUP(D90,Lists!$A$2:$D$9,4,FALSE),"?"))</f>
        <v/>
      </c>
      <c r="S90">
        <f>IF(P90="Debtor",I90,IF(P90="Creditor",J90,0))</f>
        <v/>
      </c>
      <c r="T90">
        <f>IF(P90="Debtor",J90,IF(P90="Creditor",I90,0))</f>
        <v/>
      </c>
      <c r="U90">
        <f>IF(OR(S90=0,B90=""),0,IFERROR(VLOOKUP(C90,'Parties'!$B$13:$Q$112,13,FALSE),0)+SUMIFS($S$7:$S$506,$C$7:$C$506,C90,$B$7:$B$506,"&lt;"&amp;B90)+SUMIFS(S$7:S90,C$7:C90,C90,B$7:B90,B90))</f>
        <v/>
      </c>
      <c r="V90">
        <f>IF(S90=0,0,IFERROR(VLOOKUP(C90,'Parties'!$B$13:$Q$112,14,FALSE),0)+SUMIFS($T$7:$T$506,$C$7:$C$506,C90,$B$7:$B$506,"&lt;="&amp;'Outstanding'!$E$5))</f>
        <v/>
      </c>
      <c r="W90">
        <f>IF(OR('Outstanding'!$E$5="",S90=0,B90="",B90&gt;'Outstanding'!$E$5),0,MAX(0,MIN(S90,U90-V90)))</f>
        <v/>
      </c>
      <c r="X90">
        <f>IF(C90="",0,IFERROR(VLOOKUP(C90,'Parties'!$B$13:$Q$112,15,FALSE),0))</f>
        <v/>
      </c>
      <c r="Y90">
        <f>IF(C90="","",IFERROR(VLOOKUP(C90,'Parties'!$B$13:$Q$112,16,FALSE),0))</f>
        <v/>
      </c>
      <c r="Z90">
        <f>IF(OR(S90=0,B90="",Y90=""),"",IF(AND(F90&lt;&gt;"",D90="Purchase bill"),F90,B90)+Y90)</f>
        <v/>
      </c>
      <c r="AA90">
        <f>IF(OR(W90=0,Z90=""),0,MAX(0,'Outstanding'!$E$5-Z90))</f>
        <v/>
      </c>
      <c r="AB90">
        <f>IF(AND(X90=1,AA90&gt;0),W90*((1+3*N('Parties'!$E$10)/12)^(AA90*12/365)-1),0)</f>
        <v/>
      </c>
      <c r="AC90">
        <f>IF(W90=0,"",'Outstanding'!$E$5-B90)</f>
        <v/>
      </c>
      <c r="AD90">
        <f>IF(S90=0,0,IFERROR(VLOOKUP(C90,'Parties'!$B$13:$Q$112,14,FALSE),0)+SUMIFS($T$7:$T$506,$C$7:$C$506,C90,$B$7:$B$506,"&lt;="&amp;'Parties'!$E$8))</f>
        <v/>
      </c>
      <c r="AE90">
        <f>IF(OR('Parties'!$E$8="",S90=0,B90="",B90&gt;'Parties'!$E$8),0,MAX(0,MIN(S90,U90-AD90)))</f>
        <v/>
      </c>
      <c r="AF90">
        <f>IF(AND(P90="Creditor",X90=1,AE90&gt;0,Z90&lt;&gt;""),IF(Z90&lt;='Parties'!$E$8,AE90,0),0)</f>
        <v/>
      </c>
      <c r="AG90">
        <f>IF(OR(AE90=0,Z90=""),0,MAX(0,'Parties'!$E$8-Z90))</f>
        <v/>
      </c>
      <c r="AH90">
        <f>IF(AND(P90="Creditor",X90=1,AG90&gt;0),AE90*((1+3*N('Parties'!$E$10)/12)^(AG90*12/365)-1),0)</f>
        <v/>
      </c>
      <c r="AI90">
        <f>IF(AND(C90&lt;&gt;"",C90='Ledger Account'!$D$4,B90&lt;&gt;"",B90&gt;='Ledger Account'!$D$5,B90&lt;='Ledger Account'!$D$6),1,0)</f>
        <v/>
      </c>
      <c r="AJ90">
        <f>IF(AI90=1,SUM(AI$7:AI90),"")</f>
        <v/>
      </c>
      <c r="AK90">
        <f>IF(OR(N90="",N90="OK"),0,1)</f>
        <v/>
      </c>
    </row>
    <row r="91">
      <c r="B91" s="24" t="n"/>
      <c r="C91" s="14" t="n"/>
      <c r="D91" s="14" t="n"/>
      <c r="E91" s="20" t="n"/>
      <c r="F91" s="24" t="n"/>
      <c r="G91" s="14" t="n"/>
      <c r="H91" s="22" t="n"/>
      <c r="I91" s="25">
        <f>IF(Q91="D",N(H91),0)</f>
        <v/>
      </c>
      <c r="J91" s="25">
        <f>IF(Q91="C",N(H91),0)</f>
        <v/>
      </c>
      <c r="K91" s="26">
        <f>IF(Z91="","",Z91)</f>
        <v/>
      </c>
      <c r="L91" s="27">
        <f>W91</f>
        <v/>
      </c>
      <c r="M91" s="28">
        <f>AA91</f>
        <v/>
      </c>
      <c r="N91" s="23">
        <f>IF(AND(B91="",C91="",D91="",N(H91)=0),"",IF(B91="","Enter the date",IF(C91="","Pick the party",IF(P91="?","Add this party on the Parties sheet first",IF(D91="","Pick the entry type",IF(Q91="?","Pick the entry type from the list",IF(N(H91)=0,"Enter the amount",IF(AND(R91&lt;&gt;"Any",R91&lt;&gt;P91),"Sales, receipts and credit notes are for debtors; purchases, payments and debit notes for creditors",IF(AND(F91&lt;&gt;"",D91&lt;&gt;"Purchase bill"),"The received-on date is only for purchase bills",IF(AND(P91="Creditor",X91=1,AA91&gt;0),"Past due to a micro or small supplier: interest runs under MSMED s.16, and if unpaid at year end it is not deductible that year, s.37(2)(g)",IF(AND(P91="Debtor",X91=1,AA91&gt;0),"Past due to you: as a micro or small supplier you can claim interest under MSMED s.16","OK")))))))))))</f>
        <v/>
      </c>
      <c r="P91">
        <f>IF(C91="","",IFERROR(VLOOKUP(C91,'Parties'!$B$13:$Q$112,2,FALSE),"?"))</f>
        <v/>
      </c>
      <c r="Q91">
        <f>IF(D91="","",IFERROR(VLOOKUP(D91,Lists!$A$2:$D$9,3,FALSE),"?"))</f>
        <v/>
      </c>
      <c r="R91">
        <f>IF(D91="","",IFERROR(VLOOKUP(D91,Lists!$A$2:$D$9,4,FALSE),"?"))</f>
        <v/>
      </c>
      <c r="S91">
        <f>IF(P91="Debtor",I91,IF(P91="Creditor",J91,0))</f>
        <v/>
      </c>
      <c r="T91">
        <f>IF(P91="Debtor",J91,IF(P91="Creditor",I91,0))</f>
        <v/>
      </c>
      <c r="U91">
        <f>IF(OR(S91=0,B91=""),0,IFERROR(VLOOKUP(C91,'Parties'!$B$13:$Q$112,13,FALSE),0)+SUMIFS($S$7:$S$506,$C$7:$C$506,C91,$B$7:$B$506,"&lt;"&amp;B91)+SUMIFS(S$7:S91,C$7:C91,C91,B$7:B91,B91))</f>
        <v/>
      </c>
      <c r="V91">
        <f>IF(S91=0,0,IFERROR(VLOOKUP(C91,'Parties'!$B$13:$Q$112,14,FALSE),0)+SUMIFS($T$7:$T$506,$C$7:$C$506,C91,$B$7:$B$506,"&lt;="&amp;'Outstanding'!$E$5))</f>
        <v/>
      </c>
      <c r="W91">
        <f>IF(OR('Outstanding'!$E$5="",S91=0,B91="",B91&gt;'Outstanding'!$E$5),0,MAX(0,MIN(S91,U91-V91)))</f>
        <v/>
      </c>
      <c r="X91">
        <f>IF(C91="",0,IFERROR(VLOOKUP(C91,'Parties'!$B$13:$Q$112,15,FALSE),0))</f>
        <v/>
      </c>
      <c r="Y91">
        <f>IF(C91="","",IFERROR(VLOOKUP(C91,'Parties'!$B$13:$Q$112,16,FALSE),0))</f>
        <v/>
      </c>
      <c r="Z91">
        <f>IF(OR(S91=0,B91="",Y91=""),"",IF(AND(F91&lt;&gt;"",D91="Purchase bill"),F91,B91)+Y91)</f>
        <v/>
      </c>
      <c r="AA91">
        <f>IF(OR(W91=0,Z91=""),0,MAX(0,'Outstanding'!$E$5-Z91))</f>
        <v/>
      </c>
      <c r="AB91">
        <f>IF(AND(X91=1,AA91&gt;0),W91*((1+3*N('Parties'!$E$10)/12)^(AA91*12/365)-1),0)</f>
        <v/>
      </c>
      <c r="AC91">
        <f>IF(W91=0,"",'Outstanding'!$E$5-B91)</f>
        <v/>
      </c>
      <c r="AD91">
        <f>IF(S91=0,0,IFERROR(VLOOKUP(C91,'Parties'!$B$13:$Q$112,14,FALSE),0)+SUMIFS($T$7:$T$506,$C$7:$C$506,C91,$B$7:$B$506,"&lt;="&amp;'Parties'!$E$8))</f>
        <v/>
      </c>
      <c r="AE91">
        <f>IF(OR('Parties'!$E$8="",S91=0,B91="",B91&gt;'Parties'!$E$8),0,MAX(0,MIN(S91,U91-AD91)))</f>
        <v/>
      </c>
      <c r="AF91">
        <f>IF(AND(P91="Creditor",X91=1,AE91&gt;0,Z91&lt;&gt;""),IF(Z91&lt;='Parties'!$E$8,AE91,0),0)</f>
        <v/>
      </c>
      <c r="AG91">
        <f>IF(OR(AE91=0,Z91=""),0,MAX(0,'Parties'!$E$8-Z91))</f>
        <v/>
      </c>
      <c r="AH91">
        <f>IF(AND(P91="Creditor",X91=1,AG91&gt;0),AE91*((1+3*N('Parties'!$E$10)/12)^(AG91*12/365)-1),0)</f>
        <v/>
      </c>
      <c r="AI91">
        <f>IF(AND(C91&lt;&gt;"",C91='Ledger Account'!$D$4,B91&lt;&gt;"",B91&gt;='Ledger Account'!$D$5,B91&lt;='Ledger Account'!$D$6),1,0)</f>
        <v/>
      </c>
      <c r="AJ91">
        <f>IF(AI91=1,SUM(AI$7:AI91),"")</f>
        <v/>
      </c>
      <c r="AK91">
        <f>IF(OR(N91="",N91="OK"),0,1)</f>
        <v/>
      </c>
    </row>
    <row r="92">
      <c r="B92" s="24" t="n"/>
      <c r="C92" s="14" t="n"/>
      <c r="D92" s="14" t="n"/>
      <c r="E92" s="20" t="n"/>
      <c r="F92" s="24" t="n"/>
      <c r="G92" s="14" t="n"/>
      <c r="H92" s="22" t="n"/>
      <c r="I92" s="25">
        <f>IF(Q92="D",N(H92),0)</f>
        <v/>
      </c>
      <c r="J92" s="25">
        <f>IF(Q92="C",N(H92),0)</f>
        <v/>
      </c>
      <c r="K92" s="26">
        <f>IF(Z92="","",Z92)</f>
        <v/>
      </c>
      <c r="L92" s="27">
        <f>W92</f>
        <v/>
      </c>
      <c r="M92" s="28">
        <f>AA92</f>
        <v/>
      </c>
      <c r="N92" s="23">
        <f>IF(AND(B92="",C92="",D92="",N(H92)=0),"",IF(B92="","Enter the date",IF(C92="","Pick the party",IF(P92="?","Add this party on the Parties sheet first",IF(D92="","Pick the entry type",IF(Q92="?","Pick the entry type from the list",IF(N(H92)=0,"Enter the amount",IF(AND(R92&lt;&gt;"Any",R92&lt;&gt;P92),"Sales, receipts and credit notes are for debtors; purchases, payments and debit notes for creditors",IF(AND(F92&lt;&gt;"",D92&lt;&gt;"Purchase bill"),"The received-on date is only for purchase bills",IF(AND(P92="Creditor",X92=1,AA92&gt;0),"Past due to a micro or small supplier: interest runs under MSMED s.16, and if unpaid at year end it is not deductible that year, s.37(2)(g)",IF(AND(P92="Debtor",X92=1,AA92&gt;0),"Past due to you: as a micro or small supplier you can claim interest under MSMED s.16","OK")))))))))))</f>
        <v/>
      </c>
      <c r="P92">
        <f>IF(C92="","",IFERROR(VLOOKUP(C92,'Parties'!$B$13:$Q$112,2,FALSE),"?"))</f>
        <v/>
      </c>
      <c r="Q92">
        <f>IF(D92="","",IFERROR(VLOOKUP(D92,Lists!$A$2:$D$9,3,FALSE),"?"))</f>
        <v/>
      </c>
      <c r="R92">
        <f>IF(D92="","",IFERROR(VLOOKUP(D92,Lists!$A$2:$D$9,4,FALSE),"?"))</f>
        <v/>
      </c>
      <c r="S92">
        <f>IF(P92="Debtor",I92,IF(P92="Creditor",J92,0))</f>
        <v/>
      </c>
      <c r="T92">
        <f>IF(P92="Debtor",J92,IF(P92="Creditor",I92,0))</f>
        <v/>
      </c>
      <c r="U92">
        <f>IF(OR(S92=0,B92=""),0,IFERROR(VLOOKUP(C92,'Parties'!$B$13:$Q$112,13,FALSE),0)+SUMIFS($S$7:$S$506,$C$7:$C$506,C92,$B$7:$B$506,"&lt;"&amp;B92)+SUMIFS(S$7:S92,C$7:C92,C92,B$7:B92,B92))</f>
        <v/>
      </c>
      <c r="V92">
        <f>IF(S92=0,0,IFERROR(VLOOKUP(C92,'Parties'!$B$13:$Q$112,14,FALSE),0)+SUMIFS($T$7:$T$506,$C$7:$C$506,C92,$B$7:$B$506,"&lt;="&amp;'Outstanding'!$E$5))</f>
        <v/>
      </c>
      <c r="W92">
        <f>IF(OR('Outstanding'!$E$5="",S92=0,B92="",B92&gt;'Outstanding'!$E$5),0,MAX(0,MIN(S92,U92-V92)))</f>
        <v/>
      </c>
      <c r="X92">
        <f>IF(C92="",0,IFERROR(VLOOKUP(C92,'Parties'!$B$13:$Q$112,15,FALSE),0))</f>
        <v/>
      </c>
      <c r="Y92">
        <f>IF(C92="","",IFERROR(VLOOKUP(C92,'Parties'!$B$13:$Q$112,16,FALSE),0))</f>
        <v/>
      </c>
      <c r="Z92">
        <f>IF(OR(S92=0,B92="",Y92=""),"",IF(AND(F92&lt;&gt;"",D92="Purchase bill"),F92,B92)+Y92)</f>
        <v/>
      </c>
      <c r="AA92">
        <f>IF(OR(W92=0,Z92=""),0,MAX(0,'Outstanding'!$E$5-Z92))</f>
        <v/>
      </c>
      <c r="AB92">
        <f>IF(AND(X92=1,AA92&gt;0),W92*((1+3*N('Parties'!$E$10)/12)^(AA92*12/365)-1),0)</f>
        <v/>
      </c>
      <c r="AC92">
        <f>IF(W92=0,"",'Outstanding'!$E$5-B92)</f>
        <v/>
      </c>
      <c r="AD92">
        <f>IF(S92=0,0,IFERROR(VLOOKUP(C92,'Parties'!$B$13:$Q$112,14,FALSE),0)+SUMIFS($T$7:$T$506,$C$7:$C$506,C92,$B$7:$B$506,"&lt;="&amp;'Parties'!$E$8))</f>
        <v/>
      </c>
      <c r="AE92">
        <f>IF(OR('Parties'!$E$8="",S92=0,B92="",B92&gt;'Parties'!$E$8),0,MAX(0,MIN(S92,U92-AD92)))</f>
        <v/>
      </c>
      <c r="AF92">
        <f>IF(AND(P92="Creditor",X92=1,AE92&gt;0,Z92&lt;&gt;""),IF(Z92&lt;='Parties'!$E$8,AE92,0),0)</f>
        <v/>
      </c>
      <c r="AG92">
        <f>IF(OR(AE92=0,Z92=""),0,MAX(0,'Parties'!$E$8-Z92))</f>
        <v/>
      </c>
      <c r="AH92">
        <f>IF(AND(P92="Creditor",X92=1,AG92&gt;0),AE92*((1+3*N('Parties'!$E$10)/12)^(AG92*12/365)-1),0)</f>
        <v/>
      </c>
      <c r="AI92">
        <f>IF(AND(C92&lt;&gt;"",C92='Ledger Account'!$D$4,B92&lt;&gt;"",B92&gt;='Ledger Account'!$D$5,B92&lt;='Ledger Account'!$D$6),1,0)</f>
        <v/>
      </c>
      <c r="AJ92">
        <f>IF(AI92=1,SUM(AI$7:AI92),"")</f>
        <v/>
      </c>
      <c r="AK92">
        <f>IF(OR(N92="",N92="OK"),0,1)</f>
        <v/>
      </c>
    </row>
    <row r="93">
      <c r="B93" s="24" t="n"/>
      <c r="C93" s="14" t="n"/>
      <c r="D93" s="14" t="n"/>
      <c r="E93" s="20" t="n"/>
      <c r="F93" s="24" t="n"/>
      <c r="G93" s="14" t="n"/>
      <c r="H93" s="22" t="n"/>
      <c r="I93" s="25">
        <f>IF(Q93="D",N(H93),0)</f>
        <v/>
      </c>
      <c r="J93" s="25">
        <f>IF(Q93="C",N(H93),0)</f>
        <v/>
      </c>
      <c r="K93" s="26">
        <f>IF(Z93="","",Z93)</f>
        <v/>
      </c>
      <c r="L93" s="27">
        <f>W93</f>
        <v/>
      </c>
      <c r="M93" s="28">
        <f>AA93</f>
        <v/>
      </c>
      <c r="N93" s="23">
        <f>IF(AND(B93="",C93="",D93="",N(H93)=0),"",IF(B93="","Enter the date",IF(C93="","Pick the party",IF(P93="?","Add this party on the Parties sheet first",IF(D93="","Pick the entry type",IF(Q93="?","Pick the entry type from the list",IF(N(H93)=0,"Enter the amount",IF(AND(R93&lt;&gt;"Any",R93&lt;&gt;P93),"Sales, receipts and credit notes are for debtors; purchases, payments and debit notes for creditors",IF(AND(F93&lt;&gt;"",D93&lt;&gt;"Purchase bill"),"The received-on date is only for purchase bills",IF(AND(P93="Creditor",X93=1,AA93&gt;0),"Past due to a micro or small supplier: interest runs under MSMED s.16, and if unpaid at year end it is not deductible that year, s.37(2)(g)",IF(AND(P93="Debtor",X93=1,AA93&gt;0),"Past due to you: as a micro or small supplier you can claim interest under MSMED s.16","OK")))))))))))</f>
        <v/>
      </c>
      <c r="P93">
        <f>IF(C93="","",IFERROR(VLOOKUP(C93,'Parties'!$B$13:$Q$112,2,FALSE),"?"))</f>
        <v/>
      </c>
      <c r="Q93">
        <f>IF(D93="","",IFERROR(VLOOKUP(D93,Lists!$A$2:$D$9,3,FALSE),"?"))</f>
        <v/>
      </c>
      <c r="R93">
        <f>IF(D93="","",IFERROR(VLOOKUP(D93,Lists!$A$2:$D$9,4,FALSE),"?"))</f>
        <v/>
      </c>
      <c r="S93">
        <f>IF(P93="Debtor",I93,IF(P93="Creditor",J93,0))</f>
        <v/>
      </c>
      <c r="T93">
        <f>IF(P93="Debtor",J93,IF(P93="Creditor",I93,0))</f>
        <v/>
      </c>
      <c r="U93">
        <f>IF(OR(S93=0,B93=""),0,IFERROR(VLOOKUP(C93,'Parties'!$B$13:$Q$112,13,FALSE),0)+SUMIFS($S$7:$S$506,$C$7:$C$506,C93,$B$7:$B$506,"&lt;"&amp;B93)+SUMIFS(S$7:S93,C$7:C93,C93,B$7:B93,B93))</f>
        <v/>
      </c>
      <c r="V93">
        <f>IF(S93=0,0,IFERROR(VLOOKUP(C93,'Parties'!$B$13:$Q$112,14,FALSE),0)+SUMIFS($T$7:$T$506,$C$7:$C$506,C93,$B$7:$B$506,"&lt;="&amp;'Outstanding'!$E$5))</f>
        <v/>
      </c>
      <c r="W93">
        <f>IF(OR('Outstanding'!$E$5="",S93=0,B93="",B93&gt;'Outstanding'!$E$5),0,MAX(0,MIN(S93,U93-V93)))</f>
        <v/>
      </c>
      <c r="X93">
        <f>IF(C93="",0,IFERROR(VLOOKUP(C93,'Parties'!$B$13:$Q$112,15,FALSE),0))</f>
        <v/>
      </c>
      <c r="Y93">
        <f>IF(C93="","",IFERROR(VLOOKUP(C93,'Parties'!$B$13:$Q$112,16,FALSE),0))</f>
        <v/>
      </c>
      <c r="Z93">
        <f>IF(OR(S93=0,B93="",Y93=""),"",IF(AND(F93&lt;&gt;"",D93="Purchase bill"),F93,B93)+Y93)</f>
        <v/>
      </c>
      <c r="AA93">
        <f>IF(OR(W93=0,Z93=""),0,MAX(0,'Outstanding'!$E$5-Z93))</f>
        <v/>
      </c>
      <c r="AB93">
        <f>IF(AND(X93=1,AA93&gt;0),W93*((1+3*N('Parties'!$E$10)/12)^(AA93*12/365)-1),0)</f>
        <v/>
      </c>
      <c r="AC93">
        <f>IF(W93=0,"",'Outstanding'!$E$5-B93)</f>
        <v/>
      </c>
      <c r="AD93">
        <f>IF(S93=0,0,IFERROR(VLOOKUP(C93,'Parties'!$B$13:$Q$112,14,FALSE),0)+SUMIFS($T$7:$T$506,$C$7:$C$506,C93,$B$7:$B$506,"&lt;="&amp;'Parties'!$E$8))</f>
        <v/>
      </c>
      <c r="AE93">
        <f>IF(OR('Parties'!$E$8="",S93=0,B93="",B93&gt;'Parties'!$E$8),0,MAX(0,MIN(S93,U93-AD93)))</f>
        <v/>
      </c>
      <c r="AF93">
        <f>IF(AND(P93="Creditor",X93=1,AE93&gt;0,Z93&lt;&gt;""),IF(Z93&lt;='Parties'!$E$8,AE93,0),0)</f>
        <v/>
      </c>
      <c r="AG93">
        <f>IF(OR(AE93=0,Z93=""),0,MAX(0,'Parties'!$E$8-Z93))</f>
        <v/>
      </c>
      <c r="AH93">
        <f>IF(AND(P93="Creditor",X93=1,AG93&gt;0),AE93*((1+3*N('Parties'!$E$10)/12)^(AG93*12/365)-1),0)</f>
        <v/>
      </c>
      <c r="AI93">
        <f>IF(AND(C93&lt;&gt;"",C93='Ledger Account'!$D$4,B93&lt;&gt;"",B93&gt;='Ledger Account'!$D$5,B93&lt;='Ledger Account'!$D$6),1,0)</f>
        <v/>
      </c>
      <c r="AJ93">
        <f>IF(AI93=1,SUM(AI$7:AI93),"")</f>
        <v/>
      </c>
      <c r="AK93">
        <f>IF(OR(N93="",N93="OK"),0,1)</f>
        <v/>
      </c>
    </row>
    <row r="94">
      <c r="B94" s="24" t="n"/>
      <c r="C94" s="14" t="n"/>
      <c r="D94" s="14" t="n"/>
      <c r="E94" s="20" t="n"/>
      <c r="F94" s="24" t="n"/>
      <c r="G94" s="14" t="n"/>
      <c r="H94" s="22" t="n"/>
      <c r="I94" s="25">
        <f>IF(Q94="D",N(H94),0)</f>
        <v/>
      </c>
      <c r="J94" s="25">
        <f>IF(Q94="C",N(H94),0)</f>
        <v/>
      </c>
      <c r="K94" s="26">
        <f>IF(Z94="","",Z94)</f>
        <v/>
      </c>
      <c r="L94" s="27">
        <f>W94</f>
        <v/>
      </c>
      <c r="M94" s="28">
        <f>AA94</f>
        <v/>
      </c>
      <c r="N94" s="23">
        <f>IF(AND(B94="",C94="",D94="",N(H94)=0),"",IF(B94="","Enter the date",IF(C94="","Pick the party",IF(P94="?","Add this party on the Parties sheet first",IF(D94="","Pick the entry type",IF(Q94="?","Pick the entry type from the list",IF(N(H94)=0,"Enter the amount",IF(AND(R94&lt;&gt;"Any",R94&lt;&gt;P94),"Sales, receipts and credit notes are for debtors; purchases, payments and debit notes for creditors",IF(AND(F94&lt;&gt;"",D94&lt;&gt;"Purchase bill"),"The received-on date is only for purchase bills",IF(AND(P94="Creditor",X94=1,AA94&gt;0),"Past due to a micro or small supplier: interest runs under MSMED s.16, and if unpaid at year end it is not deductible that year, s.37(2)(g)",IF(AND(P94="Debtor",X94=1,AA94&gt;0),"Past due to you: as a micro or small supplier you can claim interest under MSMED s.16","OK")))))))))))</f>
        <v/>
      </c>
      <c r="P94">
        <f>IF(C94="","",IFERROR(VLOOKUP(C94,'Parties'!$B$13:$Q$112,2,FALSE),"?"))</f>
        <v/>
      </c>
      <c r="Q94">
        <f>IF(D94="","",IFERROR(VLOOKUP(D94,Lists!$A$2:$D$9,3,FALSE),"?"))</f>
        <v/>
      </c>
      <c r="R94">
        <f>IF(D94="","",IFERROR(VLOOKUP(D94,Lists!$A$2:$D$9,4,FALSE),"?"))</f>
        <v/>
      </c>
      <c r="S94">
        <f>IF(P94="Debtor",I94,IF(P94="Creditor",J94,0))</f>
        <v/>
      </c>
      <c r="T94">
        <f>IF(P94="Debtor",J94,IF(P94="Creditor",I94,0))</f>
        <v/>
      </c>
      <c r="U94">
        <f>IF(OR(S94=0,B94=""),0,IFERROR(VLOOKUP(C94,'Parties'!$B$13:$Q$112,13,FALSE),0)+SUMIFS($S$7:$S$506,$C$7:$C$506,C94,$B$7:$B$506,"&lt;"&amp;B94)+SUMIFS(S$7:S94,C$7:C94,C94,B$7:B94,B94))</f>
        <v/>
      </c>
      <c r="V94">
        <f>IF(S94=0,0,IFERROR(VLOOKUP(C94,'Parties'!$B$13:$Q$112,14,FALSE),0)+SUMIFS($T$7:$T$506,$C$7:$C$506,C94,$B$7:$B$506,"&lt;="&amp;'Outstanding'!$E$5))</f>
        <v/>
      </c>
      <c r="W94">
        <f>IF(OR('Outstanding'!$E$5="",S94=0,B94="",B94&gt;'Outstanding'!$E$5),0,MAX(0,MIN(S94,U94-V94)))</f>
        <v/>
      </c>
      <c r="X94">
        <f>IF(C94="",0,IFERROR(VLOOKUP(C94,'Parties'!$B$13:$Q$112,15,FALSE),0))</f>
        <v/>
      </c>
      <c r="Y94">
        <f>IF(C94="","",IFERROR(VLOOKUP(C94,'Parties'!$B$13:$Q$112,16,FALSE),0))</f>
        <v/>
      </c>
      <c r="Z94">
        <f>IF(OR(S94=0,B94="",Y94=""),"",IF(AND(F94&lt;&gt;"",D94="Purchase bill"),F94,B94)+Y94)</f>
        <v/>
      </c>
      <c r="AA94">
        <f>IF(OR(W94=0,Z94=""),0,MAX(0,'Outstanding'!$E$5-Z94))</f>
        <v/>
      </c>
      <c r="AB94">
        <f>IF(AND(X94=1,AA94&gt;0),W94*((1+3*N('Parties'!$E$10)/12)^(AA94*12/365)-1),0)</f>
        <v/>
      </c>
      <c r="AC94">
        <f>IF(W94=0,"",'Outstanding'!$E$5-B94)</f>
        <v/>
      </c>
      <c r="AD94">
        <f>IF(S94=0,0,IFERROR(VLOOKUP(C94,'Parties'!$B$13:$Q$112,14,FALSE),0)+SUMIFS($T$7:$T$506,$C$7:$C$506,C94,$B$7:$B$506,"&lt;="&amp;'Parties'!$E$8))</f>
        <v/>
      </c>
      <c r="AE94">
        <f>IF(OR('Parties'!$E$8="",S94=0,B94="",B94&gt;'Parties'!$E$8),0,MAX(0,MIN(S94,U94-AD94)))</f>
        <v/>
      </c>
      <c r="AF94">
        <f>IF(AND(P94="Creditor",X94=1,AE94&gt;0,Z94&lt;&gt;""),IF(Z94&lt;='Parties'!$E$8,AE94,0),0)</f>
        <v/>
      </c>
      <c r="AG94">
        <f>IF(OR(AE94=0,Z94=""),0,MAX(0,'Parties'!$E$8-Z94))</f>
        <v/>
      </c>
      <c r="AH94">
        <f>IF(AND(P94="Creditor",X94=1,AG94&gt;0),AE94*((1+3*N('Parties'!$E$10)/12)^(AG94*12/365)-1),0)</f>
        <v/>
      </c>
      <c r="AI94">
        <f>IF(AND(C94&lt;&gt;"",C94='Ledger Account'!$D$4,B94&lt;&gt;"",B94&gt;='Ledger Account'!$D$5,B94&lt;='Ledger Account'!$D$6),1,0)</f>
        <v/>
      </c>
      <c r="AJ94">
        <f>IF(AI94=1,SUM(AI$7:AI94),"")</f>
        <v/>
      </c>
      <c r="AK94">
        <f>IF(OR(N94="",N94="OK"),0,1)</f>
        <v/>
      </c>
    </row>
    <row r="95">
      <c r="B95" s="24" t="n"/>
      <c r="C95" s="14" t="n"/>
      <c r="D95" s="14" t="n"/>
      <c r="E95" s="20" t="n"/>
      <c r="F95" s="24" t="n"/>
      <c r="G95" s="14" t="n"/>
      <c r="H95" s="22" t="n"/>
      <c r="I95" s="25">
        <f>IF(Q95="D",N(H95),0)</f>
        <v/>
      </c>
      <c r="J95" s="25">
        <f>IF(Q95="C",N(H95),0)</f>
        <v/>
      </c>
      <c r="K95" s="26">
        <f>IF(Z95="","",Z95)</f>
        <v/>
      </c>
      <c r="L95" s="27">
        <f>W95</f>
        <v/>
      </c>
      <c r="M95" s="28">
        <f>AA95</f>
        <v/>
      </c>
      <c r="N95" s="23">
        <f>IF(AND(B95="",C95="",D95="",N(H95)=0),"",IF(B95="","Enter the date",IF(C95="","Pick the party",IF(P95="?","Add this party on the Parties sheet first",IF(D95="","Pick the entry type",IF(Q95="?","Pick the entry type from the list",IF(N(H95)=0,"Enter the amount",IF(AND(R95&lt;&gt;"Any",R95&lt;&gt;P95),"Sales, receipts and credit notes are for debtors; purchases, payments and debit notes for creditors",IF(AND(F95&lt;&gt;"",D95&lt;&gt;"Purchase bill"),"The received-on date is only for purchase bills",IF(AND(P95="Creditor",X95=1,AA95&gt;0),"Past due to a micro or small supplier: interest runs under MSMED s.16, and if unpaid at year end it is not deductible that year, s.37(2)(g)",IF(AND(P95="Debtor",X95=1,AA95&gt;0),"Past due to you: as a micro or small supplier you can claim interest under MSMED s.16","OK")))))))))))</f>
        <v/>
      </c>
      <c r="P95">
        <f>IF(C95="","",IFERROR(VLOOKUP(C95,'Parties'!$B$13:$Q$112,2,FALSE),"?"))</f>
        <v/>
      </c>
      <c r="Q95">
        <f>IF(D95="","",IFERROR(VLOOKUP(D95,Lists!$A$2:$D$9,3,FALSE),"?"))</f>
        <v/>
      </c>
      <c r="R95">
        <f>IF(D95="","",IFERROR(VLOOKUP(D95,Lists!$A$2:$D$9,4,FALSE),"?"))</f>
        <v/>
      </c>
      <c r="S95">
        <f>IF(P95="Debtor",I95,IF(P95="Creditor",J95,0))</f>
        <v/>
      </c>
      <c r="T95">
        <f>IF(P95="Debtor",J95,IF(P95="Creditor",I95,0))</f>
        <v/>
      </c>
      <c r="U95">
        <f>IF(OR(S95=0,B95=""),0,IFERROR(VLOOKUP(C95,'Parties'!$B$13:$Q$112,13,FALSE),0)+SUMIFS($S$7:$S$506,$C$7:$C$506,C95,$B$7:$B$506,"&lt;"&amp;B95)+SUMIFS(S$7:S95,C$7:C95,C95,B$7:B95,B95))</f>
        <v/>
      </c>
      <c r="V95">
        <f>IF(S95=0,0,IFERROR(VLOOKUP(C95,'Parties'!$B$13:$Q$112,14,FALSE),0)+SUMIFS($T$7:$T$506,$C$7:$C$506,C95,$B$7:$B$506,"&lt;="&amp;'Outstanding'!$E$5))</f>
        <v/>
      </c>
      <c r="W95">
        <f>IF(OR('Outstanding'!$E$5="",S95=0,B95="",B95&gt;'Outstanding'!$E$5),0,MAX(0,MIN(S95,U95-V95)))</f>
        <v/>
      </c>
      <c r="X95">
        <f>IF(C95="",0,IFERROR(VLOOKUP(C95,'Parties'!$B$13:$Q$112,15,FALSE),0))</f>
        <v/>
      </c>
      <c r="Y95">
        <f>IF(C95="","",IFERROR(VLOOKUP(C95,'Parties'!$B$13:$Q$112,16,FALSE),0))</f>
        <v/>
      </c>
      <c r="Z95">
        <f>IF(OR(S95=0,B95="",Y95=""),"",IF(AND(F95&lt;&gt;"",D95="Purchase bill"),F95,B95)+Y95)</f>
        <v/>
      </c>
      <c r="AA95">
        <f>IF(OR(W95=0,Z95=""),0,MAX(0,'Outstanding'!$E$5-Z95))</f>
        <v/>
      </c>
      <c r="AB95">
        <f>IF(AND(X95=1,AA95&gt;0),W95*((1+3*N('Parties'!$E$10)/12)^(AA95*12/365)-1),0)</f>
        <v/>
      </c>
      <c r="AC95">
        <f>IF(W95=0,"",'Outstanding'!$E$5-B95)</f>
        <v/>
      </c>
      <c r="AD95">
        <f>IF(S95=0,0,IFERROR(VLOOKUP(C95,'Parties'!$B$13:$Q$112,14,FALSE),0)+SUMIFS($T$7:$T$506,$C$7:$C$506,C95,$B$7:$B$506,"&lt;="&amp;'Parties'!$E$8))</f>
        <v/>
      </c>
      <c r="AE95">
        <f>IF(OR('Parties'!$E$8="",S95=0,B95="",B95&gt;'Parties'!$E$8),0,MAX(0,MIN(S95,U95-AD95)))</f>
        <v/>
      </c>
      <c r="AF95">
        <f>IF(AND(P95="Creditor",X95=1,AE95&gt;0,Z95&lt;&gt;""),IF(Z95&lt;='Parties'!$E$8,AE95,0),0)</f>
        <v/>
      </c>
      <c r="AG95">
        <f>IF(OR(AE95=0,Z95=""),0,MAX(0,'Parties'!$E$8-Z95))</f>
        <v/>
      </c>
      <c r="AH95">
        <f>IF(AND(P95="Creditor",X95=1,AG95&gt;0),AE95*((1+3*N('Parties'!$E$10)/12)^(AG95*12/365)-1),0)</f>
        <v/>
      </c>
      <c r="AI95">
        <f>IF(AND(C95&lt;&gt;"",C95='Ledger Account'!$D$4,B95&lt;&gt;"",B95&gt;='Ledger Account'!$D$5,B95&lt;='Ledger Account'!$D$6),1,0)</f>
        <v/>
      </c>
      <c r="AJ95">
        <f>IF(AI95=1,SUM(AI$7:AI95),"")</f>
        <v/>
      </c>
      <c r="AK95">
        <f>IF(OR(N95="",N95="OK"),0,1)</f>
        <v/>
      </c>
    </row>
    <row r="96">
      <c r="B96" s="24" t="n"/>
      <c r="C96" s="14" t="n"/>
      <c r="D96" s="14" t="n"/>
      <c r="E96" s="20" t="n"/>
      <c r="F96" s="24" t="n"/>
      <c r="G96" s="14" t="n"/>
      <c r="H96" s="22" t="n"/>
      <c r="I96" s="25">
        <f>IF(Q96="D",N(H96),0)</f>
        <v/>
      </c>
      <c r="J96" s="25">
        <f>IF(Q96="C",N(H96),0)</f>
        <v/>
      </c>
      <c r="K96" s="26">
        <f>IF(Z96="","",Z96)</f>
        <v/>
      </c>
      <c r="L96" s="27">
        <f>W96</f>
        <v/>
      </c>
      <c r="M96" s="28">
        <f>AA96</f>
        <v/>
      </c>
      <c r="N96" s="23">
        <f>IF(AND(B96="",C96="",D96="",N(H96)=0),"",IF(B96="","Enter the date",IF(C96="","Pick the party",IF(P96="?","Add this party on the Parties sheet first",IF(D96="","Pick the entry type",IF(Q96="?","Pick the entry type from the list",IF(N(H96)=0,"Enter the amount",IF(AND(R96&lt;&gt;"Any",R96&lt;&gt;P96),"Sales, receipts and credit notes are for debtors; purchases, payments and debit notes for creditors",IF(AND(F96&lt;&gt;"",D96&lt;&gt;"Purchase bill"),"The received-on date is only for purchase bills",IF(AND(P96="Creditor",X96=1,AA96&gt;0),"Past due to a micro or small supplier: interest runs under MSMED s.16, and if unpaid at year end it is not deductible that year, s.37(2)(g)",IF(AND(P96="Debtor",X96=1,AA96&gt;0),"Past due to you: as a micro or small supplier you can claim interest under MSMED s.16","OK")))))))))))</f>
        <v/>
      </c>
      <c r="P96">
        <f>IF(C96="","",IFERROR(VLOOKUP(C96,'Parties'!$B$13:$Q$112,2,FALSE),"?"))</f>
        <v/>
      </c>
      <c r="Q96">
        <f>IF(D96="","",IFERROR(VLOOKUP(D96,Lists!$A$2:$D$9,3,FALSE),"?"))</f>
        <v/>
      </c>
      <c r="R96">
        <f>IF(D96="","",IFERROR(VLOOKUP(D96,Lists!$A$2:$D$9,4,FALSE),"?"))</f>
        <v/>
      </c>
      <c r="S96">
        <f>IF(P96="Debtor",I96,IF(P96="Creditor",J96,0))</f>
        <v/>
      </c>
      <c r="T96">
        <f>IF(P96="Debtor",J96,IF(P96="Creditor",I96,0))</f>
        <v/>
      </c>
      <c r="U96">
        <f>IF(OR(S96=0,B96=""),0,IFERROR(VLOOKUP(C96,'Parties'!$B$13:$Q$112,13,FALSE),0)+SUMIFS($S$7:$S$506,$C$7:$C$506,C96,$B$7:$B$506,"&lt;"&amp;B96)+SUMIFS(S$7:S96,C$7:C96,C96,B$7:B96,B96))</f>
        <v/>
      </c>
      <c r="V96">
        <f>IF(S96=0,0,IFERROR(VLOOKUP(C96,'Parties'!$B$13:$Q$112,14,FALSE),0)+SUMIFS($T$7:$T$506,$C$7:$C$506,C96,$B$7:$B$506,"&lt;="&amp;'Outstanding'!$E$5))</f>
        <v/>
      </c>
      <c r="W96">
        <f>IF(OR('Outstanding'!$E$5="",S96=0,B96="",B96&gt;'Outstanding'!$E$5),0,MAX(0,MIN(S96,U96-V96)))</f>
        <v/>
      </c>
      <c r="X96">
        <f>IF(C96="",0,IFERROR(VLOOKUP(C96,'Parties'!$B$13:$Q$112,15,FALSE),0))</f>
        <v/>
      </c>
      <c r="Y96">
        <f>IF(C96="","",IFERROR(VLOOKUP(C96,'Parties'!$B$13:$Q$112,16,FALSE),0))</f>
        <v/>
      </c>
      <c r="Z96">
        <f>IF(OR(S96=0,B96="",Y96=""),"",IF(AND(F96&lt;&gt;"",D96="Purchase bill"),F96,B96)+Y96)</f>
        <v/>
      </c>
      <c r="AA96">
        <f>IF(OR(W96=0,Z96=""),0,MAX(0,'Outstanding'!$E$5-Z96))</f>
        <v/>
      </c>
      <c r="AB96">
        <f>IF(AND(X96=1,AA96&gt;0),W96*((1+3*N('Parties'!$E$10)/12)^(AA96*12/365)-1),0)</f>
        <v/>
      </c>
      <c r="AC96">
        <f>IF(W96=0,"",'Outstanding'!$E$5-B96)</f>
        <v/>
      </c>
      <c r="AD96">
        <f>IF(S96=0,0,IFERROR(VLOOKUP(C96,'Parties'!$B$13:$Q$112,14,FALSE),0)+SUMIFS($T$7:$T$506,$C$7:$C$506,C96,$B$7:$B$506,"&lt;="&amp;'Parties'!$E$8))</f>
        <v/>
      </c>
      <c r="AE96">
        <f>IF(OR('Parties'!$E$8="",S96=0,B96="",B96&gt;'Parties'!$E$8),0,MAX(0,MIN(S96,U96-AD96)))</f>
        <v/>
      </c>
      <c r="AF96">
        <f>IF(AND(P96="Creditor",X96=1,AE96&gt;0,Z96&lt;&gt;""),IF(Z96&lt;='Parties'!$E$8,AE96,0),0)</f>
        <v/>
      </c>
      <c r="AG96">
        <f>IF(OR(AE96=0,Z96=""),0,MAX(0,'Parties'!$E$8-Z96))</f>
        <v/>
      </c>
      <c r="AH96">
        <f>IF(AND(P96="Creditor",X96=1,AG96&gt;0),AE96*((1+3*N('Parties'!$E$10)/12)^(AG96*12/365)-1),0)</f>
        <v/>
      </c>
      <c r="AI96">
        <f>IF(AND(C96&lt;&gt;"",C96='Ledger Account'!$D$4,B96&lt;&gt;"",B96&gt;='Ledger Account'!$D$5,B96&lt;='Ledger Account'!$D$6),1,0)</f>
        <v/>
      </c>
      <c r="AJ96">
        <f>IF(AI96=1,SUM(AI$7:AI96),"")</f>
        <v/>
      </c>
      <c r="AK96">
        <f>IF(OR(N96="",N96="OK"),0,1)</f>
        <v/>
      </c>
    </row>
    <row r="97">
      <c r="B97" s="24" t="n"/>
      <c r="C97" s="14" t="n"/>
      <c r="D97" s="14" t="n"/>
      <c r="E97" s="20" t="n"/>
      <c r="F97" s="24" t="n"/>
      <c r="G97" s="14" t="n"/>
      <c r="H97" s="22" t="n"/>
      <c r="I97" s="25">
        <f>IF(Q97="D",N(H97),0)</f>
        <v/>
      </c>
      <c r="J97" s="25">
        <f>IF(Q97="C",N(H97),0)</f>
        <v/>
      </c>
      <c r="K97" s="26">
        <f>IF(Z97="","",Z97)</f>
        <v/>
      </c>
      <c r="L97" s="27">
        <f>W97</f>
        <v/>
      </c>
      <c r="M97" s="28">
        <f>AA97</f>
        <v/>
      </c>
      <c r="N97" s="23">
        <f>IF(AND(B97="",C97="",D97="",N(H97)=0),"",IF(B97="","Enter the date",IF(C97="","Pick the party",IF(P97="?","Add this party on the Parties sheet first",IF(D97="","Pick the entry type",IF(Q97="?","Pick the entry type from the list",IF(N(H97)=0,"Enter the amount",IF(AND(R97&lt;&gt;"Any",R97&lt;&gt;P97),"Sales, receipts and credit notes are for debtors; purchases, payments and debit notes for creditors",IF(AND(F97&lt;&gt;"",D97&lt;&gt;"Purchase bill"),"The received-on date is only for purchase bills",IF(AND(P97="Creditor",X97=1,AA97&gt;0),"Past due to a micro or small supplier: interest runs under MSMED s.16, and if unpaid at year end it is not deductible that year, s.37(2)(g)",IF(AND(P97="Debtor",X97=1,AA97&gt;0),"Past due to you: as a micro or small supplier you can claim interest under MSMED s.16","OK")))))))))))</f>
        <v/>
      </c>
      <c r="P97">
        <f>IF(C97="","",IFERROR(VLOOKUP(C97,'Parties'!$B$13:$Q$112,2,FALSE),"?"))</f>
        <v/>
      </c>
      <c r="Q97">
        <f>IF(D97="","",IFERROR(VLOOKUP(D97,Lists!$A$2:$D$9,3,FALSE),"?"))</f>
        <v/>
      </c>
      <c r="R97">
        <f>IF(D97="","",IFERROR(VLOOKUP(D97,Lists!$A$2:$D$9,4,FALSE),"?"))</f>
        <v/>
      </c>
      <c r="S97">
        <f>IF(P97="Debtor",I97,IF(P97="Creditor",J97,0))</f>
        <v/>
      </c>
      <c r="T97">
        <f>IF(P97="Debtor",J97,IF(P97="Creditor",I97,0))</f>
        <v/>
      </c>
      <c r="U97">
        <f>IF(OR(S97=0,B97=""),0,IFERROR(VLOOKUP(C97,'Parties'!$B$13:$Q$112,13,FALSE),0)+SUMIFS($S$7:$S$506,$C$7:$C$506,C97,$B$7:$B$506,"&lt;"&amp;B97)+SUMIFS(S$7:S97,C$7:C97,C97,B$7:B97,B97))</f>
        <v/>
      </c>
      <c r="V97">
        <f>IF(S97=0,0,IFERROR(VLOOKUP(C97,'Parties'!$B$13:$Q$112,14,FALSE),0)+SUMIFS($T$7:$T$506,$C$7:$C$506,C97,$B$7:$B$506,"&lt;="&amp;'Outstanding'!$E$5))</f>
        <v/>
      </c>
      <c r="W97">
        <f>IF(OR('Outstanding'!$E$5="",S97=0,B97="",B97&gt;'Outstanding'!$E$5),0,MAX(0,MIN(S97,U97-V97)))</f>
        <v/>
      </c>
      <c r="X97">
        <f>IF(C97="",0,IFERROR(VLOOKUP(C97,'Parties'!$B$13:$Q$112,15,FALSE),0))</f>
        <v/>
      </c>
      <c r="Y97">
        <f>IF(C97="","",IFERROR(VLOOKUP(C97,'Parties'!$B$13:$Q$112,16,FALSE),0))</f>
        <v/>
      </c>
      <c r="Z97">
        <f>IF(OR(S97=0,B97="",Y97=""),"",IF(AND(F97&lt;&gt;"",D97="Purchase bill"),F97,B97)+Y97)</f>
        <v/>
      </c>
      <c r="AA97">
        <f>IF(OR(W97=0,Z97=""),0,MAX(0,'Outstanding'!$E$5-Z97))</f>
        <v/>
      </c>
      <c r="AB97">
        <f>IF(AND(X97=1,AA97&gt;0),W97*((1+3*N('Parties'!$E$10)/12)^(AA97*12/365)-1),0)</f>
        <v/>
      </c>
      <c r="AC97">
        <f>IF(W97=0,"",'Outstanding'!$E$5-B97)</f>
        <v/>
      </c>
      <c r="AD97">
        <f>IF(S97=0,0,IFERROR(VLOOKUP(C97,'Parties'!$B$13:$Q$112,14,FALSE),0)+SUMIFS($T$7:$T$506,$C$7:$C$506,C97,$B$7:$B$506,"&lt;="&amp;'Parties'!$E$8))</f>
        <v/>
      </c>
      <c r="AE97">
        <f>IF(OR('Parties'!$E$8="",S97=0,B97="",B97&gt;'Parties'!$E$8),0,MAX(0,MIN(S97,U97-AD97)))</f>
        <v/>
      </c>
      <c r="AF97">
        <f>IF(AND(P97="Creditor",X97=1,AE97&gt;0,Z97&lt;&gt;""),IF(Z97&lt;='Parties'!$E$8,AE97,0),0)</f>
        <v/>
      </c>
      <c r="AG97">
        <f>IF(OR(AE97=0,Z97=""),0,MAX(0,'Parties'!$E$8-Z97))</f>
        <v/>
      </c>
      <c r="AH97">
        <f>IF(AND(P97="Creditor",X97=1,AG97&gt;0),AE97*((1+3*N('Parties'!$E$10)/12)^(AG97*12/365)-1),0)</f>
        <v/>
      </c>
      <c r="AI97">
        <f>IF(AND(C97&lt;&gt;"",C97='Ledger Account'!$D$4,B97&lt;&gt;"",B97&gt;='Ledger Account'!$D$5,B97&lt;='Ledger Account'!$D$6),1,0)</f>
        <v/>
      </c>
      <c r="AJ97">
        <f>IF(AI97=1,SUM(AI$7:AI97),"")</f>
        <v/>
      </c>
      <c r="AK97">
        <f>IF(OR(N97="",N97="OK"),0,1)</f>
        <v/>
      </c>
    </row>
    <row r="98">
      <c r="B98" s="24" t="n"/>
      <c r="C98" s="14" t="n"/>
      <c r="D98" s="14" t="n"/>
      <c r="E98" s="20" t="n"/>
      <c r="F98" s="24" t="n"/>
      <c r="G98" s="14" t="n"/>
      <c r="H98" s="22" t="n"/>
      <c r="I98" s="25">
        <f>IF(Q98="D",N(H98),0)</f>
        <v/>
      </c>
      <c r="J98" s="25">
        <f>IF(Q98="C",N(H98),0)</f>
        <v/>
      </c>
      <c r="K98" s="26">
        <f>IF(Z98="","",Z98)</f>
        <v/>
      </c>
      <c r="L98" s="27">
        <f>W98</f>
        <v/>
      </c>
      <c r="M98" s="28">
        <f>AA98</f>
        <v/>
      </c>
      <c r="N98" s="23">
        <f>IF(AND(B98="",C98="",D98="",N(H98)=0),"",IF(B98="","Enter the date",IF(C98="","Pick the party",IF(P98="?","Add this party on the Parties sheet first",IF(D98="","Pick the entry type",IF(Q98="?","Pick the entry type from the list",IF(N(H98)=0,"Enter the amount",IF(AND(R98&lt;&gt;"Any",R98&lt;&gt;P98),"Sales, receipts and credit notes are for debtors; purchases, payments and debit notes for creditors",IF(AND(F98&lt;&gt;"",D98&lt;&gt;"Purchase bill"),"The received-on date is only for purchase bills",IF(AND(P98="Creditor",X98=1,AA98&gt;0),"Past due to a micro or small supplier: interest runs under MSMED s.16, and if unpaid at year end it is not deductible that year, s.37(2)(g)",IF(AND(P98="Debtor",X98=1,AA98&gt;0),"Past due to you: as a micro or small supplier you can claim interest under MSMED s.16","OK")))))))))))</f>
        <v/>
      </c>
      <c r="P98">
        <f>IF(C98="","",IFERROR(VLOOKUP(C98,'Parties'!$B$13:$Q$112,2,FALSE),"?"))</f>
        <v/>
      </c>
      <c r="Q98">
        <f>IF(D98="","",IFERROR(VLOOKUP(D98,Lists!$A$2:$D$9,3,FALSE),"?"))</f>
        <v/>
      </c>
      <c r="R98">
        <f>IF(D98="","",IFERROR(VLOOKUP(D98,Lists!$A$2:$D$9,4,FALSE),"?"))</f>
        <v/>
      </c>
      <c r="S98">
        <f>IF(P98="Debtor",I98,IF(P98="Creditor",J98,0))</f>
        <v/>
      </c>
      <c r="T98">
        <f>IF(P98="Debtor",J98,IF(P98="Creditor",I98,0))</f>
        <v/>
      </c>
      <c r="U98">
        <f>IF(OR(S98=0,B98=""),0,IFERROR(VLOOKUP(C98,'Parties'!$B$13:$Q$112,13,FALSE),0)+SUMIFS($S$7:$S$506,$C$7:$C$506,C98,$B$7:$B$506,"&lt;"&amp;B98)+SUMIFS(S$7:S98,C$7:C98,C98,B$7:B98,B98))</f>
        <v/>
      </c>
      <c r="V98">
        <f>IF(S98=0,0,IFERROR(VLOOKUP(C98,'Parties'!$B$13:$Q$112,14,FALSE),0)+SUMIFS($T$7:$T$506,$C$7:$C$506,C98,$B$7:$B$506,"&lt;="&amp;'Outstanding'!$E$5))</f>
        <v/>
      </c>
      <c r="W98">
        <f>IF(OR('Outstanding'!$E$5="",S98=0,B98="",B98&gt;'Outstanding'!$E$5),0,MAX(0,MIN(S98,U98-V98)))</f>
        <v/>
      </c>
      <c r="X98">
        <f>IF(C98="",0,IFERROR(VLOOKUP(C98,'Parties'!$B$13:$Q$112,15,FALSE),0))</f>
        <v/>
      </c>
      <c r="Y98">
        <f>IF(C98="","",IFERROR(VLOOKUP(C98,'Parties'!$B$13:$Q$112,16,FALSE),0))</f>
        <v/>
      </c>
      <c r="Z98">
        <f>IF(OR(S98=0,B98="",Y98=""),"",IF(AND(F98&lt;&gt;"",D98="Purchase bill"),F98,B98)+Y98)</f>
        <v/>
      </c>
      <c r="AA98">
        <f>IF(OR(W98=0,Z98=""),0,MAX(0,'Outstanding'!$E$5-Z98))</f>
        <v/>
      </c>
      <c r="AB98">
        <f>IF(AND(X98=1,AA98&gt;0),W98*((1+3*N('Parties'!$E$10)/12)^(AA98*12/365)-1),0)</f>
        <v/>
      </c>
      <c r="AC98">
        <f>IF(W98=0,"",'Outstanding'!$E$5-B98)</f>
        <v/>
      </c>
      <c r="AD98">
        <f>IF(S98=0,0,IFERROR(VLOOKUP(C98,'Parties'!$B$13:$Q$112,14,FALSE),0)+SUMIFS($T$7:$T$506,$C$7:$C$506,C98,$B$7:$B$506,"&lt;="&amp;'Parties'!$E$8))</f>
        <v/>
      </c>
      <c r="AE98">
        <f>IF(OR('Parties'!$E$8="",S98=0,B98="",B98&gt;'Parties'!$E$8),0,MAX(0,MIN(S98,U98-AD98)))</f>
        <v/>
      </c>
      <c r="AF98">
        <f>IF(AND(P98="Creditor",X98=1,AE98&gt;0,Z98&lt;&gt;""),IF(Z98&lt;='Parties'!$E$8,AE98,0),0)</f>
        <v/>
      </c>
      <c r="AG98">
        <f>IF(OR(AE98=0,Z98=""),0,MAX(0,'Parties'!$E$8-Z98))</f>
        <v/>
      </c>
      <c r="AH98">
        <f>IF(AND(P98="Creditor",X98=1,AG98&gt;0),AE98*((1+3*N('Parties'!$E$10)/12)^(AG98*12/365)-1),0)</f>
        <v/>
      </c>
      <c r="AI98">
        <f>IF(AND(C98&lt;&gt;"",C98='Ledger Account'!$D$4,B98&lt;&gt;"",B98&gt;='Ledger Account'!$D$5,B98&lt;='Ledger Account'!$D$6),1,0)</f>
        <v/>
      </c>
      <c r="AJ98">
        <f>IF(AI98=1,SUM(AI$7:AI98),"")</f>
        <v/>
      </c>
      <c r="AK98">
        <f>IF(OR(N98="",N98="OK"),0,1)</f>
        <v/>
      </c>
    </row>
    <row r="99">
      <c r="B99" s="24" t="n"/>
      <c r="C99" s="14" t="n"/>
      <c r="D99" s="14" t="n"/>
      <c r="E99" s="20" t="n"/>
      <c r="F99" s="24" t="n"/>
      <c r="G99" s="14" t="n"/>
      <c r="H99" s="22" t="n"/>
      <c r="I99" s="25">
        <f>IF(Q99="D",N(H99),0)</f>
        <v/>
      </c>
      <c r="J99" s="25">
        <f>IF(Q99="C",N(H99),0)</f>
        <v/>
      </c>
      <c r="K99" s="26">
        <f>IF(Z99="","",Z99)</f>
        <v/>
      </c>
      <c r="L99" s="27">
        <f>W99</f>
        <v/>
      </c>
      <c r="M99" s="28">
        <f>AA99</f>
        <v/>
      </c>
      <c r="N99" s="23">
        <f>IF(AND(B99="",C99="",D99="",N(H99)=0),"",IF(B99="","Enter the date",IF(C99="","Pick the party",IF(P99="?","Add this party on the Parties sheet first",IF(D99="","Pick the entry type",IF(Q99="?","Pick the entry type from the list",IF(N(H99)=0,"Enter the amount",IF(AND(R99&lt;&gt;"Any",R99&lt;&gt;P99),"Sales, receipts and credit notes are for debtors; purchases, payments and debit notes for creditors",IF(AND(F99&lt;&gt;"",D99&lt;&gt;"Purchase bill"),"The received-on date is only for purchase bills",IF(AND(P99="Creditor",X99=1,AA99&gt;0),"Past due to a micro or small supplier: interest runs under MSMED s.16, and if unpaid at year end it is not deductible that year, s.37(2)(g)",IF(AND(P99="Debtor",X99=1,AA99&gt;0),"Past due to you: as a micro or small supplier you can claim interest under MSMED s.16","OK")))))))))))</f>
        <v/>
      </c>
      <c r="P99">
        <f>IF(C99="","",IFERROR(VLOOKUP(C99,'Parties'!$B$13:$Q$112,2,FALSE),"?"))</f>
        <v/>
      </c>
      <c r="Q99">
        <f>IF(D99="","",IFERROR(VLOOKUP(D99,Lists!$A$2:$D$9,3,FALSE),"?"))</f>
        <v/>
      </c>
      <c r="R99">
        <f>IF(D99="","",IFERROR(VLOOKUP(D99,Lists!$A$2:$D$9,4,FALSE),"?"))</f>
        <v/>
      </c>
      <c r="S99">
        <f>IF(P99="Debtor",I99,IF(P99="Creditor",J99,0))</f>
        <v/>
      </c>
      <c r="T99">
        <f>IF(P99="Debtor",J99,IF(P99="Creditor",I99,0))</f>
        <v/>
      </c>
      <c r="U99">
        <f>IF(OR(S99=0,B99=""),0,IFERROR(VLOOKUP(C99,'Parties'!$B$13:$Q$112,13,FALSE),0)+SUMIFS($S$7:$S$506,$C$7:$C$506,C99,$B$7:$B$506,"&lt;"&amp;B99)+SUMIFS(S$7:S99,C$7:C99,C99,B$7:B99,B99))</f>
        <v/>
      </c>
      <c r="V99">
        <f>IF(S99=0,0,IFERROR(VLOOKUP(C99,'Parties'!$B$13:$Q$112,14,FALSE),0)+SUMIFS($T$7:$T$506,$C$7:$C$506,C99,$B$7:$B$506,"&lt;="&amp;'Outstanding'!$E$5))</f>
        <v/>
      </c>
      <c r="W99">
        <f>IF(OR('Outstanding'!$E$5="",S99=0,B99="",B99&gt;'Outstanding'!$E$5),0,MAX(0,MIN(S99,U99-V99)))</f>
        <v/>
      </c>
      <c r="X99">
        <f>IF(C99="",0,IFERROR(VLOOKUP(C99,'Parties'!$B$13:$Q$112,15,FALSE),0))</f>
        <v/>
      </c>
      <c r="Y99">
        <f>IF(C99="","",IFERROR(VLOOKUP(C99,'Parties'!$B$13:$Q$112,16,FALSE),0))</f>
        <v/>
      </c>
      <c r="Z99">
        <f>IF(OR(S99=0,B99="",Y99=""),"",IF(AND(F99&lt;&gt;"",D99="Purchase bill"),F99,B99)+Y99)</f>
        <v/>
      </c>
      <c r="AA99">
        <f>IF(OR(W99=0,Z99=""),0,MAX(0,'Outstanding'!$E$5-Z99))</f>
        <v/>
      </c>
      <c r="AB99">
        <f>IF(AND(X99=1,AA99&gt;0),W99*((1+3*N('Parties'!$E$10)/12)^(AA99*12/365)-1),0)</f>
        <v/>
      </c>
      <c r="AC99">
        <f>IF(W99=0,"",'Outstanding'!$E$5-B99)</f>
        <v/>
      </c>
      <c r="AD99">
        <f>IF(S99=0,0,IFERROR(VLOOKUP(C99,'Parties'!$B$13:$Q$112,14,FALSE),0)+SUMIFS($T$7:$T$506,$C$7:$C$506,C99,$B$7:$B$506,"&lt;="&amp;'Parties'!$E$8))</f>
        <v/>
      </c>
      <c r="AE99">
        <f>IF(OR('Parties'!$E$8="",S99=0,B99="",B99&gt;'Parties'!$E$8),0,MAX(0,MIN(S99,U99-AD99)))</f>
        <v/>
      </c>
      <c r="AF99">
        <f>IF(AND(P99="Creditor",X99=1,AE99&gt;0,Z99&lt;&gt;""),IF(Z99&lt;='Parties'!$E$8,AE99,0),0)</f>
        <v/>
      </c>
      <c r="AG99">
        <f>IF(OR(AE99=0,Z99=""),0,MAX(0,'Parties'!$E$8-Z99))</f>
        <v/>
      </c>
      <c r="AH99">
        <f>IF(AND(P99="Creditor",X99=1,AG99&gt;0),AE99*((1+3*N('Parties'!$E$10)/12)^(AG99*12/365)-1),0)</f>
        <v/>
      </c>
      <c r="AI99">
        <f>IF(AND(C99&lt;&gt;"",C99='Ledger Account'!$D$4,B99&lt;&gt;"",B99&gt;='Ledger Account'!$D$5,B99&lt;='Ledger Account'!$D$6),1,0)</f>
        <v/>
      </c>
      <c r="AJ99">
        <f>IF(AI99=1,SUM(AI$7:AI99),"")</f>
        <v/>
      </c>
      <c r="AK99">
        <f>IF(OR(N99="",N99="OK"),0,1)</f>
        <v/>
      </c>
    </row>
    <row r="100">
      <c r="B100" s="24" t="n"/>
      <c r="C100" s="14" t="n"/>
      <c r="D100" s="14" t="n"/>
      <c r="E100" s="20" t="n"/>
      <c r="F100" s="24" t="n"/>
      <c r="G100" s="14" t="n"/>
      <c r="H100" s="22" t="n"/>
      <c r="I100" s="25">
        <f>IF(Q100="D",N(H100),0)</f>
        <v/>
      </c>
      <c r="J100" s="25">
        <f>IF(Q100="C",N(H100),0)</f>
        <v/>
      </c>
      <c r="K100" s="26">
        <f>IF(Z100="","",Z100)</f>
        <v/>
      </c>
      <c r="L100" s="27">
        <f>W100</f>
        <v/>
      </c>
      <c r="M100" s="28">
        <f>AA100</f>
        <v/>
      </c>
      <c r="N100" s="23">
        <f>IF(AND(B100="",C100="",D100="",N(H100)=0),"",IF(B100="","Enter the date",IF(C100="","Pick the party",IF(P100="?","Add this party on the Parties sheet first",IF(D100="","Pick the entry type",IF(Q100="?","Pick the entry type from the list",IF(N(H100)=0,"Enter the amount",IF(AND(R100&lt;&gt;"Any",R100&lt;&gt;P100),"Sales, receipts and credit notes are for debtors; purchases, payments and debit notes for creditors",IF(AND(F100&lt;&gt;"",D100&lt;&gt;"Purchase bill"),"The received-on date is only for purchase bills",IF(AND(P100="Creditor",X100=1,AA100&gt;0),"Past due to a micro or small supplier: interest runs under MSMED s.16, and if unpaid at year end it is not deductible that year, s.37(2)(g)",IF(AND(P100="Debtor",X100=1,AA100&gt;0),"Past due to you: as a micro or small supplier you can claim interest under MSMED s.16","OK")))))))))))</f>
        <v/>
      </c>
      <c r="P100">
        <f>IF(C100="","",IFERROR(VLOOKUP(C100,'Parties'!$B$13:$Q$112,2,FALSE),"?"))</f>
        <v/>
      </c>
      <c r="Q100">
        <f>IF(D100="","",IFERROR(VLOOKUP(D100,Lists!$A$2:$D$9,3,FALSE),"?"))</f>
        <v/>
      </c>
      <c r="R100">
        <f>IF(D100="","",IFERROR(VLOOKUP(D100,Lists!$A$2:$D$9,4,FALSE),"?"))</f>
        <v/>
      </c>
      <c r="S100">
        <f>IF(P100="Debtor",I100,IF(P100="Creditor",J100,0))</f>
        <v/>
      </c>
      <c r="T100">
        <f>IF(P100="Debtor",J100,IF(P100="Creditor",I100,0))</f>
        <v/>
      </c>
      <c r="U100">
        <f>IF(OR(S100=0,B100=""),0,IFERROR(VLOOKUP(C100,'Parties'!$B$13:$Q$112,13,FALSE),0)+SUMIFS($S$7:$S$506,$C$7:$C$506,C100,$B$7:$B$506,"&lt;"&amp;B100)+SUMIFS(S$7:S100,C$7:C100,C100,B$7:B100,B100))</f>
        <v/>
      </c>
      <c r="V100">
        <f>IF(S100=0,0,IFERROR(VLOOKUP(C100,'Parties'!$B$13:$Q$112,14,FALSE),0)+SUMIFS($T$7:$T$506,$C$7:$C$506,C100,$B$7:$B$506,"&lt;="&amp;'Outstanding'!$E$5))</f>
        <v/>
      </c>
      <c r="W100">
        <f>IF(OR('Outstanding'!$E$5="",S100=0,B100="",B100&gt;'Outstanding'!$E$5),0,MAX(0,MIN(S100,U100-V100)))</f>
        <v/>
      </c>
      <c r="X100">
        <f>IF(C100="",0,IFERROR(VLOOKUP(C100,'Parties'!$B$13:$Q$112,15,FALSE),0))</f>
        <v/>
      </c>
      <c r="Y100">
        <f>IF(C100="","",IFERROR(VLOOKUP(C100,'Parties'!$B$13:$Q$112,16,FALSE),0))</f>
        <v/>
      </c>
      <c r="Z100">
        <f>IF(OR(S100=0,B100="",Y100=""),"",IF(AND(F100&lt;&gt;"",D100="Purchase bill"),F100,B100)+Y100)</f>
        <v/>
      </c>
      <c r="AA100">
        <f>IF(OR(W100=0,Z100=""),0,MAX(0,'Outstanding'!$E$5-Z100))</f>
        <v/>
      </c>
      <c r="AB100">
        <f>IF(AND(X100=1,AA100&gt;0),W100*((1+3*N('Parties'!$E$10)/12)^(AA100*12/365)-1),0)</f>
        <v/>
      </c>
      <c r="AC100">
        <f>IF(W100=0,"",'Outstanding'!$E$5-B100)</f>
        <v/>
      </c>
      <c r="AD100">
        <f>IF(S100=0,0,IFERROR(VLOOKUP(C100,'Parties'!$B$13:$Q$112,14,FALSE),0)+SUMIFS($T$7:$T$506,$C$7:$C$506,C100,$B$7:$B$506,"&lt;="&amp;'Parties'!$E$8))</f>
        <v/>
      </c>
      <c r="AE100">
        <f>IF(OR('Parties'!$E$8="",S100=0,B100="",B100&gt;'Parties'!$E$8),0,MAX(0,MIN(S100,U100-AD100)))</f>
        <v/>
      </c>
      <c r="AF100">
        <f>IF(AND(P100="Creditor",X100=1,AE100&gt;0,Z100&lt;&gt;""),IF(Z100&lt;='Parties'!$E$8,AE100,0),0)</f>
        <v/>
      </c>
      <c r="AG100">
        <f>IF(OR(AE100=0,Z100=""),0,MAX(0,'Parties'!$E$8-Z100))</f>
        <v/>
      </c>
      <c r="AH100">
        <f>IF(AND(P100="Creditor",X100=1,AG100&gt;0),AE100*((1+3*N('Parties'!$E$10)/12)^(AG100*12/365)-1),0)</f>
        <v/>
      </c>
      <c r="AI100">
        <f>IF(AND(C100&lt;&gt;"",C100='Ledger Account'!$D$4,B100&lt;&gt;"",B100&gt;='Ledger Account'!$D$5,B100&lt;='Ledger Account'!$D$6),1,0)</f>
        <v/>
      </c>
      <c r="AJ100">
        <f>IF(AI100=1,SUM(AI$7:AI100),"")</f>
        <v/>
      </c>
      <c r="AK100">
        <f>IF(OR(N100="",N100="OK"),0,1)</f>
        <v/>
      </c>
    </row>
    <row r="101">
      <c r="B101" s="24" t="n"/>
      <c r="C101" s="14" t="n"/>
      <c r="D101" s="14" t="n"/>
      <c r="E101" s="20" t="n"/>
      <c r="F101" s="24" t="n"/>
      <c r="G101" s="14" t="n"/>
      <c r="H101" s="22" t="n"/>
      <c r="I101" s="25">
        <f>IF(Q101="D",N(H101),0)</f>
        <v/>
      </c>
      <c r="J101" s="25">
        <f>IF(Q101="C",N(H101),0)</f>
        <v/>
      </c>
      <c r="K101" s="26">
        <f>IF(Z101="","",Z101)</f>
        <v/>
      </c>
      <c r="L101" s="27">
        <f>W101</f>
        <v/>
      </c>
      <c r="M101" s="28">
        <f>AA101</f>
        <v/>
      </c>
      <c r="N101" s="23">
        <f>IF(AND(B101="",C101="",D101="",N(H101)=0),"",IF(B101="","Enter the date",IF(C101="","Pick the party",IF(P101="?","Add this party on the Parties sheet first",IF(D101="","Pick the entry type",IF(Q101="?","Pick the entry type from the list",IF(N(H101)=0,"Enter the amount",IF(AND(R101&lt;&gt;"Any",R101&lt;&gt;P101),"Sales, receipts and credit notes are for debtors; purchases, payments and debit notes for creditors",IF(AND(F101&lt;&gt;"",D101&lt;&gt;"Purchase bill"),"The received-on date is only for purchase bills",IF(AND(P101="Creditor",X101=1,AA101&gt;0),"Past due to a micro or small supplier: interest runs under MSMED s.16, and if unpaid at year end it is not deductible that year, s.37(2)(g)",IF(AND(P101="Debtor",X101=1,AA101&gt;0),"Past due to you: as a micro or small supplier you can claim interest under MSMED s.16","OK")))))))))))</f>
        <v/>
      </c>
      <c r="P101">
        <f>IF(C101="","",IFERROR(VLOOKUP(C101,'Parties'!$B$13:$Q$112,2,FALSE),"?"))</f>
        <v/>
      </c>
      <c r="Q101">
        <f>IF(D101="","",IFERROR(VLOOKUP(D101,Lists!$A$2:$D$9,3,FALSE),"?"))</f>
        <v/>
      </c>
      <c r="R101">
        <f>IF(D101="","",IFERROR(VLOOKUP(D101,Lists!$A$2:$D$9,4,FALSE),"?"))</f>
        <v/>
      </c>
      <c r="S101">
        <f>IF(P101="Debtor",I101,IF(P101="Creditor",J101,0))</f>
        <v/>
      </c>
      <c r="T101">
        <f>IF(P101="Debtor",J101,IF(P101="Creditor",I101,0))</f>
        <v/>
      </c>
      <c r="U101">
        <f>IF(OR(S101=0,B101=""),0,IFERROR(VLOOKUP(C101,'Parties'!$B$13:$Q$112,13,FALSE),0)+SUMIFS($S$7:$S$506,$C$7:$C$506,C101,$B$7:$B$506,"&lt;"&amp;B101)+SUMIFS(S$7:S101,C$7:C101,C101,B$7:B101,B101))</f>
        <v/>
      </c>
      <c r="V101">
        <f>IF(S101=0,0,IFERROR(VLOOKUP(C101,'Parties'!$B$13:$Q$112,14,FALSE),0)+SUMIFS($T$7:$T$506,$C$7:$C$506,C101,$B$7:$B$506,"&lt;="&amp;'Outstanding'!$E$5))</f>
        <v/>
      </c>
      <c r="W101">
        <f>IF(OR('Outstanding'!$E$5="",S101=0,B101="",B101&gt;'Outstanding'!$E$5),0,MAX(0,MIN(S101,U101-V101)))</f>
        <v/>
      </c>
      <c r="X101">
        <f>IF(C101="",0,IFERROR(VLOOKUP(C101,'Parties'!$B$13:$Q$112,15,FALSE),0))</f>
        <v/>
      </c>
      <c r="Y101">
        <f>IF(C101="","",IFERROR(VLOOKUP(C101,'Parties'!$B$13:$Q$112,16,FALSE),0))</f>
        <v/>
      </c>
      <c r="Z101">
        <f>IF(OR(S101=0,B101="",Y101=""),"",IF(AND(F101&lt;&gt;"",D101="Purchase bill"),F101,B101)+Y101)</f>
        <v/>
      </c>
      <c r="AA101">
        <f>IF(OR(W101=0,Z101=""),0,MAX(0,'Outstanding'!$E$5-Z101))</f>
        <v/>
      </c>
      <c r="AB101">
        <f>IF(AND(X101=1,AA101&gt;0),W101*((1+3*N('Parties'!$E$10)/12)^(AA101*12/365)-1),0)</f>
        <v/>
      </c>
      <c r="AC101">
        <f>IF(W101=0,"",'Outstanding'!$E$5-B101)</f>
        <v/>
      </c>
      <c r="AD101">
        <f>IF(S101=0,0,IFERROR(VLOOKUP(C101,'Parties'!$B$13:$Q$112,14,FALSE),0)+SUMIFS($T$7:$T$506,$C$7:$C$506,C101,$B$7:$B$506,"&lt;="&amp;'Parties'!$E$8))</f>
        <v/>
      </c>
      <c r="AE101">
        <f>IF(OR('Parties'!$E$8="",S101=0,B101="",B101&gt;'Parties'!$E$8),0,MAX(0,MIN(S101,U101-AD101)))</f>
        <v/>
      </c>
      <c r="AF101">
        <f>IF(AND(P101="Creditor",X101=1,AE101&gt;0,Z101&lt;&gt;""),IF(Z101&lt;='Parties'!$E$8,AE101,0),0)</f>
        <v/>
      </c>
      <c r="AG101">
        <f>IF(OR(AE101=0,Z101=""),0,MAX(0,'Parties'!$E$8-Z101))</f>
        <v/>
      </c>
      <c r="AH101">
        <f>IF(AND(P101="Creditor",X101=1,AG101&gt;0),AE101*((1+3*N('Parties'!$E$10)/12)^(AG101*12/365)-1),0)</f>
        <v/>
      </c>
      <c r="AI101">
        <f>IF(AND(C101&lt;&gt;"",C101='Ledger Account'!$D$4,B101&lt;&gt;"",B101&gt;='Ledger Account'!$D$5,B101&lt;='Ledger Account'!$D$6),1,0)</f>
        <v/>
      </c>
      <c r="AJ101">
        <f>IF(AI101=1,SUM(AI$7:AI101),"")</f>
        <v/>
      </c>
      <c r="AK101">
        <f>IF(OR(N101="",N101="OK"),0,1)</f>
        <v/>
      </c>
    </row>
    <row r="102">
      <c r="B102" s="24" t="n"/>
      <c r="C102" s="14" t="n"/>
      <c r="D102" s="14" t="n"/>
      <c r="E102" s="20" t="n"/>
      <c r="F102" s="24" t="n"/>
      <c r="G102" s="14" t="n"/>
      <c r="H102" s="22" t="n"/>
      <c r="I102" s="25">
        <f>IF(Q102="D",N(H102),0)</f>
        <v/>
      </c>
      <c r="J102" s="25">
        <f>IF(Q102="C",N(H102),0)</f>
        <v/>
      </c>
      <c r="K102" s="26">
        <f>IF(Z102="","",Z102)</f>
        <v/>
      </c>
      <c r="L102" s="27">
        <f>W102</f>
        <v/>
      </c>
      <c r="M102" s="28">
        <f>AA102</f>
        <v/>
      </c>
      <c r="N102" s="23">
        <f>IF(AND(B102="",C102="",D102="",N(H102)=0),"",IF(B102="","Enter the date",IF(C102="","Pick the party",IF(P102="?","Add this party on the Parties sheet first",IF(D102="","Pick the entry type",IF(Q102="?","Pick the entry type from the list",IF(N(H102)=0,"Enter the amount",IF(AND(R102&lt;&gt;"Any",R102&lt;&gt;P102),"Sales, receipts and credit notes are for debtors; purchases, payments and debit notes for creditors",IF(AND(F102&lt;&gt;"",D102&lt;&gt;"Purchase bill"),"The received-on date is only for purchase bills",IF(AND(P102="Creditor",X102=1,AA102&gt;0),"Past due to a micro or small supplier: interest runs under MSMED s.16, and if unpaid at year end it is not deductible that year, s.37(2)(g)",IF(AND(P102="Debtor",X102=1,AA102&gt;0),"Past due to you: as a micro or small supplier you can claim interest under MSMED s.16","OK")))))))))))</f>
        <v/>
      </c>
      <c r="P102">
        <f>IF(C102="","",IFERROR(VLOOKUP(C102,'Parties'!$B$13:$Q$112,2,FALSE),"?"))</f>
        <v/>
      </c>
      <c r="Q102">
        <f>IF(D102="","",IFERROR(VLOOKUP(D102,Lists!$A$2:$D$9,3,FALSE),"?"))</f>
        <v/>
      </c>
      <c r="R102">
        <f>IF(D102="","",IFERROR(VLOOKUP(D102,Lists!$A$2:$D$9,4,FALSE),"?"))</f>
        <v/>
      </c>
      <c r="S102">
        <f>IF(P102="Debtor",I102,IF(P102="Creditor",J102,0))</f>
        <v/>
      </c>
      <c r="T102">
        <f>IF(P102="Debtor",J102,IF(P102="Creditor",I102,0))</f>
        <v/>
      </c>
      <c r="U102">
        <f>IF(OR(S102=0,B102=""),0,IFERROR(VLOOKUP(C102,'Parties'!$B$13:$Q$112,13,FALSE),0)+SUMIFS($S$7:$S$506,$C$7:$C$506,C102,$B$7:$B$506,"&lt;"&amp;B102)+SUMIFS(S$7:S102,C$7:C102,C102,B$7:B102,B102))</f>
        <v/>
      </c>
      <c r="V102">
        <f>IF(S102=0,0,IFERROR(VLOOKUP(C102,'Parties'!$B$13:$Q$112,14,FALSE),0)+SUMIFS($T$7:$T$506,$C$7:$C$506,C102,$B$7:$B$506,"&lt;="&amp;'Outstanding'!$E$5))</f>
        <v/>
      </c>
      <c r="W102">
        <f>IF(OR('Outstanding'!$E$5="",S102=0,B102="",B102&gt;'Outstanding'!$E$5),0,MAX(0,MIN(S102,U102-V102)))</f>
        <v/>
      </c>
      <c r="X102">
        <f>IF(C102="",0,IFERROR(VLOOKUP(C102,'Parties'!$B$13:$Q$112,15,FALSE),0))</f>
        <v/>
      </c>
      <c r="Y102">
        <f>IF(C102="","",IFERROR(VLOOKUP(C102,'Parties'!$B$13:$Q$112,16,FALSE),0))</f>
        <v/>
      </c>
      <c r="Z102">
        <f>IF(OR(S102=0,B102="",Y102=""),"",IF(AND(F102&lt;&gt;"",D102="Purchase bill"),F102,B102)+Y102)</f>
        <v/>
      </c>
      <c r="AA102">
        <f>IF(OR(W102=0,Z102=""),0,MAX(0,'Outstanding'!$E$5-Z102))</f>
        <v/>
      </c>
      <c r="AB102">
        <f>IF(AND(X102=1,AA102&gt;0),W102*((1+3*N('Parties'!$E$10)/12)^(AA102*12/365)-1),0)</f>
        <v/>
      </c>
      <c r="AC102">
        <f>IF(W102=0,"",'Outstanding'!$E$5-B102)</f>
        <v/>
      </c>
      <c r="AD102">
        <f>IF(S102=0,0,IFERROR(VLOOKUP(C102,'Parties'!$B$13:$Q$112,14,FALSE),0)+SUMIFS($T$7:$T$506,$C$7:$C$506,C102,$B$7:$B$506,"&lt;="&amp;'Parties'!$E$8))</f>
        <v/>
      </c>
      <c r="AE102">
        <f>IF(OR('Parties'!$E$8="",S102=0,B102="",B102&gt;'Parties'!$E$8),0,MAX(0,MIN(S102,U102-AD102)))</f>
        <v/>
      </c>
      <c r="AF102">
        <f>IF(AND(P102="Creditor",X102=1,AE102&gt;0,Z102&lt;&gt;""),IF(Z102&lt;='Parties'!$E$8,AE102,0),0)</f>
        <v/>
      </c>
      <c r="AG102">
        <f>IF(OR(AE102=0,Z102=""),0,MAX(0,'Parties'!$E$8-Z102))</f>
        <v/>
      </c>
      <c r="AH102">
        <f>IF(AND(P102="Creditor",X102=1,AG102&gt;0),AE102*((1+3*N('Parties'!$E$10)/12)^(AG102*12/365)-1),0)</f>
        <v/>
      </c>
      <c r="AI102">
        <f>IF(AND(C102&lt;&gt;"",C102='Ledger Account'!$D$4,B102&lt;&gt;"",B102&gt;='Ledger Account'!$D$5,B102&lt;='Ledger Account'!$D$6),1,0)</f>
        <v/>
      </c>
      <c r="AJ102">
        <f>IF(AI102=1,SUM(AI$7:AI102),"")</f>
        <v/>
      </c>
      <c r="AK102">
        <f>IF(OR(N102="",N102="OK"),0,1)</f>
        <v/>
      </c>
    </row>
    <row r="103">
      <c r="B103" s="24" t="n"/>
      <c r="C103" s="14" t="n"/>
      <c r="D103" s="14" t="n"/>
      <c r="E103" s="20" t="n"/>
      <c r="F103" s="24" t="n"/>
      <c r="G103" s="14" t="n"/>
      <c r="H103" s="22" t="n"/>
      <c r="I103" s="25">
        <f>IF(Q103="D",N(H103),0)</f>
        <v/>
      </c>
      <c r="J103" s="25">
        <f>IF(Q103="C",N(H103),0)</f>
        <v/>
      </c>
      <c r="K103" s="26">
        <f>IF(Z103="","",Z103)</f>
        <v/>
      </c>
      <c r="L103" s="27">
        <f>W103</f>
        <v/>
      </c>
      <c r="M103" s="28">
        <f>AA103</f>
        <v/>
      </c>
      <c r="N103" s="23">
        <f>IF(AND(B103="",C103="",D103="",N(H103)=0),"",IF(B103="","Enter the date",IF(C103="","Pick the party",IF(P103="?","Add this party on the Parties sheet first",IF(D103="","Pick the entry type",IF(Q103="?","Pick the entry type from the list",IF(N(H103)=0,"Enter the amount",IF(AND(R103&lt;&gt;"Any",R103&lt;&gt;P103),"Sales, receipts and credit notes are for debtors; purchases, payments and debit notes for creditors",IF(AND(F103&lt;&gt;"",D103&lt;&gt;"Purchase bill"),"The received-on date is only for purchase bills",IF(AND(P103="Creditor",X103=1,AA103&gt;0),"Past due to a micro or small supplier: interest runs under MSMED s.16, and if unpaid at year end it is not deductible that year, s.37(2)(g)",IF(AND(P103="Debtor",X103=1,AA103&gt;0),"Past due to you: as a micro or small supplier you can claim interest under MSMED s.16","OK")))))))))))</f>
        <v/>
      </c>
      <c r="P103">
        <f>IF(C103="","",IFERROR(VLOOKUP(C103,'Parties'!$B$13:$Q$112,2,FALSE),"?"))</f>
        <v/>
      </c>
      <c r="Q103">
        <f>IF(D103="","",IFERROR(VLOOKUP(D103,Lists!$A$2:$D$9,3,FALSE),"?"))</f>
        <v/>
      </c>
      <c r="R103">
        <f>IF(D103="","",IFERROR(VLOOKUP(D103,Lists!$A$2:$D$9,4,FALSE),"?"))</f>
        <v/>
      </c>
      <c r="S103">
        <f>IF(P103="Debtor",I103,IF(P103="Creditor",J103,0))</f>
        <v/>
      </c>
      <c r="T103">
        <f>IF(P103="Debtor",J103,IF(P103="Creditor",I103,0))</f>
        <v/>
      </c>
      <c r="U103">
        <f>IF(OR(S103=0,B103=""),0,IFERROR(VLOOKUP(C103,'Parties'!$B$13:$Q$112,13,FALSE),0)+SUMIFS($S$7:$S$506,$C$7:$C$506,C103,$B$7:$B$506,"&lt;"&amp;B103)+SUMIFS(S$7:S103,C$7:C103,C103,B$7:B103,B103))</f>
        <v/>
      </c>
      <c r="V103">
        <f>IF(S103=0,0,IFERROR(VLOOKUP(C103,'Parties'!$B$13:$Q$112,14,FALSE),0)+SUMIFS($T$7:$T$506,$C$7:$C$506,C103,$B$7:$B$506,"&lt;="&amp;'Outstanding'!$E$5))</f>
        <v/>
      </c>
      <c r="W103">
        <f>IF(OR('Outstanding'!$E$5="",S103=0,B103="",B103&gt;'Outstanding'!$E$5),0,MAX(0,MIN(S103,U103-V103)))</f>
        <v/>
      </c>
      <c r="X103">
        <f>IF(C103="",0,IFERROR(VLOOKUP(C103,'Parties'!$B$13:$Q$112,15,FALSE),0))</f>
        <v/>
      </c>
      <c r="Y103">
        <f>IF(C103="","",IFERROR(VLOOKUP(C103,'Parties'!$B$13:$Q$112,16,FALSE),0))</f>
        <v/>
      </c>
      <c r="Z103">
        <f>IF(OR(S103=0,B103="",Y103=""),"",IF(AND(F103&lt;&gt;"",D103="Purchase bill"),F103,B103)+Y103)</f>
        <v/>
      </c>
      <c r="AA103">
        <f>IF(OR(W103=0,Z103=""),0,MAX(0,'Outstanding'!$E$5-Z103))</f>
        <v/>
      </c>
      <c r="AB103">
        <f>IF(AND(X103=1,AA103&gt;0),W103*((1+3*N('Parties'!$E$10)/12)^(AA103*12/365)-1),0)</f>
        <v/>
      </c>
      <c r="AC103">
        <f>IF(W103=0,"",'Outstanding'!$E$5-B103)</f>
        <v/>
      </c>
      <c r="AD103">
        <f>IF(S103=0,0,IFERROR(VLOOKUP(C103,'Parties'!$B$13:$Q$112,14,FALSE),0)+SUMIFS($T$7:$T$506,$C$7:$C$506,C103,$B$7:$B$506,"&lt;="&amp;'Parties'!$E$8))</f>
        <v/>
      </c>
      <c r="AE103">
        <f>IF(OR('Parties'!$E$8="",S103=0,B103="",B103&gt;'Parties'!$E$8),0,MAX(0,MIN(S103,U103-AD103)))</f>
        <v/>
      </c>
      <c r="AF103">
        <f>IF(AND(P103="Creditor",X103=1,AE103&gt;0,Z103&lt;&gt;""),IF(Z103&lt;='Parties'!$E$8,AE103,0),0)</f>
        <v/>
      </c>
      <c r="AG103">
        <f>IF(OR(AE103=0,Z103=""),0,MAX(0,'Parties'!$E$8-Z103))</f>
        <v/>
      </c>
      <c r="AH103">
        <f>IF(AND(P103="Creditor",X103=1,AG103&gt;0),AE103*((1+3*N('Parties'!$E$10)/12)^(AG103*12/365)-1),0)</f>
        <v/>
      </c>
      <c r="AI103">
        <f>IF(AND(C103&lt;&gt;"",C103='Ledger Account'!$D$4,B103&lt;&gt;"",B103&gt;='Ledger Account'!$D$5,B103&lt;='Ledger Account'!$D$6),1,0)</f>
        <v/>
      </c>
      <c r="AJ103">
        <f>IF(AI103=1,SUM(AI$7:AI103),"")</f>
        <v/>
      </c>
      <c r="AK103">
        <f>IF(OR(N103="",N103="OK"),0,1)</f>
        <v/>
      </c>
    </row>
    <row r="104">
      <c r="B104" s="24" t="n"/>
      <c r="C104" s="14" t="n"/>
      <c r="D104" s="14" t="n"/>
      <c r="E104" s="20" t="n"/>
      <c r="F104" s="24" t="n"/>
      <c r="G104" s="14" t="n"/>
      <c r="H104" s="22" t="n"/>
      <c r="I104" s="25">
        <f>IF(Q104="D",N(H104),0)</f>
        <v/>
      </c>
      <c r="J104" s="25">
        <f>IF(Q104="C",N(H104),0)</f>
        <v/>
      </c>
      <c r="K104" s="26">
        <f>IF(Z104="","",Z104)</f>
        <v/>
      </c>
      <c r="L104" s="27">
        <f>W104</f>
        <v/>
      </c>
      <c r="M104" s="28">
        <f>AA104</f>
        <v/>
      </c>
      <c r="N104" s="23">
        <f>IF(AND(B104="",C104="",D104="",N(H104)=0),"",IF(B104="","Enter the date",IF(C104="","Pick the party",IF(P104="?","Add this party on the Parties sheet first",IF(D104="","Pick the entry type",IF(Q104="?","Pick the entry type from the list",IF(N(H104)=0,"Enter the amount",IF(AND(R104&lt;&gt;"Any",R104&lt;&gt;P104),"Sales, receipts and credit notes are for debtors; purchases, payments and debit notes for creditors",IF(AND(F104&lt;&gt;"",D104&lt;&gt;"Purchase bill"),"The received-on date is only for purchase bills",IF(AND(P104="Creditor",X104=1,AA104&gt;0),"Past due to a micro or small supplier: interest runs under MSMED s.16, and if unpaid at year end it is not deductible that year, s.37(2)(g)",IF(AND(P104="Debtor",X104=1,AA104&gt;0),"Past due to you: as a micro or small supplier you can claim interest under MSMED s.16","OK")))))))))))</f>
        <v/>
      </c>
      <c r="P104">
        <f>IF(C104="","",IFERROR(VLOOKUP(C104,'Parties'!$B$13:$Q$112,2,FALSE),"?"))</f>
        <v/>
      </c>
      <c r="Q104">
        <f>IF(D104="","",IFERROR(VLOOKUP(D104,Lists!$A$2:$D$9,3,FALSE),"?"))</f>
        <v/>
      </c>
      <c r="R104">
        <f>IF(D104="","",IFERROR(VLOOKUP(D104,Lists!$A$2:$D$9,4,FALSE),"?"))</f>
        <v/>
      </c>
      <c r="S104">
        <f>IF(P104="Debtor",I104,IF(P104="Creditor",J104,0))</f>
        <v/>
      </c>
      <c r="T104">
        <f>IF(P104="Debtor",J104,IF(P104="Creditor",I104,0))</f>
        <v/>
      </c>
      <c r="U104">
        <f>IF(OR(S104=0,B104=""),0,IFERROR(VLOOKUP(C104,'Parties'!$B$13:$Q$112,13,FALSE),0)+SUMIFS($S$7:$S$506,$C$7:$C$506,C104,$B$7:$B$506,"&lt;"&amp;B104)+SUMIFS(S$7:S104,C$7:C104,C104,B$7:B104,B104))</f>
        <v/>
      </c>
      <c r="V104">
        <f>IF(S104=0,0,IFERROR(VLOOKUP(C104,'Parties'!$B$13:$Q$112,14,FALSE),0)+SUMIFS($T$7:$T$506,$C$7:$C$506,C104,$B$7:$B$506,"&lt;="&amp;'Outstanding'!$E$5))</f>
        <v/>
      </c>
      <c r="W104">
        <f>IF(OR('Outstanding'!$E$5="",S104=0,B104="",B104&gt;'Outstanding'!$E$5),0,MAX(0,MIN(S104,U104-V104)))</f>
        <v/>
      </c>
      <c r="X104">
        <f>IF(C104="",0,IFERROR(VLOOKUP(C104,'Parties'!$B$13:$Q$112,15,FALSE),0))</f>
        <v/>
      </c>
      <c r="Y104">
        <f>IF(C104="","",IFERROR(VLOOKUP(C104,'Parties'!$B$13:$Q$112,16,FALSE),0))</f>
        <v/>
      </c>
      <c r="Z104">
        <f>IF(OR(S104=0,B104="",Y104=""),"",IF(AND(F104&lt;&gt;"",D104="Purchase bill"),F104,B104)+Y104)</f>
        <v/>
      </c>
      <c r="AA104">
        <f>IF(OR(W104=0,Z104=""),0,MAX(0,'Outstanding'!$E$5-Z104))</f>
        <v/>
      </c>
      <c r="AB104">
        <f>IF(AND(X104=1,AA104&gt;0),W104*((1+3*N('Parties'!$E$10)/12)^(AA104*12/365)-1),0)</f>
        <v/>
      </c>
      <c r="AC104">
        <f>IF(W104=0,"",'Outstanding'!$E$5-B104)</f>
        <v/>
      </c>
      <c r="AD104">
        <f>IF(S104=0,0,IFERROR(VLOOKUP(C104,'Parties'!$B$13:$Q$112,14,FALSE),0)+SUMIFS($T$7:$T$506,$C$7:$C$506,C104,$B$7:$B$506,"&lt;="&amp;'Parties'!$E$8))</f>
        <v/>
      </c>
      <c r="AE104">
        <f>IF(OR('Parties'!$E$8="",S104=0,B104="",B104&gt;'Parties'!$E$8),0,MAX(0,MIN(S104,U104-AD104)))</f>
        <v/>
      </c>
      <c r="AF104">
        <f>IF(AND(P104="Creditor",X104=1,AE104&gt;0,Z104&lt;&gt;""),IF(Z104&lt;='Parties'!$E$8,AE104,0),0)</f>
        <v/>
      </c>
      <c r="AG104">
        <f>IF(OR(AE104=0,Z104=""),0,MAX(0,'Parties'!$E$8-Z104))</f>
        <v/>
      </c>
      <c r="AH104">
        <f>IF(AND(P104="Creditor",X104=1,AG104&gt;0),AE104*((1+3*N('Parties'!$E$10)/12)^(AG104*12/365)-1),0)</f>
        <v/>
      </c>
      <c r="AI104">
        <f>IF(AND(C104&lt;&gt;"",C104='Ledger Account'!$D$4,B104&lt;&gt;"",B104&gt;='Ledger Account'!$D$5,B104&lt;='Ledger Account'!$D$6),1,0)</f>
        <v/>
      </c>
      <c r="AJ104">
        <f>IF(AI104=1,SUM(AI$7:AI104),"")</f>
        <v/>
      </c>
      <c r="AK104">
        <f>IF(OR(N104="",N104="OK"),0,1)</f>
        <v/>
      </c>
    </row>
    <row r="105">
      <c r="B105" s="24" t="n"/>
      <c r="C105" s="14" t="n"/>
      <c r="D105" s="14" t="n"/>
      <c r="E105" s="20" t="n"/>
      <c r="F105" s="24" t="n"/>
      <c r="G105" s="14" t="n"/>
      <c r="H105" s="22" t="n"/>
      <c r="I105" s="25">
        <f>IF(Q105="D",N(H105),0)</f>
        <v/>
      </c>
      <c r="J105" s="25">
        <f>IF(Q105="C",N(H105),0)</f>
        <v/>
      </c>
      <c r="K105" s="26">
        <f>IF(Z105="","",Z105)</f>
        <v/>
      </c>
      <c r="L105" s="27">
        <f>W105</f>
        <v/>
      </c>
      <c r="M105" s="28">
        <f>AA105</f>
        <v/>
      </c>
      <c r="N105" s="23">
        <f>IF(AND(B105="",C105="",D105="",N(H105)=0),"",IF(B105="","Enter the date",IF(C105="","Pick the party",IF(P105="?","Add this party on the Parties sheet first",IF(D105="","Pick the entry type",IF(Q105="?","Pick the entry type from the list",IF(N(H105)=0,"Enter the amount",IF(AND(R105&lt;&gt;"Any",R105&lt;&gt;P105),"Sales, receipts and credit notes are for debtors; purchases, payments and debit notes for creditors",IF(AND(F105&lt;&gt;"",D105&lt;&gt;"Purchase bill"),"The received-on date is only for purchase bills",IF(AND(P105="Creditor",X105=1,AA105&gt;0),"Past due to a micro or small supplier: interest runs under MSMED s.16, and if unpaid at year end it is not deductible that year, s.37(2)(g)",IF(AND(P105="Debtor",X105=1,AA105&gt;0),"Past due to you: as a micro or small supplier you can claim interest under MSMED s.16","OK")))))))))))</f>
        <v/>
      </c>
      <c r="P105">
        <f>IF(C105="","",IFERROR(VLOOKUP(C105,'Parties'!$B$13:$Q$112,2,FALSE),"?"))</f>
        <v/>
      </c>
      <c r="Q105">
        <f>IF(D105="","",IFERROR(VLOOKUP(D105,Lists!$A$2:$D$9,3,FALSE),"?"))</f>
        <v/>
      </c>
      <c r="R105">
        <f>IF(D105="","",IFERROR(VLOOKUP(D105,Lists!$A$2:$D$9,4,FALSE),"?"))</f>
        <v/>
      </c>
      <c r="S105">
        <f>IF(P105="Debtor",I105,IF(P105="Creditor",J105,0))</f>
        <v/>
      </c>
      <c r="T105">
        <f>IF(P105="Debtor",J105,IF(P105="Creditor",I105,0))</f>
        <v/>
      </c>
      <c r="U105">
        <f>IF(OR(S105=0,B105=""),0,IFERROR(VLOOKUP(C105,'Parties'!$B$13:$Q$112,13,FALSE),0)+SUMIFS($S$7:$S$506,$C$7:$C$506,C105,$B$7:$B$506,"&lt;"&amp;B105)+SUMIFS(S$7:S105,C$7:C105,C105,B$7:B105,B105))</f>
        <v/>
      </c>
      <c r="V105">
        <f>IF(S105=0,0,IFERROR(VLOOKUP(C105,'Parties'!$B$13:$Q$112,14,FALSE),0)+SUMIFS($T$7:$T$506,$C$7:$C$506,C105,$B$7:$B$506,"&lt;="&amp;'Outstanding'!$E$5))</f>
        <v/>
      </c>
      <c r="W105">
        <f>IF(OR('Outstanding'!$E$5="",S105=0,B105="",B105&gt;'Outstanding'!$E$5),0,MAX(0,MIN(S105,U105-V105)))</f>
        <v/>
      </c>
      <c r="X105">
        <f>IF(C105="",0,IFERROR(VLOOKUP(C105,'Parties'!$B$13:$Q$112,15,FALSE),0))</f>
        <v/>
      </c>
      <c r="Y105">
        <f>IF(C105="","",IFERROR(VLOOKUP(C105,'Parties'!$B$13:$Q$112,16,FALSE),0))</f>
        <v/>
      </c>
      <c r="Z105">
        <f>IF(OR(S105=0,B105="",Y105=""),"",IF(AND(F105&lt;&gt;"",D105="Purchase bill"),F105,B105)+Y105)</f>
        <v/>
      </c>
      <c r="AA105">
        <f>IF(OR(W105=0,Z105=""),0,MAX(0,'Outstanding'!$E$5-Z105))</f>
        <v/>
      </c>
      <c r="AB105">
        <f>IF(AND(X105=1,AA105&gt;0),W105*((1+3*N('Parties'!$E$10)/12)^(AA105*12/365)-1),0)</f>
        <v/>
      </c>
      <c r="AC105">
        <f>IF(W105=0,"",'Outstanding'!$E$5-B105)</f>
        <v/>
      </c>
      <c r="AD105">
        <f>IF(S105=0,0,IFERROR(VLOOKUP(C105,'Parties'!$B$13:$Q$112,14,FALSE),0)+SUMIFS($T$7:$T$506,$C$7:$C$506,C105,$B$7:$B$506,"&lt;="&amp;'Parties'!$E$8))</f>
        <v/>
      </c>
      <c r="AE105">
        <f>IF(OR('Parties'!$E$8="",S105=0,B105="",B105&gt;'Parties'!$E$8),0,MAX(0,MIN(S105,U105-AD105)))</f>
        <v/>
      </c>
      <c r="AF105">
        <f>IF(AND(P105="Creditor",X105=1,AE105&gt;0,Z105&lt;&gt;""),IF(Z105&lt;='Parties'!$E$8,AE105,0),0)</f>
        <v/>
      </c>
      <c r="AG105">
        <f>IF(OR(AE105=0,Z105=""),0,MAX(0,'Parties'!$E$8-Z105))</f>
        <v/>
      </c>
      <c r="AH105">
        <f>IF(AND(P105="Creditor",X105=1,AG105&gt;0),AE105*((1+3*N('Parties'!$E$10)/12)^(AG105*12/365)-1),0)</f>
        <v/>
      </c>
      <c r="AI105">
        <f>IF(AND(C105&lt;&gt;"",C105='Ledger Account'!$D$4,B105&lt;&gt;"",B105&gt;='Ledger Account'!$D$5,B105&lt;='Ledger Account'!$D$6),1,0)</f>
        <v/>
      </c>
      <c r="AJ105">
        <f>IF(AI105=1,SUM(AI$7:AI105),"")</f>
        <v/>
      </c>
      <c r="AK105">
        <f>IF(OR(N105="",N105="OK"),0,1)</f>
        <v/>
      </c>
    </row>
    <row r="106">
      <c r="B106" s="24" t="n"/>
      <c r="C106" s="14" t="n"/>
      <c r="D106" s="14" t="n"/>
      <c r="E106" s="20" t="n"/>
      <c r="F106" s="24" t="n"/>
      <c r="G106" s="14" t="n"/>
      <c r="H106" s="22" t="n"/>
      <c r="I106" s="25">
        <f>IF(Q106="D",N(H106),0)</f>
        <v/>
      </c>
      <c r="J106" s="25">
        <f>IF(Q106="C",N(H106),0)</f>
        <v/>
      </c>
      <c r="K106" s="26">
        <f>IF(Z106="","",Z106)</f>
        <v/>
      </c>
      <c r="L106" s="27">
        <f>W106</f>
        <v/>
      </c>
      <c r="M106" s="28">
        <f>AA106</f>
        <v/>
      </c>
      <c r="N106" s="23">
        <f>IF(AND(B106="",C106="",D106="",N(H106)=0),"",IF(B106="","Enter the date",IF(C106="","Pick the party",IF(P106="?","Add this party on the Parties sheet first",IF(D106="","Pick the entry type",IF(Q106="?","Pick the entry type from the list",IF(N(H106)=0,"Enter the amount",IF(AND(R106&lt;&gt;"Any",R106&lt;&gt;P106),"Sales, receipts and credit notes are for debtors; purchases, payments and debit notes for creditors",IF(AND(F106&lt;&gt;"",D106&lt;&gt;"Purchase bill"),"The received-on date is only for purchase bills",IF(AND(P106="Creditor",X106=1,AA106&gt;0),"Past due to a micro or small supplier: interest runs under MSMED s.16, and if unpaid at year end it is not deductible that year, s.37(2)(g)",IF(AND(P106="Debtor",X106=1,AA106&gt;0),"Past due to you: as a micro or small supplier you can claim interest under MSMED s.16","OK")))))))))))</f>
        <v/>
      </c>
      <c r="P106">
        <f>IF(C106="","",IFERROR(VLOOKUP(C106,'Parties'!$B$13:$Q$112,2,FALSE),"?"))</f>
        <v/>
      </c>
      <c r="Q106">
        <f>IF(D106="","",IFERROR(VLOOKUP(D106,Lists!$A$2:$D$9,3,FALSE),"?"))</f>
        <v/>
      </c>
      <c r="R106">
        <f>IF(D106="","",IFERROR(VLOOKUP(D106,Lists!$A$2:$D$9,4,FALSE),"?"))</f>
        <v/>
      </c>
      <c r="S106">
        <f>IF(P106="Debtor",I106,IF(P106="Creditor",J106,0))</f>
        <v/>
      </c>
      <c r="T106">
        <f>IF(P106="Debtor",J106,IF(P106="Creditor",I106,0))</f>
        <v/>
      </c>
      <c r="U106">
        <f>IF(OR(S106=0,B106=""),0,IFERROR(VLOOKUP(C106,'Parties'!$B$13:$Q$112,13,FALSE),0)+SUMIFS($S$7:$S$506,$C$7:$C$506,C106,$B$7:$B$506,"&lt;"&amp;B106)+SUMIFS(S$7:S106,C$7:C106,C106,B$7:B106,B106))</f>
        <v/>
      </c>
      <c r="V106">
        <f>IF(S106=0,0,IFERROR(VLOOKUP(C106,'Parties'!$B$13:$Q$112,14,FALSE),0)+SUMIFS($T$7:$T$506,$C$7:$C$506,C106,$B$7:$B$506,"&lt;="&amp;'Outstanding'!$E$5))</f>
        <v/>
      </c>
      <c r="W106">
        <f>IF(OR('Outstanding'!$E$5="",S106=0,B106="",B106&gt;'Outstanding'!$E$5),0,MAX(0,MIN(S106,U106-V106)))</f>
        <v/>
      </c>
      <c r="X106">
        <f>IF(C106="",0,IFERROR(VLOOKUP(C106,'Parties'!$B$13:$Q$112,15,FALSE),0))</f>
        <v/>
      </c>
      <c r="Y106">
        <f>IF(C106="","",IFERROR(VLOOKUP(C106,'Parties'!$B$13:$Q$112,16,FALSE),0))</f>
        <v/>
      </c>
      <c r="Z106">
        <f>IF(OR(S106=0,B106="",Y106=""),"",IF(AND(F106&lt;&gt;"",D106="Purchase bill"),F106,B106)+Y106)</f>
        <v/>
      </c>
      <c r="AA106">
        <f>IF(OR(W106=0,Z106=""),0,MAX(0,'Outstanding'!$E$5-Z106))</f>
        <v/>
      </c>
      <c r="AB106">
        <f>IF(AND(X106=1,AA106&gt;0),W106*((1+3*N('Parties'!$E$10)/12)^(AA106*12/365)-1),0)</f>
        <v/>
      </c>
      <c r="AC106">
        <f>IF(W106=0,"",'Outstanding'!$E$5-B106)</f>
        <v/>
      </c>
      <c r="AD106">
        <f>IF(S106=0,0,IFERROR(VLOOKUP(C106,'Parties'!$B$13:$Q$112,14,FALSE),0)+SUMIFS($T$7:$T$506,$C$7:$C$506,C106,$B$7:$B$506,"&lt;="&amp;'Parties'!$E$8))</f>
        <v/>
      </c>
      <c r="AE106">
        <f>IF(OR('Parties'!$E$8="",S106=0,B106="",B106&gt;'Parties'!$E$8),0,MAX(0,MIN(S106,U106-AD106)))</f>
        <v/>
      </c>
      <c r="AF106">
        <f>IF(AND(P106="Creditor",X106=1,AE106&gt;0,Z106&lt;&gt;""),IF(Z106&lt;='Parties'!$E$8,AE106,0),0)</f>
        <v/>
      </c>
      <c r="AG106">
        <f>IF(OR(AE106=0,Z106=""),0,MAX(0,'Parties'!$E$8-Z106))</f>
        <v/>
      </c>
      <c r="AH106">
        <f>IF(AND(P106="Creditor",X106=1,AG106&gt;0),AE106*((1+3*N('Parties'!$E$10)/12)^(AG106*12/365)-1),0)</f>
        <v/>
      </c>
      <c r="AI106">
        <f>IF(AND(C106&lt;&gt;"",C106='Ledger Account'!$D$4,B106&lt;&gt;"",B106&gt;='Ledger Account'!$D$5,B106&lt;='Ledger Account'!$D$6),1,0)</f>
        <v/>
      </c>
      <c r="AJ106">
        <f>IF(AI106=1,SUM(AI$7:AI106),"")</f>
        <v/>
      </c>
      <c r="AK106">
        <f>IF(OR(N106="",N106="OK"),0,1)</f>
        <v/>
      </c>
    </row>
    <row r="107">
      <c r="B107" s="24" t="n"/>
      <c r="C107" s="14" t="n"/>
      <c r="D107" s="14" t="n"/>
      <c r="E107" s="20" t="n"/>
      <c r="F107" s="24" t="n"/>
      <c r="G107" s="14" t="n"/>
      <c r="H107" s="22" t="n"/>
      <c r="I107" s="25">
        <f>IF(Q107="D",N(H107),0)</f>
        <v/>
      </c>
      <c r="J107" s="25">
        <f>IF(Q107="C",N(H107),0)</f>
        <v/>
      </c>
      <c r="K107" s="26">
        <f>IF(Z107="","",Z107)</f>
        <v/>
      </c>
      <c r="L107" s="27">
        <f>W107</f>
        <v/>
      </c>
      <c r="M107" s="28">
        <f>AA107</f>
        <v/>
      </c>
      <c r="N107" s="23">
        <f>IF(AND(B107="",C107="",D107="",N(H107)=0),"",IF(B107="","Enter the date",IF(C107="","Pick the party",IF(P107="?","Add this party on the Parties sheet first",IF(D107="","Pick the entry type",IF(Q107="?","Pick the entry type from the list",IF(N(H107)=0,"Enter the amount",IF(AND(R107&lt;&gt;"Any",R107&lt;&gt;P107),"Sales, receipts and credit notes are for debtors; purchases, payments and debit notes for creditors",IF(AND(F107&lt;&gt;"",D107&lt;&gt;"Purchase bill"),"The received-on date is only for purchase bills",IF(AND(P107="Creditor",X107=1,AA107&gt;0),"Past due to a micro or small supplier: interest runs under MSMED s.16, and if unpaid at year end it is not deductible that year, s.37(2)(g)",IF(AND(P107="Debtor",X107=1,AA107&gt;0),"Past due to you: as a micro or small supplier you can claim interest under MSMED s.16","OK")))))))))))</f>
        <v/>
      </c>
      <c r="P107">
        <f>IF(C107="","",IFERROR(VLOOKUP(C107,'Parties'!$B$13:$Q$112,2,FALSE),"?"))</f>
        <v/>
      </c>
      <c r="Q107">
        <f>IF(D107="","",IFERROR(VLOOKUP(D107,Lists!$A$2:$D$9,3,FALSE),"?"))</f>
        <v/>
      </c>
      <c r="R107">
        <f>IF(D107="","",IFERROR(VLOOKUP(D107,Lists!$A$2:$D$9,4,FALSE),"?"))</f>
        <v/>
      </c>
      <c r="S107">
        <f>IF(P107="Debtor",I107,IF(P107="Creditor",J107,0))</f>
        <v/>
      </c>
      <c r="T107">
        <f>IF(P107="Debtor",J107,IF(P107="Creditor",I107,0))</f>
        <v/>
      </c>
      <c r="U107">
        <f>IF(OR(S107=0,B107=""),0,IFERROR(VLOOKUP(C107,'Parties'!$B$13:$Q$112,13,FALSE),0)+SUMIFS($S$7:$S$506,$C$7:$C$506,C107,$B$7:$B$506,"&lt;"&amp;B107)+SUMIFS(S$7:S107,C$7:C107,C107,B$7:B107,B107))</f>
        <v/>
      </c>
      <c r="V107">
        <f>IF(S107=0,0,IFERROR(VLOOKUP(C107,'Parties'!$B$13:$Q$112,14,FALSE),0)+SUMIFS($T$7:$T$506,$C$7:$C$506,C107,$B$7:$B$506,"&lt;="&amp;'Outstanding'!$E$5))</f>
        <v/>
      </c>
      <c r="W107">
        <f>IF(OR('Outstanding'!$E$5="",S107=0,B107="",B107&gt;'Outstanding'!$E$5),0,MAX(0,MIN(S107,U107-V107)))</f>
        <v/>
      </c>
      <c r="X107">
        <f>IF(C107="",0,IFERROR(VLOOKUP(C107,'Parties'!$B$13:$Q$112,15,FALSE),0))</f>
        <v/>
      </c>
      <c r="Y107">
        <f>IF(C107="","",IFERROR(VLOOKUP(C107,'Parties'!$B$13:$Q$112,16,FALSE),0))</f>
        <v/>
      </c>
      <c r="Z107">
        <f>IF(OR(S107=0,B107="",Y107=""),"",IF(AND(F107&lt;&gt;"",D107="Purchase bill"),F107,B107)+Y107)</f>
        <v/>
      </c>
      <c r="AA107">
        <f>IF(OR(W107=0,Z107=""),0,MAX(0,'Outstanding'!$E$5-Z107))</f>
        <v/>
      </c>
      <c r="AB107">
        <f>IF(AND(X107=1,AA107&gt;0),W107*((1+3*N('Parties'!$E$10)/12)^(AA107*12/365)-1),0)</f>
        <v/>
      </c>
      <c r="AC107">
        <f>IF(W107=0,"",'Outstanding'!$E$5-B107)</f>
        <v/>
      </c>
      <c r="AD107">
        <f>IF(S107=0,0,IFERROR(VLOOKUP(C107,'Parties'!$B$13:$Q$112,14,FALSE),0)+SUMIFS($T$7:$T$506,$C$7:$C$506,C107,$B$7:$B$506,"&lt;="&amp;'Parties'!$E$8))</f>
        <v/>
      </c>
      <c r="AE107">
        <f>IF(OR('Parties'!$E$8="",S107=0,B107="",B107&gt;'Parties'!$E$8),0,MAX(0,MIN(S107,U107-AD107)))</f>
        <v/>
      </c>
      <c r="AF107">
        <f>IF(AND(P107="Creditor",X107=1,AE107&gt;0,Z107&lt;&gt;""),IF(Z107&lt;='Parties'!$E$8,AE107,0),0)</f>
        <v/>
      </c>
      <c r="AG107">
        <f>IF(OR(AE107=0,Z107=""),0,MAX(0,'Parties'!$E$8-Z107))</f>
        <v/>
      </c>
      <c r="AH107">
        <f>IF(AND(P107="Creditor",X107=1,AG107&gt;0),AE107*((1+3*N('Parties'!$E$10)/12)^(AG107*12/365)-1),0)</f>
        <v/>
      </c>
      <c r="AI107">
        <f>IF(AND(C107&lt;&gt;"",C107='Ledger Account'!$D$4,B107&lt;&gt;"",B107&gt;='Ledger Account'!$D$5,B107&lt;='Ledger Account'!$D$6),1,0)</f>
        <v/>
      </c>
      <c r="AJ107">
        <f>IF(AI107=1,SUM(AI$7:AI107),"")</f>
        <v/>
      </c>
      <c r="AK107">
        <f>IF(OR(N107="",N107="OK"),0,1)</f>
        <v/>
      </c>
    </row>
    <row r="108">
      <c r="B108" s="24" t="n"/>
      <c r="C108" s="14" t="n"/>
      <c r="D108" s="14" t="n"/>
      <c r="E108" s="20" t="n"/>
      <c r="F108" s="24" t="n"/>
      <c r="G108" s="14" t="n"/>
      <c r="H108" s="22" t="n"/>
      <c r="I108" s="25">
        <f>IF(Q108="D",N(H108),0)</f>
        <v/>
      </c>
      <c r="J108" s="25">
        <f>IF(Q108="C",N(H108),0)</f>
        <v/>
      </c>
      <c r="K108" s="26">
        <f>IF(Z108="","",Z108)</f>
        <v/>
      </c>
      <c r="L108" s="27">
        <f>W108</f>
        <v/>
      </c>
      <c r="M108" s="28">
        <f>AA108</f>
        <v/>
      </c>
      <c r="N108" s="23">
        <f>IF(AND(B108="",C108="",D108="",N(H108)=0),"",IF(B108="","Enter the date",IF(C108="","Pick the party",IF(P108="?","Add this party on the Parties sheet first",IF(D108="","Pick the entry type",IF(Q108="?","Pick the entry type from the list",IF(N(H108)=0,"Enter the amount",IF(AND(R108&lt;&gt;"Any",R108&lt;&gt;P108),"Sales, receipts and credit notes are for debtors; purchases, payments and debit notes for creditors",IF(AND(F108&lt;&gt;"",D108&lt;&gt;"Purchase bill"),"The received-on date is only for purchase bills",IF(AND(P108="Creditor",X108=1,AA108&gt;0),"Past due to a micro or small supplier: interest runs under MSMED s.16, and if unpaid at year end it is not deductible that year, s.37(2)(g)",IF(AND(P108="Debtor",X108=1,AA108&gt;0),"Past due to you: as a micro or small supplier you can claim interest under MSMED s.16","OK")))))))))))</f>
        <v/>
      </c>
      <c r="P108">
        <f>IF(C108="","",IFERROR(VLOOKUP(C108,'Parties'!$B$13:$Q$112,2,FALSE),"?"))</f>
        <v/>
      </c>
      <c r="Q108">
        <f>IF(D108="","",IFERROR(VLOOKUP(D108,Lists!$A$2:$D$9,3,FALSE),"?"))</f>
        <v/>
      </c>
      <c r="R108">
        <f>IF(D108="","",IFERROR(VLOOKUP(D108,Lists!$A$2:$D$9,4,FALSE),"?"))</f>
        <v/>
      </c>
      <c r="S108">
        <f>IF(P108="Debtor",I108,IF(P108="Creditor",J108,0))</f>
        <v/>
      </c>
      <c r="T108">
        <f>IF(P108="Debtor",J108,IF(P108="Creditor",I108,0))</f>
        <v/>
      </c>
      <c r="U108">
        <f>IF(OR(S108=0,B108=""),0,IFERROR(VLOOKUP(C108,'Parties'!$B$13:$Q$112,13,FALSE),0)+SUMIFS($S$7:$S$506,$C$7:$C$506,C108,$B$7:$B$506,"&lt;"&amp;B108)+SUMIFS(S$7:S108,C$7:C108,C108,B$7:B108,B108))</f>
        <v/>
      </c>
      <c r="V108">
        <f>IF(S108=0,0,IFERROR(VLOOKUP(C108,'Parties'!$B$13:$Q$112,14,FALSE),0)+SUMIFS($T$7:$T$506,$C$7:$C$506,C108,$B$7:$B$506,"&lt;="&amp;'Outstanding'!$E$5))</f>
        <v/>
      </c>
      <c r="W108">
        <f>IF(OR('Outstanding'!$E$5="",S108=0,B108="",B108&gt;'Outstanding'!$E$5),0,MAX(0,MIN(S108,U108-V108)))</f>
        <v/>
      </c>
      <c r="X108">
        <f>IF(C108="",0,IFERROR(VLOOKUP(C108,'Parties'!$B$13:$Q$112,15,FALSE),0))</f>
        <v/>
      </c>
      <c r="Y108">
        <f>IF(C108="","",IFERROR(VLOOKUP(C108,'Parties'!$B$13:$Q$112,16,FALSE),0))</f>
        <v/>
      </c>
      <c r="Z108">
        <f>IF(OR(S108=0,B108="",Y108=""),"",IF(AND(F108&lt;&gt;"",D108="Purchase bill"),F108,B108)+Y108)</f>
        <v/>
      </c>
      <c r="AA108">
        <f>IF(OR(W108=0,Z108=""),0,MAX(0,'Outstanding'!$E$5-Z108))</f>
        <v/>
      </c>
      <c r="AB108">
        <f>IF(AND(X108=1,AA108&gt;0),W108*((1+3*N('Parties'!$E$10)/12)^(AA108*12/365)-1),0)</f>
        <v/>
      </c>
      <c r="AC108">
        <f>IF(W108=0,"",'Outstanding'!$E$5-B108)</f>
        <v/>
      </c>
      <c r="AD108">
        <f>IF(S108=0,0,IFERROR(VLOOKUP(C108,'Parties'!$B$13:$Q$112,14,FALSE),0)+SUMIFS($T$7:$T$506,$C$7:$C$506,C108,$B$7:$B$506,"&lt;="&amp;'Parties'!$E$8))</f>
        <v/>
      </c>
      <c r="AE108">
        <f>IF(OR('Parties'!$E$8="",S108=0,B108="",B108&gt;'Parties'!$E$8),0,MAX(0,MIN(S108,U108-AD108)))</f>
        <v/>
      </c>
      <c r="AF108">
        <f>IF(AND(P108="Creditor",X108=1,AE108&gt;0,Z108&lt;&gt;""),IF(Z108&lt;='Parties'!$E$8,AE108,0),0)</f>
        <v/>
      </c>
      <c r="AG108">
        <f>IF(OR(AE108=0,Z108=""),0,MAX(0,'Parties'!$E$8-Z108))</f>
        <v/>
      </c>
      <c r="AH108">
        <f>IF(AND(P108="Creditor",X108=1,AG108&gt;0),AE108*((1+3*N('Parties'!$E$10)/12)^(AG108*12/365)-1),0)</f>
        <v/>
      </c>
      <c r="AI108">
        <f>IF(AND(C108&lt;&gt;"",C108='Ledger Account'!$D$4,B108&lt;&gt;"",B108&gt;='Ledger Account'!$D$5,B108&lt;='Ledger Account'!$D$6),1,0)</f>
        <v/>
      </c>
      <c r="AJ108">
        <f>IF(AI108=1,SUM(AI$7:AI108),"")</f>
        <v/>
      </c>
      <c r="AK108">
        <f>IF(OR(N108="",N108="OK"),0,1)</f>
        <v/>
      </c>
    </row>
    <row r="109">
      <c r="B109" s="24" t="n"/>
      <c r="C109" s="14" t="n"/>
      <c r="D109" s="14" t="n"/>
      <c r="E109" s="20" t="n"/>
      <c r="F109" s="24" t="n"/>
      <c r="G109" s="14" t="n"/>
      <c r="H109" s="22" t="n"/>
      <c r="I109" s="25">
        <f>IF(Q109="D",N(H109),0)</f>
        <v/>
      </c>
      <c r="J109" s="25">
        <f>IF(Q109="C",N(H109),0)</f>
        <v/>
      </c>
      <c r="K109" s="26">
        <f>IF(Z109="","",Z109)</f>
        <v/>
      </c>
      <c r="L109" s="27">
        <f>W109</f>
        <v/>
      </c>
      <c r="M109" s="28">
        <f>AA109</f>
        <v/>
      </c>
      <c r="N109" s="23">
        <f>IF(AND(B109="",C109="",D109="",N(H109)=0),"",IF(B109="","Enter the date",IF(C109="","Pick the party",IF(P109="?","Add this party on the Parties sheet first",IF(D109="","Pick the entry type",IF(Q109="?","Pick the entry type from the list",IF(N(H109)=0,"Enter the amount",IF(AND(R109&lt;&gt;"Any",R109&lt;&gt;P109),"Sales, receipts and credit notes are for debtors; purchases, payments and debit notes for creditors",IF(AND(F109&lt;&gt;"",D109&lt;&gt;"Purchase bill"),"The received-on date is only for purchase bills",IF(AND(P109="Creditor",X109=1,AA109&gt;0),"Past due to a micro or small supplier: interest runs under MSMED s.16, and if unpaid at year end it is not deductible that year, s.37(2)(g)",IF(AND(P109="Debtor",X109=1,AA109&gt;0),"Past due to you: as a micro or small supplier you can claim interest under MSMED s.16","OK")))))))))))</f>
        <v/>
      </c>
      <c r="P109">
        <f>IF(C109="","",IFERROR(VLOOKUP(C109,'Parties'!$B$13:$Q$112,2,FALSE),"?"))</f>
        <v/>
      </c>
      <c r="Q109">
        <f>IF(D109="","",IFERROR(VLOOKUP(D109,Lists!$A$2:$D$9,3,FALSE),"?"))</f>
        <v/>
      </c>
      <c r="R109">
        <f>IF(D109="","",IFERROR(VLOOKUP(D109,Lists!$A$2:$D$9,4,FALSE),"?"))</f>
        <v/>
      </c>
      <c r="S109">
        <f>IF(P109="Debtor",I109,IF(P109="Creditor",J109,0))</f>
        <v/>
      </c>
      <c r="T109">
        <f>IF(P109="Debtor",J109,IF(P109="Creditor",I109,0))</f>
        <v/>
      </c>
      <c r="U109">
        <f>IF(OR(S109=0,B109=""),0,IFERROR(VLOOKUP(C109,'Parties'!$B$13:$Q$112,13,FALSE),0)+SUMIFS($S$7:$S$506,$C$7:$C$506,C109,$B$7:$B$506,"&lt;"&amp;B109)+SUMIFS(S$7:S109,C$7:C109,C109,B$7:B109,B109))</f>
        <v/>
      </c>
      <c r="V109">
        <f>IF(S109=0,0,IFERROR(VLOOKUP(C109,'Parties'!$B$13:$Q$112,14,FALSE),0)+SUMIFS($T$7:$T$506,$C$7:$C$506,C109,$B$7:$B$506,"&lt;="&amp;'Outstanding'!$E$5))</f>
        <v/>
      </c>
      <c r="W109">
        <f>IF(OR('Outstanding'!$E$5="",S109=0,B109="",B109&gt;'Outstanding'!$E$5),0,MAX(0,MIN(S109,U109-V109)))</f>
        <v/>
      </c>
      <c r="X109">
        <f>IF(C109="",0,IFERROR(VLOOKUP(C109,'Parties'!$B$13:$Q$112,15,FALSE),0))</f>
        <v/>
      </c>
      <c r="Y109">
        <f>IF(C109="","",IFERROR(VLOOKUP(C109,'Parties'!$B$13:$Q$112,16,FALSE),0))</f>
        <v/>
      </c>
      <c r="Z109">
        <f>IF(OR(S109=0,B109="",Y109=""),"",IF(AND(F109&lt;&gt;"",D109="Purchase bill"),F109,B109)+Y109)</f>
        <v/>
      </c>
      <c r="AA109">
        <f>IF(OR(W109=0,Z109=""),0,MAX(0,'Outstanding'!$E$5-Z109))</f>
        <v/>
      </c>
      <c r="AB109">
        <f>IF(AND(X109=1,AA109&gt;0),W109*((1+3*N('Parties'!$E$10)/12)^(AA109*12/365)-1),0)</f>
        <v/>
      </c>
      <c r="AC109">
        <f>IF(W109=0,"",'Outstanding'!$E$5-B109)</f>
        <v/>
      </c>
      <c r="AD109">
        <f>IF(S109=0,0,IFERROR(VLOOKUP(C109,'Parties'!$B$13:$Q$112,14,FALSE),0)+SUMIFS($T$7:$T$506,$C$7:$C$506,C109,$B$7:$B$506,"&lt;="&amp;'Parties'!$E$8))</f>
        <v/>
      </c>
      <c r="AE109">
        <f>IF(OR('Parties'!$E$8="",S109=0,B109="",B109&gt;'Parties'!$E$8),0,MAX(0,MIN(S109,U109-AD109)))</f>
        <v/>
      </c>
      <c r="AF109">
        <f>IF(AND(P109="Creditor",X109=1,AE109&gt;0,Z109&lt;&gt;""),IF(Z109&lt;='Parties'!$E$8,AE109,0),0)</f>
        <v/>
      </c>
      <c r="AG109">
        <f>IF(OR(AE109=0,Z109=""),0,MAX(0,'Parties'!$E$8-Z109))</f>
        <v/>
      </c>
      <c r="AH109">
        <f>IF(AND(P109="Creditor",X109=1,AG109&gt;0),AE109*((1+3*N('Parties'!$E$10)/12)^(AG109*12/365)-1),0)</f>
        <v/>
      </c>
      <c r="AI109">
        <f>IF(AND(C109&lt;&gt;"",C109='Ledger Account'!$D$4,B109&lt;&gt;"",B109&gt;='Ledger Account'!$D$5,B109&lt;='Ledger Account'!$D$6),1,0)</f>
        <v/>
      </c>
      <c r="AJ109">
        <f>IF(AI109=1,SUM(AI$7:AI109),"")</f>
        <v/>
      </c>
      <c r="AK109">
        <f>IF(OR(N109="",N109="OK"),0,1)</f>
        <v/>
      </c>
    </row>
    <row r="110">
      <c r="B110" s="24" t="n"/>
      <c r="C110" s="14" t="n"/>
      <c r="D110" s="14" t="n"/>
      <c r="E110" s="20" t="n"/>
      <c r="F110" s="24" t="n"/>
      <c r="G110" s="14" t="n"/>
      <c r="H110" s="22" t="n"/>
      <c r="I110" s="25">
        <f>IF(Q110="D",N(H110),0)</f>
        <v/>
      </c>
      <c r="J110" s="25">
        <f>IF(Q110="C",N(H110),0)</f>
        <v/>
      </c>
      <c r="K110" s="26">
        <f>IF(Z110="","",Z110)</f>
        <v/>
      </c>
      <c r="L110" s="27">
        <f>W110</f>
        <v/>
      </c>
      <c r="M110" s="28">
        <f>AA110</f>
        <v/>
      </c>
      <c r="N110" s="23">
        <f>IF(AND(B110="",C110="",D110="",N(H110)=0),"",IF(B110="","Enter the date",IF(C110="","Pick the party",IF(P110="?","Add this party on the Parties sheet first",IF(D110="","Pick the entry type",IF(Q110="?","Pick the entry type from the list",IF(N(H110)=0,"Enter the amount",IF(AND(R110&lt;&gt;"Any",R110&lt;&gt;P110),"Sales, receipts and credit notes are for debtors; purchases, payments and debit notes for creditors",IF(AND(F110&lt;&gt;"",D110&lt;&gt;"Purchase bill"),"The received-on date is only for purchase bills",IF(AND(P110="Creditor",X110=1,AA110&gt;0),"Past due to a micro or small supplier: interest runs under MSMED s.16, and if unpaid at year end it is not deductible that year, s.37(2)(g)",IF(AND(P110="Debtor",X110=1,AA110&gt;0),"Past due to you: as a micro or small supplier you can claim interest under MSMED s.16","OK")))))))))))</f>
        <v/>
      </c>
      <c r="P110">
        <f>IF(C110="","",IFERROR(VLOOKUP(C110,'Parties'!$B$13:$Q$112,2,FALSE),"?"))</f>
        <v/>
      </c>
      <c r="Q110">
        <f>IF(D110="","",IFERROR(VLOOKUP(D110,Lists!$A$2:$D$9,3,FALSE),"?"))</f>
        <v/>
      </c>
      <c r="R110">
        <f>IF(D110="","",IFERROR(VLOOKUP(D110,Lists!$A$2:$D$9,4,FALSE),"?"))</f>
        <v/>
      </c>
      <c r="S110">
        <f>IF(P110="Debtor",I110,IF(P110="Creditor",J110,0))</f>
        <v/>
      </c>
      <c r="T110">
        <f>IF(P110="Debtor",J110,IF(P110="Creditor",I110,0))</f>
        <v/>
      </c>
      <c r="U110">
        <f>IF(OR(S110=0,B110=""),0,IFERROR(VLOOKUP(C110,'Parties'!$B$13:$Q$112,13,FALSE),0)+SUMIFS($S$7:$S$506,$C$7:$C$506,C110,$B$7:$B$506,"&lt;"&amp;B110)+SUMIFS(S$7:S110,C$7:C110,C110,B$7:B110,B110))</f>
        <v/>
      </c>
      <c r="V110">
        <f>IF(S110=0,0,IFERROR(VLOOKUP(C110,'Parties'!$B$13:$Q$112,14,FALSE),0)+SUMIFS($T$7:$T$506,$C$7:$C$506,C110,$B$7:$B$506,"&lt;="&amp;'Outstanding'!$E$5))</f>
        <v/>
      </c>
      <c r="W110">
        <f>IF(OR('Outstanding'!$E$5="",S110=0,B110="",B110&gt;'Outstanding'!$E$5),0,MAX(0,MIN(S110,U110-V110)))</f>
        <v/>
      </c>
      <c r="X110">
        <f>IF(C110="",0,IFERROR(VLOOKUP(C110,'Parties'!$B$13:$Q$112,15,FALSE),0))</f>
        <v/>
      </c>
      <c r="Y110">
        <f>IF(C110="","",IFERROR(VLOOKUP(C110,'Parties'!$B$13:$Q$112,16,FALSE),0))</f>
        <v/>
      </c>
      <c r="Z110">
        <f>IF(OR(S110=0,B110="",Y110=""),"",IF(AND(F110&lt;&gt;"",D110="Purchase bill"),F110,B110)+Y110)</f>
        <v/>
      </c>
      <c r="AA110">
        <f>IF(OR(W110=0,Z110=""),0,MAX(0,'Outstanding'!$E$5-Z110))</f>
        <v/>
      </c>
      <c r="AB110">
        <f>IF(AND(X110=1,AA110&gt;0),W110*((1+3*N('Parties'!$E$10)/12)^(AA110*12/365)-1),0)</f>
        <v/>
      </c>
      <c r="AC110">
        <f>IF(W110=0,"",'Outstanding'!$E$5-B110)</f>
        <v/>
      </c>
      <c r="AD110">
        <f>IF(S110=0,0,IFERROR(VLOOKUP(C110,'Parties'!$B$13:$Q$112,14,FALSE),0)+SUMIFS($T$7:$T$506,$C$7:$C$506,C110,$B$7:$B$506,"&lt;="&amp;'Parties'!$E$8))</f>
        <v/>
      </c>
      <c r="AE110">
        <f>IF(OR('Parties'!$E$8="",S110=0,B110="",B110&gt;'Parties'!$E$8),0,MAX(0,MIN(S110,U110-AD110)))</f>
        <v/>
      </c>
      <c r="AF110">
        <f>IF(AND(P110="Creditor",X110=1,AE110&gt;0,Z110&lt;&gt;""),IF(Z110&lt;='Parties'!$E$8,AE110,0),0)</f>
        <v/>
      </c>
      <c r="AG110">
        <f>IF(OR(AE110=0,Z110=""),0,MAX(0,'Parties'!$E$8-Z110))</f>
        <v/>
      </c>
      <c r="AH110">
        <f>IF(AND(P110="Creditor",X110=1,AG110&gt;0),AE110*((1+3*N('Parties'!$E$10)/12)^(AG110*12/365)-1),0)</f>
        <v/>
      </c>
      <c r="AI110">
        <f>IF(AND(C110&lt;&gt;"",C110='Ledger Account'!$D$4,B110&lt;&gt;"",B110&gt;='Ledger Account'!$D$5,B110&lt;='Ledger Account'!$D$6),1,0)</f>
        <v/>
      </c>
      <c r="AJ110">
        <f>IF(AI110=1,SUM(AI$7:AI110),"")</f>
        <v/>
      </c>
      <c r="AK110">
        <f>IF(OR(N110="",N110="OK"),0,1)</f>
        <v/>
      </c>
    </row>
    <row r="111">
      <c r="B111" s="24" t="n"/>
      <c r="C111" s="14" t="n"/>
      <c r="D111" s="14" t="n"/>
      <c r="E111" s="20" t="n"/>
      <c r="F111" s="24" t="n"/>
      <c r="G111" s="14" t="n"/>
      <c r="H111" s="22" t="n"/>
      <c r="I111" s="25">
        <f>IF(Q111="D",N(H111),0)</f>
        <v/>
      </c>
      <c r="J111" s="25">
        <f>IF(Q111="C",N(H111),0)</f>
        <v/>
      </c>
      <c r="K111" s="26">
        <f>IF(Z111="","",Z111)</f>
        <v/>
      </c>
      <c r="L111" s="27">
        <f>W111</f>
        <v/>
      </c>
      <c r="M111" s="28">
        <f>AA111</f>
        <v/>
      </c>
      <c r="N111" s="23">
        <f>IF(AND(B111="",C111="",D111="",N(H111)=0),"",IF(B111="","Enter the date",IF(C111="","Pick the party",IF(P111="?","Add this party on the Parties sheet first",IF(D111="","Pick the entry type",IF(Q111="?","Pick the entry type from the list",IF(N(H111)=0,"Enter the amount",IF(AND(R111&lt;&gt;"Any",R111&lt;&gt;P111),"Sales, receipts and credit notes are for debtors; purchases, payments and debit notes for creditors",IF(AND(F111&lt;&gt;"",D111&lt;&gt;"Purchase bill"),"The received-on date is only for purchase bills",IF(AND(P111="Creditor",X111=1,AA111&gt;0),"Past due to a micro or small supplier: interest runs under MSMED s.16, and if unpaid at year end it is not deductible that year, s.37(2)(g)",IF(AND(P111="Debtor",X111=1,AA111&gt;0),"Past due to you: as a micro or small supplier you can claim interest under MSMED s.16","OK")))))))))))</f>
        <v/>
      </c>
      <c r="P111">
        <f>IF(C111="","",IFERROR(VLOOKUP(C111,'Parties'!$B$13:$Q$112,2,FALSE),"?"))</f>
        <v/>
      </c>
      <c r="Q111">
        <f>IF(D111="","",IFERROR(VLOOKUP(D111,Lists!$A$2:$D$9,3,FALSE),"?"))</f>
        <v/>
      </c>
      <c r="R111">
        <f>IF(D111="","",IFERROR(VLOOKUP(D111,Lists!$A$2:$D$9,4,FALSE),"?"))</f>
        <v/>
      </c>
      <c r="S111">
        <f>IF(P111="Debtor",I111,IF(P111="Creditor",J111,0))</f>
        <v/>
      </c>
      <c r="T111">
        <f>IF(P111="Debtor",J111,IF(P111="Creditor",I111,0))</f>
        <v/>
      </c>
      <c r="U111">
        <f>IF(OR(S111=0,B111=""),0,IFERROR(VLOOKUP(C111,'Parties'!$B$13:$Q$112,13,FALSE),0)+SUMIFS($S$7:$S$506,$C$7:$C$506,C111,$B$7:$B$506,"&lt;"&amp;B111)+SUMIFS(S$7:S111,C$7:C111,C111,B$7:B111,B111))</f>
        <v/>
      </c>
      <c r="V111">
        <f>IF(S111=0,0,IFERROR(VLOOKUP(C111,'Parties'!$B$13:$Q$112,14,FALSE),0)+SUMIFS($T$7:$T$506,$C$7:$C$506,C111,$B$7:$B$506,"&lt;="&amp;'Outstanding'!$E$5))</f>
        <v/>
      </c>
      <c r="W111">
        <f>IF(OR('Outstanding'!$E$5="",S111=0,B111="",B111&gt;'Outstanding'!$E$5),0,MAX(0,MIN(S111,U111-V111)))</f>
        <v/>
      </c>
      <c r="X111">
        <f>IF(C111="",0,IFERROR(VLOOKUP(C111,'Parties'!$B$13:$Q$112,15,FALSE),0))</f>
        <v/>
      </c>
      <c r="Y111">
        <f>IF(C111="","",IFERROR(VLOOKUP(C111,'Parties'!$B$13:$Q$112,16,FALSE),0))</f>
        <v/>
      </c>
      <c r="Z111">
        <f>IF(OR(S111=0,B111="",Y111=""),"",IF(AND(F111&lt;&gt;"",D111="Purchase bill"),F111,B111)+Y111)</f>
        <v/>
      </c>
      <c r="AA111">
        <f>IF(OR(W111=0,Z111=""),0,MAX(0,'Outstanding'!$E$5-Z111))</f>
        <v/>
      </c>
      <c r="AB111">
        <f>IF(AND(X111=1,AA111&gt;0),W111*((1+3*N('Parties'!$E$10)/12)^(AA111*12/365)-1),0)</f>
        <v/>
      </c>
      <c r="AC111">
        <f>IF(W111=0,"",'Outstanding'!$E$5-B111)</f>
        <v/>
      </c>
      <c r="AD111">
        <f>IF(S111=0,0,IFERROR(VLOOKUP(C111,'Parties'!$B$13:$Q$112,14,FALSE),0)+SUMIFS($T$7:$T$506,$C$7:$C$506,C111,$B$7:$B$506,"&lt;="&amp;'Parties'!$E$8))</f>
        <v/>
      </c>
      <c r="AE111">
        <f>IF(OR('Parties'!$E$8="",S111=0,B111="",B111&gt;'Parties'!$E$8),0,MAX(0,MIN(S111,U111-AD111)))</f>
        <v/>
      </c>
      <c r="AF111">
        <f>IF(AND(P111="Creditor",X111=1,AE111&gt;0,Z111&lt;&gt;""),IF(Z111&lt;='Parties'!$E$8,AE111,0),0)</f>
        <v/>
      </c>
      <c r="AG111">
        <f>IF(OR(AE111=0,Z111=""),0,MAX(0,'Parties'!$E$8-Z111))</f>
        <v/>
      </c>
      <c r="AH111">
        <f>IF(AND(P111="Creditor",X111=1,AG111&gt;0),AE111*((1+3*N('Parties'!$E$10)/12)^(AG111*12/365)-1),0)</f>
        <v/>
      </c>
      <c r="AI111">
        <f>IF(AND(C111&lt;&gt;"",C111='Ledger Account'!$D$4,B111&lt;&gt;"",B111&gt;='Ledger Account'!$D$5,B111&lt;='Ledger Account'!$D$6),1,0)</f>
        <v/>
      </c>
      <c r="AJ111">
        <f>IF(AI111=1,SUM(AI$7:AI111),"")</f>
        <v/>
      </c>
      <c r="AK111">
        <f>IF(OR(N111="",N111="OK"),0,1)</f>
        <v/>
      </c>
    </row>
    <row r="112">
      <c r="B112" s="24" t="n"/>
      <c r="C112" s="14" t="n"/>
      <c r="D112" s="14" t="n"/>
      <c r="E112" s="20" t="n"/>
      <c r="F112" s="24" t="n"/>
      <c r="G112" s="14" t="n"/>
      <c r="H112" s="22" t="n"/>
      <c r="I112" s="25">
        <f>IF(Q112="D",N(H112),0)</f>
        <v/>
      </c>
      <c r="J112" s="25">
        <f>IF(Q112="C",N(H112),0)</f>
        <v/>
      </c>
      <c r="K112" s="26">
        <f>IF(Z112="","",Z112)</f>
        <v/>
      </c>
      <c r="L112" s="27">
        <f>W112</f>
        <v/>
      </c>
      <c r="M112" s="28">
        <f>AA112</f>
        <v/>
      </c>
      <c r="N112" s="23">
        <f>IF(AND(B112="",C112="",D112="",N(H112)=0),"",IF(B112="","Enter the date",IF(C112="","Pick the party",IF(P112="?","Add this party on the Parties sheet first",IF(D112="","Pick the entry type",IF(Q112="?","Pick the entry type from the list",IF(N(H112)=0,"Enter the amount",IF(AND(R112&lt;&gt;"Any",R112&lt;&gt;P112),"Sales, receipts and credit notes are for debtors; purchases, payments and debit notes for creditors",IF(AND(F112&lt;&gt;"",D112&lt;&gt;"Purchase bill"),"The received-on date is only for purchase bills",IF(AND(P112="Creditor",X112=1,AA112&gt;0),"Past due to a micro or small supplier: interest runs under MSMED s.16, and if unpaid at year end it is not deductible that year, s.37(2)(g)",IF(AND(P112="Debtor",X112=1,AA112&gt;0),"Past due to you: as a micro or small supplier you can claim interest under MSMED s.16","OK")))))))))))</f>
        <v/>
      </c>
      <c r="P112">
        <f>IF(C112="","",IFERROR(VLOOKUP(C112,'Parties'!$B$13:$Q$112,2,FALSE),"?"))</f>
        <v/>
      </c>
      <c r="Q112">
        <f>IF(D112="","",IFERROR(VLOOKUP(D112,Lists!$A$2:$D$9,3,FALSE),"?"))</f>
        <v/>
      </c>
      <c r="R112">
        <f>IF(D112="","",IFERROR(VLOOKUP(D112,Lists!$A$2:$D$9,4,FALSE),"?"))</f>
        <v/>
      </c>
      <c r="S112">
        <f>IF(P112="Debtor",I112,IF(P112="Creditor",J112,0))</f>
        <v/>
      </c>
      <c r="T112">
        <f>IF(P112="Debtor",J112,IF(P112="Creditor",I112,0))</f>
        <v/>
      </c>
      <c r="U112">
        <f>IF(OR(S112=0,B112=""),0,IFERROR(VLOOKUP(C112,'Parties'!$B$13:$Q$112,13,FALSE),0)+SUMIFS($S$7:$S$506,$C$7:$C$506,C112,$B$7:$B$506,"&lt;"&amp;B112)+SUMIFS(S$7:S112,C$7:C112,C112,B$7:B112,B112))</f>
        <v/>
      </c>
      <c r="V112">
        <f>IF(S112=0,0,IFERROR(VLOOKUP(C112,'Parties'!$B$13:$Q$112,14,FALSE),0)+SUMIFS($T$7:$T$506,$C$7:$C$506,C112,$B$7:$B$506,"&lt;="&amp;'Outstanding'!$E$5))</f>
        <v/>
      </c>
      <c r="W112">
        <f>IF(OR('Outstanding'!$E$5="",S112=0,B112="",B112&gt;'Outstanding'!$E$5),0,MAX(0,MIN(S112,U112-V112)))</f>
        <v/>
      </c>
      <c r="X112">
        <f>IF(C112="",0,IFERROR(VLOOKUP(C112,'Parties'!$B$13:$Q$112,15,FALSE),0))</f>
        <v/>
      </c>
      <c r="Y112">
        <f>IF(C112="","",IFERROR(VLOOKUP(C112,'Parties'!$B$13:$Q$112,16,FALSE),0))</f>
        <v/>
      </c>
      <c r="Z112">
        <f>IF(OR(S112=0,B112="",Y112=""),"",IF(AND(F112&lt;&gt;"",D112="Purchase bill"),F112,B112)+Y112)</f>
        <v/>
      </c>
      <c r="AA112">
        <f>IF(OR(W112=0,Z112=""),0,MAX(0,'Outstanding'!$E$5-Z112))</f>
        <v/>
      </c>
      <c r="AB112">
        <f>IF(AND(X112=1,AA112&gt;0),W112*((1+3*N('Parties'!$E$10)/12)^(AA112*12/365)-1),0)</f>
        <v/>
      </c>
      <c r="AC112">
        <f>IF(W112=0,"",'Outstanding'!$E$5-B112)</f>
        <v/>
      </c>
      <c r="AD112">
        <f>IF(S112=0,0,IFERROR(VLOOKUP(C112,'Parties'!$B$13:$Q$112,14,FALSE),0)+SUMIFS($T$7:$T$506,$C$7:$C$506,C112,$B$7:$B$506,"&lt;="&amp;'Parties'!$E$8))</f>
        <v/>
      </c>
      <c r="AE112">
        <f>IF(OR('Parties'!$E$8="",S112=0,B112="",B112&gt;'Parties'!$E$8),0,MAX(0,MIN(S112,U112-AD112)))</f>
        <v/>
      </c>
      <c r="AF112">
        <f>IF(AND(P112="Creditor",X112=1,AE112&gt;0,Z112&lt;&gt;""),IF(Z112&lt;='Parties'!$E$8,AE112,0),0)</f>
        <v/>
      </c>
      <c r="AG112">
        <f>IF(OR(AE112=0,Z112=""),0,MAX(0,'Parties'!$E$8-Z112))</f>
        <v/>
      </c>
      <c r="AH112">
        <f>IF(AND(P112="Creditor",X112=1,AG112&gt;0),AE112*((1+3*N('Parties'!$E$10)/12)^(AG112*12/365)-1),0)</f>
        <v/>
      </c>
      <c r="AI112">
        <f>IF(AND(C112&lt;&gt;"",C112='Ledger Account'!$D$4,B112&lt;&gt;"",B112&gt;='Ledger Account'!$D$5,B112&lt;='Ledger Account'!$D$6),1,0)</f>
        <v/>
      </c>
      <c r="AJ112">
        <f>IF(AI112=1,SUM(AI$7:AI112),"")</f>
        <v/>
      </c>
      <c r="AK112">
        <f>IF(OR(N112="",N112="OK"),0,1)</f>
        <v/>
      </c>
    </row>
    <row r="113">
      <c r="B113" s="24" t="n"/>
      <c r="C113" s="14" t="n"/>
      <c r="D113" s="14" t="n"/>
      <c r="E113" s="20" t="n"/>
      <c r="F113" s="24" t="n"/>
      <c r="G113" s="14" t="n"/>
      <c r="H113" s="22" t="n"/>
      <c r="I113" s="25">
        <f>IF(Q113="D",N(H113),0)</f>
        <v/>
      </c>
      <c r="J113" s="25">
        <f>IF(Q113="C",N(H113),0)</f>
        <v/>
      </c>
      <c r="K113" s="26">
        <f>IF(Z113="","",Z113)</f>
        <v/>
      </c>
      <c r="L113" s="27">
        <f>W113</f>
        <v/>
      </c>
      <c r="M113" s="28">
        <f>AA113</f>
        <v/>
      </c>
      <c r="N113" s="23">
        <f>IF(AND(B113="",C113="",D113="",N(H113)=0),"",IF(B113="","Enter the date",IF(C113="","Pick the party",IF(P113="?","Add this party on the Parties sheet first",IF(D113="","Pick the entry type",IF(Q113="?","Pick the entry type from the list",IF(N(H113)=0,"Enter the amount",IF(AND(R113&lt;&gt;"Any",R113&lt;&gt;P113),"Sales, receipts and credit notes are for debtors; purchases, payments and debit notes for creditors",IF(AND(F113&lt;&gt;"",D113&lt;&gt;"Purchase bill"),"The received-on date is only for purchase bills",IF(AND(P113="Creditor",X113=1,AA113&gt;0),"Past due to a micro or small supplier: interest runs under MSMED s.16, and if unpaid at year end it is not deductible that year, s.37(2)(g)",IF(AND(P113="Debtor",X113=1,AA113&gt;0),"Past due to you: as a micro or small supplier you can claim interest under MSMED s.16","OK")))))))))))</f>
        <v/>
      </c>
      <c r="P113">
        <f>IF(C113="","",IFERROR(VLOOKUP(C113,'Parties'!$B$13:$Q$112,2,FALSE),"?"))</f>
        <v/>
      </c>
      <c r="Q113">
        <f>IF(D113="","",IFERROR(VLOOKUP(D113,Lists!$A$2:$D$9,3,FALSE),"?"))</f>
        <v/>
      </c>
      <c r="R113">
        <f>IF(D113="","",IFERROR(VLOOKUP(D113,Lists!$A$2:$D$9,4,FALSE),"?"))</f>
        <v/>
      </c>
      <c r="S113">
        <f>IF(P113="Debtor",I113,IF(P113="Creditor",J113,0))</f>
        <v/>
      </c>
      <c r="T113">
        <f>IF(P113="Debtor",J113,IF(P113="Creditor",I113,0))</f>
        <v/>
      </c>
      <c r="U113">
        <f>IF(OR(S113=0,B113=""),0,IFERROR(VLOOKUP(C113,'Parties'!$B$13:$Q$112,13,FALSE),0)+SUMIFS($S$7:$S$506,$C$7:$C$506,C113,$B$7:$B$506,"&lt;"&amp;B113)+SUMIFS(S$7:S113,C$7:C113,C113,B$7:B113,B113))</f>
        <v/>
      </c>
      <c r="V113">
        <f>IF(S113=0,0,IFERROR(VLOOKUP(C113,'Parties'!$B$13:$Q$112,14,FALSE),0)+SUMIFS($T$7:$T$506,$C$7:$C$506,C113,$B$7:$B$506,"&lt;="&amp;'Outstanding'!$E$5))</f>
        <v/>
      </c>
      <c r="W113">
        <f>IF(OR('Outstanding'!$E$5="",S113=0,B113="",B113&gt;'Outstanding'!$E$5),0,MAX(0,MIN(S113,U113-V113)))</f>
        <v/>
      </c>
      <c r="X113">
        <f>IF(C113="",0,IFERROR(VLOOKUP(C113,'Parties'!$B$13:$Q$112,15,FALSE),0))</f>
        <v/>
      </c>
      <c r="Y113">
        <f>IF(C113="","",IFERROR(VLOOKUP(C113,'Parties'!$B$13:$Q$112,16,FALSE),0))</f>
        <v/>
      </c>
      <c r="Z113">
        <f>IF(OR(S113=0,B113="",Y113=""),"",IF(AND(F113&lt;&gt;"",D113="Purchase bill"),F113,B113)+Y113)</f>
        <v/>
      </c>
      <c r="AA113">
        <f>IF(OR(W113=0,Z113=""),0,MAX(0,'Outstanding'!$E$5-Z113))</f>
        <v/>
      </c>
      <c r="AB113">
        <f>IF(AND(X113=1,AA113&gt;0),W113*((1+3*N('Parties'!$E$10)/12)^(AA113*12/365)-1),0)</f>
        <v/>
      </c>
      <c r="AC113">
        <f>IF(W113=0,"",'Outstanding'!$E$5-B113)</f>
        <v/>
      </c>
      <c r="AD113">
        <f>IF(S113=0,0,IFERROR(VLOOKUP(C113,'Parties'!$B$13:$Q$112,14,FALSE),0)+SUMIFS($T$7:$T$506,$C$7:$C$506,C113,$B$7:$B$506,"&lt;="&amp;'Parties'!$E$8))</f>
        <v/>
      </c>
      <c r="AE113">
        <f>IF(OR('Parties'!$E$8="",S113=0,B113="",B113&gt;'Parties'!$E$8),0,MAX(0,MIN(S113,U113-AD113)))</f>
        <v/>
      </c>
      <c r="AF113">
        <f>IF(AND(P113="Creditor",X113=1,AE113&gt;0,Z113&lt;&gt;""),IF(Z113&lt;='Parties'!$E$8,AE113,0),0)</f>
        <v/>
      </c>
      <c r="AG113">
        <f>IF(OR(AE113=0,Z113=""),0,MAX(0,'Parties'!$E$8-Z113))</f>
        <v/>
      </c>
      <c r="AH113">
        <f>IF(AND(P113="Creditor",X113=1,AG113&gt;0),AE113*((1+3*N('Parties'!$E$10)/12)^(AG113*12/365)-1),0)</f>
        <v/>
      </c>
      <c r="AI113">
        <f>IF(AND(C113&lt;&gt;"",C113='Ledger Account'!$D$4,B113&lt;&gt;"",B113&gt;='Ledger Account'!$D$5,B113&lt;='Ledger Account'!$D$6),1,0)</f>
        <v/>
      </c>
      <c r="AJ113">
        <f>IF(AI113=1,SUM(AI$7:AI113),"")</f>
        <v/>
      </c>
      <c r="AK113">
        <f>IF(OR(N113="",N113="OK"),0,1)</f>
        <v/>
      </c>
    </row>
    <row r="114">
      <c r="B114" s="24" t="n"/>
      <c r="C114" s="14" t="n"/>
      <c r="D114" s="14" t="n"/>
      <c r="E114" s="20" t="n"/>
      <c r="F114" s="24" t="n"/>
      <c r="G114" s="14" t="n"/>
      <c r="H114" s="22" t="n"/>
      <c r="I114" s="25">
        <f>IF(Q114="D",N(H114),0)</f>
        <v/>
      </c>
      <c r="J114" s="25">
        <f>IF(Q114="C",N(H114),0)</f>
        <v/>
      </c>
      <c r="K114" s="26">
        <f>IF(Z114="","",Z114)</f>
        <v/>
      </c>
      <c r="L114" s="27">
        <f>W114</f>
        <v/>
      </c>
      <c r="M114" s="28">
        <f>AA114</f>
        <v/>
      </c>
      <c r="N114" s="23">
        <f>IF(AND(B114="",C114="",D114="",N(H114)=0),"",IF(B114="","Enter the date",IF(C114="","Pick the party",IF(P114="?","Add this party on the Parties sheet first",IF(D114="","Pick the entry type",IF(Q114="?","Pick the entry type from the list",IF(N(H114)=0,"Enter the amount",IF(AND(R114&lt;&gt;"Any",R114&lt;&gt;P114),"Sales, receipts and credit notes are for debtors; purchases, payments and debit notes for creditors",IF(AND(F114&lt;&gt;"",D114&lt;&gt;"Purchase bill"),"The received-on date is only for purchase bills",IF(AND(P114="Creditor",X114=1,AA114&gt;0),"Past due to a micro or small supplier: interest runs under MSMED s.16, and if unpaid at year end it is not deductible that year, s.37(2)(g)",IF(AND(P114="Debtor",X114=1,AA114&gt;0),"Past due to you: as a micro or small supplier you can claim interest under MSMED s.16","OK")))))))))))</f>
        <v/>
      </c>
      <c r="P114">
        <f>IF(C114="","",IFERROR(VLOOKUP(C114,'Parties'!$B$13:$Q$112,2,FALSE),"?"))</f>
        <v/>
      </c>
      <c r="Q114">
        <f>IF(D114="","",IFERROR(VLOOKUP(D114,Lists!$A$2:$D$9,3,FALSE),"?"))</f>
        <v/>
      </c>
      <c r="R114">
        <f>IF(D114="","",IFERROR(VLOOKUP(D114,Lists!$A$2:$D$9,4,FALSE),"?"))</f>
        <v/>
      </c>
      <c r="S114">
        <f>IF(P114="Debtor",I114,IF(P114="Creditor",J114,0))</f>
        <v/>
      </c>
      <c r="T114">
        <f>IF(P114="Debtor",J114,IF(P114="Creditor",I114,0))</f>
        <v/>
      </c>
      <c r="U114">
        <f>IF(OR(S114=0,B114=""),0,IFERROR(VLOOKUP(C114,'Parties'!$B$13:$Q$112,13,FALSE),0)+SUMIFS($S$7:$S$506,$C$7:$C$506,C114,$B$7:$B$506,"&lt;"&amp;B114)+SUMIFS(S$7:S114,C$7:C114,C114,B$7:B114,B114))</f>
        <v/>
      </c>
      <c r="V114">
        <f>IF(S114=0,0,IFERROR(VLOOKUP(C114,'Parties'!$B$13:$Q$112,14,FALSE),0)+SUMIFS($T$7:$T$506,$C$7:$C$506,C114,$B$7:$B$506,"&lt;="&amp;'Outstanding'!$E$5))</f>
        <v/>
      </c>
      <c r="W114">
        <f>IF(OR('Outstanding'!$E$5="",S114=0,B114="",B114&gt;'Outstanding'!$E$5),0,MAX(0,MIN(S114,U114-V114)))</f>
        <v/>
      </c>
      <c r="X114">
        <f>IF(C114="",0,IFERROR(VLOOKUP(C114,'Parties'!$B$13:$Q$112,15,FALSE),0))</f>
        <v/>
      </c>
      <c r="Y114">
        <f>IF(C114="","",IFERROR(VLOOKUP(C114,'Parties'!$B$13:$Q$112,16,FALSE),0))</f>
        <v/>
      </c>
      <c r="Z114">
        <f>IF(OR(S114=0,B114="",Y114=""),"",IF(AND(F114&lt;&gt;"",D114="Purchase bill"),F114,B114)+Y114)</f>
        <v/>
      </c>
      <c r="AA114">
        <f>IF(OR(W114=0,Z114=""),0,MAX(0,'Outstanding'!$E$5-Z114))</f>
        <v/>
      </c>
      <c r="AB114">
        <f>IF(AND(X114=1,AA114&gt;0),W114*((1+3*N('Parties'!$E$10)/12)^(AA114*12/365)-1),0)</f>
        <v/>
      </c>
      <c r="AC114">
        <f>IF(W114=0,"",'Outstanding'!$E$5-B114)</f>
        <v/>
      </c>
      <c r="AD114">
        <f>IF(S114=0,0,IFERROR(VLOOKUP(C114,'Parties'!$B$13:$Q$112,14,FALSE),0)+SUMIFS($T$7:$T$506,$C$7:$C$506,C114,$B$7:$B$506,"&lt;="&amp;'Parties'!$E$8))</f>
        <v/>
      </c>
      <c r="AE114">
        <f>IF(OR('Parties'!$E$8="",S114=0,B114="",B114&gt;'Parties'!$E$8),0,MAX(0,MIN(S114,U114-AD114)))</f>
        <v/>
      </c>
      <c r="AF114">
        <f>IF(AND(P114="Creditor",X114=1,AE114&gt;0,Z114&lt;&gt;""),IF(Z114&lt;='Parties'!$E$8,AE114,0),0)</f>
        <v/>
      </c>
      <c r="AG114">
        <f>IF(OR(AE114=0,Z114=""),0,MAX(0,'Parties'!$E$8-Z114))</f>
        <v/>
      </c>
      <c r="AH114">
        <f>IF(AND(P114="Creditor",X114=1,AG114&gt;0),AE114*((1+3*N('Parties'!$E$10)/12)^(AG114*12/365)-1),0)</f>
        <v/>
      </c>
      <c r="AI114">
        <f>IF(AND(C114&lt;&gt;"",C114='Ledger Account'!$D$4,B114&lt;&gt;"",B114&gt;='Ledger Account'!$D$5,B114&lt;='Ledger Account'!$D$6),1,0)</f>
        <v/>
      </c>
      <c r="AJ114">
        <f>IF(AI114=1,SUM(AI$7:AI114),"")</f>
        <v/>
      </c>
      <c r="AK114">
        <f>IF(OR(N114="",N114="OK"),0,1)</f>
        <v/>
      </c>
    </row>
    <row r="115">
      <c r="B115" s="24" t="n"/>
      <c r="C115" s="14" t="n"/>
      <c r="D115" s="14" t="n"/>
      <c r="E115" s="20" t="n"/>
      <c r="F115" s="24" t="n"/>
      <c r="G115" s="14" t="n"/>
      <c r="H115" s="22" t="n"/>
      <c r="I115" s="25">
        <f>IF(Q115="D",N(H115),0)</f>
        <v/>
      </c>
      <c r="J115" s="25">
        <f>IF(Q115="C",N(H115),0)</f>
        <v/>
      </c>
      <c r="K115" s="26">
        <f>IF(Z115="","",Z115)</f>
        <v/>
      </c>
      <c r="L115" s="27">
        <f>W115</f>
        <v/>
      </c>
      <c r="M115" s="28">
        <f>AA115</f>
        <v/>
      </c>
      <c r="N115" s="23">
        <f>IF(AND(B115="",C115="",D115="",N(H115)=0),"",IF(B115="","Enter the date",IF(C115="","Pick the party",IF(P115="?","Add this party on the Parties sheet first",IF(D115="","Pick the entry type",IF(Q115="?","Pick the entry type from the list",IF(N(H115)=0,"Enter the amount",IF(AND(R115&lt;&gt;"Any",R115&lt;&gt;P115),"Sales, receipts and credit notes are for debtors; purchases, payments and debit notes for creditors",IF(AND(F115&lt;&gt;"",D115&lt;&gt;"Purchase bill"),"The received-on date is only for purchase bills",IF(AND(P115="Creditor",X115=1,AA115&gt;0),"Past due to a micro or small supplier: interest runs under MSMED s.16, and if unpaid at year end it is not deductible that year, s.37(2)(g)",IF(AND(P115="Debtor",X115=1,AA115&gt;0),"Past due to you: as a micro or small supplier you can claim interest under MSMED s.16","OK")))))))))))</f>
        <v/>
      </c>
      <c r="P115">
        <f>IF(C115="","",IFERROR(VLOOKUP(C115,'Parties'!$B$13:$Q$112,2,FALSE),"?"))</f>
        <v/>
      </c>
      <c r="Q115">
        <f>IF(D115="","",IFERROR(VLOOKUP(D115,Lists!$A$2:$D$9,3,FALSE),"?"))</f>
        <v/>
      </c>
      <c r="R115">
        <f>IF(D115="","",IFERROR(VLOOKUP(D115,Lists!$A$2:$D$9,4,FALSE),"?"))</f>
        <v/>
      </c>
      <c r="S115">
        <f>IF(P115="Debtor",I115,IF(P115="Creditor",J115,0))</f>
        <v/>
      </c>
      <c r="T115">
        <f>IF(P115="Debtor",J115,IF(P115="Creditor",I115,0))</f>
        <v/>
      </c>
      <c r="U115">
        <f>IF(OR(S115=0,B115=""),0,IFERROR(VLOOKUP(C115,'Parties'!$B$13:$Q$112,13,FALSE),0)+SUMIFS($S$7:$S$506,$C$7:$C$506,C115,$B$7:$B$506,"&lt;"&amp;B115)+SUMIFS(S$7:S115,C$7:C115,C115,B$7:B115,B115))</f>
        <v/>
      </c>
      <c r="V115">
        <f>IF(S115=0,0,IFERROR(VLOOKUP(C115,'Parties'!$B$13:$Q$112,14,FALSE),0)+SUMIFS($T$7:$T$506,$C$7:$C$506,C115,$B$7:$B$506,"&lt;="&amp;'Outstanding'!$E$5))</f>
        <v/>
      </c>
      <c r="W115">
        <f>IF(OR('Outstanding'!$E$5="",S115=0,B115="",B115&gt;'Outstanding'!$E$5),0,MAX(0,MIN(S115,U115-V115)))</f>
        <v/>
      </c>
      <c r="X115">
        <f>IF(C115="",0,IFERROR(VLOOKUP(C115,'Parties'!$B$13:$Q$112,15,FALSE),0))</f>
        <v/>
      </c>
      <c r="Y115">
        <f>IF(C115="","",IFERROR(VLOOKUP(C115,'Parties'!$B$13:$Q$112,16,FALSE),0))</f>
        <v/>
      </c>
      <c r="Z115">
        <f>IF(OR(S115=0,B115="",Y115=""),"",IF(AND(F115&lt;&gt;"",D115="Purchase bill"),F115,B115)+Y115)</f>
        <v/>
      </c>
      <c r="AA115">
        <f>IF(OR(W115=0,Z115=""),0,MAX(0,'Outstanding'!$E$5-Z115))</f>
        <v/>
      </c>
      <c r="AB115">
        <f>IF(AND(X115=1,AA115&gt;0),W115*((1+3*N('Parties'!$E$10)/12)^(AA115*12/365)-1),0)</f>
        <v/>
      </c>
      <c r="AC115">
        <f>IF(W115=0,"",'Outstanding'!$E$5-B115)</f>
        <v/>
      </c>
      <c r="AD115">
        <f>IF(S115=0,0,IFERROR(VLOOKUP(C115,'Parties'!$B$13:$Q$112,14,FALSE),0)+SUMIFS($T$7:$T$506,$C$7:$C$506,C115,$B$7:$B$506,"&lt;="&amp;'Parties'!$E$8))</f>
        <v/>
      </c>
      <c r="AE115">
        <f>IF(OR('Parties'!$E$8="",S115=0,B115="",B115&gt;'Parties'!$E$8),0,MAX(0,MIN(S115,U115-AD115)))</f>
        <v/>
      </c>
      <c r="AF115">
        <f>IF(AND(P115="Creditor",X115=1,AE115&gt;0,Z115&lt;&gt;""),IF(Z115&lt;='Parties'!$E$8,AE115,0),0)</f>
        <v/>
      </c>
      <c r="AG115">
        <f>IF(OR(AE115=0,Z115=""),0,MAX(0,'Parties'!$E$8-Z115))</f>
        <v/>
      </c>
      <c r="AH115">
        <f>IF(AND(P115="Creditor",X115=1,AG115&gt;0),AE115*((1+3*N('Parties'!$E$10)/12)^(AG115*12/365)-1),0)</f>
        <v/>
      </c>
      <c r="AI115">
        <f>IF(AND(C115&lt;&gt;"",C115='Ledger Account'!$D$4,B115&lt;&gt;"",B115&gt;='Ledger Account'!$D$5,B115&lt;='Ledger Account'!$D$6),1,0)</f>
        <v/>
      </c>
      <c r="AJ115">
        <f>IF(AI115=1,SUM(AI$7:AI115),"")</f>
        <v/>
      </c>
      <c r="AK115">
        <f>IF(OR(N115="",N115="OK"),0,1)</f>
        <v/>
      </c>
    </row>
    <row r="116">
      <c r="B116" s="24" t="n"/>
      <c r="C116" s="14" t="n"/>
      <c r="D116" s="14" t="n"/>
      <c r="E116" s="20" t="n"/>
      <c r="F116" s="24" t="n"/>
      <c r="G116" s="14" t="n"/>
      <c r="H116" s="22" t="n"/>
      <c r="I116" s="25">
        <f>IF(Q116="D",N(H116),0)</f>
        <v/>
      </c>
      <c r="J116" s="25">
        <f>IF(Q116="C",N(H116),0)</f>
        <v/>
      </c>
      <c r="K116" s="26">
        <f>IF(Z116="","",Z116)</f>
        <v/>
      </c>
      <c r="L116" s="27">
        <f>W116</f>
        <v/>
      </c>
      <c r="M116" s="28">
        <f>AA116</f>
        <v/>
      </c>
      <c r="N116" s="23">
        <f>IF(AND(B116="",C116="",D116="",N(H116)=0),"",IF(B116="","Enter the date",IF(C116="","Pick the party",IF(P116="?","Add this party on the Parties sheet first",IF(D116="","Pick the entry type",IF(Q116="?","Pick the entry type from the list",IF(N(H116)=0,"Enter the amount",IF(AND(R116&lt;&gt;"Any",R116&lt;&gt;P116),"Sales, receipts and credit notes are for debtors; purchases, payments and debit notes for creditors",IF(AND(F116&lt;&gt;"",D116&lt;&gt;"Purchase bill"),"The received-on date is only for purchase bills",IF(AND(P116="Creditor",X116=1,AA116&gt;0),"Past due to a micro or small supplier: interest runs under MSMED s.16, and if unpaid at year end it is not deductible that year, s.37(2)(g)",IF(AND(P116="Debtor",X116=1,AA116&gt;0),"Past due to you: as a micro or small supplier you can claim interest under MSMED s.16","OK")))))))))))</f>
        <v/>
      </c>
      <c r="P116">
        <f>IF(C116="","",IFERROR(VLOOKUP(C116,'Parties'!$B$13:$Q$112,2,FALSE),"?"))</f>
        <v/>
      </c>
      <c r="Q116">
        <f>IF(D116="","",IFERROR(VLOOKUP(D116,Lists!$A$2:$D$9,3,FALSE),"?"))</f>
        <v/>
      </c>
      <c r="R116">
        <f>IF(D116="","",IFERROR(VLOOKUP(D116,Lists!$A$2:$D$9,4,FALSE),"?"))</f>
        <v/>
      </c>
      <c r="S116">
        <f>IF(P116="Debtor",I116,IF(P116="Creditor",J116,0))</f>
        <v/>
      </c>
      <c r="T116">
        <f>IF(P116="Debtor",J116,IF(P116="Creditor",I116,0))</f>
        <v/>
      </c>
      <c r="U116">
        <f>IF(OR(S116=0,B116=""),0,IFERROR(VLOOKUP(C116,'Parties'!$B$13:$Q$112,13,FALSE),0)+SUMIFS($S$7:$S$506,$C$7:$C$506,C116,$B$7:$B$506,"&lt;"&amp;B116)+SUMIFS(S$7:S116,C$7:C116,C116,B$7:B116,B116))</f>
        <v/>
      </c>
      <c r="V116">
        <f>IF(S116=0,0,IFERROR(VLOOKUP(C116,'Parties'!$B$13:$Q$112,14,FALSE),0)+SUMIFS($T$7:$T$506,$C$7:$C$506,C116,$B$7:$B$506,"&lt;="&amp;'Outstanding'!$E$5))</f>
        <v/>
      </c>
      <c r="W116">
        <f>IF(OR('Outstanding'!$E$5="",S116=0,B116="",B116&gt;'Outstanding'!$E$5),0,MAX(0,MIN(S116,U116-V116)))</f>
        <v/>
      </c>
      <c r="X116">
        <f>IF(C116="",0,IFERROR(VLOOKUP(C116,'Parties'!$B$13:$Q$112,15,FALSE),0))</f>
        <v/>
      </c>
      <c r="Y116">
        <f>IF(C116="","",IFERROR(VLOOKUP(C116,'Parties'!$B$13:$Q$112,16,FALSE),0))</f>
        <v/>
      </c>
      <c r="Z116">
        <f>IF(OR(S116=0,B116="",Y116=""),"",IF(AND(F116&lt;&gt;"",D116="Purchase bill"),F116,B116)+Y116)</f>
        <v/>
      </c>
      <c r="AA116">
        <f>IF(OR(W116=0,Z116=""),0,MAX(0,'Outstanding'!$E$5-Z116))</f>
        <v/>
      </c>
      <c r="AB116">
        <f>IF(AND(X116=1,AA116&gt;0),W116*((1+3*N('Parties'!$E$10)/12)^(AA116*12/365)-1),0)</f>
        <v/>
      </c>
      <c r="AC116">
        <f>IF(W116=0,"",'Outstanding'!$E$5-B116)</f>
        <v/>
      </c>
      <c r="AD116">
        <f>IF(S116=0,0,IFERROR(VLOOKUP(C116,'Parties'!$B$13:$Q$112,14,FALSE),0)+SUMIFS($T$7:$T$506,$C$7:$C$506,C116,$B$7:$B$506,"&lt;="&amp;'Parties'!$E$8))</f>
        <v/>
      </c>
      <c r="AE116">
        <f>IF(OR('Parties'!$E$8="",S116=0,B116="",B116&gt;'Parties'!$E$8),0,MAX(0,MIN(S116,U116-AD116)))</f>
        <v/>
      </c>
      <c r="AF116">
        <f>IF(AND(P116="Creditor",X116=1,AE116&gt;0,Z116&lt;&gt;""),IF(Z116&lt;='Parties'!$E$8,AE116,0),0)</f>
        <v/>
      </c>
      <c r="AG116">
        <f>IF(OR(AE116=0,Z116=""),0,MAX(0,'Parties'!$E$8-Z116))</f>
        <v/>
      </c>
      <c r="AH116">
        <f>IF(AND(P116="Creditor",X116=1,AG116&gt;0),AE116*((1+3*N('Parties'!$E$10)/12)^(AG116*12/365)-1),0)</f>
        <v/>
      </c>
      <c r="AI116">
        <f>IF(AND(C116&lt;&gt;"",C116='Ledger Account'!$D$4,B116&lt;&gt;"",B116&gt;='Ledger Account'!$D$5,B116&lt;='Ledger Account'!$D$6),1,0)</f>
        <v/>
      </c>
      <c r="AJ116">
        <f>IF(AI116=1,SUM(AI$7:AI116),"")</f>
        <v/>
      </c>
      <c r="AK116">
        <f>IF(OR(N116="",N116="OK"),0,1)</f>
        <v/>
      </c>
    </row>
    <row r="117">
      <c r="B117" s="24" t="n"/>
      <c r="C117" s="14" t="n"/>
      <c r="D117" s="14" t="n"/>
      <c r="E117" s="20" t="n"/>
      <c r="F117" s="24" t="n"/>
      <c r="G117" s="14" t="n"/>
      <c r="H117" s="22" t="n"/>
      <c r="I117" s="25">
        <f>IF(Q117="D",N(H117),0)</f>
        <v/>
      </c>
      <c r="J117" s="25">
        <f>IF(Q117="C",N(H117),0)</f>
        <v/>
      </c>
      <c r="K117" s="26">
        <f>IF(Z117="","",Z117)</f>
        <v/>
      </c>
      <c r="L117" s="27">
        <f>W117</f>
        <v/>
      </c>
      <c r="M117" s="28">
        <f>AA117</f>
        <v/>
      </c>
      <c r="N117" s="23">
        <f>IF(AND(B117="",C117="",D117="",N(H117)=0),"",IF(B117="","Enter the date",IF(C117="","Pick the party",IF(P117="?","Add this party on the Parties sheet first",IF(D117="","Pick the entry type",IF(Q117="?","Pick the entry type from the list",IF(N(H117)=0,"Enter the amount",IF(AND(R117&lt;&gt;"Any",R117&lt;&gt;P117),"Sales, receipts and credit notes are for debtors; purchases, payments and debit notes for creditors",IF(AND(F117&lt;&gt;"",D117&lt;&gt;"Purchase bill"),"The received-on date is only for purchase bills",IF(AND(P117="Creditor",X117=1,AA117&gt;0),"Past due to a micro or small supplier: interest runs under MSMED s.16, and if unpaid at year end it is not deductible that year, s.37(2)(g)",IF(AND(P117="Debtor",X117=1,AA117&gt;0),"Past due to you: as a micro or small supplier you can claim interest under MSMED s.16","OK")))))))))))</f>
        <v/>
      </c>
      <c r="P117">
        <f>IF(C117="","",IFERROR(VLOOKUP(C117,'Parties'!$B$13:$Q$112,2,FALSE),"?"))</f>
        <v/>
      </c>
      <c r="Q117">
        <f>IF(D117="","",IFERROR(VLOOKUP(D117,Lists!$A$2:$D$9,3,FALSE),"?"))</f>
        <v/>
      </c>
      <c r="R117">
        <f>IF(D117="","",IFERROR(VLOOKUP(D117,Lists!$A$2:$D$9,4,FALSE),"?"))</f>
        <v/>
      </c>
      <c r="S117">
        <f>IF(P117="Debtor",I117,IF(P117="Creditor",J117,0))</f>
        <v/>
      </c>
      <c r="T117">
        <f>IF(P117="Debtor",J117,IF(P117="Creditor",I117,0))</f>
        <v/>
      </c>
      <c r="U117">
        <f>IF(OR(S117=0,B117=""),0,IFERROR(VLOOKUP(C117,'Parties'!$B$13:$Q$112,13,FALSE),0)+SUMIFS($S$7:$S$506,$C$7:$C$506,C117,$B$7:$B$506,"&lt;"&amp;B117)+SUMIFS(S$7:S117,C$7:C117,C117,B$7:B117,B117))</f>
        <v/>
      </c>
      <c r="V117">
        <f>IF(S117=0,0,IFERROR(VLOOKUP(C117,'Parties'!$B$13:$Q$112,14,FALSE),0)+SUMIFS($T$7:$T$506,$C$7:$C$506,C117,$B$7:$B$506,"&lt;="&amp;'Outstanding'!$E$5))</f>
        <v/>
      </c>
      <c r="W117">
        <f>IF(OR('Outstanding'!$E$5="",S117=0,B117="",B117&gt;'Outstanding'!$E$5),0,MAX(0,MIN(S117,U117-V117)))</f>
        <v/>
      </c>
      <c r="X117">
        <f>IF(C117="",0,IFERROR(VLOOKUP(C117,'Parties'!$B$13:$Q$112,15,FALSE),0))</f>
        <v/>
      </c>
      <c r="Y117">
        <f>IF(C117="","",IFERROR(VLOOKUP(C117,'Parties'!$B$13:$Q$112,16,FALSE),0))</f>
        <v/>
      </c>
      <c r="Z117">
        <f>IF(OR(S117=0,B117="",Y117=""),"",IF(AND(F117&lt;&gt;"",D117="Purchase bill"),F117,B117)+Y117)</f>
        <v/>
      </c>
      <c r="AA117">
        <f>IF(OR(W117=0,Z117=""),0,MAX(0,'Outstanding'!$E$5-Z117))</f>
        <v/>
      </c>
      <c r="AB117">
        <f>IF(AND(X117=1,AA117&gt;0),W117*((1+3*N('Parties'!$E$10)/12)^(AA117*12/365)-1),0)</f>
        <v/>
      </c>
      <c r="AC117">
        <f>IF(W117=0,"",'Outstanding'!$E$5-B117)</f>
        <v/>
      </c>
      <c r="AD117">
        <f>IF(S117=0,0,IFERROR(VLOOKUP(C117,'Parties'!$B$13:$Q$112,14,FALSE),0)+SUMIFS($T$7:$T$506,$C$7:$C$506,C117,$B$7:$B$506,"&lt;="&amp;'Parties'!$E$8))</f>
        <v/>
      </c>
      <c r="AE117">
        <f>IF(OR('Parties'!$E$8="",S117=0,B117="",B117&gt;'Parties'!$E$8),0,MAX(0,MIN(S117,U117-AD117)))</f>
        <v/>
      </c>
      <c r="AF117">
        <f>IF(AND(P117="Creditor",X117=1,AE117&gt;0,Z117&lt;&gt;""),IF(Z117&lt;='Parties'!$E$8,AE117,0),0)</f>
        <v/>
      </c>
      <c r="AG117">
        <f>IF(OR(AE117=0,Z117=""),0,MAX(0,'Parties'!$E$8-Z117))</f>
        <v/>
      </c>
      <c r="AH117">
        <f>IF(AND(P117="Creditor",X117=1,AG117&gt;0),AE117*((1+3*N('Parties'!$E$10)/12)^(AG117*12/365)-1),0)</f>
        <v/>
      </c>
      <c r="AI117">
        <f>IF(AND(C117&lt;&gt;"",C117='Ledger Account'!$D$4,B117&lt;&gt;"",B117&gt;='Ledger Account'!$D$5,B117&lt;='Ledger Account'!$D$6),1,0)</f>
        <v/>
      </c>
      <c r="AJ117">
        <f>IF(AI117=1,SUM(AI$7:AI117),"")</f>
        <v/>
      </c>
      <c r="AK117">
        <f>IF(OR(N117="",N117="OK"),0,1)</f>
        <v/>
      </c>
    </row>
    <row r="118">
      <c r="B118" s="24" t="n"/>
      <c r="C118" s="14" t="n"/>
      <c r="D118" s="14" t="n"/>
      <c r="E118" s="20" t="n"/>
      <c r="F118" s="24" t="n"/>
      <c r="G118" s="14" t="n"/>
      <c r="H118" s="22" t="n"/>
      <c r="I118" s="25">
        <f>IF(Q118="D",N(H118),0)</f>
        <v/>
      </c>
      <c r="J118" s="25">
        <f>IF(Q118="C",N(H118),0)</f>
        <v/>
      </c>
      <c r="K118" s="26">
        <f>IF(Z118="","",Z118)</f>
        <v/>
      </c>
      <c r="L118" s="27">
        <f>W118</f>
        <v/>
      </c>
      <c r="M118" s="28">
        <f>AA118</f>
        <v/>
      </c>
      <c r="N118" s="23">
        <f>IF(AND(B118="",C118="",D118="",N(H118)=0),"",IF(B118="","Enter the date",IF(C118="","Pick the party",IF(P118="?","Add this party on the Parties sheet first",IF(D118="","Pick the entry type",IF(Q118="?","Pick the entry type from the list",IF(N(H118)=0,"Enter the amount",IF(AND(R118&lt;&gt;"Any",R118&lt;&gt;P118),"Sales, receipts and credit notes are for debtors; purchases, payments and debit notes for creditors",IF(AND(F118&lt;&gt;"",D118&lt;&gt;"Purchase bill"),"The received-on date is only for purchase bills",IF(AND(P118="Creditor",X118=1,AA118&gt;0),"Past due to a micro or small supplier: interest runs under MSMED s.16, and if unpaid at year end it is not deductible that year, s.37(2)(g)",IF(AND(P118="Debtor",X118=1,AA118&gt;0),"Past due to you: as a micro or small supplier you can claim interest under MSMED s.16","OK")))))))))))</f>
        <v/>
      </c>
      <c r="P118">
        <f>IF(C118="","",IFERROR(VLOOKUP(C118,'Parties'!$B$13:$Q$112,2,FALSE),"?"))</f>
        <v/>
      </c>
      <c r="Q118">
        <f>IF(D118="","",IFERROR(VLOOKUP(D118,Lists!$A$2:$D$9,3,FALSE),"?"))</f>
        <v/>
      </c>
      <c r="R118">
        <f>IF(D118="","",IFERROR(VLOOKUP(D118,Lists!$A$2:$D$9,4,FALSE),"?"))</f>
        <v/>
      </c>
      <c r="S118">
        <f>IF(P118="Debtor",I118,IF(P118="Creditor",J118,0))</f>
        <v/>
      </c>
      <c r="T118">
        <f>IF(P118="Debtor",J118,IF(P118="Creditor",I118,0))</f>
        <v/>
      </c>
      <c r="U118">
        <f>IF(OR(S118=0,B118=""),0,IFERROR(VLOOKUP(C118,'Parties'!$B$13:$Q$112,13,FALSE),0)+SUMIFS($S$7:$S$506,$C$7:$C$506,C118,$B$7:$B$506,"&lt;"&amp;B118)+SUMIFS(S$7:S118,C$7:C118,C118,B$7:B118,B118))</f>
        <v/>
      </c>
      <c r="V118">
        <f>IF(S118=0,0,IFERROR(VLOOKUP(C118,'Parties'!$B$13:$Q$112,14,FALSE),0)+SUMIFS($T$7:$T$506,$C$7:$C$506,C118,$B$7:$B$506,"&lt;="&amp;'Outstanding'!$E$5))</f>
        <v/>
      </c>
      <c r="W118">
        <f>IF(OR('Outstanding'!$E$5="",S118=0,B118="",B118&gt;'Outstanding'!$E$5),0,MAX(0,MIN(S118,U118-V118)))</f>
        <v/>
      </c>
      <c r="X118">
        <f>IF(C118="",0,IFERROR(VLOOKUP(C118,'Parties'!$B$13:$Q$112,15,FALSE),0))</f>
        <v/>
      </c>
      <c r="Y118">
        <f>IF(C118="","",IFERROR(VLOOKUP(C118,'Parties'!$B$13:$Q$112,16,FALSE),0))</f>
        <v/>
      </c>
      <c r="Z118">
        <f>IF(OR(S118=0,B118="",Y118=""),"",IF(AND(F118&lt;&gt;"",D118="Purchase bill"),F118,B118)+Y118)</f>
        <v/>
      </c>
      <c r="AA118">
        <f>IF(OR(W118=0,Z118=""),0,MAX(0,'Outstanding'!$E$5-Z118))</f>
        <v/>
      </c>
      <c r="AB118">
        <f>IF(AND(X118=1,AA118&gt;0),W118*((1+3*N('Parties'!$E$10)/12)^(AA118*12/365)-1),0)</f>
        <v/>
      </c>
      <c r="AC118">
        <f>IF(W118=0,"",'Outstanding'!$E$5-B118)</f>
        <v/>
      </c>
      <c r="AD118">
        <f>IF(S118=0,0,IFERROR(VLOOKUP(C118,'Parties'!$B$13:$Q$112,14,FALSE),0)+SUMIFS($T$7:$T$506,$C$7:$C$506,C118,$B$7:$B$506,"&lt;="&amp;'Parties'!$E$8))</f>
        <v/>
      </c>
      <c r="AE118">
        <f>IF(OR('Parties'!$E$8="",S118=0,B118="",B118&gt;'Parties'!$E$8),0,MAX(0,MIN(S118,U118-AD118)))</f>
        <v/>
      </c>
      <c r="AF118">
        <f>IF(AND(P118="Creditor",X118=1,AE118&gt;0,Z118&lt;&gt;""),IF(Z118&lt;='Parties'!$E$8,AE118,0),0)</f>
        <v/>
      </c>
      <c r="AG118">
        <f>IF(OR(AE118=0,Z118=""),0,MAX(0,'Parties'!$E$8-Z118))</f>
        <v/>
      </c>
      <c r="AH118">
        <f>IF(AND(P118="Creditor",X118=1,AG118&gt;0),AE118*((1+3*N('Parties'!$E$10)/12)^(AG118*12/365)-1),0)</f>
        <v/>
      </c>
      <c r="AI118">
        <f>IF(AND(C118&lt;&gt;"",C118='Ledger Account'!$D$4,B118&lt;&gt;"",B118&gt;='Ledger Account'!$D$5,B118&lt;='Ledger Account'!$D$6),1,0)</f>
        <v/>
      </c>
      <c r="AJ118">
        <f>IF(AI118=1,SUM(AI$7:AI118),"")</f>
        <v/>
      </c>
      <c r="AK118">
        <f>IF(OR(N118="",N118="OK"),0,1)</f>
        <v/>
      </c>
    </row>
    <row r="119">
      <c r="B119" s="24" t="n"/>
      <c r="C119" s="14" t="n"/>
      <c r="D119" s="14" t="n"/>
      <c r="E119" s="20" t="n"/>
      <c r="F119" s="24" t="n"/>
      <c r="G119" s="14" t="n"/>
      <c r="H119" s="22" t="n"/>
      <c r="I119" s="25">
        <f>IF(Q119="D",N(H119),0)</f>
        <v/>
      </c>
      <c r="J119" s="25">
        <f>IF(Q119="C",N(H119),0)</f>
        <v/>
      </c>
      <c r="K119" s="26">
        <f>IF(Z119="","",Z119)</f>
        <v/>
      </c>
      <c r="L119" s="27">
        <f>W119</f>
        <v/>
      </c>
      <c r="M119" s="28">
        <f>AA119</f>
        <v/>
      </c>
      <c r="N119" s="23">
        <f>IF(AND(B119="",C119="",D119="",N(H119)=0),"",IF(B119="","Enter the date",IF(C119="","Pick the party",IF(P119="?","Add this party on the Parties sheet first",IF(D119="","Pick the entry type",IF(Q119="?","Pick the entry type from the list",IF(N(H119)=0,"Enter the amount",IF(AND(R119&lt;&gt;"Any",R119&lt;&gt;P119),"Sales, receipts and credit notes are for debtors; purchases, payments and debit notes for creditors",IF(AND(F119&lt;&gt;"",D119&lt;&gt;"Purchase bill"),"The received-on date is only for purchase bills",IF(AND(P119="Creditor",X119=1,AA119&gt;0),"Past due to a micro or small supplier: interest runs under MSMED s.16, and if unpaid at year end it is not deductible that year, s.37(2)(g)",IF(AND(P119="Debtor",X119=1,AA119&gt;0),"Past due to you: as a micro or small supplier you can claim interest under MSMED s.16","OK")))))))))))</f>
        <v/>
      </c>
      <c r="P119">
        <f>IF(C119="","",IFERROR(VLOOKUP(C119,'Parties'!$B$13:$Q$112,2,FALSE),"?"))</f>
        <v/>
      </c>
      <c r="Q119">
        <f>IF(D119="","",IFERROR(VLOOKUP(D119,Lists!$A$2:$D$9,3,FALSE),"?"))</f>
        <v/>
      </c>
      <c r="R119">
        <f>IF(D119="","",IFERROR(VLOOKUP(D119,Lists!$A$2:$D$9,4,FALSE),"?"))</f>
        <v/>
      </c>
      <c r="S119">
        <f>IF(P119="Debtor",I119,IF(P119="Creditor",J119,0))</f>
        <v/>
      </c>
      <c r="T119">
        <f>IF(P119="Debtor",J119,IF(P119="Creditor",I119,0))</f>
        <v/>
      </c>
      <c r="U119">
        <f>IF(OR(S119=0,B119=""),0,IFERROR(VLOOKUP(C119,'Parties'!$B$13:$Q$112,13,FALSE),0)+SUMIFS($S$7:$S$506,$C$7:$C$506,C119,$B$7:$B$506,"&lt;"&amp;B119)+SUMIFS(S$7:S119,C$7:C119,C119,B$7:B119,B119))</f>
        <v/>
      </c>
      <c r="V119">
        <f>IF(S119=0,0,IFERROR(VLOOKUP(C119,'Parties'!$B$13:$Q$112,14,FALSE),0)+SUMIFS($T$7:$T$506,$C$7:$C$506,C119,$B$7:$B$506,"&lt;="&amp;'Outstanding'!$E$5))</f>
        <v/>
      </c>
      <c r="W119">
        <f>IF(OR('Outstanding'!$E$5="",S119=0,B119="",B119&gt;'Outstanding'!$E$5),0,MAX(0,MIN(S119,U119-V119)))</f>
        <v/>
      </c>
      <c r="X119">
        <f>IF(C119="",0,IFERROR(VLOOKUP(C119,'Parties'!$B$13:$Q$112,15,FALSE),0))</f>
        <v/>
      </c>
      <c r="Y119">
        <f>IF(C119="","",IFERROR(VLOOKUP(C119,'Parties'!$B$13:$Q$112,16,FALSE),0))</f>
        <v/>
      </c>
      <c r="Z119">
        <f>IF(OR(S119=0,B119="",Y119=""),"",IF(AND(F119&lt;&gt;"",D119="Purchase bill"),F119,B119)+Y119)</f>
        <v/>
      </c>
      <c r="AA119">
        <f>IF(OR(W119=0,Z119=""),0,MAX(0,'Outstanding'!$E$5-Z119))</f>
        <v/>
      </c>
      <c r="AB119">
        <f>IF(AND(X119=1,AA119&gt;0),W119*((1+3*N('Parties'!$E$10)/12)^(AA119*12/365)-1),0)</f>
        <v/>
      </c>
      <c r="AC119">
        <f>IF(W119=0,"",'Outstanding'!$E$5-B119)</f>
        <v/>
      </c>
      <c r="AD119">
        <f>IF(S119=0,0,IFERROR(VLOOKUP(C119,'Parties'!$B$13:$Q$112,14,FALSE),0)+SUMIFS($T$7:$T$506,$C$7:$C$506,C119,$B$7:$B$506,"&lt;="&amp;'Parties'!$E$8))</f>
        <v/>
      </c>
      <c r="AE119">
        <f>IF(OR('Parties'!$E$8="",S119=0,B119="",B119&gt;'Parties'!$E$8),0,MAX(0,MIN(S119,U119-AD119)))</f>
        <v/>
      </c>
      <c r="AF119">
        <f>IF(AND(P119="Creditor",X119=1,AE119&gt;0,Z119&lt;&gt;""),IF(Z119&lt;='Parties'!$E$8,AE119,0),0)</f>
        <v/>
      </c>
      <c r="AG119">
        <f>IF(OR(AE119=0,Z119=""),0,MAX(0,'Parties'!$E$8-Z119))</f>
        <v/>
      </c>
      <c r="AH119">
        <f>IF(AND(P119="Creditor",X119=1,AG119&gt;0),AE119*((1+3*N('Parties'!$E$10)/12)^(AG119*12/365)-1),0)</f>
        <v/>
      </c>
      <c r="AI119">
        <f>IF(AND(C119&lt;&gt;"",C119='Ledger Account'!$D$4,B119&lt;&gt;"",B119&gt;='Ledger Account'!$D$5,B119&lt;='Ledger Account'!$D$6),1,0)</f>
        <v/>
      </c>
      <c r="AJ119">
        <f>IF(AI119=1,SUM(AI$7:AI119),"")</f>
        <v/>
      </c>
      <c r="AK119">
        <f>IF(OR(N119="",N119="OK"),0,1)</f>
        <v/>
      </c>
    </row>
    <row r="120">
      <c r="B120" s="24" t="n"/>
      <c r="C120" s="14" t="n"/>
      <c r="D120" s="14" t="n"/>
      <c r="E120" s="20" t="n"/>
      <c r="F120" s="24" t="n"/>
      <c r="G120" s="14" t="n"/>
      <c r="H120" s="22" t="n"/>
      <c r="I120" s="25">
        <f>IF(Q120="D",N(H120),0)</f>
        <v/>
      </c>
      <c r="J120" s="25">
        <f>IF(Q120="C",N(H120),0)</f>
        <v/>
      </c>
      <c r="K120" s="26">
        <f>IF(Z120="","",Z120)</f>
        <v/>
      </c>
      <c r="L120" s="27">
        <f>W120</f>
        <v/>
      </c>
      <c r="M120" s="28">
        <f>AA120</f>
        <v/>
      </c>
      <c r="N120" s="23">
        <f>IF(AND(B120="",C120="",D120="",N(H120)=0),"",IF(B120="","Enter the date",IF(C120="","Pick the party",IF(P120="?","Add this party on the Parties sheet first",IF(D120="","Pick the entry type",IF(Q120="?","Pick the entry type from the list",IF(N(H120)=0,"Enter the amount",IF(AND(R120&lt;&gt;"Any",R120&lt;&gt;P120),"Sales, receipts and credit notes are for debtors; purchases, payments and debit notes for creditors",IF(AND(F120&lt;&gt;"",D120&lt;&gt;"Purchase bill"),"The received-on date is only for purchase bills",IF(AND(P120="Creditor",X120=1,AA120&gt;0),"Past due to a micro or small supplier: interest runs under MSMED s.16, and if unpaid at year end it is not deductible that year, s.37(2)(g)",IF(AND(P120="Debtor",X120=1,AA120&gt;0),"Past due to you: as a micro or small supplier you can claim interest under MSMED s.16","OK")))))))))))</f>
        <v/>
      </c>
      <c r="P120">
        <f>IF(C120="","",IFERROR(VLOOKUP(C120,'Parties'!$B$13:$Q$112,2,FALSE),"?"))</f>
        <v/>
      </c>
      <c r="Q120">
        <f>IF(D120="","",IFERROR(VLOOKUP(D120,Lists!$A$2:$D$9,3,FALSE),"?"))</f>
        <v/>
      </c>
      <c r="R120">
        <f>IF(D120="","",IFERROR(VLOOKUP(D120,Lists!$A$2:$D$9,4,FALSE),"?"))</f>
        <v/>
      </c>
      <c r="S120">
        <f>IF(P120="Debtor",I120,IF(P120="Creditor",J120,0))</f>
        <v/>
      </c>
      <c r="T120">
        <f>IF(P120="Debtor",J120,IF(P120="Creditor",I120,0))</f>
        <v/>
      </c>
      <c r="U120">
        <f>IF(OR(S120=0,B120=""),0,IFERROR(VLOOKUP(C120,'Parties'!$B$13:$Q$112,13,FALSE),0)+SUMIFS($S$7:$S$506,$C$7:$C$506,C120,$B$7:$B$506,"&lt;"&amp;B120)+SUMIFS(S$7:S120,C$7:C120,C120,B$7:B120,B120))</f>
        <v/>
      </c>
      <c r="V120">
        <f>IF(S120=0,0,IFERROR(VLOOKUP(C120,'Parties'!$B$13:$Q$112,14,FALSE),0)+SUMIFS($T$7:$T$506,$C$7:$C$506,C120,$B$7:$B$506,"&lt;="&amp;'Outstanding'!$E$5))</f>
        <v/>
      </c>
      <c r="W120">
        <f>IF(OR('Outstanding'!$E$5="",S120=0,B120="",B120&gt;'Outstanding'!$E$5),0,MAX(0,MIN(S120,U120-V120)))</f>
        <v/>
      </c>
      <c r="X120">
        <f>IF(C120="",0,IFERROR(VLOOKUP(C120,'Parties'!$B$13:$Q$112,15,FALSE),0))</f>
        <v/>
      </c>
      <c r="Y120">
        <f>IF(C120="","",IFERROR(VLOOKUP(C120,'Parties'!$B$13:$Q$112,16,FALSE),0))</f>
        <v/>
      </c>
      <c r="Z120">
        <f>IF(OR(S120=0,B120="",Y120=""),"",IF(AND(F120&lt;&gt;"",D120="Purchase bill"),F120,B120)+Y120)</f>
        <v/>
      </c>
      <c r="AA120">
        <f>IF(OR(W120=0,Z120=""),0,MAX(0,'Outstanding'!$E$5-Z120))</f>
        <v/>
      </c>
      <c r="AB120">
        <f>IF(AND(X120=1,AA120&gt;0),W120*((1+3*N('Parties'!$E$10)/12)^(AA120*12/365)-1),0)</f>
        <v/>
      </c>
      <c r="AC120">
        <f>IF(W120=0,"",'Outstanding'!$E$5-B120)</f>
        <v/>
      </c>
      <c r="AD120">
        <f>IF(S120=0,0,IFERROR(VLOOKUP(C120,'Parties'!$B$13:$Q$112,14,FALSE),0)+SUMIFS($T$7:$T$506,$C$7:$C$506,C120,$B$7:$B$506,"&lt;="&amp;'Parties'!$E$8))</f>
        <v/>
      </c>
      <c r="AE120">
        <f>IF(OR('Parties'!$E$8="",S120=0,B120="",B120&gt;'Parties'!$E$8),0,MAX(0,MIN(S120,U120-AD120)))</f>
        <v/>
      </c>
      <c r="AF120">
        <f>IF(AND(P120="Creditor",X120=1,AE120&gt;0,Z120&lt;&gt;""),IF(Z120&lt;='Parties'!$E$8,AE120,0),0)</f>
        <v/>
      </c>
      <c r="AG120">
        <f>IF(OR(AE120=0,Z120=""),0,MAX(0,'Parties'!$E$8-Z120))</f>
        <v/>
      </c>
      <c r="AH120">
        <f>IF(AND(P120="Creditor",X120=1,AG120&gt;0),AE120*((1+3*N('Parties'!$E$10)/12)^(AG120*12/365)-1),0)</f>
        <v/>
      </c>
      <c r="AI120">
        <f>IF(AND(C120&lt;&gt;"",C120='Ledger Account'!$D$4,B120&lt;&gt;"",B120&gt;='Ledger Account'!$D$5,B120&lt;='Ledger Account'!$D$6),1,0)</f>
        <v/>
      </c>
      <c r="AJ120">
        <f>IF(AI120=1,SUM(AI$7:AI120),"")</f>
        <v/>
      </c>
      <c r="AK120">
        <f>IF(OR(N120="",N120="OK"),0,1)</f>
        <v/>
      </c>
    </row>
    <row r="121">
      <c r="B121" s="24" t="n"/>
      <c r="C121" s="14" t="n"/>
      <c r="D121" s="14" t="n"/>
      <c r="E121" s="20" t="n"/>
      <c r="F121" s="24" t="n"/>
      <c r="G121" s="14" t="n"/>
      <c r="H121" s="22" t="n"/>
      <c r="I121" s="25">
        <f>IF(Q121="D",N(H121),0)</f>
        <v/>
      </c>
      <c r="J121" s="25">
        <f>IF(Q121="C",N(H121),0)</f>
        <v/>
      </c>
      <c r="K121" s="26">
        <f>IF(Z121="","",Z121)</f>
        <v/>
      </c>
      <c r="L121" s="27">
        <f>W121</f>
        <v/>
      </c>
      <c r="M121" s="28">
        <f>AA121</f>
        <v/>
      </c>
      <c r="N121" s="23">
        <f>IF(AND(B121="",C121="",D121="",N(H121)=0),"",IF(B121="","Enter the date",IF(C121="","Pick the party",IF(P121="?","Add this party on the Parties sheet first",IF(D121="","Pick the entry type",IF(Q121="?","Pick the entry type from the list",IF(N(H121)=0,"Enter the amount",IF(AND(R121&lt;&gt;"Any",R121&lt;&gt;P121),"Sales, receipts and credit notes are for debtors; purchases, payments and debit notes for creditors",IF(AND(F121&lt;&gt;"",D121&lt;&gt;"Purchase bill"),"The received-on date is only for purchase bills",IF(AND(P121="Creditor",X121=1,AA121&gt;0),"Past due to a micro or small supplier: interest runs under MSMED s.16, and if unpaid at year end it is not deductible that year, s.37(2)(g)",IF(AND(P121="Debtor",X121=1,AA121&gt;0),"Past due to you: as a micro or small supplier you can claim interest under MSMED s.16","OK")))))))))))</f>
        <v/>
      </c>
      <c r="P121">
        <f>IF(C121="","",IFERROR(VLOOKUP(C121,'Parties'!$B$13:$Q$112,2,FALSE),"?"))</f>
        <v/>
      </c>
      <c r="Q121">
        <f>IF(D121="","",IFERROR(VLOOKUP(D121,Lists!$A$2:$D$9,3,FALSE),"?"))</f>
        <v/>
      </c>
      <c r="R121">
        <f>IF(D121="","",IFERROR(VLOOKUP(D121,Lists!$A$2:$D$9,4,FALSE),"?"))</f>
        <v/>
      </c>
      <c r="S121">
        <f>IF(P121="Debtor",I121,IF(P121="Creditor",J121,0))</f>
        <v/>
      </c>
      <c r="T121">
        <f>IF(P121="Debtor",J121,IF(P121="Creditor",I121,0))</f>
        <v/>
      </c>
      <c r="U121">
        <f>IF(OR(S121=0,B121=""),0,IFERROR(VLOOKUP(C121,'Parties'!$B$13:$Q$112,13,FALSE),0)+SUMIFS($S$7:$S$506,$C$7:$C$506,C121,$B$7:$B$506,"&lt;"&amp;B121)+SUMIFS(S$7:S121,C$7:C121,C121,B$7:B121,B121))</f>
        <v/>
      </c>
      <c r="V121">
        <f>IF(S121=0,0,IFERROR(VLOOKUP(C121,'Parties'!$B$13:$Q$112,14,FALSE),0)+SUMIFS($T$7:$T$506,$C$7:$C$506,C121,$B$7:$B$506,"&lt;="&amp;'Outstanding'!$E$5))</f>
        <v/>
      </c>
      <c r="W121">
        <f>IF(OR('Outstanding'!$E$5="",S121=0,B121="",B121&gt;'Outstanding'!$E$5),0,MAX(0,MIN(S121,U121-V121)))</f>
        <v/>
      </c>
      <c r="X121">
        <f>IF(C121="",0,IFERROR(VLOOKUP(C121,'Parties'!$B$13:$Q$112,15,FALSE),0))</f>
        <v/>
      </c>
      <c r="Y121">
        <f>IF(C121="","",IFERROR(VLOOKUP(C121,'Parties'!$B$13:$Q$112,16,FALSE),0))</f>
        <v/>
      </c>
      <c r="Z121">
        <f>IF(OR(S121=0,B121="",Y121=""),"",IF(AND(F121&lt;&gt;"",D121="Purchase bill"),F121,B121)+Y121)</f>
        <v/>
      </c>
      <c r="AA121">
        <f>IF(OR(W121=0,Z121=""),0,MAX(0,'Outstanding'!$E$5-Z121))</f>
        <v/>
      </c>
      <c r="AB121">
        <f>IF(AND(X121=1,AA121&gt;0),W121*((1+3*N('Parties'!$E$10)/12)^(AA121*12/365)-1),0)</f>
        <v/>
      </c>
      <c r="AC121">
        <f>IF(W121=0,"",'Outstanding'!$E$5-B121)</f>
        <v/>
      </c>
      <c r="AD121">
        <f>IF(S121=0,0,IFERROR(VLOOKUP(C121,'Parties'!$B$13:$Q$112,14,FALSE),0)+SUMIFS($T$7:$T$506,$C$7:$C$506,C121,$B$7:$B$506,"&lt;="&amp;'Parties'!$E$8))</f>
        <v/>
      </c>
      <c r="AE121">
        <f>IF(OR('Parties'!$E$8="",S121=0,B121="",B121&gt;'Parties'!$E$8),0,MAX(0,MIN(S121,U121-AD121)))</f>
        <v/>
      </c>
      <c r="AF121">
        <f>IF(AND(P121="Creditor",X121=1,AE121&gt;0,Z121&lt;&gt;""),IF(Z121&lt;='Parties'!$E$8,AE121,0),0)</f>
        <v/>
      </c>
      <c r="AG121">
        <f>IF(OR(AE121=0,Z121=""),0,MAX(0,'Parties'!$E$8-Z121))</f>
        <v/>
      </c>
      <c r="AH121">
        <f>IF(AND(P121="Creditor",X121=1,AG121&gt;0),AE121*((1+3*N('Parties'!$E$10)/12)^(AG121*12/365)-1),0)</f>
        <v/>
      </c>
      <c r="AI121">
        <f>IF(AND(C121&lt;&gt;"",C121='Ledger Account'!$D$4,B121&lt;&gt;"",B121&gt;='Ledger Account'!$D$5,B121&lt;='Ledger Account'!$D$6),1,0)</f>
        <v/>
      </c>
      <c r="AJ121">
        <f>IF(AI121=1,SUM(AI$7:AI121),"")</f>
        <v/>
      </c>
      <c r="AK121">
        <f>IF(OR(N121="",N121="OK"),0,1)</f>
        <v/>
      </c>
    </row>
    <row r="122">
      <c r="B122" s="24" t="n"/>
      <c r="C122" s="14" t="n"/>
      <c r="D122" s="14" t="n"/>
      <c r="E122" s="20" t="n"/>
      <c r="F122" s="24" t="n"/>
      <c r="G122" s="14" t="n"/>
      <c r="H122" s="22" t="n"/>
      <c r="I122" s="25">
        <f>IF(Q122="D",N(H122),0)</f>
        <v/>
      </c>
      <c r="J122" s="25">
        <f>IF(Q122="C",N(H122),0)</f>
        <v/>
      </c>
      <c r="K122" s="26">
        <f>IF(Z122="","",Z122)</f>
        <v/>
      </c>
      <c r="L122" s="27">
        <f>W122</f>
        <v/>
      </c>
      <c r="M122" s="28">
        <f>AA122</f>
        <v/>
      </c>
      <c r="N122" s="23">
        <f>IF(AND(B122="",C122="",D122="",N(H122)=0),"",IF(B122="","Enter the date",IF(C122="","Pick the party",IF(P122="?","Add this party on the Parties sheet first",IF(D122="","Pick the entry type",IF(Q122="?","Pick the entry type from the list",IF(N(H122)=0,"Enter the amount",IF(AND(R122&lt;&gt;"Any",R122&lt;&gt;P122),"Sales, receipts and credit notes are for debtors; purchases, payments and debit notes for creditors",IF(AND(F122&lt;&gt;"",D122&lt;&gt;"Purchase bill"),"The received-on date is only for purchase bills",IF(AND(P122="Creditor",X122=1,AA122&gt;0),"Past due to a micro or small supplier: interest runs under MSMED s.16, and if unpaid at year end it is not deductible that year, s.37(2)(g)",IF(AND(P122="Debtor",X122=1,AA122&gt;0),"Past due to you: as a micro or small supplier you can claim interest under MSMED s.16","OK")))))))))))</f>
        <v/>
      </c>
      <c r="P122">
        <f>IF(C122="","",IFERROR(VLOOKUP(C122,'Parties'!$B$13:$Q$112,2,FALSE),"?"))</f>
        <v/>
      </c>
      <c r="Q122">
        <f>IF(D122="","",IFERROR(VLOOKUP(D122,Lists!$A$2:$D$9,3,FALSE),"?"))</f>
        <v/>
      </c>
      <c r="R122">
        <f>IF(D122="","",IFERROR(VLOOKUP(D122,Lists!$A$2:$D$9,4,FALSE),"?"))</f>
        <v/>
      </c>
      <c r="S122">
        <f>IF(P122="Debtor",I122,IF(P122="Creditor",J122,0))</f>
        <v/>
      </c>
      <c r="T122">
        <f>IF(P122="Debtor",J122,IF(P122="Creditor",I122,0))</f>
        <v/>
      </c>
      <c r="U122">
        <f>IF(OR(S122=0,B122=""),0,IFERROR(VLOOKUP(C122,'Parties'!$B$13:$Q$112,13,FALSE),0)+SUMIFS($S$7:$S$506,$C$7:$C$506,C122,$B$7:$B$506,"&lt;"&amp;B122)+SUMIFS(S$7:S122,C$7:C122,C122,B$7:B122,B122))</f>
        <v/>
      </c>
      <c r="V122">
        <f>IF(S122=0,0,IFERROR(VLOOKUP(C122,'Parties'!$B$13:$Q$112,14,FALSE),0)+SUMIFS($T$7:$T$506,$C$7:$C$506,C122,$B$7:$B$506,"&lt;="&amp;'Outstanding'!$E$5))</f>
        <v/>
      </c>
      <c r="W122">
        <f>IF(OR('Outstanding'!$E$5="",S122=0,B122="",B122&gt;'Outstanding'!$E$5),0,MAX(0,MIN(S122,U122-V122)))</f>
        <v/>
      </c>
      <c r="X122">
        <f>IF(C122="",0,IFERROR(VLOOKUP(C122,'Parties'!$B$13:$Q$112,15,FALSE),0))</f>
        <v/>
      </c>
      <c r="Y122">
        <f>IF(C122="","",IFERROR(VLOOKUP(C122,'Parties'!$B$13:$Q$112,16,FALSE),0))</f>
        <v/>
      </c>
      <c r="Z122">
        <f>IF(OR(S122=0,B122="",Y122=""),"",IF(AND(F122&lt;&gt;"",D122="Purchase bill"),F122,B122)+Y122)</f>
        <v/>
      </c>
      <c r="AA122">
        <f>IF(OR(W122=0,Z122=""),0,MAX(0,'Outstanding'!$E$5-Z122))</f>
        <v/>
      </c>
      <c r="AB122">
        <f>IF(AND(X122=1,AA122&gt;0),W122*((1+3*N('Parties'!$E$10)/12)^(AA122*12/365)-1),0)</f>
        <v/>
      </c>
      <c r="AC122">
        <f>IF(W122=0,"",'Outstanding'!$E$5-B122)</f>
        <v/>
      </c>
      <c r="AD122">
        <f>IF(S122=0,0,IFERROR(VLOOKUP(C122,'Parties'!$B$13:$Q$112,14,FALSE),0)+SUMIFS($T$7:$T$506,$C$7:$C$506,C122,$B$7:$B$506,"&lt;="&amp;'Parties'!$E$8))</f>
        <v/>
      </c>
      <c r="AE122">
        <f>IF(OR('Parties'!$E$8="",S122=0,B122="",B122&gt;'Parties'!$E$8),0,MAX(0,MIN(S122,U122-AD122)))</f>
        <v/>
      </c>
      <c r="AF122">
        <f>IF(AND(P122="Creditor",X122=1,AE122&gt;0,Z122&lt;&gt;""),IF(Z122&lt;='Parties'!$E$8,AE122,0),0)</f>
        <v/>
      </c>
      <c r="AG122">
        <f>IF(OR(AE122=0,Z122=""),0,MAX(0,'Parties'!$E$8-Z122))</f>
        <v/>
      </c>
      <c r="AH122">
        <f>IF(AND(P122="Creditor",X122=1,AG122&gt;0),AE122*((1+3*N('Parties'!$E$10)/12)^(AG122*12/365)-1),0)</f>
        <v/>
      </c>
      <c r="AI122">
        <f>IF(AND(C122&lt;&gt;"",C122='Ledger Account'!$D$4,B122&lt;&gt;"",B122&gt;='Ledger Account'!$D$5,B122&lt;='Ledger Account'!$D$6),1,0)</f>
        <v/>
      </c>
      <c r="AJ122">
        <f>IF(AI122=1,SUM(AI$7:AI122),"")</f>
        <v/>
      </c>
      <c r="AK122">
        <f>IF(OR(N122="",N122="OK"),0,1)</f>
        <v/>
      </c>
    </row>
    <row r="123">
      <c r="B123" s="24" t="n"/>
      <c r="C123" s="14" t="n"/>
      <c r="D123" s="14" t="n"/>
      <c r="E123" s="20" t="n"/>
      <c r="F123" s="24" t="n"/>
      <c r="G123" s="14" t="n"/>
      <c r="H123" s="22" t="n"/>
      <c r="I123" s="25">
        <f>IF(Q123="D",N(H123),0)</f>
        <v/>
      </c>
      <c r="J123" s="25">
        <f>IF(Q123="C",N(H123),0)</f>
        <v/>
      </c>
      <c r="K123" s="26">
        <f>IF(Z123="","",Z123)</f>
        <v/>
      </c>
      <c r="L123" s="27">
        <f>W123</f>
        <v/>
      </c>
      <c r="M123" s="28">
        <f>AA123</f>
        <v/>
      </c>
      <c r="N123" s="23">
        <f>IF(AND(B123="",C123="",D123="",N(H123)=0),"",IF(B123="","Enter the date",IF(C123="","Pick the party",IF(P123="?","Add this party on the Parties sheet first",IF(D123="","Pick the entry type",IF(Q123="?","Pick the entry type from the list",IF(N(H123)=0,"Enter the amount",IF(AND(R123&lt;&gt;"Any",R123&lt;&gt;P123),"Sales, receipts and credit notes are for debtors; purchases, payments and debit notes for creditors",IF(AND(F123&lt;&gt;"",D123&lt;&gt;"Purchase bill"),"The received-on date is only for purchase bills",IF(AND(P123="Creditor",X123=1,AA123&gt;0),"Past due to a micro or small supplier: interest runs under MSMED s.16, and if unpaid at year end it is not deductible that year, s.37(2)(g)",IF(AND(P123="Debtor",X123=1,AA123&gt;0),"Past due to you: as a micro or small supplier you can claim interest under MSMED s.16","OK")))))))))))</f>
        <v/>
      </c>
      <c r="P123">
        <f>IF(C123="","",IFERROR(VLOOKUP(C123,'Parties'!$B$13:$Q$112,2,FALSE),"?"))</f>
        <v/>
      </c>
      <c r="Q123">
        <f>IF(D123="","",IFERROR(VLOOKUP(D123,Lists!$A$2:$D$9,3,FALSE),"?"))</f>
        <v/>
      </c>
      <c r="R123">
        <f>IF(D123="","",IFERROR(VLOOKUP(D123,Lists!$A$2:$D$9,4,FALSE),"?"))</f>
        <v/>
      </c>
      <c r="S123">
        <f>IF(P123="Debtor",I123,IF(P123="Creditor",J123,0))</f>
        <v/>
      </c>
      <c r="T123">
        <f>IF(P123="Debtor",J123,IF(P123="Creditor",I123,0))</f>
        <v/>
      </c>
      <c r="U123">
        <f>IF(OR(S123=0,B123=""),0,IFERROR(VLOOKUP(C123,'Parties'!$B$13:$Q$112,13,FALSE),0)+SUMIFS($S$7:$S$506,$C$7:$C$506,C123,$B$7:$B$506,"&lt;"&amp;B123)+SUMIFS(S$7:S123,C$7:C123,C123,B$7:B123,B123))</f>
        <v/>
      </c>
      <c r="V123">
        <f>IF(S123=0,0,IFERROR(VLOOKUP(C123,'Parties'!$B$13:$Q$112,14,FALSE),0)+SUMIFS($T$7:$T$506,$C$7:$C$506,C123,$B$7:$B$506,"&lt;="&amp;'Outstanding'!$E$5))</f>
        <v/>
      </c>
      <c r="W123">
        <f>IF(OR('Outstanding'!$E$5="",S123=0,B123="",B123&gt;'Outstanding'!$E$5),0,MAX(0,MIN(S123,U123-V123)))</f>
        <v/>
      </c>
      <c r="X123">
        <f>IF(C123="",0,IFERROR(VLOOKUP(C123,'Parties'!$B$13:$Q$112,15,FALSE),0))</f>
        <v/>
      </c>
      <c r="Y123">
        <f>IF(C123="","",IFERROR(VLOOKUP(C123,'Parties'!$B$13:$Q$112,16,FALSE),0))</f>
        <v/>
      </c>
      <c r="Z123">
        <f>IF(OR(S123=0,B123="",Y123=""),"",IF(AND(F123&lt;&gt;"",D123="Purchase bill"),F123,B123)+Y123)</f>
        <v/>
      </c>
      <c r="AA123">
        <f>IF(OR(W123=0,Z123=""),0,MAX(0,'Outstanding'!$E$5-Z123))</f>
        <v/>
      </c>
      <c r="AB123">
        <f>IF(AND(X123=1,AA123&gt;0),W123*((1+3*N('Parties'!$E$10)/12)^(AA123*12/365)-1),0)</f>
        <v/>
      </c>
      <c r="AC123">
        <f>IF(W123=0,"",'Outstanding'!$E$5-B123)</f>
        <v/>
      </c>
      <c r="AD123">
        <f>IF(S123=0,0,IFERROR(VLOOKUP(C123,'Parties'!$B$13:$Q$112,14,FALSE),0)+SUMIFS($T$7:$T$506,$C$7:$C$506,C123,$B$7:$B$506,"&lt;="&amp;'Parties'!$E$8))</f>
        <v/>
      </c>
      <c r="AE123">
        <f>IF(OR('Parties'!$E$8="",S123=0,B123="",B123&gt;'Parties'!$E$8),0,MAX(0,MIN(S123,U123-AD123)))</f>
        <v/>
      </c>
      <c r="AF123">
        <f>IF(AND(P123="Creditor",X123=1,AE123&gt;0,Z123&lt;&gt;""),IF(Z123&lt;='Parties'!$E$8,AE123,0),0)</f>
        <v/>
      </c>
      <c r="AG123">
        <f>IF(OR(AE123=0,Z123=""),0,MAX(0,'Parties'!$E$8-Z123))</f>
        <v/>
      </c>
      <c r="AH123">
        <f>IF(AND(P123="Creditor",X123=1,AG123&gt;0),AE123*((1+3*N('Parties'!$E$10)/12)^(AG123*12/365)-1),0)</f>
        <v/>
      </c>
      <c r="AI123">
        <f>IF(AND(C123&lt;&gt;"",C123='Ledger Account'!$D$4,B123&lt;&gt;"",B123&gt;='Ledger Account'!$D$5,B123&lt;='Ledger Account'!$D$6),1,0)</f>
        <v/>
      </c>
      <c r="AJ123">
        <f>IF(AI123=1,SUM(AI$7:AI123),"")</f>
        <v/>
      </c>
      <c r="AK123">
        <f>IF(OR(N123="",N123="OK"),0,1)</f>
        <v/>
      </c>
    </row>
    <row r="124">
      <c r="B124" s="24" t="n"/>
      <c r="C124" s="14" t="n"/>
      <c r="D124" s="14" t="n"/>
      <c r="E124" s="20" t="n"/>
      <c r="F124" s="24" t="n"/>
      <c r="G124" s="14" t="n"/>
      <c r="H124" s="22" t="n"/>
      <c r="I124" s="25">
        <f>IF(Q124="D",N(H124),0)</f>
        <v/>
      </c>
      <c r="J124" s="25">
        <f>IF(Q124="C",N(H124),0)</f>
        <v/>
      </c>
      <c r="K124" s="26">
        <f>IF(Z124="","",Z124)</f>
        <v/>
      </c>
      <c r="L124" s="27">
        <f>W124</f>
        <v/>
      </c>
      <c r="M124" s="28">
        <f>AA124</f>
        <v/>
      </c>
      <c r="N124" s="23">
        <f>IF(AND(B124="",C124="",D124="",N(H124)=0),"",IF(B124="","Enter the date",IF(C124="","Pick the party",IF(P124="?","Add this party on the Parties sheet first",IF(D124="","Pick the entry type",IF(Q124="?","Pick the entry type from the list",IF(N(H124)=0,"Enter the amount",IF(AND(R124&lt;&gt;"Any",R124&lt;&gt;P124),"Sales, receipts and credit notes are for debtors; purchases, payments and debit notes for creditors",IF(AND(F124&lt;&gt;"",D124&lt;&gt;"Purchase bill"),"The received-on date is only for purchase bills",IF(AND(P124="Creditor",X124=1,AA124&gt;0),"Past due to a micro or small supplier: interest runs under MSMED s.16, and if unpaid at year end it is not deductible that year, s.37(2)(g)",IF(AND(P124="Debtor",X124=1,AA124&gt;0),"Past due to you: as a micro or small supplier you can claim interest under MSMED s.16","OK")))))))))))</f>
        <v/>
      </c>
      <c r="P124">
        <f>IF(C124="","",IFERROR(VLOOKUP(C124,'Parties'!$B$13:$Q$112,2,FALSE),"?"))</f>
        <v/>
      </c>
      <c r="Q124">
        <f>IF(D124="","",IFERROR(VLOOKUP(D124,Lists!$A$2:$D$9,3,FALSE),"?"))</f>
        <v/>
      </c>
      <c r="R124">
        <f>IF(D124="","",IFERROR(VLOOKUP(D124,Lists!$A$2:$D$9,4,FALSE),"?"))</f>
        <v/>
      </c>
      <c r="S124">
        <f>IF(P124="Debtor",I124,IF(P124="Creditor",J124,0))</f>
        <v/>
      </c>
      <c r="T124">
        <f>IF(P124="Debtor",J124,IF(P124="Creditor",I124,0))</f>
        <v/>
      </c>
      <c r="U124">
        <f>IF(OR(S124=0,B124=""),0,IFERROR(VLOOKUP(C124,'Parties'!$B$13:$Q$112,13,FALSE),0)+SUMIFS($S$7:$S$506,$C$7:$C$506,C124,$B$7:$B$506,"&lt;"&amp;B124)+SUMIFS(S$7:S124,C$7:C124,C124,B$7:B124,B124))</f>
        <v/>
      </c>
      <c r="V124">
        <f>IF(S124=0,0,IFERROR(VLOOKUP(C124,'Parties'!$B$13:$Q$112,14,FALSE),0)+SUMIFS($T$7:$T$506,$C$7:$C$506,C124,$B$7:$B$506,"&lt;="&amp;'Outstanding'!$E$5))</f>
        <v/>
      </c>
      <c r="W124">
        <f>IF(OR('Outstanding'!$E$5="",S124=0,B124="",B124&gt;'Outstanding'!$E$5),0,MAX(0,MIN(S124,U124-V124)))</f>
        <v/>
      </c>
      <c r="X124">
        <f>IF(C124="",0,IFERROR(VLOOKUP(C124,'Parties'!$B$13:$Q$112,15,FALSE),0))</f>
        <v/>
      </c>
      <c r="Y124">
        <f>IF(C124="","",IFERROR(VLOOKUP(C124,'Parties'!$B$13:$Q$112,16,FALSE),0))</f>
        <v/>
      </c>
      <c r="Z124">
        <f>IF(OR(S124=0,B124="",Y124=""),"",IF(AND(F124&lt;&gt;"",D124="Purchase bill"),F124,B124)+Y124)</f>
        <v/>
      </c>
      <c r="AA124">
        <f>IF(OR(W124=0,Z124=""),0,MAX(0,'Outstanding'!$E$5-Z124))</f>
        <v/>
      </c>
      <c r="AB124">
        <f>IF(AND(X124=1,AA124&gt;0),W124*((1+3*N('Parties'!$E$10)/12)^(AA124*12/365)-1),0)</f>
        <v/>
      </c>
      <c r="AC124">
        <f>IF(W124=0,"",'Outstanding'!$E$5-B124)</f>
        <v/>
      </c>
      <c r="AD124">
        <f>IF(S124=0,0,IFERROR(VLOOKUP(C124,'Parties'!$B$13:$Q$112,14,FALSE),0)+SUMIFS($T$7:$T$506,$C$7:$C$506,C124,$B$7:$B$506,"&lt;="&amp;'Parties'!$E$8))</f>
        <v/>
      </c>
      <c r="AE124">
        <f>IF(OR('Parties'!$E$8="",S124=0,B124="",B124&gt;'Parties'!$E$8),0,MAX(0,MIN(S124,U124-AD124)))</f>
        <v/>
      </c>
      <c r="AF124">
        <f>IF(AND(P124="Creditor",X124=1,AE124&gt;0,Z124&lt;&gt;""),IF(Z124&lt;='Parties'!$E$8,AE124,0),0)</f>
        <v/>
      </c>
      <c r="AG124">
        <f>IF(OR(AE124=0,Z124=""),0,MAX(0,'Parties'!$E$8-Z124))</f>
        <v/>
      </c>
      <c r="AH124">
        <f>IF(AND(P124="Creditor",X124=1,AG124&gt;0),AE124*((1+3*N('Parties'!$E$10)/12)^(AG124*12/365)-1),0)</f>
        <v/>
      </c>
      <c r="AI124">
        <f>IF(AND(C124&lt;&gt;"",C124='Ledger Account'!$D$4,B124&lt;&gt;"",B124&gt;='Ledger Account'!$D$5,B124&lt;='Ledger Account'!$D$6),1,0)</f>
        <v/>
      </c>
      <c r="AJ124">
        <f>IF(AI124=1,SUM(AI$7:AI124),"")</f>
        <v/>
      </c>
      <c r="AK124">
        <f>IF(OR(N124="",N124="OK"),0,1)</f>
        <v/>
      </c>
    </row>
    <row r="125">
      <c r="B125" s="24" t="n"/>
      <c r="C125" s="14" t="n"/>
      <c r="D125" s="14" t="n"/>
      <c r="E125" s="20" t="n"/>
      <c r="F125" s="24" t="n"/>
      <c r="G125" s="14" t="n"/>
      <c r="H125" s="22" t="n"/>
      <c r="I125" s="25">
        <f>IF(Q125="D",N(H125),0)</f>
        <v/>
      </c>
      <c r="J125" s="25">
        <f>IF(Q125="C",N(H125),0)</f>
        <v/>
      </c>
      <c r="K125" s="26">
        <f>IF(Z125="","",Z125)</f>
        <v/>
      </c>
      <c r="L125" s="27">
        <f>W125</f>
        <v/>
      </c>
      <c r="M125" s="28">
        <f>AA125</f>
        <v/>
      </c>
      <c r="N125" s="23">
        <f>IF(AND(B125="",C125="",D125="",N(H125)=0),"",IF(B125="","Enter the date",IF(C125="","Pick the party",IF(P125="?","Add this party on the Parties sheet first",IF(D125="","Pick the entry type",IF(Q125="?","Pick the entry type from the list",IF(N(H125)=0,"Enter the amount",IF(AND(R125&lt;&gt;"Any",R125&lt;&gt;P125),"Sales, receipts and credit notes are for debtors; purchases, payments and debit notes for creditors",IF(AND(F125&lt;&gt;"",D125&lt;&gt;"Purchase bill"),"The received-on date is only for purchase bills",IF(AND(P125="Creditor",X125=1,AA125&gt;0),"Past due to a micro or small supplier: interest runs under MSMED s.16, and if unpaid at year end it is not deductible that year, s.37(2)(g)",IF(AND(P125="Debtor",X125=1,AA125&gt;0),"Past due to you: as a micro or small supplier you can claim interest under MSMED s.16","OK")))))))))))</f>
        <v/>
      </c>
      <c r="P125">
        <f>IF(C125="","",IFERROR(VLOOKUP(C125,'Parties'!$B$13:$Q$112,2,FALSE),"?"))</f>
        <v/>
      </c>
      <c r="Q125">
        <f>IF(D125="","",IFERROR(VLOOKUP(D125,Lists!$A$2:$D$9,3,FALSE),"?"))</f>
        <v/>
      </c>
      <c r="R125">
        <f>IF(D125="","",IFERROR(VLOOKUP(D125,Lists!$A$2:$D$9,4,FALSE),"?"))</f>
        <v/>
      </c>
      <c r="S125">
        <f>IF(P125="Debtor",I125,IF(P125="Creditor",J125,0))</f>
        <v/>
      </c>
      <c r="T125">
        <f>IF(P125="Debtor",J125,IF(P125="Creditor",I125,0))</f>
        <v/>
      </c>
      <c r="U125">
        <f>IF(OR(S125=0,B125=""),0,IFERROR(VLOOKUP(C125,'Parties'!$B$13:$Q$112,13,FALSE),0)+SUMIFS($S$7:$S$506,$C$7:$C$506,C125,$B$7:$B$506,"&lt;"&amp;B125)+SUMIFS(S$7:S125,C$7:C125,C125,B$7:B125,B125))</f>
        <v/>
      </c>
      <c r="V125">
        <f>IF(S125=0,0,IFERROR(VLOOKUP(C125,'Parties'!$B$13:$Q$112,14,FALSE),0)+SUMIFS($T$7:$T$506,$C$7:$C$506,C125,$B$7:$B$506,"&lt;="&amp;'Outstanding'!$E$5))</f>
        <v/>
      </c>
      <c r="W125">
        <f>IF(OR('Outstanding'!$E$5="",S125=0,B125="",B125&gt;'Outstanding'!$E$5),0,MAX(0,MIN(S125,U125-V125)))</f>
        <v/>
      </c>
      <c r="X125">
        <f>IF(C125="",0,IFERROR(VLOOKUP(C125,'Parties'!$B$13:$Q$112,15,FALSE),0))</f>
        <v/>
      </c>
      <c r="Y125">
        <f>IF(C125="","",IFERROR(VLOOKUP(C125,'Parties'!$B$13:$Q$112,16,FALSE),0))</f>
        <v/>
      </c>
      <c r="Z125">
        <f>IF(OR(S125=0,B125="",Y125=""),"",IF(AND(F125&lt;&gt;"",D125="Purchase bill"),F125,B125)+Y125)</f>
        <v/>
      </c>
      <c r="AA125">
        <f>IF(OR(W125=0,Z125=""),0,MAX(0,'Outstanding'!$E$5-Z125))</f>
        <v/>
      </c>
      <c r="AB125">
        <f>IF(AND(X125=1,AA125&gt;0),W125*((1+3*N('Parties'!$E$10)/12)^(AA125*12/365)-1),0)</f>
        <v/>
      </c>
      <c r="AC125">
        <f>IF(W125=0,"",'Outstanding'!$E$5-B125)</f>
        <v/>
      </c>
      <c r="AD125">
        <f>IF(S125=0,0,IFERROR(VLOOKUP(C125,'Parties'!$B$13:$Q$112,14,FALSE),0)+SUMIFS($T$7:$T$506,$C$7:$C$506,C125,$B$7:$B$506,"&lt;="&amp;'Parties'!$E$8))</f>
        <v/>
      </c>
      <c r="AE125">
        <f>IF(OR('Parties'!$E$8="",S125=0,B125="",B125&gt;'Parties'!$E$8),0,MAX(0,MIN(S125,U125-AD125)))</f>
        <v/>
      </c>
      <c r="AF125">
        <f>IF(AND(P125="Creditor",X125=1,AE125&gt;0,Z125&lt;&gt;""),IF(Z125&lt;='Parties'!$E$8,AE125,0),0)</f>
        <v/>
      </c>
      <c r="AG125">
        <f>IF(OR(AE125=0,Z125=""),0,MAX(0,'Parties'!$E$8-Z125))</f>
        <v/>
      </c>
      <c r="AH125">
        <f>IF(AND(P125="Creditor",X125=1,AG125&gt;0),AE125*((1+3*N('Parties'!$E$10)/12)^(AG125*12/365)-1),0)</f>
        <v/>
      </c>
      <c r="AI125">
        <f>IF(AND(C125&lt;&gt;"",C125='Ledger Account'!$D$4,B125&lt;&gt;"",B125&gt;='Ledger Account'!$D$5,B125&lt;='Ledger Account'!$D$6),1,0)</f>
        <v/>
      </c>
      <c r="AJ125">
        <f>IF(AI125=1,SUM(AI$7:AI125),"")</f>
        <v/>
      </c>
      <c r="AK125">
        <f>IF(OR(N125="",N125="OK"),0,1)</f>
        <v/>
      </c>
    </row>
    <row r="126">
      <c r="B126" s="24" t="n"/>
      <c r="C126" s="14" t="n"/>
      <c r="D126" s="14" t="n"/>
      <c r="E126" s="20" t="n"/>
      <c r="F126" s="24" t="n"/>
      <c r="G126" s="14" t="n"/>
      <c r="H126" s="22" t="n"/>
      <c r="I126" s="25">
        <f>IF(Q126="D",N(H126),0)</f>
        <v/>
      </c>
      <c r="J126" s="25">
        <f>IF(Q126="C",N(H126),0)</f>
        <v/>
      </c>
      <c r="K126" s="26">
        <f>IF(Z126="","",Z126)</f>
        <v/>
      </c>
      <c r="L126" s="27">
        <f>W126</f>
        <v/>
      </c>
      <c r="M126" s="28">
        <f>AA126</f>
        <v/>
      </c>
      <c r="N126" s="23">
        <f>IF(AND(B126="",C126="",D126="",N(H126)=0),"",IF(B126="","Enter the date",IF(C126="","Pick the party",IF(P126="?","Add this party on the Parties sheet first",IF(D126="","Pick the entry type",IF(Q126="?","Pick the entry type from the list",IF(N(H126)=0,"Enter the amount",IF(AND(R126&lt;&gt;"Any",R126&lt;&gt;P126),"Sales, receipts and credit notes are for debtors; purchases, payments and debit notes for creditors",IF(AND(F126&lt;&gt;"",D126&lt;&gt;"Purchase bill"),"The received-on date is only for purchase bills",IF(AND(P126="Creditor",X126=1,AA126&gt;0),"Past due to a micro or small supplier: interest runs under MSMED s.16, and if unpaid at year end it is not deductible that year, s.37(2)(g)",IF(AND(P126="Debtor",X126=1,AA126&gt;0),"Past due to you: as a micro or small supplier you can claim interest under MSMED s.16","OK")))))))))))</f>
        <v/>
      </c>
      <c r="P126">
        <f>IF(C126="","",IFERROR(VLOOKUP(C126,'Parties'!$B$13:$Q$112,2,FALSE),"?"))</f>
        <v/>
      </c>
      <c r="Q126">
        <f>IF(D126="","",IFERROR(VLOOKUP(D126,Lists!$A$2:$D$9,3,FALSE),"?"))</f>
        <v/>
      </c>
      <c r="R126">
        <f>IF(D126="","",IFERROR(VLOOKUP(D126,Lists!$A$2:$D$9,4,FALSE),"?"))</f>
        <v/>
      </c>
      <c r="S126">
        <f>IF(P126="Debtor",I126,IF(P126="Creditor",J126,0))</f>
        <v/>
      </c>
      <c r="T126">
        <f>IF(P126="Debtor",J126,IF(P126="Creditor",I126,0))</f>
        <v/>
      </c>
      <c r="U126">
        <f>IF(OR(S126=0,B126=""),0,IFERROR(VLOOKUP(C126,'Parties'!$B$13:$Q$112,13,FALSE),0)+SUMIFS($S$7:$S$506,$C$7:$C$506,C126,$B$7:$B$506,"&lt;"&amp;B126)+SUMIFS(S$7:S126,C$7:C126,C126,B$7:B126,B126))</f>
        <v/>
      </c>
      <c r="V126">
        <f>IF(S126=0,0,IFERROR(VLOOKUP(C126,'Parties'!$B$13:$Q$112,14,FALSE),0)+SUMIFS($T$7:$T$506,$C$7:$C$506,C126,$B$7:$B$506,"&lt;="&amp;'Outstanding'!$E$5))</f>
        <v/>
      </c>
      <c r="W126">
        <f>IF(OR('Outstanding'!$E$5="",S126=0,B126="",B126&gt;'Outstanding'!$E$5),0,MAX(0,MIN(S126,U126-V126)))</f>
        <v/>
      </c>
      <c r="X126">
        <f>IF(C126="",0,IFERROR(VLOOKUP(C126,'Parties'!$B$13:$Q$112,15,FALSE),0))</f>
        <v/>
      </c>
      <c r="Y126">
        <f>IF(C126="","",IFERROR(VLOOKUP(C126,'Parties'!$B$13:$Q$112,16,FALSE),0))</f>
        <v/>
      </c>
      <c r="Z126">
        <f>IF(OR(S126=0,B126="",Y126=""),"",IF(AND(F126&lt;&gt;"",D126="Purchase bill"),F126,B126)+Y126)</f>
        <v/>
      </c>
      <c r="AA126">
        <f>IF(OR(W126=0,Z126=""),0,MAX(0,'Outstanding'!$E$5-Z126))</f>
        <v/>
      </c>
      <c r="AB126">
        <f>IF(AND(X126=1,AA126&gt;0),W126*((1+3*N('Parties'!$E$10)/12)^(AA126*12/365)-1),0)</f>
        <v/>
      </c>
      <c r="AC126">
        <f>IF(W126=0,"",'Outstanding'!$E$5-B126)</f>
        <v/>
      </c>
      <c r="AD126">
        <f>IF(S126=0,0,IFERROR(VLOOKUP(C126,'Parties'!$B$13:$Q$112,14,FALSE),0)+SUMIFS($T$7:$T$506,$C$7:$C$506,C126,$B$7:$B$506,"&lt;="&amp;'Parties'!$E$8))</f>
        <v/>
      </c>
      <c r="AE126">
        <f>IF(OR('Parties'!$E$8="",S126=0,B126="",B126&gt;'Parties'!$E$8),0,MAX(0,MIN(S126,U126-AD126)))</f>
        <v/>
      </c>
      <c r="AF126">
        <f>IF(AND(P126="Creditor",X126=1,AE126&gt;0,Z126&lt;&gt;""),IF(Z126&lt;='Parties'!$E$8,AE126,0),0)</f>
        <v/>
      </c>
      <c r="AG126">
        <f>IF(OR(AE126=0,Z126=""),0,MAX(0,'Parties'!$E$8-Z126))</f>
        <v/>
      </c>
      <c r="AH126">
        <f>IF(AND(P126="Creditor",X126=1,AG126&gt;0),AE126*((1+3*N('Parties'!$E$10)/12)^(AG126*12/365)-1),0)</f>
        <v/>
      </c>
      <c r="AI126">
        <f>IF(AND(C126&lt;&gt;"",C126='Ledger Account'!$D$4,B126&lt;&gt;"",B126&gt;='Ledger Account'!$D$5,B126&lt;='Ledger Account'!$D$6),1,0)</f>
        <v/>
      </c>
      <c r="AJ126">
        <f>IF(AI126=1,SUM(AI$7:AI126),"")</f>
        <v/>
      </c>
      <c r="AK126">
        <f>IF(OR(N126="",N126="OK"),0,1)</f>
        <v/>
      </c>
    </row>
    <row r="127">
      <c r="B127" s="24" t="n"/>
      <c r="C127" s="14" t="n"/>
      <c r="D127" s="14" t="n"/>
      <c r="E127" s="20" t="n"/>
      <c r="F127" s="24" t="n"/>
      <c r="G127" s="14" t="n"/>
      <c r="H127" s="22" t="n"/>
      <c r="I127" s="25">
        <f>IF(Q127="D",N(H127),0)</f>
        <v/>
      </c>
      <c r="J127" s="25">
        <f>IF(Q127="C",N(H127),0)</f>
        <v/>
      </c>
      <c r="K127" s="26">
        <f>IF(Z127="","",Z127)</f>
        <v/>
      </c>
      <c r="L127" s="27">
        <f>W127</f>
        <v/>
      </c>
      <c r="M127" s="28">
        <f>AA127</f>
        <v/>
      </c>
      <c r="N127" s="23">
        <f>IF(AND(B127="",C127="",D127="",N(H127)=0),"",IF(B127="","Enter the date",IF(C127="","Pick the party",IF(P127="?","Add this party on the Parties sheet first",IF(D127="","Pick the entry type",IF(Q127="?","Pick the entry type from the list",IF(N(H127)=0,"Enter the amount",IF(AND(R127&lt;&gt;"Any",R127&lt;&gt;P127),"Sales, receipts and credit notes are for debtors; purchases, payments and debit notes for creditors",IF(AND(F127&lt;&gt;"",D127&lt;&gt;"Purchase bill"),"The received-on date is only for purchase bills",IF(AND(P127="Creditor",X127=1,AA127&gt;0),"Past due to a micro or small supplier: interest runs under MSMED s.16, and if unpaid at year end it is not deductible that year, s.37(2)(g)",IF(AND(P127="Debtor",X127=1,AA127&gt;0),"Past due to you: as a micro or small supplier you can claim interest under MSMED s.16","OK")))))))))))</f>
        <v/>
      </c>
      <c r="P127">
        <f>IF(C127="","",IFERROR(VLOOKUP(C127,'Parties'!$B$13:$Q$112,2,FALSE),"?"))</f>
        <v/>
      </c>
      <c r="Q127">
        <f>IF(D127="","",IFERROR(VLOOKUP(D127,Lists!$A$2:$D$9,3,FALSE),"?"))</f>
        <v/>
      </c>
      <c r="R127">
        <f>IF(D127="","",IFERROR(VLOOKUP(D127,Lists!$A$2:$D$9,4,FALSE),"?"))</f>
        <v/>
      </c>
      <c r="S127">
        <f>IF(P127="Debtor",I127,IF(P127="Creditor",J127,0))</f>
        <v/>
      </c>
      <c r="T127">
        <f>IF(P127="Debtor",J127,IF(P127="Creditor",I127,0))</f>
        <v/>
      </c>
      <c r="U127">
        <f>IF(OR(S127=0,B127=""),0,IFERROR(VLOOKUP(C127,'Parties'!$B$13:$Q$112,13,FALSE),0)+SUMIFS($S$7:$S$506,$C$7:$C$506,C127,$B$7:$B$506,"&lt;"&amp;B127)+SUMIFS(S$7:S127,C$7:C127,C127,B$7:B127,B127))</f>
        <v/>
      </c>
      <c r="V127">
        <f>IF(S127=0,0,IFERROR(VLOOKUP(C127,'Parties'!$B$13:$Q$112,14,FALSE),0)+SUMIFS($T$7:$T$506,$C$7:$C$506,C127,$B$7:$B$506,"&lt;="&amp;'Outstanding'!$E$5))</f>
        <v/>
      </c>
      <c r="W127">
        <f>IF(OR('Outstanding'!$E$5="",S127=0,B127="",B127&gt;'Outstanding'!$E$5),0,MAX(0,MIN(S127,U127-V127)))</f>
        <v/>
      </c>
      <c r="X127">
        <f>IF(C127="",0,IFERROR(VLOOKUP(C127,'Parties'!$B$13:$Q$112,15,FALSE),0))</f>
        <v/>
      </c>
      <c r="Y127">
        <f>IF(C127="","",IFERROR(VLOOKUP(C127,'Parties'!$B$13:$Q$112,16,FALSE),0))</f>
        <v/>
      </c>
      <c r="Z127">
        <f>IF(OR(S127=0,B127="",Y127=""),"",IF(AND(F127&lt;&gt;"",D127="Purchase bill"),F127,B127)+Y127)</f>
        <v/>
      </c>
      <c r="AA127">
        <f>IF(OR(W127=0,Z127=""),0,MAX(0,'Outstanding'!$E$5-Z127))</f>
        <v/>
      </c>
      <c r="AB127">
        <f>IF(AND(X127=1,AA127&gt;0),W127*((1+3*N('Parties'!$E$10)/12)^(AA127*12/365)-1),0)</f>
        <v/>
      </c>
      <c r="AC127">
        <f>IF(W127=0,"",'Outstanding'!$E$5-B127)</f>
        <v/>
      </c>
      <c r="AD127">
        <f>IF(S127=0,0,IFERROR(VLOOKUP(C127,'Parties'!$B$13:$Q$112,14,FALSE),0)+SUMIFS($T$7:$T$506,$C$7:$C$506,C127,$B$7:$B$506,"&lt;="&amp;'Parties'!$E$8))</f>
        <v/>
      </c>
      <c r="AE127">
        <f>IF(OR('Parties'!$E$8="",S127=0,B127="",B127&gt;'Parties'!$E$8),0,MAX(0,MIN(S127,U127-AD127)))</f>
        <v/>
      </c>
      <c r="AF127">
        <f>IF(AND(P127="Creditor",X127=1,AE127&gt;0,Z127&lt;&gt;""),IF(Z127&lt;='Parties'!$E$8,AE127,0),0)</f>
        <v/>
      </c>
      <c r="AG127">
        <f>IF(OR(AE127=0,Z127=""),0,MAX(0,'Parties'!$E$8-Z127))</f>
        <v/>
      </c>
      <c r="AH127">
        <f>IF(AND(P127="Creditor",X127=1,AG127&gt;0),AE127*((1+3*N('Parties'!$E$10)/12)^(AG127*12/365)-1),0)</f>
        <v/>
      </c>
      <c r="AI127">
        <f>IF(AND(C127&lt;&gt;"",C127='Ledger Account'!$D$4,B127&lt;&gt;"",B127&gt;='Ledger Account'!$D$5,B127&lt;='Ledger Account'!$D$6),1,0)</f>
        <v/>
      </c>
      <c r="AJ127">
        <f>IF(AI127=1,SUM(AI$7:AI127),"")</f>
        <v/>
      </c>
      <c r="AK127">
        <f>IF(OR(N127="",N127="OK"),0,1)</f>
        <v/>
      </c>
    </row>
    <row r="128">
      <c r="B128" s="24" t="n"/>
      <c r="C128" s="14" t="n"/>
      <c r="D128" s="14" t="n"/>
      <c r="E128" s="20" t="n"/>
      <c r="F128" s="24" t="n"/>
      <c r="G128" s="14" t="n"/>
      <c r="H128" s="22" t="n"/>
      <c r="I128" s="25">
        <f>IF(Q128="D",N(H128),0)</f>
        <v/>
      </c>
      <c r="J128" s="25">
        <f>IF(Q128="C",N(H128),0)</f>
        <v/>
      </c>
      <c r="K128" s="26">
        <f>IF(Z128="","",Z128)</f>
        <v/>
      </c>
      <c r="L128" s="27">
        <f>W128</f>
        <v/>
      </c>
      <c r="M128" s="28">
        <f>AA128</f>
        <v/>
      </c>
      <c r="N128" s="23">
        <f>IF(AND(B128="",C128="",D128="",N(H128)=0),"",IF(B128="","Enter the date",IF(C128="","Pick the party",IF(P128="?","Add this party on the Parties sheet first",IF(D128="","Pick the entry type",IF(Q128="?","Pick the entry type from the list",IF(N(H128)=0,"Enter the amount",IF(AND(R128&lt;&gt;"Any",R128&lt;&gt;P128),"Sales, receipts and credit notes are for debtors; purchases, payments and debit notes for creditors",IF(AND(F128&lt;&gt;"",D128&lt;&gt;"Purchase bill"),"The received-on date is only for purchase bills",IF(AND(P128="Creditor",X128=1,AA128&gt;0),"Past due to a micro or small supplier: interest runs under MSMED s.16, and if unpaid at year end it is not deductible that year, s.37(2)(g)",IF(AND(P128="Debtor",X128=1,AA128&gt;0),"Past due to you: as a micro or small supplier you can claim interest under MSMED s.16","OK")))))))))))</f>
        <v/>
      </c>
      <c r="P128">
        <f>IF(C128="","",IFERROR(VLOOKUP(C128,'Parties'!$B$13:$Q$112,2,FALSE),"?"))</f>
        <v/>
      </c>
      <c r="Q128">
        <f>IF(D128="","",IFERROR(VLOOKUP(D128,Lists!$A$2:$D$9,3,FALSE),"?"))</f>
        <v/>
      </c>
      <c r="R128">
        <f>IF(D128="","",IFERROR(VLOOKUP(D128,Lists!$A$2:$D$9,4,FALSE),"?"))</f>
        <v/>
      </c>
      <c r="S128">
        <f>IF(P128="Debtor",I128,IF(P128="Creditor",J128,0))</f>
        <v/>
      </c>
      <c r="T128">
        <f>IF(P128="Debtor",J128,IF(P128="Creditor",I128,0))</f>
        <v/>
      </c>
      <c r="U128">
        <f>IF(OR(S128=0,B128=""),0,IFERROR(VLOOKUP(C128,'Parties'!$B$13:$Q$112,13,FALSE),0)+SUMIFS($S$7:$S$506,$C$7:$C$506,C128,$B$7:$B$506,"&lt;"&amp;B128)+SUMIFS(S$7:S128,C$7:C128,C128,B$7:B128,B128))</f>
        <v/>
      </c>
      <c r="V128">
        <f>IF(S128=0,0,IFERROR(VLOOKUP(C128,'Parties'!$B$13:$Q$112,14,FALSE),0)+SUMIFS($T$7:$T$506,$C$7:$C$506,C128,$B$7:$B$506,"&lt;="&amp;'Outstanding'!$E$5))</f>
        <v/>
      </c>
      <c r="W128">
        <f>IF(OR('Outstanding'!$E$5="",S128=0,B128="",B128&gt;'Outstanding'!$E$5),0,MAX(0,MIN(S128,U128-V128)))</f>
        <v/>
      </c>
      <c r="X128">
        <f>IF(C128="",0,IFERROR(VLOOKUP(C128,'Parties'!$B$13:$Q$112,15,FALSE),0))</f>
        <v/>
      </c>
      <c r="Y128">
        <f>IF(C128="","",IFERROR(VLOOKUP(C128,'Parties'!$B$13:$Q$112,16,FALSE),0))</f>
        <v/>
      </c>
      <c r="Z128">
        <f>IF(OR(S128=0,B128="",Y128=""),"",IF(AND(F128&lt;&gt;"",D128="Purchase bill"),F128,B128)+Y128)</f>
        <v/>
      </c>
      <c r="AA128">
        <f>IF(OR(W128=0,Z128=""),0,MAX(0,'Outstanding'!$E$5-Z128))</f>
        <v/>
      </c>
      <c r="AB128">
        <f>IF(AND(X128=1,AA128&gt;0),W128*((1+3*N('Parties'!$E$10)/12)^(AA128*12/365)-1),0)</f>
        <v/>
      </c>
      <c r="AC128">
        <f>IF(W128=0,"",'Outstanding'!$E$5-B128)</f>
        <v/>
      </c>
      <c r="AD128">
        <f>IF(S128=0,0,IFERROR(VLOOKUP(C128,'Parties'!$B$13:$Q$112,14,FALSE),0)+SUMIFS($T$7:$T$506,$C$7:$C$506,C128,$B$7:$B$506,"&lt;="&amp;'Parties'!$E$8))</f>
        <v/>
      </c>
      <c r="AE128">
        <f>IF(OR('Parties'!$E$8="",S128=0,B128="",B128&gt;'Parties'!$E$8),0,MAX(0,MIN(S128,U128-AD128)))</f>
        <v/>
      </c>
      <c r="AF128">
        <f>IF(AND(P128="Creditor",X128=1,AE128&gt;0,Z128&lt;&gt;""),IF(Z128&lt;='Parties'!$E$8,AE128,0),0)</f>
        <v/>
      </c>
      <c r="AG128">
        <f>IF(OR(AE128=0,Z128=""),0,MAX(0,'Parties'!$E$8-Z128))</f>
        <v/>
      </c>
      <c r="AH128">
        <f>IF(AND(P128="Creditor",X128=1,AG128&gt;0),AE128*((1+3*N('Parties'!$E$10)/12)^(AG128*12/365)-1),0)</f>
        <v/>
      </c>
      <c r="AI128">
        <f>IF(AND(C128&lt;&gt;"",C128='Ledger Account'!$D$4,B128&lt;&gt;"",B128&gt;='Ledger Account'!$D$5,B128&lt;='Ledger Account'!$D$6),1,0)</f>
        <v/>
      </c>
      <c r="AJ128">
        <f>IF(AI128=1,SUM(AI$7:AI128),"")</f>
        <v/>
      </c>
      <c r="AK128">
        <f>IF(OR(N128="",N128="OK"),0,1)</f>
        <v/>
      </c>
    </row>
    <row r="129">
      <c r="B129" s="24" t="n"/>
      <c r="C129" s="14" t="n"/>
      <c r="D129" s="14" t="n"/>
      <c r="E129" s="20" t="n"/>
      <c r="F129" s="24" t="n"/>
      <c r="G129" s="14" t="n"/>
      <c r="H129" s="22" t="n"/>
      <c r="I129" s="25">
        <f>IF(Q129="D",N(H129),0)</f>
        <v/>
      </c>
      <c r="J129" s="25">
        <f>IF(Q129="C",N(H129),0)</f>
        <v/>
      </c>
      <c r="K129" s="26">
        <f>IF(Z129="","",Z129)</f>
        <v/>
      </c>
      <c r="L129" s="27">
        <f>W129</f>
        <v/>
      </c>
      <c r="M129" s="28">
        <f>AA129</f>
        <v/>
      </c>
      <c r="N129" s="23">
        <f>IF(AND(B129="",C129="",D129="",N(H129)=0),"",IF(B129="","Enter the date",IF(C129="","Pick the party",IF(P129="?","Add this party on the Parties sheet first",IF(D129="","Pick the entry type",IF(Q129="?","Pick the entry type from the list",IF(N(H129)=0,"Enter the amount",IF(AND(R129&lt;&gt;"Any",R129&lt;&gt;P129),"Sales, receipts and credit notes are for debtors; purchases, payments and debit notes for creditors",IF(AND(F129&lt;&gt;"",D129&lt;&gt;"Purchase bill"),"The received-on date is only for purchase bills",IF(AND(P129="Creditor",X129=1,AA129&gt;0),"Past due to a micro or small supplier: interest runs under MSMED s.16, and if unpaid at year end it is not deductible that year, s.37(2)(g)",IF(AND(P129="Debtor",X129=1,AA129&gt;0),"Past due to you: as a micro or small supplier you can claim interest under MSMED s.16","OK")))))))))))</f>
        <v/>
      </c>
      <c r="P129">
        <f>IF(C129="","",IFERROR(VLOOKUP(C129,'Parties'!$B$13:$Q$112,2,FALSE),"?"))</f>
        <v/>
      </c>
      <c r="Q129">
        <f>IF(D129="","",IFERROR(VLOOKUP(D129,Lists!$A$2:$D$9,3,FALSE),"?"))</f>
        <v/>
      </c>
      <c r="R129">
        <f>IF(D129="","",IFERROR(VLOOKUP(D129,Lists!$A$2:$D$9,4,FALSE),"?"))</f>
        <v/>
      </c>
      <c r="S129">
        <f>IF(P129="Debtor",I129,IF(P129="Creditor",J129,0))</f>
        <v/>
      </c>
      <c r="T129">
        <f>IF(P129="Debtor",J129,IF(P129="Creditor",I129,0))</f>
        <v/>
      </c>
      <c r="U129">
        <f>IF(OR(S129=0,B129=""),0,IFERROR(VLOOKUP(C129,'Parties'!$B$13:$Q$112,13,FALSE),0)+SUMIFS($S$7:$S$506,$C$7:$C$506,C129,$B$7:$B$506,"&lt;"&amp;B129)+SUMIFS(S$7:S129,C$7:C129,C129,B$7:B129,B129))</f>
        <v/>
      </c>
      <c r="V129">
        <f>IF(S129=0,0,IFERROR(VLOOKUP(C129,'Parties'!$B$13:$Q$112,14,FALSE),0)+SUMIFS($T$7:$T$506,$C$7:$C$506,C129,$B$7:$B$506,"&lt;="&amp;'Outstanding'!$E$5))</f>
        <v/>
      </c>
      <c r="W129">
        <f>IF(OR('Outstanding'!$E$5="",S129=0,B129="",B129&gt;'Outstanding'!$E$5),0,MAX(0,MIN(S129,U129-V129)))</f>
        <v/>
      </c>
      <c r="X129">
        <f>IF(C129="",0,IFERROR(VLOOKUP(C129,'Parties'!$B$13:$Q$112,15,FALSE),0))</f>
        <v/>
      </c>
      <c r="Y129">
        <f>IF(C129="","",IFERROR(VLOOKUP(C129,'Parties'!$B$13:$Q$112,16,FALSE),0))</f>
        <v/>
      </c>
      <c r="Z129">
        <f>IF(OR(S129=0,B129="",Y129=""),"",IF(AND(F129&lt;&gt;"",D129="Purchase bill"),F129,B129)+Y129)</f>
        <v/>
      </c>
      <c r="AA129">
        <f>IF(OR(W129=0,Z129=""),0,MAX(0,'Outstanding'!$E$5-Z129))</f>
        <v/>
      </c>
      <c r="AB129">
        <f>IF(AND(X129=1,AA129&gt;0),W129*((1+3*N('Parties'!$E$10)/12)^(AA129*12/365)-1),0)</f>
        <v/>
      </c>
      <c r="AC129">
        <f>IF(W129=0,"",'Outstanding'!$E$5-B129)</f>
        <v/>
      </c>
      <c r="AD129">
        <f>IF(S129=0,0,IFERROR(VLOOKUP(C129,'Parties'!$B$13:$Q$112,14,FALSE),0)+SUMIFS($T$7:$T$506,$C$7:$C$506,C129,$B$7:$B$506,"&lt;="&amp;'Parties'!$E$8))</f>
        <v/>
      </c>
      <c r="AE129">
        <f>IF(OR('Parties'!$E$8="",S129=0,B129="",B129&gt;'Parties'!$E$8),0,MAX(0,MIN(S129,U129-AD129)))</f>
        <v/>
      </c>
      <c r="AF129">
        <f>IF(AND(P129="Creditor",X129=1,AE129&gt;0,Z129&lt;&gt;""),IF(Z129&lt;='Parties'!$E$8,AE129,0),0)</f>
        <v/>
      </c>
      <c r="AG129">
        <f>IF(OR(AE129=0,Z129=""),0,MAX(0,'Parties'!$E$8-Z129))</f>
        <v/>
      </c>
      <c r="AH129">
        <f>IF(AND(P129="Creditor",X129=1,AG129&gt;0),AE129*((1+3*N('Parties'!$E$10)/12)^(AG129*12/365)-1),0)</f>
        <v/>
      </c>
      <c r="AI129">
        <f>IF(AND(C129&lt;&gt;"",C129='Ledger Account'!$D$4,B129&lt;&gt;"",B129&gt;='Ledger Account'!$D$5,B129&lt;='Ledger Account'!$D$6),1,0)</f>
        <v/>
      </c>
      <c r="AJ129">
        <f>IF(AI129=1,SUM(AI$7:AI129),"")</f>
        <v/>
      </c>
      <c r="AK129">
        <f>IF(OR(N129="",N129="OK"),0,1)</f>
        <v/>
      </c>
    </row>
    <row r="130">
      <c r="B130" s="24" t="n"/>
      <c r="C130" s="14" t="n"/>
      <c r="D130" s="14" t="n"/>
      <c r="E130" s="20" t="n"/>
      <c r="F130" s="24" t="n"/>
      <c r="G130" s="14" t="n"/>
      <c r="H130" s="22" t="n"/>
      <c r="I130" s="25">
        <f>IF(Q130="D",N(H130),0)</f>
        <v/>
      </c>
      <c r="J130" s="25">
        <f>IF(Q130="C",N(H130),0)</f>
        <v/>
      </c>
      <c r="K130" s="26">
        <f>IF(Z130="","",Z130)</f>
        <v/>
      </c>
      <c r="L130" s="27">
        <f>W130</f>
        <v/>
      </c>
      <c r="M130" s="28">
        <f>AA130</f>
        <v/>
      </c>
      <c r="N130" s="23">
        <f>IF(AND(B130="",C130="",D130="",N(H130)=0),"",IF(B130="","Enter the date",IF(C130="","Pick the party",IF(P130="?","Add this party on the Parties sheet first",IF(D130="","Pick the entry type",IF(Q130="?","Pick the entry type from the list",IF(N(H130)=0,"Enter the amount",IF(AND(R130&lt;&gt;"Any",R130&lt;&gt;P130),"Sales, receipts and credit notes are for debtors; purchases, payments and debit notes for creditors",IF(AND(F130&lt;&gt;"",D130&lt;&gt;"Purchase bill"),"The received-on date is only for purchase bills",IF(AND(P130="Creditor",X130=1,AA130&gt;0),"Past due to a micro or small supplier: interest runs under MSMED s.16, and if unpaid at year end it is not deductible that year, s.37(2)(g)",IF(AND(P130="Debtor",X130=1,AA130&gt;0),"Past due to you: as a micro or small supplier you can claim interest under MSMED s.16","OK")))))))))))</f>
        <v/>
      </c>
      <c r="P130">
        <f>IF(C130="","",IFERROR(VLOOKUP(C130,'Parties'!$B$13:$Q$112,2,FALSE),"?"))</f>
        <v/>
      </c>
      <c r="Q130">
        <f>IF(D130="","",IFERROR(VLOOKUP(D130,Lists!$A$2:$D$9,3,FALSE),"?"))</f>
        <v/>
      </c>
      <c r="R130">
        <f>IF(D130="","",IFERROR(VLOOKUP(D130,Lists!$A$2:$D$9,4,FALSE),"?"))</f>
        <v/>
      </c>
      <c r="S130">
        <f>IF(P130="Debtor",I130,IF(P130="Creditor",J130,0))</f>
        <v/>
      </c>
      <c r="T130">
        <f>IF(P130="Debtor",J130,IF(P130="Creditor",I130,0))</f>
        <v/>
      </c>
      <c r="U130">
        <f>IF(OR(S130=0,B130=""),0,IFERROR(VLOOKUP(C130,'Parties'!$B$13:$Q$112,13,FALSE),0)+SUMIFS($S$7:$S$506,$C$7:$C$506,C130,$B$7:$B$506,"&lt;"&amp;B130)+SUMIFS(S$7:S130,C$7:C130,C130,B$7:B130,B130))</f>
        <v/>
      </c>
      <c r="V130">
        <f>IF(S130=0,0,IFERROR(VLOOKUP(C130,'Parties'!$B$13:$Q$112,14,FALSE),0)+SUMIFS($T$7:$T$506,$C$7:$C$506,C130,$B$7:$B$506,"&lt;="&amp;'Outstanding'!$E$5))</f>
        <v/>
      </c>
      <c r="W130">
        <f>IF(OR('Outstanding'!$E$5="",S130=0,B130="",B130&gt;'Outstanding'!$E$5),0,MAX(0,MIN(S130,U130-V130)))</f>
        <v/>
      </c>
      <c r="X130">
        <f>IF(C130="",0,IFERROR(VLOOKUP(C130,'Parties'!$B$13:$Q$112,15,FALSE),0))</f>
        <v/>
      </c>
      <c r="Y130">
        <f>IF(C130="","",IFERROR(VLOOKUP(C130,'Parties'!$B$13:$Q$112,16,FALSE),0))</f>
        <v/>
      </c>
      <c r="Z130">
        <f>IF(OR(S130=0,B130="",Y130=""),"",IF(AND(F130&lt;&gt;"",D130="Purchase bill"),F130,B130)+Y130)</f>
        <v/>
      </c>
      <c r="AA130">
        <f>IF(OR(W130=0,Z130=""),0,MAX(0,'Outstanding'!$E$5-Z130))</f>
        <v/>
      </c>
      <c r="AB130">
        <f>IF(AND(X130=1,AA130&gt;0),W130*((1+3*N('Parties'!$E$10)/12)^(AA130*12/365)-1),0)</f>
        <v/>
      </c>
      <c r="AC130">
        <f>IF(W130=0,"",'Outstanding'!$E$5-B130)</f>
        <v/>
      </c>
      <c r="AD130">
        <f>IF(S130=0,0,IFERROR(VLOOKUP(C130,'Parties'!$B$13:$Q$112,14,FALSE),0)+SUMIFS($T$7:$T$506,$C$7:$C$506,C130,$B$7:$B$506,"&lt;="&amp;'Parties'!$E$8))</f>
        <v/>
      </c>
      <c r="AE130">
        <f>IF(OR('Parties'!$E$8="",S130=0,B130="",B130&gt;'Parties'!$E$8),0,MAX(0,MIN(S130,U130-AD130)))</f>
        <v/>
      </c>
      <c r="AF130">
        <f>IF(AND(P130="Creditor",X130=1,AE130&gt;0,Z130&lt;&gt;""),IF(Z130&lt;='Parties'!$E$8,AE130,0),0)</f>
        <v/>
      </c>
      <c r="AG130">
        <f>IF(OR(AE130=0,Z130=""),0,MAX(0,'Parties'!$E$8-Z130))</f>
        <v/>
      </c>
      <c r="AH130">
        <f>IF(AND(P130="Creditor",X130=1,AG130&gt;0),AE130*((1+3*N('Parties'!$E$10)/12)^(AG130*12/365)-1),0)</f>
        <v/>
      </c>
      <c r="AI130">
        <f>IF(AND(C130&lt;&gt;"",C130='Ledger Account'!$D$4,B130&lt;&gt;"",B130&gt;='Ledger Account'!$D$5,B130&lt;='Ledger Account'!$D$6),1,0)</f>
        <v/>
      </c>
      <c r="AJ130">
        <f>IF(AI130=1,SUM(AI$7:AI130),"")</f>
        <v/>
      </c>
      <c r="AK130">
        <f>IF(OR(N130="",N130="OK"),0,1)</f>
        <v/>
      </c>
    </row>
    <row r="131">
      <c r="B131" s="24" t="n"/>
      <c r="C131" s="14" t="n"/>
      <c r="D131" s="14" t="n"/>
      <c r="E131" s="20" t="n"/>
      <c r="F131" s="24" t="n"/>
      <c r="G131" s="14" t="n"/>
      <c r="H131" s="22" t="n"/>
      <c r="I131" s="25">
        <f>IF(Q131="D",N(H131),0)</f>
        <v/>
      </c>
      <c r="J131" s="25">
        <f>IF(Q131="C",N(H131),0)</f>
        <v/>
      </c>
      <c r="K131" s="26">
        <f>IF(Z131="","",Z131)</f>
        <v/>
      </c>
      <c r="L131" s="27">
        <f>W131</f>
        <v/>
      </c>
      <c r="M131" s="28">
        <f>AA131</f>
        <v/>
      </c>
      <c r="N131" s="23">
        <f>IF(AND(B131="",C131="",D131="",N(H131)=0),"",IF(B131="","Enter the date",IF(C131="","Pick the party",IF(P131="?","Add this party on the Parties sheet first",IF(D131="","Pick the entry type",IF(Q131="?","Pick the entry type from the list",IF(N(H131)=0,"Enter the amount",IF(AND(R131&lt;&gt;"Any",R131&lt;&gt;P131),"Sales, receipts and credit notes are for debtors; purchases, payments and debit notes for creditors",IF(AND(F131&lt;&gt;"",D131&lt;&gt;"Purchase bill"),"The received-on date is only for purchase bills",IF(AND(P131="Creditor",X131=1,AA131&gt;0),"Past due to a micro or small supplier: interest runs under MSMED s.16, and if unpaid at year end it is not deductible that year, s.37(2)(g)",IF(AND(P131="Debtor",X131=1,AA131&gt;0),"Past due to you: as a micro or small supplier you can claim interest under MSMED s.16","OK")))))))))))</f>
        <v/>
      </c>
      <c r="P131">
        <f>IF(C131="","",IFERROR(VLOOKUP(C131,'Parties'!$B$13:$Q$112,2,FALSE),"?"))</f>
        <v/>
      </c>
      <c r="Q131">
        <f>IF(D131="","",IFERROR(VLOOKUP(D131,Lists!$A$2:$D$9,3,FALSE),"?"))</f>
        <v/>
      </c>
      <c r="R131">
        <f>IF(D131="","",IFERROR(VLOOKUP(D131,Lists!$A$2:$D$9,4,FALSE),"?"))</f>
        <v/>
      </c>
      <c r="S131">
        <f>IF(P131="Debtor",I131,IF(P131="Creditor",J131,0))</f>
        <v/>
      </c>
      <c r="T131">
        <f>IF(P131="Debtor",J131,IF(P131="Creditor",I131,0))</f>
        <v/>
      </c>
      <c r="U131">
        <f>IF(OR(S131=0,B131=""),0,IFERROR(VLOOKUP(C131,'Parties'!$B$13:$Q$112,13,FALSE),0)+SUMIFS($S$7:$S$506,$C$7:$C$506,C131,$B$7:$B$506,"&lt;"&amp;B131)+SUMIFS(S$7:S131,C$7:C131,C131,B$7:B131,B131))</f>
        <v/>
      </c>
      <c r="V131">
        <f>IF(S131=0,0,IFERROR(VLOOKUP(C131,'Parties'!$B$13:$Q$112,14,FALSE),0)+SUMIFS($T$7:$T$506,$C$7:$C$506,C131,$B$7:$B$506,"&lt;="&amp;'Outstanding'!$E$5))</f>
        <v/>
      </c>
      <c r="W131">
        <f>IF(OR('Outstanding'!$E$5="",S131=0,B131="",B131&gt;'Outstanding'!$E$5),0,MAX(0,MIN(S131,U131-V131)))</f>
        <v/>
      </c>
      <c r="X131">
        <f>IF(C131="",0,IFERROR(VLOOKUP(C131,'Parties'!$B$13:$Q$112,15,FALSE),0))</f>
        <v/>
      </c>
      <c r="Y131">
        <f>IF(C131="","",IFERROR(VLOOKUP(C131,'Parties'!$B$13:$Q$112,16,FALSE),0))</f>
        <v/>
      </c>
      <c r="Z131">
        <f>IF(OR(S131=0,B131="",Y131=""),"",IF(AND(F131&lt;&gt;"",D131="Purchase bill"),F131,B131)+Y131)</f>
        <v/>
      </c>
      <c r="AA131">
        <f>IF(OR(W131=0,Z131=""),0,MAX(0,'Outstanding'!$E$5-Z131))</f>
        <v/>
      </c>
      <c r="AB131">
        <f>IF(AND(X131=1,AA131&gt;0),W131*((1+3*N('Parties'!$E$10)/12)^(AA131*12/365)-1),0)</f>
        <v/>
      </c>
      <c r="AC131">
        <f>IF(W131=0,"",'Outstanding'!$E$5-B131)</f>
        <v/>
      </c>
      <c r="AD131">
        <f>IF(S131=0,0,IFERROR(VLOOKUP(C131,'Parties'!$B$13:$Q$112,14,FALSE),0)+SUMIFS($T$7:$T$506,$C$7:$C$506,C131,$B$7:$B$506,"&lt;="&amp;'Parties'!$E$8))</f>
        <v/>
      </c>
      <c r="AE131">
        <f>IF(OR('Parties'!$E$8="",S131=0,B131="",B131&gt;'Parties'!$E$8),0,MAX(0,MIN(S131,U131-AD131)))</f>
        <v/>
      </c>
      <c r="AF131">
        <f>IF(AND(P131="Creditor",X131=1,AE131&gt;0,Z131&lt;&gt;""),IF(Z131&lt;='Parties'!$E$8,AE131,0),0)</f>
        <v/>
      </c>
      <c r="AG131">
        <f>IF(OR(AE131=0,Z131=""),0,MAX(0,'Parties'!$E$8-Z131))</f>
        <v/>
      </c>
      <c r="AH131">
        <f>IF(AND(P131="Creditor",X131=1,AG131&gt;0),AE131*((1+3*N('Parties'!$E$10)/12)^(AG131*12/365)-1),0)</f>
        <v/>
      </c>
      <c r="AI131">
        <f>IF(AND(C131&lt;&gt;"",C131='Ledger Account'!$D$4,B131&lt;&gt;"",B131&gt;='Ledger Account'!$D$5,B131&lt;='Ledger Account'!$D$6),1,0)</f>
        <v/>
      </c>
      <c r="AJ131">
        <f>IF(AI131=1,SUM(AI$7:AI131),"")</f>
        <v/>
      </c>
      <c r="AK131">
        <f>IF(OR(N131="",N131="OK"),0,1)</f>
        <v/>
      </c>
    </row>
    <row r="132">
      <c r="B132" s="24" t="n"/>
      <c r="C132" s="14" t="n"/>
      <c r="D132" s="14" t="n"/>
      <c r="E132" s="20" t="n"/>
      <c r="F132" s="24" t="n"/>
      <c r="G132" s="14" t="n"/>
      <c r="H132" s="22" t="n"/>
      <c r="I132" s="25">
        <f>IF(Q132="D",N(H132),0)</f>
        <v/>
      </c>
      <c r="J132" s="25">
        <f>IF(Q132="C",N(H132),0)</f>
        <v/>
      </c>
      <c r="K132" s="26">
        <f>IF(Z132="","",Z132)</f>
        <v/>
      </c>
      <c r="L132" s="27">
        <f>W132</f>
        <v/>
      </c>
      <c r="M132" s="28">
        <f>AA132</f>
        <v/>
      </c>
      <c r="N132" s="23">
        <f>IF(AND(B132="",C132="",D132="",N(H132)=0),"",IF(B132="","Enter the date",IF(C132="","Pick the party",IF(P132="?","Add this party on the Parties sheet first",IF(D132="","Pick the entry type",IF(Q132="?","Pick the entry type from the list",IF(N(H132)=0,"Enter the amount",IF(AND(R132&lt;&gt;"Any",R132&lt;&gt;P132),"Sales, receipts and credit notes are for debtors; purchases, payments and debit notes for creditors",IF(AND(F132&lt;&gt;"",D132&lt;&gt;"Purchase bill"),"The received-on date is only for purchase bills",IF(AND(P132="Creditor",X132=1,AA132&gt;0),"Past due to a micro or small supplier: interest runs under MSMED s.16, and if unpaid at year end it is not deductible that year, s.37(2)(g)",IF(AND(P132="Debtor",X132=1,AA132&gt;0),"Past due to you: as a micro or small supplier you can claim interest under MSMED s.16","OK")))))))))))</f>
        <v/>
      </c>
      <c r="P132">
        <f>IF(C132="","",IFERROR(VLOOKUP(C132,'Parties'!$B$13:$Q$112,2,FALSE),"?"))</f>
        <v/>
      </c>
      <c r="Q132">
        <f>IF(D132="","",IFERROR(VLOOKUP(D132,Lists!$A$2:$D$9,3,FALSE),"?"))</f>
        <v/>
      </c>
      <c r="R132">
        <f>IF(D132="","",IFERROR(VLOOKUP(D132,Lists!$A$2:$D$9,4,FALSE),"?"))</f>
        <v/>
      </c>
      <c r="S132">
        <f>IF(P132="Debtor",I132,IF(P132="Creditor",J132,0))</f>
        <v/>
      </c>
      <c r="T132">
        <f>IF(P132="Debtor",J132,IF(P132="Creditor",I132,0))</f>
        <v/>
      </c>
      <c r="U132">
        <f>IF(OR(S132=0,B132=""),0,IFERROR(VLOOKUP(C132,'Parties'!$B$13:$Q$112,13,FALSE),0)+SUMIFS($S$7:$S$506,$C$7:$C$506,C132,$B$7:$B$506,"&lt;"&amp;B132)+SUMIFS(S$7:S132,C$7:C132,C132,B$7:B132,B132))</f>
        <v/>
      </c>
      <c r="V132">
        <f>IF(S132=0,0,IFERROR(VLOOKUP(C132,'Parties'!$B$13:$Q$112,14,FALSE),0)+SUMIFS($T$7:$T$506,$C$7:$C$506,C132,$B$7:$B$506,"&lt;="&amp;'Outstanding'!$E$5))</f>
        <v/>
      </c>
      <c r="W132">
        <f>IF(OR('Outstanding'!$E$5="",S132=0,B132="",B132&gt;'Outstanding'!$E$5),0,MAX(0,MIN(S132,U132-V132)))</f>
        <v/>
      </c>
      <c r="X132">
        <f>IF(C132="",0,IFERROR(VLOOKUP(C132,'Parties'!$B$13:$Q$112,15,FALSE),0))</f>
        <v/>
      </c>
      <c r="Y132">
        <f>IF(C132="","",IFERROR(VLOOKUP(C132,'Parties'!$B$13:$Q$112,16,FALSE),0))</f>
        <v/>
      </c>
      <c r="Z132">
        <f>IF(OR(S132=0,B132="",Y132=""),"",IF(AND(F132&lt;&gt;"",D132="Purchase bill"),F132,B132)+Y132)</f>
        <v/>
      </c>
      <c r="AA132">
        <f>IF(OR(W132=0,Z132=""),0,MAX(0,'Outstanding'!$E$5-Z132))</f>
        <v/>
      </c>
      <c r="AB132">
        <f>IF(AND(X132=1,AA132&gt;0),W132*((1+3*N('Parties'!$E$10)/12)^(AA132*12/365)-1),0)</f>
        <v/>
      </c>
      <c r="AC132">
        <f>IF(W132=0,"",'Outstanding'!$E$5-B132)</f>
        <v/>
      </c>
      <c r="AD132">
        <f>IF(S132=0,0,IFERROR(VLOOKUP(C132,'Parties'!$B$13:$Q$112,14,FALSE),0)+SUMIFS($T$7:$T$506,$C$7:$C$506,C132,$B$7:$B$506,"&lt;="&amp;'Parties'!$E$8))</f>
        <v/>
      </c>
      <c r="AE132">
        <f>IF(OR('Parties'!$E$8="",S132=0,B132="",B132&gt;'Parties'!$E$8),0,MAX(0,MIN(S132,U132-AD132)))</f>
        <v/>
      </c>
      <c r="AF132">
        <f>IF(AND(P132="Creditor",X132=1,AE132&gt;0,Z132&lt;&gt;""),IF(Z132&lt;='Parties'!$E$8,AE132,0),0)</f>
        <v/>
      </c>
      <c r="AG132">
        <f>IF(OR(AE132=0,Z132=""),0,MAX(0,'Parties'!$E$8-Z132))</f>
        <v/>
      </c>
      <c r="AH132">
        <f>IF(AND(P132="Creditor",X132=1,AG132&gt;0),AE132*((1+3*N('Parties'!$E$10)/12)^(AG132*12/365)-1),0)</f>
        <v/>
      </c>
      <c r="AI132">
        <f>IF(AND(C132&lt;&gt;"",C132='Ledger Account'!$D$4,B132&lt;&gt;"",B132&gt;='Ledger Account'!$D$5,B132&lt;='Ledger Account'!$D$6),1,0)</f>
        <v/>
      </c>
      <c r="AJ132">
        <f>IF(AI132=1,SUM(AI$7:AI132),"")</f>
        <v/>
      </c>
      <c r="AK132">
        <f>IF(OR(N132="",N132="OK"),0,1)</f>
        <v/>
      </c>
    </row>
    <row r="133">
      <c r="B133" s="24" t="n"/>
      <c r="C133" s="14" t="n"/>
      <c r="D133" s="14" t="n"/>
      <c r="E133" s="20" t="n"/>
      <c r="F133" s="24" t="n"/>
      <c r="G133" s="14" t="n"/>
      <c r="H133" s="22" t="n"/>
      <c r="I133" s="25">
        <f>IF(Q133="D",N(H133),0)</f>
        <v/>
      </c>
      <c r="J133" s="25">
        <f>IF(Q133="C",N(H133),0)</f>
        <v/>
      </c>
      <c r="K133" s="26">
        <f>IF(Z133="","",Z133)</f>
        <v/>
      </c>
      <c r="L133" s="27">
        <f>W133</f>
        <v/>
      </c>
      <c r="M133" s="28">
        <f>AA133</f>
        <v/>
      </c>
      <c r="N133" s="23">
        <f>IF(AND(B133="",C133="",D133="",N(H133)=0),"",IF(B133="","Enter the date",IF(C133="","Pick the party",IF(P133="?","Add this party on the Parties sheet first",IF(D133="","Pick the entry type",IF(Q133="?","Pick the entry type from the list",IF(N(H133)=0,"Enter the amount",IF(AND(R133&lt;&gt;"Any",R133&lt;&gt;P133),"Sales, receipts and credit notes are for debtors; purchases, payments and debit notes for creditors",IF(AND(F133&lt;&gt;"",D133&lt;&gt;"Purchase bill"),"The received-on date is only for purchase bills",IF(AND(P133="Creditor",X133=1,AA133&gt;0),"Past due to a micro or small supplier: interest runs under MSMED s.16, and if unpaid at year end it is not deductible that year, s.37(2)(g)",IF(AND(P133="Debtor",X133=1,AA133&gt;0),"Past due to you: as a micro or small supplier you can claim interest under MSMED s.16","OK")))))))))))</f>
        <v/>
      </c>
      <c r="P133">
        <f>IF(C133="","",IFERROR(VLOOKUP(C133,'Parties'!$B$13:$Q$112,2,FALSE),"?"))</f>
        <v/>
      </c>
      <c r="Q133">
        <f>IF(D133="","",IFERROR(VLOOKUP(D133,Lists!$A$2:$D$9,3,FALSE),"?"))</f>
        <v/>
      </c>
      <c r="R133">
        <f>IF(D133="","",IFERROR(VLOOKUP(D133,Lists!$A$2:$D$9,4,FALSE),"?"))</f>
        <v/>
      </c>
      <c r="S133">
        <f>IF(P133="Debtor",I133,IF(P133="Creditor",J133,0))</f>
        <v/>
      </c>
      <c r="T133">
        <f>IF(P133="Debtor",J133,IF(P133="Creditor",I133,0))</f>
        <v/>
      </c>
      <c r="U133">
        <f>IF(OR(S133=0,B133=""),0,IFERROR(VLOOKUP(C133,'Parties'!$B$13:$Q$112,13,FALSE),0)+SUMIFS($S$7:$S$506,$C$7:$C$506,C133,$B$7:$B$506,"&lt;"&amp;B133)+SUMIFS(S$7:S133,C$7:C133,C133,B$7:B133,B133))</f>
        <v/>
      </c>
      <c r="V133">
        <f>IF(S133=0,0,IFERROR(VLOOKUP(C133,'Parties'!$B$13:$Q$112,14,FALSE),0)+SUMIFS($T$7:$T$506,$C$7:$C$506,C133,$B$7:$B$506,"&lt;="&amp;'Outstanding'!$E$5))</f>
        <v/>
      </c>
      <c r="W133">
        <f>IF(OR('Outstanding'!$E$5="",S133=0,B133="",B133&gt;'Outstanding'!$E$5),0,MAX(0,MIN(S133,U133-V133)))</f>
        <v/>
      </c>
      <c r="X133">
        <f>IF(C133="",0,IFERROR(VLOOKUP(C133,'Parties'!$B$13:$Q$112,15,FALSE),0))</f>
        <v/>
      </c>
      <c r="Y133">
        <f>IF(C133="","",IFERROR(VLOOKUP(C133,'Parties'!$B$13:$Q$112,16,FALSE),0))</f>
        <v/>
      </c>
      <c r="Z133">
        <f>IF(OR(S133=0,B133="",Y133=""),"",IF(AND(F133&lt;&gt;"",D133="Purchase bill"),F133,B133)+Y133)</f>
        <v/>
      </c>
      <c r="AA133">
        <f>IF(OR(W133=0,Z133=""),0,MAX(0,'Outstanding'!$E$5-Z133))</f>
        <v/>
      </c>
      <c r="AB133">
        <f>IF(AND(X133=1,AA133&gt;0),W133*((1+3*N('Parties'!$E$10)/12)^(AA133*12/365)-1),0)</f>
        <v/>
      </c>
      <c r="AC133">
        <f>IF(W133=0,"",'Outstanding'!$E$5-B133)</f>
        <v/>
      </c>
      <c r="AD133">
        <f>IF(S133=0,0,IFERROR(VLOOKUP(C133,'Parties'!$B$13:$Q$112,14,FALSE),0)+SUMIFS($T$7:$T$506,$C$7:$C$506,C133,$B$7:$B$506,"&lt;="&amp;'Parties'!$E$8))</f>
        <v/>
      </c>
      <c r="AE133">
        <f>IF(OR('Parties'!$E$8="",S133=0,B133="",B133&gt;'Parties'!$E$8),0,MAX(0,MIN(S133,U133-AD133)))</f>
        <v/>
      </c>
      <c r="AF133">
        <f>IF(AND(P133="Creditor",X133=1,AE133&gt;0,Z133&lt;&gt;""),IF(Z133&lt;='Parties'!$E$8,AE133,0),0)</f>
        <v/>
      </c>
      <c r="AG133">
        <f>IF(OR(AE133=0,Z133=""),0,MAX(0,'Parties'!$E$8-Z133))</f>
        <v/>
      </c>
      <c r="AH133">
        <f>IF(AND(P133="Creditor",X133=1,AG133&gt;0),AE133*((1+3*N('Parties'!$E$10)/12)^(AG133*12/365)-1),0)</f>
        <v/>
      </c>
      <c r="AI133">
        <f>IF(AND(C133&lt;&gt;"",C133='Ledger Account'!$D$4,B133&lt;&gt;"",B133&gt;='Ledger Account'!$D$5,B133&lt;='Ledger Account'!$D$6),1,0)</f>
        <v/>
      </c>
      <c r="AJ133">
        <f>IF(AI133=1,SUM(AI$7:AI133),"")</f>
        <v/>
      </c>
      <c r="AK133">
        <f>IF(OR(N133="",N133="OK"),0,1)</f>
        <v/>
      </c>
    </row>
    <row r="134">
      <c r="B134" s="24" t="n"/>
      <c r="C134" s="14" t="n"/>
      <c r="D134" s="14" t="n"/>
      <c r="E134" s="20" t="n"/>
      <c r="F134" s="24" t="n"/>
      <c r="G134" s="14" t="n"/>
      <c r="H134" s="22" t="n"/>
      <c r="I134" s="25">
        <f>IF(Q134="D",N(H134),0)</f>
        <v/>
      </c>
      <c r="J134" s="25">
        <f>IF(Q134="C",N(H134),0)</f>
        <v/>
      </c>
      <c r="K134" s="26">
        <f>IF(Z134="","",Z134)</f>
        <v/>
      </c>
      <c r="L134" s="27">
        <f>W134</f>
        <v/>
      </c>
      <c r="M134" s="28">
        <f>AA134</f>
        <v/>
      </c>
      <c r="N134" s="23">
        <f>IF(AND(B134="",C134="",D134="",N(H134)=0),"",IF(B134="","Enter the date",IF(C134="","Pick the party",IF(P134="?","Add this party on the Parties sheet first",IF(D134="","Pick the entry type",IF(Q134="?","Pick the entry type from the list",IF(N(H134)=0,"Enter the amount",IF(AND(R134&lt;&gt;"Any",R134&lt;&gt;P134),"Sales, receipts and credit notes are for debtors; purchases, payments and debit notes for creditors",IF(AND(F134&lt;&gt;"",D134&lt;&gt;"Purchase bill"),"The received-on date is only for purchase bills",IF(AND(P134="Creditor",X134=1,AA134&gt;0),"Past due to a micro or small supplier: interest runs under MSMED s.16, and if unpaid at year end it is not deductible that year, s.37(2)(g)",IF(AND(P134="Debtor",X134=1,AA134&gt;0),"Past due to you: as a micro or small supplier you can claim interest under MSMED s.16","OK")))))))))))</f>
        <v/>
      </c>
      <c r="P134">
        <f>IF(C134="","",IFERROR(VLOOKUP(C134,'Parties'!$B$13:$Q$112,2,FALSE),"?"))</f>
        <v/>
      </c>
      <c r="Q134">
        <f>IF(D134="","",IFERROR(VLOOKUP(D134,Lists!$A$2:$D$9,3,FALSE),"?"))</f>
        <v/>
      </c>
      <c r="R134">
        <f>IF(D134="","",IFERROR(VLOOKUP(D134,Lists!$A$2:$D$9,4,FALSE),"?"))</f>
        <v/>
      </c>
      <c r="S134">
        <f>IF(P134="Debtor",I134,IF(P134="Creditor",J134,0))</f>
        <v/>
      </c>
      <c r="T134">
        <f>IF(P134="Debtor",J134,IF(P134="Creditor",I134,0))</f>
        <v/>
      </c>
      <c r="U134">
        <f>IF(OR(S134=0,B134=""),0,IFERROR(VLOOKUP(C134,'Parties'!$B$13:$Q$112,13,FALSE),0)+SUMIFS($S$7:$S$506,$C$7:$C$506,C134,$B$7:$B$506,"&lt;"&amp;B134)+SUMIFS(S$7:S134,C$7:C134,C134,B$7:B134,B134))</f>
        <v/>
      </c>
      <c r="V134">
        <f>IF(S134=0,0,IFERROR(VLOOKUP(C134,'Parties'!$B$13:$Q$112,14,FALSE),0)+SUMIFS($T$7:$T$506,$C$7:$C$506,C134,$B$7:$B$506,"&lt;="&amp;'Outstanding'!$E$5))</f>
        <v/>
      </c>
      <c r="W134">
        <f>IF(OR('Outstanding'!$E$5="",S134=0,B134="",B134&gt;'Outstanding'!$E$5),0,MAX(0,MIN(S134,U134-V134)))</f>
        <v/>
      </c>
      <c r="X134">
        <f>IF(C134="",0,IFERROR(VLOOKUP(C134,'Parties'!$B$13:$Q$112,15,FALSE),0))</f>
        <v/>
      </c>
      <c r="Y134">
        <f>IF(C134="","",IFERROR(VLOOKUP(C134,'Parties'!$B$13:$Q$112,16,FALSE),0))</f>
        <v/>
      </c>
      <c r="Z134">
        <f>IF(OR(S134=0,B134="",Y134=""),"",IF(AND(F134&lt;&gt;"",D134="Purchase bill"),F134,B134)+Y134)</f>
        <v/>
      </c>
      <c r="AA134">
        <f>IF(OR(W134=0,Z134=""),0,MAX(0,'Outstanding'!$E$5-Z134))</f>
        <v/>
      </c>
      <c r="AB134">
        <f>IF(AND(X134=1,AA134&gt;0),W134*((1+3*N('Parties'!$E$10)/12)^(AA134*12/365)-1),0)</f>
        <v/>
      </c>
      <c r="AC134">
        <f>IF(W134=0,"",'Outstanding'!$E$5-B134)</f>
        <v/>
      </c>
      <c r="AD134">
        <f>IF(S134=0,0,IFERROR(VLOOKUP(C134,'Parties'!$B$13:$Q$112,14,FALSE),0)+SUMIFS($T$7:$T$506,$C$7:$C$506,C134,$B$7:$B$506,"&lt;="&amp;'Parties'!$E$8))</f>
        <v/>
      </c>
      <c r="AE134">
        <f>IF(OR('Parties'!$E$8="",S134=0,B134="",B134&gt;'Parties'!$E$8),0,MAX(0,MIN(S134,U134-AD134)))</f>
        <v/>
      </c>
      <c r="AF134">
        <f>IF(AND(P134="Creditor",X134=1,AE134&gt;0,Z134&lt;&gt;""),IF(Z134&lt;='Parties'!$E$8,AE134,0),0)</f>
        <v/>
      </c>
      <c r="AG134">
        <f>IF(OR(AE134=0,Z134=""),0,MAX(0,'Parties'!$E$8-Z134))</f>
        <v/>
      </c>
      <c r="AH134">
        <f>IF(AND(P134="Creditor",X134=1,AG134&gt;0),AE134*((1+3*N('Parties'!$E$10)/12)^(AG134*12/365)-1),0)</f>
        <v/>
      </c>
      <c r="AI134">
        <f>IF(AND(C134&lt;&gt;"",C134='Ledger Account'!$D$4,B134&lt;&gt;"",B134&gt;='Ledger Account'!$D$5,B134&lt;='Ledger Account'!$D$6),1,0)</f>
        <v/>
      </c>
      <c r="AJ134">
        <f>IF(AI134=1,SUM(AI$7:AI134),"")</f>
        <v/>
      </c>
      <c r="AK134">
        <f>IF(OR(N134="",N134="OK"),0,1)</f>
        <v/>
      </c>
    </row>
    <row r="135">
      <c r="B135" s="24" t="n"/>
      <c r="C135" s="14" t="n"/>
      <c r="D135" s="14" t="n"/>
      <c r="E135" s="20" t="n"/>
      <c r="F135" s="24" t="n"/>
      <c r="G135" s="14" t="n"/>
      <c r="H135" s="22" t="n"/>
      <c r="I135" s="25">
        <f>IF(Q135="D",N(H135),0)</f>
        <v/>
      </c>
      <c r="J135" s="25">
        <f>IF(Q135="C",N(H135),0)</f>
        <v/>
      </c>
      <c r="K135" s="26">
        <f>IF(Z135="","",Z135)</f>
        <v/>
      </c>
      <c r="L135" s="27">
        <f>W135</f>
        <v/>
      </c>
      <c r="M135" s="28">
        <f>AA135</f>
        <v/>
      </c>
      <c r="N135" s="23">
        <f>IF(AND(B135="",C135="",D135="",N(H135)=0),"",IF(B135="","Enter the date",IF(C135="","Pick the party",IF(P135="?","Add this party on the Parties sheet first",IF(D135="","Pick the entry type",IF(Q135="?","Pick the entry type from the list",IF(N(H135)=0,"Enter the amount",IF(AND(R135&lt;&gt;"Any",R135&lt;&gt;P135),"Sales, receipts and credit notes are for debtors; purchases, payments and debit notes for creditors",IF(AND(F135&lt;&gt;"",D135&lt;&gt;"Purchase bill"),"The received-on date is only for purchase bills",IF(AND(P135="Creditor",X135=1,AA135&gt;0),"Past due to a micro or small supplier: interest runs under MSMED s.16, and if unpaid at year end it is not deductible that year, s.37(2)(g)",IF(AND(P135="Debtor",X135=1,AA135&gt;0),"Past due to you: as a micro or small supplier you can claim interest under MSMED s.16","OK")))))))))))</f>
        <v/>
      </c>
      <c r="P135">
        <f>IF(C135="","",IFERROR(VLOOKUP(C135,'Parties'!$B$13:$Q$112,2,FALSE),"?"))</f>
        <v/>
      </c>
      <c r="Q135">
        <f>IF(D135="","",IFERROR(VLOOKUP(D135,Lists!$A$2:$D$9,3,FALSE),"?"))</f>
        <v/>
      </c>
      <c r="R135">
        <f>IF(D135="","",IFERROR(VLOOKUP(D135,Lists!$A$2:$D$9,4,FALSE),"?"))</f>
        <v/>
      </c>
      <c r="S135">
        <f>IF(P135="Debtor",I135,IF(P135="Creditor",J135,0))</f>
        <v/>
      </c>
      <c r="T135">
        <f>IF(P135="Debtor",J135,IF(P135="Creditor",I135,0))</f>
        <v/>
      </c>
      <c r="U135">
        <f>IF(OR(S135=0,B135=""),0,IFERROR(VLOOKUP(C135,'Parties'!$B$13:$Q$112,13,FALSE),0)+SUMIFS($S$7:$S$506,$C$7:$C$506,C135,$B$7:$B$506,"&lt;"&amp;B135)+SUMIFS(S$7:S135,C$7:C135,C135,B$7:B135,B135))</f>
        <v/>
      </c>
      <c r="V135">
        <f>IF(S135=0,0,IFERROR(VLOOKUP(C135,'Parties'!$B$13:$Q$112,14,FALSE),0)+SUMIFS($T$7:$T$506,$C$7:$C$506,C135,$B$7:$B$506,"&lt;="&amp;'Outstanding'!$E$5))</f>
        <v/>
      </c>
      <c r="W135">
        <f>IF(OR('Outstanding'!$E$5="",S135=0,B135="",B135&gt;'Outstanding'!$E$5),0,MAX(0,MIN(S135,U135-V135)))</f>
        <v/>
      </c>
      <c r="X135">
        <f>IF(C135="",0,IFERROR(VLOOKUP(C135,'Parties'!$B$13:$Q$112,15,FALSE),0))</f>
        <v/>
      </c>
      <c r="Y135">
        <f>IF(C135="","",IFERROR(VLOOKUP(C135,'Parties'!$B$13:$Q$112,16,FALSE),0))</f>
        <v/>
      </c>
      <c r="Z135">
        <f>IF(OR(S135=0,B135="",Y135=""),"",IF(AND(F135&lt;&gt;"",D135="Purchase bill"),F135,B135)+Y135)</f>
        <v/>
      </c>
      <c r="AA135">
        <f>IF(OR(W135=0,Z135=""),0,MAX(0,'Outstanding'!$E$5-Z135))</f>
        <v/>
      </c>
      <c r="AB135">
        <f>IF(AND(X135=1,AA135&gt;0),W135*((1+3*N('Parties'!$E$10)/12)^(AA135*12/365)-1),0)</f>
        <v/>
      </c>
      <c r="AC135">
        <f>IF(W135=0,"",'Outstanding'!$E$5-B135)</f>
        <v/>
      </c>
      <c r="AD135">
        <f>IF(S135=0,0,IFERROR(VLOOKUP(C135,'Parties'!$B$13:$Q$112,14,FALSE),0)+SUMIFS($T$7:$T$506,$C$7:$C$506,C135,$B$7:$B$506,"&lt;="&amp;'Parties'!$E$8))</f>
        <v/>
      </c>
      <c r="AE135">
        <f>IF(OR('Parties'!$E$8="",S135=0,B135="",B135&gt;'Parties'!$E$8),0,MAX(0,MIN(S135,U135-AD135)))</f>
        <v/>
      </c>
      <c r="AF135">
        <f>IF(AND(P135="Creditor",X135=1,AE135&gt;0,Z135&lt;&gt;""),IF(Z135&lt;='Parties'!$E$8,AE135,0),0)</f>
        <v/>
      </c>
      <c r="AG135">
        <f>IF(OR(AE135=0,Z135=""),0,MAX(0,'Parties'!$E$8-Z135))</f>
        <v/>
      </c>
      <c r="AH135">
        <f>IF(AND(P135="Creditor",X135=1,AG135&gt;0),AE135*((1+3*N('Parties'!$E$10)/12)^(AG135*12/365)-1),0)</f>
        <v/>
      </c>
      <c r="AI135">
        <f>IF(AND(C135&lt;&gt;"",C135='Ledger Account'!$D$4,B135&lt;&gt;"",B135&gt;='Ledger Account'!$D$5,B135&lt;='Ledger Account'!$D$6),1,0)</f>
        <v/>
      </c>
      <c r="AJ135">
        <f>IF(AI135=1,SUM(AI$7:AI135),"")</f>
        <v/>
      </c>
      <c r="AK135">
        <f>IF(OR(N135="",N135="OK"),0,1)</f>
        <v/>
      </c>
    </row>
    <row r="136">
      <c r="B136" s="24" t="n"/>
      <c r="C136" s="14" t="n"/>
      <c r="D136" s="14" t="n"/>
      <c r="E136" s="20" t="n"/>
      <c r="F136" s="24" t="n"/>
      <c r="G136" s="14" t="n"/>
      <c r="H136" s="22" t="n"/>
      <c r="I136" s="25">
        <f>IF(Q136="D",N(H136),0)</f>
        <v/>
      </c>
      <c r="J136" s="25">
        <f>IF(Q136="C",N(H136),0)</f>
        <v/>
      </c>
      <c r="K136" s="26">
        <f>IF(Z136="","",Z136)</f>
        <v/>
      </c>
      <c r="L136" s="27">
        <f>W136</f>
        <v/>
      </c>
      <c r="M136" s="28">
        <f>AA136</f>
        <v/>
      </c>
      <c r="N136" s="23">
        <f>IF(AND(B136="",C136="",D136="",N(H136)=0),"",IF(B136="","Enter the date",IF(C136="","Pick the party",IF(P136="?","Add this party on the Parties sheet first",IF(D136="","Pick the entry type",IF(Q136="?","Pick the entry type from the list",IF(N(H136)=0,"Enter the amount",IF(AND(R136&lt;&gt;"Any",R136&lt;&gt;P136),"Sales, receipts and credit notes are for debtors; purchases, payments and debit notes for creditors",IF(AND(F136&lt;&gt;"",D136&lt;&gt;"Purchase bill"),"The received-on date is only for purchase bills",IF(AND(P136="Creditor",X136=1,AA136&gt;0),"Past due to a micro or small supplier: interest runs under MSMED s.16, and if unpaid at year end it is not deductible that year, s.37(2)(g)",IF(AND(P136="Debtor",X136=1,AA136&gt;0),"Past due to you: as a micro or small supplier you can claim interest under MSMED s.16","OK")))))))))))</f>
        <v/>
      </c>
      <c r="P136">
        <f>IF(C136="","",IFERROR(VLOOKUP(C136,'Parties'!$B$13:$Q$112,2,FALSE),"?"))</f>
        <v/>
      </c>
      <c r="Q136">
        <f>IF(D136="","",IFERROR(VLOOKUP(D136,Lists!$A$2:$D$9,3,FALSE),"?"))</f>
        <v/>
      </c>
      <c r="R136">
        <f>IF(D136="","",IFERROR(VLOOKUP(D136,Lists!$A$2:$D$9,4,FALSE),"?"))</f>
        <v/>
      </c>
      <c r="S136">
        <f>IF(P136="Debtor",I136,IF(P136="Creditor",J136,0))</f>
        <v/>
      </c>
      <c r="T136">
        <f>IF(P136="Debtor",J136,IF(P136="Creditor",I136,0))</f>
        <v/>
      </c>
      <c r="U136">
        <f>IF(OR(S136=0,B136=""),0,IFERROR(VLOOKUP(C136,'Parties'!$B$13:$Q$112,13,FALSE),0)+SUMIFS($S$7:$S$506,$C$7:$C$506,C136,$B$7:$B$506,"&lt;"&amp;B136)+SUMIFS(S$7:S136,C$7:C136,C136,B$7:B136,B136))</f>
        <v/>
      </c>
      <c r="V136">
        <f>IF(S136=0,0,IFERROR(VLOOKUP(C136,'Parties'!$B$13:$Q$112,14,FALSE),0)+SUMIFS($T$7:$T$506,$C$7:$C$506,C136,$B$7:$B$506,"&lt;="&amp;'Outstanding'!$E$5))</f>
        <v/>
      </c>
      <c r="W136">
        <f>IF(OR('Outstanding'!$E$5="",S136=0,B136="",B136&gt;'Outstanding'!$E$5),0,MAX(0,MIN(S136,U136-V136)))</f>
        <v/>
      </c>
      <c r="X136">
        <f>IF(C136="",0,IFERROR(VLOOKUP(C136,'Parties'!$B$13:$Q$112,15,FALSE),0))</f>
        <v/>
      </c>
      <c r="Y136">
        <f>IF(C136="","",IFERROR(VLOOKUP(C136,'Parties'!$B$13:$Q$112,16,FALSE),0))</f>
        <v/>
      </c>
      <c r="Z136">
        <f>IF(OR(S136=0,B136="",Y136=""),"",IF(AND(F136&lt;&gt;"",D136="Purchase bill"),F136,B136)+Y136)</f>
        <v/>
      </c>
      <c r="AA136">
        <f>IF(OR(W136=0,Z136=""),0,MAX(0,'Outstanding'!$E$5-Z136))</f>
        <v/>
      </c>
      <c r="AB136">
        <f>IF(AND(X136=1,AA136&gt;0),W136*((1+3*N('Parties'!$E$10)/12)^(AA136*12/365)-1),0)</f>
        <v/>
      </c>
      <c r="AC136">
        <f>IF(W136=0,"",'Outstanding'!$E$5-B136)</f>
        <v/>
      </c>
      <c r="AD136">
        <f>IF(S136=0,0,IFERROR(VLOOKUP(C136,'Parties'!$B$13:$Q$112,14,FALSE),0)+SUMIFS($T$7:$T$506,$C$7:$C$506,C136,$B$7:$B$506,"&lt;="&amp;'Parties'!$E$8))</f>
        <v/>
      </c>
      <c r="AE136">
        <f>IF(OR('Parties'!$E$8="",S136=0,B136="",B136&gt;'Parties'!$E$8),0,MAX(0,MIN(S136,U136-AD136)))</f>
        <v/>
      </c>
      <c r="AF136">
        <f>IF(AND(P136="Creditor",X136=1,AE136&gt;0,Z136&lt;&gt;""),IF(Z136&lt;='Parties'!$E$8,AE136,0),0)</f>
        <v/>
      </c>
      <c r="AG136">
        <f>IF(OR(AE136=0,Z136=""),0,MAX(0,'Parties'!$E$8-Z136))</f>
        <v/>
      </c>
      <c r="AH136">
        <f>IF(AND(P136="Creditor",X136=1,AG136&gt;0),AE136*((1+3*N('Parties'!$E$10)/12)^(AG136*12/365)-1),0)</f>
        <v/>
      </c>
      <c r="AI136">
        <f>IF(AND(C136&lt;&gt;"",C136='Ledger Account'!$D$4,B136&lt;&gt;"",B136&gt;='Ledger Account'!$D$5,B136&lt;='Ledger Account'!$D$6),1,0)</f>
        <v/>
      </c>
      <c r="AJ136">
        <f>IF(AI136=1,SUM(AI$7:AI136),"")</f>
        <v/>
      </c>
      <c r="AK136">
        <f>IF(OR(N136="",N136="OK"),0,1)</f>
        <v/>
      </c>
    </row>
    <row r="137">
      <c r="B137" s="24" t="n"/>
      <c r="C137" s="14" t="n"/>
      <c r="D137" s="14" t="n"/>
      <c r="E137" s="20" t="n"/>
      <c r="F137" s="24" t="n"/>
      <c r="G137" s="14" t="n"/>
      <c r="H137" s="22" t="n"/>
      <c r="I137" s="25">
        <f>IF(Q137="D",N(H137),0)</f>
        <v/>
      </c>
      <c r="J137" s="25">
        <f>IF(Q137="C",N(H137),0)</f>
        <v/>
      </c>
      <c r="K137" s="26">
        <f>IF(Z137="","",Z137)</f>
        <v/>
      </c>
      <c r="L137" s="27">
        <f>W137</f>
        <v/>
      </c>
      <c r="M137" s="28">
        <f>AA137</f>
        <v/>
      </c>
      <c r="N137" s="23">
        <f>IF(AND(B137="",C137="",D137="",N(H137)=0),"",IF(B137="","Enter the date",IF(C137="","Pick the party",IF(P137="?","Add this party on the Parties sheet first",IF(D137="","Pick the entry type",IF(Q137="?","Pick the entry type from the list",IF(N(H137)=0,"Enter the amount",IF(AND(R137&lt;&gt;"Any",R137&lt;&gt;P137),"Sales, receipts and credit notes are for debtors; purchases, payments and debit notes for creditors",IF(AND(F137&lt;&gt;"",D137&lt;&gt;"Purchase bill"),"The received-on date is only for purchase bills",IF(AND(P137="Creditor",X137=1,AA137&gt;0),"Past due to a micro or small supplier: interest runs under MSMED s.16, and if unpaid at year end it is not deductible that year, s.37(2)(g)",IF(AND(P137="Debtor",X137=1,AA137&gt;0),"Past due to you: as a micro or small supplier you can claim interest under MSMED s.16","OK")))))))))))</f>
        <v/>
      </c>
      <c r="P137">
        <f>IF(C137="","",IFERROR(VLOOKUP(C137,'Parties'!$B$13:$Q$112,2,FALSE),"?"))</f>
        <v/>
      </c>
      <c r="Q137">
        <f>IF(D137="","",IFERROR(VLOOKUP(D137,Lists!$A$2:$D$9,3,FALSE),"?"))</f>
        <v/>
      </c>
      <c r="R137">
        <f>IF(D137="","",IFERROR(VLOOKUP(D137,Lists!$A$2:$D$9,4,FALSE),"?"))</f>
        <v/>
      </c>
      <c r="S137">
        <f>IF(P137="Debtor",I137,IF(P137="Creditor",J137,0))</f>
        <v/>
      </c>
      <c r="T137">
        <f>IF(P137="Debtor",J137,IF(P137="Creditor",I137,0))</f>
        <v/>
      </c>
      <c r="U137">
        <f>IF(OR(S137=0,B137=""),0,IFERROR(VLOOKUP(C137,'Parties'!$B$13:$Q$112,13,FALSE),0)+SUMIFS($S$7:$S$506,$C$7:$C$506,C137,$B$7:$B$506,"&lt;"&amp;B137)+SUMIFS(S$7:S137,C$7:C137,C137,B$7:B137,B137))</f>
        <v/>
      </c>
      <c r="V137">
        <f>IF(S137=0,0,IFERROR(VLOOKUP(C137,'Parties'!$B$13:$Q$112,14,FALSE),0)+SUMIFS($T$7:$T$506,$C$7:$C$506,C137,$B$7:$B$506,"&lt;="&amp;'Outstanding'!$E$5))</f>
        <v/>
      </c>
      <c r="W137">
        <f>IF(OR('Outstanding'!$E$5="",S137=0,B137="",B137&gt;'Outstanding'!$E$5),0,MAX(0,MIN(S137,U137-V137)))</f>
        <v/>
      </c>
      <c r="X137">
        <f>IF(C137="",0,IFERROR(VLOOKUP(C137,'Parties'!$B$13:$Q$112,15,FALSE),0))</f>
        <v/>
      </c>
      <c r="Y137">
        <f>IF(C137="","",IFERROR(VLOOKUP(C137,'Parties'!$B$13:$Q$112,16,FALSE),0))</f>
        <v/>
      </c>
      <c r="Z137">
        <f>IF(OR(S137=0,B137="",Y137=""),"",IF(AND(F137&lt;&gt;"",D137="Purchase bill"),F137,B137)+Y137)</f>
        <v/>
      </c>
      <c r="AA137">
        <f>IF(OR(W137=0,Z137=""),0,MAX(0,'Outstanding'!$E$5-Z137))</f>
        <v/>
      </c>
      <c r="AB137">
        <f>IF(AND(X137=1,AA137&gt;0),W137*((1+3*N('Parties'!$E$10)/12)^(AA137*12/365)-1),0)</f>
        <v/>
      </c>
      <c r="AC137">
        <f>IF(W137=0,"",'Outstanding'!$E$5-B137)</f>
        <v/>
      </c>
      <c r="AD137">
        <f>IF(S137=0,0,IFERROR(VLOOKUP(C137,'Parties'!$B$13:$Q$112,14,FALSE),0)+SUMIFS($T$7:$T$506,$C$7:$C$506,C137,$B$7:$B$506,"&lt;="&amp;'Parties'!$E$8))</f>
        <v/>
      </c>
      <c r="AE137">
        <f>IF(OR('Parties'!$E$8="",S137=0,B137="",B137&gt;'Parties'!$E$8),0,MAX(0,MIN(S137,U137-AD137)))</f>
        <v/>
      </c>
      <c r="AF137">
        <f>IF(AND(P137="Creditor",X137=1,AE137&gt;0,Z137&lt;&gt;""),IF(Z137&lt;='Parties'!$E$8,AE137,0),0)</f>
        <v/>
      </c>
      <c r="AG137">
        <f>IF(OR(AE137=0,Z137=""),0,MAX(0,'Parties'!$E$8-Z137))</f>
        <v/>
      </c>
      <c r="AH137">
        <f>IF(AND(P137="Creditor",X137=1,AG137&gt;0),AE137*((1+3*N('Parties'!$E$10)/12)^(AG137*12/365)-1),0)</f>
        <v/>
      </c>
      <c r="AI137">
        <f>IF(AND(C137&lt;&gt;"",C137='Ledger Account'!$D$4,B137&lt;&gt;"",B137&gt;='Ledger Account'!$D$5,B137&lt;='Ledger Account'!$D$6),1,0)</f>
        <v/>
      </c>
      <c r="AJ137">
        <f>IF(AI137=1,SUM(AI$7:AI137),"")</f>
        <v/>
      </c>
      <c r="AK137">
        <f>IF(OR(N137="",N137="OK"),0,1)</f>
        <v/>
      </c>
    </row>
    <row r="138">
      <c r="B138" s="24" t="n"/>
      <c r="C138" s="14" t="n"/>
      <c r="D138" s="14" t="n"/>
      <c r="E138" s="20" t="n"/>
      <c r="F138" s="24" t="n"/>
      <c r="G138" s="14" t="n"/>
      <c r="H138" s="22" t="n"/>
      <c r="I138" s="25">
        <f>IF(Q138="D",N(H138),0)</f>
        <v/>
      </c>
      <c r="J138" s="25">
        <f>IF(Q138="C",N(H138),0)</f>
        <v/>
      </c>
      <c r="K138" s="26">
        <f>IF(Z138="","",Z138)</f>
        <v/>
      </c>
      <c r="L138" s="27">
        <f>W138</f>
        <v/>
      </c>
      <c r="M138" s="28">
        <f>AA138</f>
        <v/>
      </c>
      <c r="N138" s="23">
        <f>IF(AND(B138="",C138="",D138="",N(H138)=0),"",IF(B138="","Enter the date",IF(C138="","Pick the party",IF(P138="?","Add this party on the Parties sheet first",IF(D138="","Pick the entry type",IF(Q138="?","Pick the entry type from the list",IF(N(H138)=0,"Enter the amount",IF(AND(R138&lt;&gt;"Any",R138&lt;&gt;P138),"Sales, receipts and credit notes are for debtors; purchases, payments and debit notes for creditors",IF(AND(F138&lt;&gt;"",D138&lt;&gt;"Purchase bill"),"The received-on date is only for purchase bills",IF(AND(P138="Creditor",X138=1,AA138&gt;0),"Past due to a micro or small supplier: interest runs under MSMED s.16, and if unpaid at year end it is not deductible that year, s.37(2)(g)",IF(AND(P138="Debtor",X138=1,AA138&gt;0),"Past due to you: as a micro or small supplier you can claim interest under MSMED s.16","OK")))))))))))</f>
        <v/>
      </c>
      <c r="P138">
        <f>IF(C138="","",IFERROR(VLOOKUP(C138,'Parties'!$B$13:$Q$112,2,FALSE),"?"))</f>
        <v/>
      </c>
      <c r="Q138">
        <f>IF(D138="","",IFERROR(VLOOKUP(D138,Lists!$A$2:$D$9,3,FALSE),"?"))</f>
        <v/>
      </c>
      <c r="R138">
        <f>IF(D138="","",IFERROR(VLOOKUP(D138,Lists!$A$2:$D$9,4,FALSE),"?"))</f>
        <v/>
      </c>
      <c r="S138">
        <f>IF(P138="Debtor",I138,IF(P138="Creditor",J138,0))</f>
        <v/>
      </c>
      <c r="T138">
        <f>IF(P138="Debtor",J138,IF(P138="Creditor",I138,0))</f>
        <v/>
      </c>
      <c r="U138">
        <f>IF(OR(S138=0,B138=""),0,IFERROR(VLOOKUP(C138,'Parties'!$B$13:$Q$112,13,FALSE),0)+SUMIFS($S$7:$S$506,$C$7:$C$506,C138,$B$7:$B$506,"&lt;"&amp;B138)+SUMIFS(S$7:S138,C$7:C138,C138,B$7:B138,B138))</f>
        <v/>
      </c>
      <c r="V138">
        <f>IF(S138=0,0,IFERROR(VLOOKUP(C138,'Parties'!$B$13:$Q$112,14,FALSE),0)+SUMIFS($T$7:$T$506,$C$7:$C$506,C138,$B$7:$B$506,"&lt;="&amp;'Outstanding'!$E$5))</f>
        <v/>
      </c>
      <c r="W138">
        <f>IF(OR('Outstanding'!$E$5="",S138=0,B138="",B138&gt;'Outstanding'!$E$5),0,MAX(0,MIN(S138,U138-V138)))</f>
        <v/>
      </c>
      <c r="X138">
        <f>IF(C138="",0,IFERROR(VLOOKUP(C138,'Parties'!$B$13:$Q$112,15,FALSE),0))</f>
        <v/>
      </c>
      <c r="Y138">
        <f>IF(C138="","",IFERROR(VLOOKUP(C138,'Parties'!$B$13:$Q$112,16,FALSE),0))</f>
        <v/>
      </c>
      <c r="Z138">
        <f>IF(OR(S138=0,B138="",Y138=""),"",IF(AND(F138&lt;&gt;"",D138="Purchase bill"),F138,B138)+Y138)</f>
        <v/>
      </c>
      <c r="AA138">
        <f>IF(OR(W138=0,Z138=""),0,MAX(0,'Outstanding'!$E$5-Z138))</f>
        <v/>
      </c>
      <c r="AB138">
        <f>IF(AND(X138=1,AA138&gt;0),W138*((1+3*N('Parties'!$E$10)/12)^(AA138*12/365)-1),0)</f>
        <v/>
      </c>
      <c r="AC138">
        <f>IF(W138=0,"",'Outstanding'!$E$5-B138)</f>
        <v/>
      </c>
      <c r="AD138">
        <f>IF(S138=0,0,IFERROR(VLOOKUP(C138,'Parties'!$B$13:$Q$112,14,FALSE),0)+SUMIFS($T$7:$T$506,$C$7:$C$506,C138,$B$7:$B$506,"&lt;="&amp;'Parties'!$E$8))</f>
        <v/>
      </c>
      <c r="AE138">
        <f>IF(OR('Parties'!$E$8="",S138=0,B138="",B138&gt;'Parties'!$E$8),0,MAX(0,MIN(S138,U138-AD138)))</f>
        <v/>
      </c>
      <c r="AF138">
        <f>IF(AND(P138="Creditor",X138=1,AE138&gt;0,Z138&lt;&gt;""),IF(Z138&lt;='Parties'!$E$8,AE138,0),0)</f>
        <v/>
      </c>
      <c r="AG138">
        <f>IF(OR(AE138=0,Z138=""),0,MAX(0,'Parties'!$E$8-Z138))</f>
        <v/>
      </c>
      <c r="AH138">
        <f>IF(AND(P138="Creditor",X138=1,AG138&gt;0),AE138*((1+3*N('Parties'!$E$10)/12)^(AG138*12/365)-1),0)</f>
        <v/>
      </c>
      <c r="AI138">
        <f>IF(AND(C138&lt;&gt;"",C138='Ledger Account'!$D$4,B138&lt;&gt;"",B138&gt;='Ledger Account'!$D$5,B138&lt;='Ledger Account'!$D$6),1,0)</f>
        <v/>
      </c>
      <c r="AJ138">
        <f>IF(AI138=1,SUM(AI$7:AI138),"")</f>
        <v/>
      </c>
      <c r="AK138">
        <f>IF(OR(N138="",N138="OK"),0,1)</f>
        <v/>
      </c>
    </row>
    <row r="139">
      <c r="B139" s="24" t="n"/>
      <c r="C139" s="14" t="n"/>
      <c r="D139" s="14" t="n"/>
      <c r="E139" s="20" t="n"/>
      <c r="F139" s="24" t="n"/>
      <c r="G139" s="14" t="n"/>
      <c r="H139" s="22" t="n"/>
      <c r="I139" s="25">
        <f>IF(Q139="D",N(H139),0)</f>
        <v/>
      </c>
      <c r="J139" s="25">
        <f>IF(Q139="C",N(H139),0)</f>
        <v/>
      </c>
      <c r="K139" s="26">
        <f>IF(Z139="","",Z139)</f>
        <v/>
      </c>
      <c r="L139" s="27">
        <f>W139</f>
        <v/>
      </c>
      <c r="M139" s="28">
        <f>AA139</f>
        <v/>
      </c>
      <c r="N139" s="23">
        <f>IF(AND(B139="",C139="",D139="",N(H139)=0),"",IF(B139="","Enter the date",IF(C139="","Pick the party",IF(P139="?","Add this party on the Parties sheet first",IF(D139="","Pick the entry type",IF(Q139="?","Pick the entry type from the list",IF(N(H139)=0,"Enter the amount",IF(AND(R139&lt;&gt;"Any",R139&lt;&gt;P139),"Sales, receipts and credit notes are for debtors; purchases, payments and debit notes for creditors",IF(AND(F139&lt;&gt;"",D139&lt;&gt;"Purchase bill"),"The received-on date is only for purchase bills",IF(AND(P139="Creditor",X139=1,AA139&gt;0),"Past due to a micro or small supplier: interest runs under MSMED s.16, and if unpaid at year end it is not deductible that year, s.37(2)(g)",IF(AND(P139="Debtor",X139=1,AA139&gt;0),"Past due to you: as a micro or small supplier you can claim interest under MSMED s.16","OK")))))))))))</f>
        <v/>
      </c>
      <c r="P139">
        <f>IF(C139="","",IFERROR(VLOOKUP(C139,'Parties'!$B$13:$Q$112,2,FALSE),"?"))</f>
        <v/>
      </c>
      <c r="Q139">
        <f>IF(D139="","",IFERROR(VLOOKUP(D139,Lists!$A$2:$D$9,3,FALSE),"?"))</f>
        <v/>
      </c>
      <c r="R139">
        <f>IF(D139="","",IFERROR(VLOOKUP(D139,Lists!$A$2:$D$9,4,FALSE),"?"))</f>
        <v/>
      </c>
      <c r="S139">
        <f>IF(P139="Debtor",I139,IF(P139="Creditor",J139,0))</f>
        <v/>
      </c>
      <c r="T139">
        <f>IF(P139="Debtor",J139,IF(P139="Creditor",I139,0))</f>
        <v/>
      </c>
      <c r="U139">
        <f>IF(OR(S139=0,B139=""),0,IFERROR(VLOOKUP(C139,'Parties'!$B$13:$Q$112,13,FALSE),0)+SUMIFS($S$7:$S$506,$C$7:$C$506,C139,$B$7:$B$506,"&lt;"&amp;B139)+SUMIFS(S$7:S139,C$7:C139,C139,B$7:B139,B139))</f>
        <v/>
      </c>
      <c r="V139">
        <f>IF(S139=0,0,IFERROR(VLOOKUP(C139,'Parties'!$B$13:$Q$112,14,FALSE),0)+SUMIFS($T$7:$T$506,$C$7:$C$506,C139,$B$7:$B$506,"&lt;="&amp;'Outstanding'!$E$5))</f>
        <v/>
      </c>
      <c r="W139">
        <f>IF(OR('Outstanding'!$E$5="",S139=0,B139="",B139&gt;'Outstanding'!$E$5),0,MAX(0,MIN(S139,U139-V139)))</f>
        <v/>
      </c>
      <c r="X139">
        <f>IF(C139="",0,IFERROR(VLOOKUP(C139,'Parties'!$B$13:$Q$112,15,FALSE),0))</f>
        <v/>
      </c>
      <c r="Y139">
        <f>IF(C139="","",IFERROR(VLOOKUP(C139,'Parties'!$B$13:$Q$112,16,FALSE),0))</f>
        <v/>
      </c>
      <c r="Z139">
        <f>IF(OR(S139=0,B139="",Y139=""),"",IF(AND(F139&lt;&gt;"",D139="Purchase bill"),F139,B139)+Y139)</f>
        <v/>
      </c>
      <c r="AA139">
        <f>IF(OR(W139=0,Z139=""),0,MAX(0,'Outstanding'!$E$5-Z139))</f>
        <v/>
      </c>
      <c r="AB139">
        <f>IF(AND(X139=1,AA139&gt;0),W139*((1+3*N('Parties'!$E$10)/12)^(AA139*12/365)-1),0)</f>
        <v/>
      </c>
      <c r="AC139">
        <f>IF(W139=0,"",'Outstanding'!$E$5-B139)</f>
        <v/>
      </c>
      <c r="AD139">
        <f>IF(S139=0,0,IFERROR(VLOOKUP(C139,'Parties'!$B$13:$Q$112,14,FALSE),0)+SUMIFS($T$7:$T$506,$C$7:$C$506,C139,$B$7:$B$506,"&lt;="&amp;'Parties'!$E$8))</f>
        <v/>
      </c>
      <c r="AE139">
        <f>IF(OR('Parties'!$E$8="",S139=0,B139="",B139&gt;'Parties'!$E$8),0,MAX(0,MIN(S139,U139-AD139)))</f>
        <v/>
      </c>
      <c r="AF139">
        <f>IF(AND(P139="Creditor",X139=1,AE139&gt;0,Z139&lt;&gt;""),IF(Z139&lt;='Parties'!$E$8,AE139,0),0)</f>
        <v/>
      </c>
      <c r="AG139">
        <f>IF(OR(AE139=0,Z139=""),0,MAX(0,'Parties'!$E$8-Z139))</f>
        <v/>
      </c>
      <c r="AH139">
        <f>IF(AND(P139="Creditor",X139=1,AG139&gt;0),AE139*((1+3*N('Parties'!$E$10)/12)^(AG139*12/365)-1),0)</f>
        <v/>
      </c>
      <c r="AI139">
        <f>IF(AND(C139&lt;&gt;"",C139='Ledger Account'!$D$4,B139&lt;&gt;"",B139&gt;='Ledger Account'!$D$5,B139&lt;='Ledger Account'!$D$6),1,0)</f>
        <v/>
      </c>
      <c r="AJ139">
        <f>IF(AI139=1,SUM(AI$7:AI139),"")</f>
        <v/>
      </c>
      <c r="AK139">
        <f>IF(OR(N139="",N139="OK"),0,1)</f>
        <v/>
      </c>
    </row>
    <row r="140">
      <c r="B140" s="24" t="n"/>
      <c r="C140" s="14" t="n"/>
      <c r="D140" s="14" t="n"/>
      <c r="E140" s="20" t="n"/>
      <c r="F140" s="24" t="n"/>
      <c r="G140" s="14" t="n"/>
      <c r="H140" s="22" t="n"/>
      <c r="I140" s="25">
        <f>IF(Q140="D",N(H140),0)</f>
        <v/>
      </c>
      <c r="J140" s="25">
        <f>IF(Q140="C",N(H140),0)</f>
        <v/>
      </c>
      <c r="K140" s="26">
        <f>IF(Z140="","",Z140)</f>
        <v/>
      </c>
      <c r="L140" s="27">
        <f>W140</f>
        <v/>
      </c>
      <c r="M140" s="28">
        <f>AA140</f>
        <v/>
      </c>
      <c r="N140" s="23">
        <f>IF(AND(B140="",C140="",D140="",N(H140)=0),"",IF(B140="","Enter the date",IF(C140="","Pick the party",IF(P140="?","Add this party on the Parties sheet first",IF(D140="","Pick the entry type",IF(Q140="?","Pick the entry type from the list",IF(N(H140)=0,"Enter the amount",IF(AND(R140&lt;&gt;"Any",R140&lt;&gt;P140),"Sales, receipts and credit notes are for debtors; purchases, payments and debit notes for creditors",IF(AND(F140&lt;&gt;"",D140&lt;&gt;"Purchase bill"),"The received-on date is only for purchase bills",IF(AND(P140="Creditor",X140=1,AA140&gt;0),"Past due to a micro or small supplier: interest runs under MSMED s.16, and if unpaid at year end it is not deductible that year, s.37(2)(g)",IF(AND(P140="Debtor",X140=1,AA140&gt;0),"Past due to you: as a micro or small supplier you can claim interest under MSMED s.16","OK")))))))))))</f>
        <v/>
      </c>
      <c r="P140">
        <f>IF(C140="","",IFERROR(VLOOKUP(C140,'Parties'!$B$13:$Q$112,2,FALSE),"?"))</f>
        <v/>
      </c>
      <c r="Q140">
        <f>IF(D140="","",IFERROR(VLOOKUP(D140,Lists!$A$2:$D$9,3,FALSE),"?"))</f>
        <v/>
      </c>
      <c r="R140">
        <f>IF(D140="","",IFERROR(VLOOKUP(D140,Lists!$A$2:$D$9,4,FALSE),"?"))</f>
        <v/>
      </c>
      <c r="S140">
        <f>IF(P140="Debtor",I140,IF(P140="Creditor",J140,0))</f>
        <v/>
      </c>
      <c r="T140">
        <f>IF(P140="Debtor",J140,IF(P140="Creditor",I140,0))</f>
        <v/>
      </c>
      <c r="U140">
        <f>IF(OR(S140=0,B140=""),0,IFERROR(VLOOKUP(C140,'Parties'!$B$13:$Q$112,13,FALSE),0)+SUMIFS($S$7:$S$506,$C$7:$C$506,C140,$B$7:$B$506,"&lt;"&amp;B140)+SUMIFS(S$7:S140,C$7:C140,C140,B$7:B140,B140))</f>
        <v/>
      </c>
      <c r="V140">
        <f>IF(S140=0,0,IFERROR(VLOOKUP(C140,'Parties'!$B$13:$Q$112,14,FALSE),0)+SUMIFS($T$7:$T$506,$C$7:$C$506,C140,$B$7:$B$506,"&lt;="&amp;'Outstanding'!$E$5))</f>
        <v/>
      </c>
      <c r="W140">
        <f>IF(OR('Outstanding'!$E$5="",S140=0,B140="",B140&gt;'Outstanding'!$E$5),0,MAX(0,MIN(S140,U140-V140)))</f>
        <v/>
      </c>
      <c r="X140">
        <f>IF(C140="",0,IFERROR(VLOOKUP(C140,'Parties'!$B$13:$Q$112,15,FALSE),0))</f>
        <v/>
      </c>
      <c r="Y140">
        <f>IF(C140="","",IFERROR(VLOOKUP(C140,'Parties'!$B$13:$Q$112,16,FALSE),0))</f>
        <v/>
      </c>
      <c r="Z140">
        <f>IF(OR(S140=0,B140="",Y140=""),"",IF(AND(F140&lt;&gt;"",D140="Purchase bill"),F140,B140)+Y140)</f>
        <v/>
      </c>
      <c r="AA140">
        <f>IF(OR(W140=0,Z140=""),0,MAX(0,'Outstanding'!$E$5-Z140))</f>
        <v/>
      </c>
      <c r="AB140">
        <f>IF(AND(X140=1,AA140&gt;0),W140*((1+3*N('Parties'!$E$10)/12)^(AA140*12/365)-1),0)</f>
        <v/>
      </c>
      <c r="AC140">
        <f>IF(W140=0,"",'Outstanding'!$E$5-B140)</f>
        <v/>
      </c>
      <c r="AD140">
        <f>IF(S140=0,0,IFERROR(VLOOKUP(C140,'Parties'!$B$13:$Q$112,14,FALSE),0)+SUMIFS($T$7:$T$506,$C$7:$C$506,C140,$B$7:$B$506,"&lt;="&amp;'Parties'!$E$8))</f>
        <v/>
      </c>
      <c r="AE140">
        <f>IF(OR('Parties'!$E$8="",S140=0,B140="",B140&gt;'Parties'!$E$8),0,MAX(0,MIN(S140,U140-AD140)))</f>
        <v/>
      </c>
      <c r="AF140">
        <f>IF(AND(P140="Creditor",X140=1,AE140&gt;0,Z140&lt;&gt;""),IF(Z140&lt;='Parties'!$E$8,AE140,0),0)</f>
        <v/>
      </c>
      <c r="AG140">
        <f>IF(OR(AE140=0,Z140=""),0,MAX(0,'Parties'!$E$8-Z140))</f>
        <v/>
      </c>
      <c r="AH140">
        <f>IF(AND(P140="Creditor",X140=1,AG140&gt;0),AE140*((1+3*N('Parties'!$E$10)/12)^(AG140*12/365)-1),0)</f>
        <v/>
      </c>
      <c r="AI140">
        <f>IF(AND(C140&lt;&gt;"",C140='Ledger Account'!$D$4,B140&lt;&gt;"",B140&gt;='Ledger Account'!$D$5,B140&lt;='Ledger Account'!$D$6),1,0)</f>
        <v/>
      </c>
      <c r="AJ140">
        <f>IF(AI140=1,SUM(AI$7:AI140),"")</f>
        <v/>
      </c>
      <c r="AK140">
        <f>IF(OR(N140="",N140="OK"),0,1)</f>
        <v/>
      </c>
    </row>
    <row r="141">
      <c r="B141" s="24" t="n"/>
      <c r="C141" s="14" t="n"/>
      <c r="D141" s="14" t="n"/>
      <c r="E141" s="20" t="n"/>
      <c r="F141" s="24" t="n"/>
      <c r="G141" s="14" t="n"/>
      <c r="H141" s="22" t="n"/>
      <c r="I141" s="25">
        <f>IF(Q141="D",N(H141),0)</f>
        <v/>
      </c>
      <c r="J141" s="25">
        <f>IF(Q141="C",N(H141),0)</f>
        <v/>
      </c>
      <c r="K141" s="26">
        <f>IF(Z141="","",Z141)</f>
        <v/>
      </c>
      <c r="L141" s="27">
        <f>W141</f>
        <v/>
      </c>
      <c r="M141" s="28">
        <f>AA141</f>
        <v/>
      </c>
      <c r="N141" s="23">
        <f>IF(AND(B141="",C141="",D141="",N(H141)=0),"",IF(B141="","Enter the date",IF(C141="","Pick the party",IF(P141="?","Add this party on the Parties sheet first",IF(D141="","Pick the entry type",IF(Q141="?","Pick the entry type from the list",IF(N(H141)=0,"Enter the amount",IF(AND(R141&lt;&gt;"Any",R141&lt;&gt;P141),"Sales, receipts and credit notes are for debtors; purchases, payments and debit notes for creditors",IF(AND(F141&lt;&gt;"",D141&lt;&gt;"Purchase bill"),"The received-on date is only for purchase bills",IF(AND(P141="Creditor",X141=1,AA141&gt;0),"Past due to a micro or small supplier: interest runs under MSMED s.16, and if unpaid at year end it is not deductible that year, s.37(2)(g)",IF(AND(P141="Debtor",X141=1,AA141&gt;0),"Past due to you: as a micro or small supplier you can claim interest under MSMED s.16","OK")))))))))))</f>
        <v/>
      </c>
      <c r="P141">
        <f>IF(C141="","",IFERROR(VLOOKUP(C141,'Parties'!$B$13:$Q$112,2,FALSE),"?"))</f>
        <v/>
      </c>
      <c r="Q141">
        <f>IF(D141="","",IFERROR(VLOOKUP(D141,Lists!$A$2:$D$9,3,FALSE),"?"))</f>
        <v/>
      </c>
      <c r="R141">
        <f>IF(D141="","",IFERROR(VLOOKUP(D141,Lists!$A$2:$D$9,4,FALSE),"?"))</f>
        <v/>
      </c>
      <c r="S141">
        <f>IF(P141="Debtor",I141,IF(P141="Creditor",J141,0))</f>
        <v/>
      </c>
      <c r="T141">
        <f>IF(P141="Debtor",J141,IF(P141="Creditor",I141,0))</f>
        <v/>
      </c>
      <c r="U141">
        <f>IF(OR(S141=0,B141=""),0,IFERROR(VLOOKUP(C141,'Parties'!$B$13:$Q$112,13,FALSE),0)+SUMIFS($S$7:$S$506,$C$7:$C$506,C141,$B$7:$B$506,"&lt;"&amp;B141)+SUMIFS(S$7:S141,C$7:C141,C141,B$7:B141,B141))</f>
        <v/>
      </c>
      <c r="V141">
        <f>IF(S141=0,0,IFERROR(VLOOKUP(C141,'Parties'!$B$13:$Q$112,14,FALSE),0)+SUMIFS($T$7:$T$506,$C$7:$C$506,C141,$B$7:$B$506,"&lt;="&amp;'Outstanding'!$E$5))</f>
        <v/>
      </c>
      <c r="W141">
        <f>IF(OR('Outstanding'!$E$5="",S141=0,B141="",B141&gt;'Outstanding'!$E$5),0,MAX(0,MIN(S141,U141-V141)))</f>
        <v/>
      </c>
      <c r="X141">
        <f>IF(C141="",0,IFERROR(VLOOKUP(C141,'Parties'!$B$13:$Q$112,15,FALSE),0))</f>
        <v/>
      </c>
      <c r="Y141">
        <f>IF(C141="","",IFERROR(VLOOKUP(C141,'Parties'!$B$13:$Q$112,16,FALSE),0))</f>
        <v/>
      </c>
      <c r="Z141">
        <f>IF(OR(S141=0,B141="",Y141=""),"",IF(AND(F141&lt;&gt;"",D141="Purchase bill"),F141,B141)+Y141)</f>
        <v/>
      </c>
      <c r="AA141">
        <f>IF(OR(W141=0,Z141=""),0,MAX(0,'Outstanding'!$E$5-Z141))</f>
        <v/>
      </c>
      <c r="AB141">
        <f>IF(AND(X141=1,AA141&gt;0),W141*((1+3*N('Parties'!$E$10)/12)^(AA141*12/365)-1),0)</f>
        <v/>
      </c>
      <c r="AC141">
        <f>IF(W141=0,"",'Outstanding'!$E$5-B141)</f>
        <v/>
      </c>
      <c r="AD141">
        <f>IF(S141=0,0,IFERROR(VLOOKUP(C141,'Parties'!$B$13:$Q$112,14,FALSE),0)+SUMIFS($T$7:$T$506,$C$7:$C$506,C141,$B$7:$B$506,"&lt;="&amp;'Parties'!$E$8))</f>
        <v/>
      </c>
      <c r="AE141">
        <f>IF(OR('Parties'!$E$8="",S141=0,B141="",B141&gt;'Parties'!$E$8),0,MAX(0,MIN(S141,U141-AD141)))</f>
        <v/>
      </c>
      <c r="AF141">
        <f>IF(AND(P141="Creditor",X141=1,AE141&gt;0,Z141&lt;&gt;""),IF(Z141&lt;='Parties'!$E$8,AE141,0),0)</f>
        <v/>
      </c>
      <c r="AG141">
        <f>IF(OR(AE141=0,Z141=""),0,MAX(0,'Parties'!$E$8-Z141))</f>
        <v/>
      </c>
      <c r="AH141">
        <f>IF(AND(P141="Creditor",X141=1,AG141&gt;0),AE141*((1+3*N('Parties'!$E$10)/12)^(AG141*12/365)-1),0)</f>
        <v/>
      </c>
      <c r="AI141">
        <f>IF(AND(C141&lt;&gt;"",C141='Ledger Account'!$D$4,B141&lt;&gt;"",B141&gt;='Ledger Account'!$D$5,B141&lt;='Ledger Account'!$D$6),1,0)</f>
        <v/>
      </c>
      <c r="AJ141">
        <f>IF(AI141=1,SUM(AI$7:AI141),"")</f>
        <v/>
      </c>
      <c r="AK141">
        <f>IF(OR(N141="",N141="OK"),0,1)</f>
        <v/>
      </c>
    </row>
    <row r="142">
      <c r="B142" s="24" t="n"/>
      <c r="C142" s="14" t="n"/>
      <c r="D142" s="14" t="n"/>
      <c r="E142" s="20" t="n"/>
      <c r="F142" s="24" t="n"/>
      <c r="G142" s="14" t="n"/>
      <c r="H142" s="22" t="n"/>
      <c r="I142" s="25">
        <f>IF(Q142="D",N(H142),0)</f>
        <v/>
      </c>
      <c r="J142" s="25">
        <f>IF(Q142="C",N(H142),0)</f>
        <v/>
      </c>
      <c r="K142" s="26">
        <f>IF(Z142="","",Z142)</f>
        <v/>
      </c>
      <c r="L142" s="27">
        <f>W142</f>
        <v/>
      </c>
      <c r="M142" s="28">
        <f>AA142</f>
        <v/>
      </c>
      <c r="N142" s="23">
        <f>IF(AND(B142="",C142="",D142="",N(H142)=0),"",IF(B142="","Enter the date",IF(C142="","Pick the party",IF(P142="?","Add this party on the Parties sheet first",IF(D142="","Pick the entry type",IF(Q142="?","Pick the entry type from the list",IF(N(H142)=0,"Enter the amount",IF(AND(R142&lt;&gt;"Any",R142&lt;&gt;P142),"Sales, receipts and credit notes are for debtors; purchases, payments and debit notes for creditors",IF(AND(F142&lt;&gt;"",D142&lt;&gt;"Purchase bill"),"The received-on date is only for purchase bills",IF(AND(P142="Creditor",X142=1,AA142&gt;0),"Past due to a micro or small supplier: interest runs under MSMED s.16, and if unpaid at year end it is not deductible that year, s.37(2)(g)",IF(AND(P142="Debtor",X142=1,AA142&gt;0),"Past due to you: as a micro or small supplier you can claim interest under MSMED s.16","OK")))))))))))</f>
        <v/>
      </c>
      <c r="P142">
        <f>IF(C142="","",IFERROR(VLOOKUP(C142,'Parties'!$B$13:$Q$112,2,FALSE),"?"))</f>
        <v/>
      </c>
      <c r="Q142">
        <f>IF(D142="","",IFERROR(VLOOKUP(D142,Lists!$A$2:$D$9,3,FALSE),"?"))</f>
        <v/>
      </c>
      <c r="R142">
        <f>IF(D142="","",IFERROR(VLOOKUP(D142,Lists!$A$2:$D$9,4,FALSE),"?"))</f>
        <v/>
      </c>
      <c r="S142">
        <f>IF(P142="Debtor",I142,IF(P142="Creditor",J142,0))</f>
        <v/>
      </c>
      <c r="T142">
        <f>IF(P142="Debtor",J142,IF(P142="Creditor",I142,0))</f>
        <v/>
      </c>
      <c r="U142">
        <f>IF(OR(S142=0,B142=""),0,IFERROR(VLOOKUP(C142,'Parties'!$B$13:$Q$112,13,FALSE),0)+SUMIFS($S$7:$S$506,$C$7:$C$506,C142,$B$7:$B$506,"&lt;"&amp;B142)+SUMIFS(S$7:S142,C$7:C142,C142,B$7:B142,B142))</f>
        <v/>
      </c>
      <c r="V142">
        <f>IF(S142=0,0,IFERROR(VLOOKUP(C142,'Parties'!$B$13:$Q$112,14,FALSE),0)+SUMIFS($T$7:$T$506,$C$7:$C$506,C142,$B$7:$B$506,"&lt;="&amp;'Outstanding'!$E$5))</f>
        <v/>
      </c>
      <c r="W142">
        <f>IF(OR('Outstanding'!$E$5="",S142=0,B142="",B142&gt;'Outstanding'!$E$5),0,MAX(0,MIN(S142,U142-V142)))</f>
        <v/>
      </c>
      <c r="X142">
        <f>IF(C142="",0,IFERROR(VLOOKUP(C142,'Parties'!$B$13:$Q$112,15,FALSE),0))</f>
        <v/>
      </c>
      <c r="Y142">
        <f>IF(C142="","",IFERROR(VLOOKUP(C142,'Parties'!$B$13:$Q$112,16,FALSE),0))</f>
        <v/>
      </c>
      <c r="Z142">
        <f>IF(OR(S142=0,B142="",Y142=""),"",IF(AND(F142&lt;&gt;"",D142="Purchase bill"),F142,B142)+Y142)</f>
        <v/>
      </c>
      <c r="AA142">
        <f>IF(OR(W142=0,Z142=""),0,MAX(0,'Outstanding'!$E$5-Z142))</f>
        <v/>
      </c>
      <c r="AB142">
        <f>IF(AND(X142=1,AA142&gt;0),W142*((1+3*N('Parties'!$E$10)/12)^(AA142*12/365)-1),0)</f>
        <v/>
      </c>
      <c r="AC142">
        <f>IF(W142=0,"",'Outstanding'!$E$5-B142)</f>
        <v/>
      </c>
      <c r="AD142">
        <f>IF(S142=0,0,IFERROR(VLOOKUP(C142,'Parties'!$B$13:$Q$112,14,FALSE),0)+SUMIFS($T$7:$T$506,$C$7:$C$506,C142,$B$7:$B$506,"&lt;="&amp;'Parties'!$E$8))</f>
        <v/>
      </c>
      <c r="AE142">
        <f>IF(OR('Parties'!$E$8="",S142=0,B142="",B142&gt;'Parties'!$E$8),0,MAX(0,MIN(S142,U142-AD142)))</f>
        <v/>
      </c>
      <c r="AF142">
        <f>IF(AND(P142="Creditor",X142=1,AE142&gt;0,Z142&lt;&gt;""),IF(Z142&lt;='Parties'!$E$8,AE142,0),0)</f>
        <v/>
      </c>
      <c r="AG142">
        <f>IF(OR(AE142=0,Z142=""),0,MAX(0,'Parties'!$E$8-Z142))</f>
        <v/>
      </c>
      <c r="AH142">
        <f>IF(AND(P142="Creditor",X142=1,AG142&gt;0),AE142*((1+3*N('Parties'!$E$10)/12)^(AG142*12/365)-1),0)</f>
        <v/>
      </c>
      <c r="AI142">
        <f>IF(AND(C142&lt;&gt;"",C142='Ledger Account'!$D$4,B142&lt;&gt;"",B142&gt;='Ledger Account'!$D$5,B142&lt;='Ledger Account'!$D$6),1,0)</f>
        <v/>
      </c>
      <c r="AJ142">
        <f>IF(AI142=1,SUM(AI$7:AI142),"")</f>
        <v/>
      </c>
      <c r="AK142">
        <f>IF(OR(N142="",N142="OK"),0,1)</f>
        <v/>
      </c>
    </row>
    <row r="143">
      <c r="B143" s="24" t="n"/>
      <c r="C143" s="14" t="n"/>
      <c r="D143" s="14" t="n"/>
      <c r="E143" s="20" t="n"/>
      <c r="F143" s="24" t="n"/>
      <c r="G143" s="14" t="n"/>
      <c r="H143" s="22" t="n"/>
      <c r="I143" s="25">
        <f>IF(Q143="D",N(H143),0)</f>
        <v/>
      </c>
      <c r="J143" s="25">
        <f>IF(Q143="C",N(H143),0)</f>
        <v/>
      </c>
      <c r="K143" s="26">
        <f>IF(Z143="","",Z143)</f>
        <v/>
      </c>
      <c r="L143" s="27">
        <f>W143</f>
        <v/>
      </c>
      <c r="M143" s="28">
        <f>AA143</f>
        <v/>
      </c>
      <c r="N143" s="23">
        <f>IF(AND(B143="",C143="",D143="",N(H143)=0),"",IF(B143="","Enter the date",IF(C143="","Pick the party",IF(P143="?","Add this party on the Parties sheet first",IF(D143="","Pick the entry type",IF(Q143="?","Pick the entry type from the list",IF(N(H143)=0,"Enter the amount",IF(AND(R143&lt;&gt;"Any",R143&lt;&gt;P143),"Sales, receipts and credit notes are for debtors; purchases, payments and debit notes for creditors",IF(AND(F143&lt;&gt;"",D143&lt;&gt;"Purchase bill"),"The received-on date is only for purchase bills",IF(AND(P143="Creditor",X143=1,AA143&gt;0),"Past due to a micro or small supplier: interest runs under MSMED s.16, and if unpaid at year end it is not deductible that year, s.37(2)(g)",IF(AND(P143="Debtor",X143=1,AA143&gt;0),"Past due to you: as a micro or small supplier you can claim interest under MSMED s.16","OK")))))))))))</f>
        <v/>
      </c>
      <c r="P143">
        <f>IF(C143="","",IFERROR(VLOOKUP(C143,'Parties'!$B$13:$Q$112,2,FALSE),"?"))</f>
        <v/>
      </c>
      <c r="Q143">
        <f>IF(D143="","",IFERROR(VLOOKUP(D143,Lists!$A$2:$D$9,3,FALSE),"?"))</f>
        <v/>
      </c>
      <c r="R143">
        <f>IF(D143="","",IFERROR(VLOOKUP(D143,Lists!$A$2:$D$9,4,FALSE),"?"))</f>
        <v/>
      </c>
      <c r="S143">
        <f>IF(P143="Debtor",I143,IF(P143="Creditor",J143,0))</f>
        <v/>
      </c>
      <c r="T143">
        <f>IF(P143="Debtor",J143,IF(P143="Creditor",I143,0))</f>
        <v/>
      </c>
      <c r="U143">
        <f>IF(OR(S143=0,B143=""),0,IFERROR(VLOOKUP(C143,'Parties'!$B$13:$Q$112,13,FALSE),0)+SUMIFS($S$7:$S$506,$C$7:$C$506,C143,$B$7:$B$506,"&lt;"&amp;B143)+SUMIFS(S$7:S143,C$7:C143,C143,B$7:B143,B143))</f>
        <v/>
      </c>
      <c r="V143">
        <f>IF(S143=0,0,IFERROR(VLOOKUP(C143,'Parties'!$B$13:$Q$112,14,FALSE),0)+SUMIFS($T$7:$T$506,$C$7:$C$506,C143,$B$7:$B$506,"&lt;="&amp;'Outstanding'!$E$5))</f>
        <v/>
      </c>
      <c r="W143">
        <f>IF(OR('Outstanding'!$E$5="",S143=0,B143="",B143&gt;'Outstanding'!$E$5),0,MAX(0,MIN(S143,U143-V143)))</f>
        <v/>
      </c>
      <c r="X143">
        <f>IF(C143="",0,IFERROR(VLOOKUP(C143,'Parties'!$B$13:$Q$112,15,FALSE),0))</f>
        <v/>
      </c>
      <c r="Y143">
        <f>IF(C143="","",IFERROR(VLOOKUP(C143,'Parties'!$B$13:$Q$112,16,FALSE),0))</f>
        <v/>
      </c>
      <c r="Z143">
        <f>IF(OR(S143=0,B143="",Y143=""),"",IF(AND(F143&lt;&gt;"",D143="Purchase bill"),F143,B143)+Y143)</f>
        <v/>
      </c>
      <c r="AA143">
        <f>IF(OR(W143=0,Z143=""),0,MAX(0,'Outstanding'!$E$5-Z143))</f>
        <v/>
      </c>
      <c r="AB143">
        <f>IF(AND(X143=1,AA143&gt;0),W143*((1+3*N('Parties'!$E$10)/12)^(AA143*12/365)-1),0)</f>
        <v/>
      </c>
      <c r="AC143">
        <f>IF(W143=0,"",'Outstanding'!$E$5-B143)</f>
        <v/>
      </c>
      <c r="AD143">
        <f>IF(S143=0,0,IFERROR(VLOOKUP(C143,'Parties'!$B$13:$Q$112,14,FALSE),0)+SUMIFS($T$7:$T$506,$C$7:$C$506,C143,$B$7:$B$506,"&lt;="&amp;'Parties'!$E$8))</f>
        <v/>
      </c>
      <c r="AE143">
        <f>IF(OR('Parties'!$E$8="",S143=0,B143="",B143&gt;'Parties'!$E$8),0,MAX(0,MIN(S143,U143-AD143)))</f>
        <v/>
      </c>
      <c r="AF143">
        <f>IF(AND(P143="Creditor",X143=1,AE143&gt;0,Z143&lt;&gt;""),IF(Z143&lt;='Parties'!$E$8,AE143,0),0)</f>
        <v/>
      </c>
      <c r="AG143">
        <f>IF(OR(AE143=0,Z143=""),0,MAX(0,'Parties'!$E$8-Z143))</f>
        <v/>
      </c>
      <c r="AH143">
        <f>IF(AND(P143="Creditor",X143=1,AG143&gt;0),AE143*((1+3*N('Parties'!$E$10)/12)^(AG143*12/365)-1),0)</f>
        <v/>
      </c>
      <c r="AI143">
        <f>IF(AND(C143&lt;&gt;"",C143='Ledger Account'!$D$4,B143&lt;&gt;"",B143&gt;='Ledger Account'!$D$5,B143&lt;='Ledger Account'!$D$6),1,0)</f>
        <v/>
      </c>
      <c r="AJ143">
        <f>IF(AI143=1,SUM(AI$7:AI143),"")</f>
        <v/>
      </c>
      <c r="AK143">
        <f>IF(OR(N143="",N143="OK"),0,1)</f>
        <v/>
      </c>
    </row>
    <row r="144">
      <c r="B144" s="24" t="n"/>
      <c r="C144" s="14" t="n"/>
      <c r="D144" s="14" t="n"/>
      <c r="E144" s="20" t="n"/>
      <c r="F144" s="24" t="n"/>
      <c r="G144" s="14" t="n"/>
      <c r="H144" s="22" t="n"/>
      <c r="I144" s="25">
        <f>IF(Q144="D",N(H144),0)</f>
        <v/>
      </c>
      <c r="J144" s="25">
        <f>IF(Q144="C",N(H144),0)</f>
        <v/>
      </c>
      <c r="K144" s="26">
        <f>IF(Z144="","",Z144)</f>
        <v/>
      </c>
      <c r="L144" s="27">
        <f>W144</f>
        <v/>
      </c>
      <c r="M144" s="28">
        <f>AA144</f>
        <v/>
      </c>
      <c r="N144" s="23">
        <f>IF(AND(B144="",C144="",D144="",N(H144)=0),"",IF(B144="","Enter the date",IF(C144="","Pick the party",IF(P144="?","Add this party on the Parties sheet first",IF(D144="","Pick the entry type",IF(Q144="?","Pick the entry type from the list",IF(N(H144)=0,"Enter the amount",IF(AND(R144&lt;&gt;"Any",R144&lt;&gt;P144),"Sales, receipts and credit notes are for debtors; purchases, payments and debit notes for creditors",IF(AND(F144&lt;&gt;"",D144&lt;&gt;"Purchase bill"),"The received-on date is only for purchase bills",IF(AND(P144="Creditor",X144=1,AA144&gt;0),"Past due to a micro or small supplier: interest runs under MSMED s.16, and if unpaid at year end it is not deductible that year, s.37(2)(g)",IF(AND(P144="Debtor",X144=1,AA144&gt;0),"Past due to you: as a micro or small supplier you can claim interest under MSMED s.16","OK")))))))))))</f>
        <v/>
      </c>
      <c r="P144">
        <f>IF(C144="","",IFERROR(VLOOKUP(C144,'Parties'!$B$13:$Q$112,2,FALSE),"?"))</f>
        <v/>
      </c>
      <c r="Q144">
        <f>IF(D144="","",IFERROR(VLOOKUP(D144,Lists!$A$2:$D$9,3,FALSE),"?"))</f>
        <v/>
      </c>
      <c r="R144">
        <f>IF(D144="","",IFERROR(VLOOKUP(D144,Lists!$A$2:$D$9,4,FALSE),"?"))</f>
        <v/>
      </c>
      <c r="S144">
        <f>IF(P144="Debtor",I144,IF(P144="Creditor",J144,0))</f>
        <v/>
      </c>
      <c r="T144">
        <f>IF(P144="Debtor",J144,IF(P144="Creditor",I144,0))</f>
        <v/>
      </c>
      <c r="U144">
        <f>IF(OR(S144=0,B144=""),0,IFERROR(VLOOKUP(C144,'Parties'!$B$13:$Q$112,13,FALSE),0)+SUMIFS($S$7:$S$506,$C$7:$C$506,C144,$B$7:$B$506,"&lt;"&amp;B144)+SUMIFS(S$7:S144,C$7:C144,C144,B$7:B144,B144))</f>
        <v/>
      </c>
      <c r="V144">
        <f>IF(S144=0,0,IFERROR(VLOOKUP(C144,'Parties'!$B$13:$Q$112,14,FALSE),0)+SUMIFS($T$7:$T$506,$C$7:$C$506,C144,$B$7:$B$506,"&lt;="&amp;'Outstanding'!$E$5))</f>
        <v/>
      </c>
      <c r="W144">
        <f>IF(OR('Outstanding'!$E$5="",S144=0,B144="",B144&gt;'Outstanding'!$E$5),0,MAX(0,MIN(S144,U144-V144)))</f>
        <v/>
      </c>
      <c r="X144">
        <f>IF(C144="",0,IFERROR(VLOOKUP(C144,'Parties'!$B$13:$Q$112,15,FALSE),0))</f>
        <v/>
      </c>
      <c r="Y144">
        <f>IF(C144="","",IFERROR(VLOOKUP(C144,'Parties'!$B$13:$Q$112,16,FALSE),0))</f>
        <v/>
      </c>
      <c r="Z144">
        <f>IF(OR(S144=0,B144="",Y144=""),"",IF(AND(F144&lt;&gt;"",D144="Purchase bill"),F144,B144)+Y144)</f>
        <v/>
      </c>
      <c r="AA144">
        <f>IF(OR(W144=0,Z144=""),0,MAX(0,'Outstanding'!$E$5-Z144))</f>
        <v/>
      </c>
      <c r="AB144">
        <f>IF(AND(X144=1,AA144&gt;0),W144*((1+3*N('Parties'!$E$10)/12)^(AA144*12/365)-1),0)</f>
        <v/>
      </c>
      <c r="AC144">
        <f>IF(W144=0,"",'Outstanding'!$E$5-B144)</f>
        <v/>
      </c>
      <c r="AD144">
        <f>IF(S144=0,0,IFERROR(VLOOKUP(C144,'Parties'!$B$13:$Q$112,14,FALSE),0)+SUMIFS($T$7:$T$506,$C$7:$C$506,C144,$B$7:$B$506,"&lt;="&amp;'Parties'!$E$8))</f>
        <v/>
      </c>
      <c r="AE144">
        <f>IF(OR('Parties'!$E$8="",S144=0,B144="",B144&gt;'Parties'!$E$8),0,MAX(0,MIN(S144,U144-AD144)))</f>
        <v/>
      </c>
      <c r="AF144">
        <f>IF(AND(P144="Creditor",X144=1,AE144&gt;0,Z144&lt;&gt;""),IF(Z144&lt;='Parties'!$E$8,AE144,0),0)</f>
        <v/>
      </c>
      <c r="AG144">
        <f>IF(OR(AE144=0,Z144=""),0,MAX(0,'Parties'!$E$8-Z144))</f>
        <v/>
      </c>
      <c r="AH144">
        <f>IF(AND(P144="Creditor",X144=1,AG144&gt;0),AE144*((1+3*N('Parties'!$E$10)/12)^(AG144*12/365)-1),0)</f>
        <v/>
      </c>
      <c r="AI144">
        <f>IF(AND(C144&lt;&gt;"",C144='Ledger Account'!$D$4,B144&lt;&gt;"",B144&gt;='Ledger Account'!$D$5,B144&lt;='Ledger Account'!$D$6),1,0)</f>
        <v/>
      </c>
      <c r="AJ144">
        <f>IF(AI144=1,SUM(AI$7:AI144),"")</f>
        <v/>
      </c>
      <c r="AK144">
        <f>IF(OR(N144="",N144="OK"),0,1)</f>
        <v/>
      </c>
    </row>
    <row r="145">
      <c r="B145" s="24" t="n"/>
      <c r="C145" s="14" t="n"/>
      <c r="D145" s="14" t="n"/>
      <c r="E145" s="20" t="n"/>
      <c r="F145" s="24" t="n"/>
      <c r="G145" s="14" t="n"/>
      <c r="H145" s="22" t="n"/>
      <c r="I145" s="25">
        <f>IF(Q145="D",N(H145),0)</f>
        <v/>
      </c>
      <c r="J145" s="25">
        <f>IF(Q145="C",N(H145),0)</f>
        <v/>
      </c>
      <c r="K145" s="26">
        <f>IF(Z145="","",Z145)</f>
        <v/>
      </c>
      <c r="L145" s="27">
        <f>W145</f>
        <v/>
      </c>
      <c r="M145" s="28">
        <f>AA145</f>
        <v/>
      </c>
      <c r="N145" s="23">
        <f>IF(AND(B145="",C145="",D145="",N(H145)=0),"",IF(B145="","Enter the date",IF(C145="","Pick the party",IF(P145="?","Add this party on the Parties sheet first",IF(D145="","Pick the entry type",IF(Q145="?","Pick the entry type from the list",IF(N(H145)=0,"Enter the amount",IF(AND(R145&lt;&gt;"Any",R145&lt;&gt;P145),"Sales, receipts and credit notes are for debtors; purchases, payments and debit notes for creditors",IF(AND(F145&lt;&gt;"",D145&lt;&gt;"Purchase bill"),"The received-on date is only for purchase bills",IF(AND(P145="Creditor",X145=1,AA145&gt;0),"Past due to a micro or small supplier: interest runs under MSMED s.16, and if unpaid at year end it is not deductible that year, s.37(2)(g)",IF(AND(P145="Debtor",X145=1,AA145&gt;0),"Past due to you: as a micro or small supplier you can claim interest under MSMED s.16","OK")))))))))))</f>
        <v/>
      </c>
      <c r="P145">
        <f>IF(C145="","",IFERROR(VLOOKUP(C145,'Parties'!$B$13:$Q$112,2,FALSE),"?"))</f>
        <v/>
      </c>
      <c r="Q145">
        <f>IF(D145="","",IFERROR(VLOOKUP(D145,Lists!$A$2:$D$9,3,FALSE),"?"))</f>
        <v/>
      </c>
      <c r="R145">
        <f>IF(D145="","",IFERROR(VLOOKUP(D145,Lists!$A$2:$D$9,4,FALSE),"?"))</f>
        <v/>
      </c>
      <c r="S145">
        <f>IF(P145="Debtor",I145,IF(P145="Creditor",J145,0))</f>
        <v/>
      </c>
      <c r="T145">
        <f>IF(P145="Debtor",J145,IF(P145="Creditor",I145,0))</f>
        <v/>
      </c>
      <c r="U145">
        <f>IF(OR(S145=0,B145=""),0,IFERROR(VLOOKUP(C145,'Parties'!$B$13:$Q$112,13,FALSE),0)+SUMIFS($S$7:$S$506,$C$7:$C$506,C145,$B$7:$B$506,"&lt;"&amp;B145)+SUMIFS(S$7:S145,C$7:C145,C145,B$7:B145,B145))</f>
        <v/>
      </c>
      <c r="V145">
        <f>IF(S145=0,0,IFERROR(VLOOKUP(C145,'Parties'!$B$13:$Q$112,14,FALSE),0)+SUMIFS($T$7:$T$506,$C$7:$C$506,C145,$B$7:$B$506,"&lt;="&amp;'Outstanding'!$E$5))</f>
        <v/>
      </c>
      <c r="W145">
        <f>IF(OR('Outstanding'!$E$5="",S145=0,B145="",B145&gt;'Outstanding'!$E$5),0,MAX(0,MIN(S145,U145-V145)))</f>
        <v/>
      </c>
      <c r="X145">
        <f>IF(C145="",0,IFERROR(VLOOKUP(C145,'Parties'!$B$13:$Q$112,15,FALSE),0))</f>
        <v/>
      </c>
      <c r="Y145">
        <f>IF(C145="","",IFERROR(VLOOKUP(C145,'Parties'!$B$13:$Q$112,16,FALSE),0))</f>
        <v/>
      </c>
      <c r="Z145">
        <f>IF(OR(S145=0,B145="",Y145=""),"",IF(AND(F145&lt;&gt;"",D145="Purchase bill"),F145,B145)+Y145)</f>
        <v/>
      </c>
      <c r="AA145">
        <f>IF(OR(W145=0,Z145=""),0,MAX(0,'Outstanding'!$E$5-Z145))</f>
        <v/>
      </c>
      <c r="AB145">
        <f>IF(AND(X145=1,AA145&gt;0),W145*((1+3*N('Parties'!$E$10)/12)^(AA145*12/365)-1),0)</f>
        <v/>
      </c>
      <c r="AC145">
        <f>IF(W145=0,"",'Outstanding'!$E$5-B145)</f>
        <v/>
      </c>
      <c r="AD145">
        <f>IF(S145=0,0,IFERROR(VLOOKUP(C145,'Parties'!$B$13:$Q$112,14,FALSE),0)+SUMIFS($T$7:$T$506,$C$7:$C$506,C145,$B$7:$B$506,"&lt;="&amp;'Parties'!$E$8))</f>
        <v/>
      </c>
      <c r="AE145">
        <f>IF(OR('Parties'!$E$8="",S145=0,B145="",B145&gt;'Parties'!$E$8),0,MAX(0,MIN(S145,U145-AD145)))</f>
        <v/>
      </c>
      <c r="AF145">
        <f>IF(AND(P145="Creditor",X145=1,AE145&gt;0,Z145&lt;&gt;""),IF(Z145&lt;='Parties'!$E$8,AE145,0),0)</f>
        <v/>
      </c>
      <c r="AG145">
        <f>IF(OR(AE145=0,Z145=""),0,MAX(0,'Parties'!$E$8-Z145))</f>
        <v/>
      </c>
      <c r="AH145">
        <f>IF(AND(P145="Creditor",X145=1,AG145&gt;0),AE145*((1+3*N('Parties'!$E$10)/12)^(AG145*12/365)-1),0)</f>
        <v/>
      </c>
      <c r="AI145">
        <f>IF(AND(C145&lt;&gt;"",C145='Ledger Account'!$D$4,B145&lt;&gt;"",B145&gt;='Ledger Account'!$D$5,B145&lt;='Ledger Account'!$D$6),1,0)</f>
        <v/>
      </c>
      <c r="AJ145">
        <f>IF(AI145=1,SUM(AI$7:AI145),"")</f>
        <v/>
      </c>
      <c r="AK145">
        <f>IF(OR(N145="",N145="OK"),0,1)</f>
        <v/>
      </c>
    </row>
    <row r="146">
      <c r="B146" s="24" t="n"/>
      <c r="C146" s="14" t="n"/>
      <c r="D146" s="14" t="n"/>
      <c r="E146" s="20" t="n"/>
      <c r="F146" s="24" t="n"/>
      <c r="G146" s="14" t="n"/>
      <c r="H146" s="22" t="n"/>
      <c r="I146" s="25">
        <f>IF(Q146="D",N(H146),0)</f>
        <v/>
      </c>
      <c r="J146" s="25">
        <f>IF(Q146="C",N(H146),0)</f>
        <v/>
      </c>
      <c r="K146" s="26">
        <f>IF(Z146="","",Z146)</f>
        <v/>
      </c>
      <c r="L146" s="27">
        <f>W146</f>
        <v/>
      </c>
      <c r="M146" s="28">
        <f>AA146</f>
        <v/>
      </c>
      <c r="N146" s="23">
        <f>IF(AND(B146="",C146="",D146="",N(H146)=0),"",IF(B146="","Enter the date",IF(C146="","Pick the party",IF(P146="?","Add this party on the Parties sheet first",IF(D146="","Pick the entry type",IF(Q146="?","Pick the entry type from the list",IF(N(H146)=0,"Enter the amount",IF(AND(R146&lt;&gt;"Any",R146&lt;&gt;P146),"Sales, receipts and credit notes are for debtors; purchases, payments and debit notes for creditors",IF(AND(F146&lt;&gt;"",D146&lt;&gt;"Purchase bill"),"The received-on date is only for purchase bills",IF(AND(P146="Creditor",X146=1,AA146&gt;0),"Past due to a micro or small supplier: interest runs under MSMED s.16, and if unpaid at year end it is not deductible that year, s.37(2)(g)",IF(AND(P146="Debtor",X146=1,AA146&gt;0),"Past due to you: as a micro or small supplier you can claim interest under MSMED s.16","OK")))))))))))</f>
        <v/>
      </c>
      <c r="P146">
        <f>IF(C146="","",IFERROR(VLOOKUP(C146,'Parties'!$B$13:$Q$112,2,FALSE),"?"))</f>
        <v/>
      </c>
      <c r="Q146">
        <f>IF(D146="","",IFERROR(VLOOKUP(D146,Lists!$A$2:$D$9,3,FALSE),"?"))</f>
        <v/>
      </c>
      <c r="R146">
        <f>IF(D146="","",IFERROR(VLOOKUP(D146,Lists!$A$2:$D$9,4,FALSE),"?"))</f>
        <v/>
      </c>
      <c r="S146">
        <f>IF(P146="Debtor",I146,IF(P146="Creditor",J146,0))</f>
        <v/>
      </c>
      <c r="T146">
        <f>IF(P146="Debtor",J146,IF(P146="Creditor",I146,0))</f>
        <v/>
      </c>
      <c r="U146">
        <f>IF(OR(S146=0,B146=""),0,IFERROR(VLOOKUP(C146,'Parties'!$B$13:$Q$112,13,FALSE),0)+SUMIFS($S$7:$S$506,$C$7:$C$506,C146,$B$7:$B$506,"&lt;"&amp;B146)+SUMIFS(S$7:S146,C$7:C146,C146,B$7:B146,B146))</f>
        <v/>
      </c>
      <c r="V146">
        <f>IF(S146=0,0,IFERROR(VLOOKUP(C146,'Parties'!$B$13:$Q$112,14,FALSE),0)+SUMIFS($T$7:$T$506,$C$7:$C$506,C146,$B$7:$B$506,"&lt;="&amp;'Outstanding'!$E$5))</f>
        <v/>
      </c>
      <c r="W146">
        <f>IF(OR('Outstanding'!$E$5="",S146=0,B146="",B146&gt;'Outstanding'!$E$5),0,MAX(0,MIN(S146,U146-V146)))</f>
        <v/>
      </c>
      <c r="X146">
        <f>IF(C146="",0,IFERROR(VLOOKUP(C146,'Parties'!$B$13:$Q$112,15,FALSE),0))</f>
        <v/>
      </c>
      <c r="Y146">
        <f>IF(C146="","",IFERROR(VLOOKUP(C146,'Parties'!$B$13:$Q$112,16,FALSE),0))</f>
        <v/>
      </c>
      <c r="Z146">
        <f>IF(OR(S146=0,B146="",Y146=""),"",IF(AND(F146&lt;&gt;"",D146="Purchase bill"),F146,B146)+Y146)</f>
        <v/>
      </c>
      <c r="AA146">
        <f>IF(OR(W146=0,Z146=""),0,MAX(0,'Outstanding'!$E$5-Z146))</f>
        <v/>
      </c>
      <c r="AB146">
        <f>IF(AND(X146=1,AA146&gt;0),W146*((1+3*N('Parties'!$E$10)/12)^(AA146*12/365)-1),0)</f>
        <v/>
      </c>
      <c r="AC146">
        <f>IF(W146=0,"",'Outstanding'!$E$5-B146)</f>
        <v/>
      </c>
      <c r="AD146">
        <f>IF(S146=0,0,IFERROR(VLOOKUP(C146,'Parties'!$B$13:$Q$112,14,FALSE),0)+SUMIFS($T$7:$T$506,$C$7:$C$506,C146,$B$7:$B$506,"&lt;="&amp;'Parties'!$E$8))</f>
        <v/>
      </c>
      <c r="AE146">
        <f>IF(OR('Parties'!$E$8="",S146=0,B146="",B146&gt;'Parties'!$E$8),0,MAX(0,MIN(S146,U146-AD146)))</f>
        <v/>
      </c>
      <c r="AF146">
        <f>IF(AND(P146="Creditor",X146=1,AE146&gt;0,Z146&lt;&gt;""),IF(Z146&lt;='Parties'!$E$8,AE146,0),0)</f>
        <v/>
      </c>
      <c r="AG146">
        <f>IF(OR(AE146=0,Z146=""),0,MAX(0,'Parties'!$E$8-Z146))</f>
        <v/>
      </c>
      <c r="AH146">
        <f>IF(AND(P146="Creditor",X146=1,AG146&gt;0),AE146*((1+3*N('Parties'!$E$10)/12)^(AG146*12/365)-1),0)</f>
        <v/>
      </c>
      <c r="AI146">
        <f>IF(AND(C146&lt;&gt;"",C146='Ledger Account'!$D$4,B146&lt;&gt;"",B146&gt;='Ledger Account'!$D$5,B146&lt;='Ledger Account'!$D$6),1,0)</f>
        <v/>
      </c>
      <c r="AJ146">
        <f>IF(AI146=1,SUM(AI$7:AI146),"")</f>
        <v/>
      </c>
      <c r="AK146">
        <f>IF(OR(N146="",N146="OK"),0,1)</f>
        <v/>
      </c>
    </row>
    <row r="147">
      <c r="B147" s="24" t="n"/>
      <c r="C147" s="14" t="n"/>
      <c r="D147" s="14" t="n"/>
      <c r="E147" s="20" t="n"/>
      <c r="F147" s="24" t="n"/>
      <c r="G147" s="14" t="n"/>
      <c r="H147" s="22" t="n"/>
      <c r="I147" s="25">
        <f>IF(Q147="D",N(H147),0)</f>
        <v/>
      </c>
      <c r="J147" s="25">
        <f>IF(Q147="C",N(H147),0)</f>
        <v/>
      </c>
      <c r="K147" s="26">
        <f>IF(Z147="","",Z147)</f>
        <v/>
      </c>
      <c r="L147" s="27">
        <f>W147</f>
        <v/>
      </c>
      <c r="M147" s="28">
        <f>AA147</f>
        <v/>
      </c>
      <c r="N147" s="23">
        <f>IF(AND(B147="",C147="",D147="",N(H147)=0),"",IF(B147="","Enter the date",IF(C147="","Pick the party",IF(P147="?","Add this party on the Parties sheet first",IF(D147="","Pick the entry type",IF(Q147="?","Pick the entry type from the list",IF(N(H147)=0,"Enter the amount",IF(AND(R147&lt;&gt;"Any",R147&lt;&gt;P147),"Sales, receipts and credit notes are for debtors; purchases, payments and debit notes for creditors",IF(AND(F147&lt;&gt;"",D147&lt;&gt;"Purchase bill"),"The received-on date is only for purchase bills",IF(AND(P147="Creditor",X147=1,AA147&gt;0),"Past due to a micro or small supplier: interest runs under MSMED s.16, and if unpaid at year end it is not deductible that year, s.37(2)(g)",IF(AND(P147="Debtor",X147=1,AA147&gt;0),"Past due to you: as a micro or small supplier you can claim interest under MSMED s.16","OK")))))))))))</f>
        <v/>
      </c>
      <c r="P147">
        <f>IF(C147="","",IFERROR(VLOOKUP(C147,'Parties'!$B$13:$Q$112,2,FALSE),"?"))</f>
        <v/>
      </c>
      <c r="Q147">
        <f>IF(D147="","",IFERROR(VLOOKUP(D147,Lists!$A$2:$D$9,3,FALSE),"?"))</f>
        <v/>
      </c>
      <c r="R147">
        <f>IF(D147="","",IFERROR(VLOOKUP(D147,Lists!$A$2:$D$9,4,FALSE),"?"))</f>
        <v/>
      </c>
      <c r="S147">
        <f>IF(P147="Debtor",I147,IF(P147="Creditor",J147,0))</f>
        <v/>
      </c>
      <c r="T147">
        <f>IF(P147="Debtor",J147,IF(P147="Creditor",I147,0))</f>
        <v/>
      </c>
      <c r="U147">
        <f>IF(OR(S147=0,B147=""),0,IFERROR(VLOOKUP(C147,'Parties'!$B$13:$Q$112,13,FALSE),0)+SUMIFS($S$7:$S$506,$C$7:$C$506,C147,$B$7:$B$506,"&lt;"&amp;B147)+SUMIFS(S$7:S147,C$7:C147,C147,B$7:B147,B147))</f>
        <v/>
      </c>
      <c r="V147">
        <f>IF(S147=0,0,IFERROR(VLOOKUP(C147,'Parties'!$B$13:$Q$112,14,FALSE),0)+SUMIFS($T$7:$T$506,$C$7:$C$506,C147,$B$7:$B$506,"&lt;="&amp;'Outstanding'!$E$5))</f>
        <v/>
      </c>
      <c r="W147">
        <f>IF(OR('Outstanding'!$E$5="",S147=0,B147="",B147&gt;'Outstanding'!$E$5),0,MAX(0,MIN(S147,U147-V147)))</f>
        <v/>
      </c>
      <c r="X147">
        <f>IF(C147="",0,IFERROR(VLOOKUP(C147,'Parties'!$B$13:$Q$112,15,FALSE),0))</f>
        <v/>
      </c>
      <c r="Y147">
        <f>IF(C147="","",IFERROR(VLOOKUP(C147,'Parties'!$B$13:$Q$112,16,FALSE),0))</f>
        <v/>
      </c>
      <c r="Z147">
        <f>IF(OR(S147=0,B147="",Y147=""),"",IF(AND(F147&lt;&gt;"",D147="Purchase bill"),F147,B147)+Y147)</f>
        <v/>
      </c>
      <c r="AA147">
        <f>IF(OR(W147=0,Z147=""),0,MAX(0,'Outstanding'!$E$5-Z147))</f>
        <v/>
      </c>
      <c r="AB147">
        <f>IF(AND(X147=1,AA147&gt;0),W147*((1+3*N('Parties'!$E$10)/12)^(AA147*12/365)-1),0)</f>
        <v/>
      </c>
      <c r="AC147">
        <f>IF(W147=0,"",'Outstanding'!$E$5-B147)</f>
        <v/>
      </c>
      <c r="AD147">
        <f>IF(S147=0,0,IFERROR(VLOOKUP(C147,'Parties'!$B$13:$Q$112,14,FALSE),0)+SUMIFS($T$7:$T$506,$C$7:$C$506,C147,$B$7:$B$506,"&lt;="&amp;'Parties'!$E$8))</f>
        <v/>
      </c>
      <c r="AE147">
        <f>IF(OR('Parties'!$E$8="",S147=0,B147="",B147&gt;'Parties'!$E$8),0,MAX(0,MIN(S147,U147-AD147)))</f>
        <v/>
      </c>
      <c r="AF147">
        <f>IF(AND(P147="Creditor",X147=1,AE147&gt;0,Z147&lt;&gt;""),IF(Z147&lt;='Parties'!$E$8,AE147,0),0)</f>
        <v/>
      </c>
      <c r="AG147">
        <f>IF(OR(AE147=0,Z147=""),0,MAX(0,'Parties'!$E$8-Z147))</f>
        <v/>
      </c>
      <c r="AH147">
        <f>IF(AND(P147="Creditor",X147=1,AG147&gt;0),AE147*((1+3*N('Parties'!$E$10)/12)^(AG147*12/365)-1),0)</f>
        <v/>
      </c>
      <c r="AI147">
        <f>IF(AND(C147&lt;&gt;"",C147='Ledger Account'!$D$4,B147&lt;&gt;"",B147&gt;='Ledger Account'!$D$5,B147&lt;='Ledger Account'!$D$6),1,0)</f>
        <v/>
      </c>
      <c r="AJ147">
        <f>IF(AI147=1,SUM(AI$7:AI147),"")</f>
        <v/>
      </c>
      <c r="AK147">
        <f>IF(OR(N147="",N147="OK"),0,1)</f>
        <v/>
      </c>
    </row>
    <row r="148">
      <c r="B148" s="24" t="n"/>
      <c r="C148" s="14" t="n"/>
      <c r="D148" s="14" t="n"/>
      <c r="E148" s="20" t="n"/>
      <c r="F148" s="24" t="n"/>
      <c r="G148" s="14" t="n"/>
      <c r="H148" s="22" t="n"/>
      <c r="I148" s="25">
        <f>IF(Q148="D",N(H148),0)</f>
        <v/>
      </c>
      <c r="J148" s="25">
        <f>IF(Q148="C",N(H148),0)</f>
        <v/>
      </c>
      <c r="K148" s="26">
        <f>IF(Z148="","",Z148)</f>
        <v/>
      </c>
      <c r="L148" s="27">
        <f>W148</f>
        <v/>
      </c>
      <c r="M148" s="28">
        <f>AA148</f>
        <v/>
      </c>
      <c r="N148" s="23">
        <f>IF(AND(B148="",C148="",D148="",N(H148)=0),"",IF(B148="","Enter the date",IF(C148="","Pick the party",IF(P148="?","Add this party on the Parties sheet first",IF(D148="","Pick the entry type",IF(Q148="?","Pick the entry type from the list",IF(N(H148)=0,"Enter the amount",IF(AND(R148&lt;&gt;"Any",R148&lt;&gt;P148),"Sales, receipts and credit notes are for debtors; purchases, payments and debit notes for creditors",IF(AND(F148&lt;&gt;"",D148&lt;&gt;"Purchase bill"),"The received-on date is only for purchase bills",IF(AND(P148="Creditor",X148=1,AA148&gt;0),"Past due to a micro or small supplier: interest runs under MSMED s.16, and if unpaid at year end it is not deductible that year, s.37(2)(g)",IF(AND(P148="Debtor",X148=1,AA148&gt;0),"Past due to you: as a micro or small supplier you can claim interest under MSMED s.16","OK")))))))))))</f>
        <v/>
      </c>
      <c r="P148">
        <f>IF(C148="","",IFERROR(VLOOKUP(C148,'Parties'!$B$13:$Q$112,2,FALSE),"?"))</f>
        <v/>
      </c>
      <c r="Q148">
        <f>IF(D148="","",IFERROR(VLOOKUP(D148,Lists!$A$2:$D$9,3,FALSE),"?"))</f>
        <v/>
      </c>
      <c r="R148">
        <f>IF(D148="","",IFERROR(VLOOKUP(D148,Lists!$A$2:$D$9,4,FALSE),"?"))</f>
        <v/>
      </c>
      <c r="S148">
        <f>IF(P148="Debtor",I148,IF(P148="Creditor",J148,0))</f>
        <v/>
      </c>
      <c r="T148">
        <f>IF(P148="Debtor",J148,IF(P148="Creditor",I148,0))</f>
        <v/>
      </c>
      <c r="U148">
        <f>IF(OR(S148=0,B148=""),0,IFERROR(VLOOKUP(C148,'Parties'!$B$13:$Q$112,13,FALSE),0)+SUMIFS($S$7:$S$506,$C$7:$C$506,C148,$B$7:$B$506,"&lt;"&amp;B148)+SUMIFS(S$7:S148,C$7:C148,C148,B$7:B148,B148))</f>
        <v/>
      </c>
      <c r="V148">
        <f>IF(S148=0,0,IFERROR(VLOOKUP(C148,'Parties'!$B$13:$Q$112,14,FALSE),0)+SUMIFS($T$7:$T$506,$C$7:$C$506,C148,$B$7:$B$506,"&lt;="&amp;'Outstanding'!$E$5))</f>
        <v/>
      </c>
      <c r="W148">
        <f>IF(OR('Outstanding'!$E$5="",S148=0,B148="",B148&gt;'Outstanding'!$E$5),0,MAX(0,MIN(S148,U148-V148)))</f>
        <v/>
      </c>
      <c r="X148">
        <f>IF(C148="",0,IFERROR(VLOOKUP(C148,'Parties'!$B$13:$Q$112,15,FALSE),0))</f>
        <v/>
      </c>
      <c r="Y148">
        <f>IF(C148="","",IFERROR(VLOOKUP(C148,'Parties'!$B$13:$Q$112,16,FALSE),0))</f>
        <v/>
      </c>
      <c r="Z148">
        <f>IF(OR(S148=0,B148="",Y148=""),"",IF(AND(F148&lt;&gt;"",D148="Purchase bill"),F148,B148)+Y148)</f>
        <v/>
      </c>
      <c r="AA148">
        <f>IF(OR(W148=0,Z148=""),0,MAX(0,'Outstanding'!$E$5-Z148))</f>
        <v/>
      </c>
      <c r="AB148">
        <f>IF(AND(X148=1,AA148&gt;0),W148*((1+3*N('Parties'!$E$10)/12)^(AA148*12/365)-1),0)</f>
        <v/>
      </c>
      <c r="AC148">
        <f>IF(W148=0,"",'Outstanding'!$E$5-B148)</f>
        <v/>
      </c>
      <c r="AD148">
        <f>IF(S148=0,0,IFERROR(VLOOKUP(C148,'Parties'!$B$13:$Q$112,14,FALSE),0)+SUMIFS($T$7:$T$506,$C$7:$C$506,C148,$B$7:$B$506,"&lt;="&amp;'Parties'!$E$8))</f>
        <v/>
      </c>
      <c r="AE148">
        <f>IF(OR('Parties'!$E$8="",S148=0,B148="",B148&gt;'Parties'!$E$8),0,MAX(0,MIN(S148,U148-AD148)))</f>
        <v/>
      </c>
      <c r="AF148">
        <f>IF(AND(P148="Creditor",X148=1,AE148&gt;0,Z148&lt;&gt;""),IF(Z148&lt;='Parties'!$E$8,AE148,0),0)</f>
        <v/>
      </c>
      <c r="AG148">
        <f>IF(OR(AE148=0,Z148=""),0,MAX(0,'Parties'!$E$8-Z148))</f>
        <v/>
      </c>
      <c r="AH148">
        <f>IF(AND(P148="Creditor",X148=1,AG148&gt;0),AE148*((1+3*N('Parties'!$E$10)/12)^(AG148*12/365)-1),0)</f>
        <v/>
      </c>
      <c r="AI148">
        <f>IF(AND(C148&lt;&gt;"",C148='Ledger Account'!$D$4,B148&lt;&gt;"",B148&gt;='Ledger Account'!$D$5,B148&lt;='Ledger Account'!$D$6),1,0)</f>
        <v/>
      </c>
      <c r="AJ148">
        <f>IF(AI148=1,SUM(AI$7:AI148),"")</f>
        <v/>
      </c>
      <c r="AK148">
        <f>IF(OR(N148="",N148="OK"),0,1)</f>
        <v/>
      </c>
    </row>
    <row r="149">
      <c r="B149" s="24" t="n"/>
      <c r="C149" s="14" t="n"/>
      <c r="D149" s="14" t="n"/>
      <c r="E149" s="20" t="n"/>
      <c r="F149" s="24" t="n"/>
      <c r="G149" s="14" t="n"/>
      <c r="H149" s="22" t="n"/>
      <c r="I149" s="25">
        <f>IF(Q149="D",N(H149),0)</f>
        <v/>
      </c>
      <c r="J149" s="25">
        <f>IF(Q149="C",N(H149),0)</f>
        <v/>
      </c>
      <c r="K149" s="26">
        <f>IF(Z149="","",Z149)</f>
        <v/>
      </c>
      <c r="L149" s="27">
        <f>W149</f>
        <v/>
      </c>
      <c r="M149" s="28">
        <f>AA149</f>
        <v/>
      </c>
      <c r="N149" s="23">
        <f>IF(AND(B149="",C149="",D149="",N(H149)=0),"",IF(B149="","Enter the date",IF(C149="","Pick the party",IF(P149="?","Add this party on the Parties sheet first",IF(D149="","Pick the entry type",IF(Q149="?","Pick the entry type from the list",IF(N(H149)=0,"Enter the amount",IF(AND(R149&lt;&gt;"Any",R149&lt;&gt;P149),"Sales, receipts and credit notes are for debtors; purchases, payments and debit notes for creditors",IF(AND(F149&lt;&gt;"",D149&lt;&gt;"Purchase bill"),"The received-on date is only for purchase bills",IF(AND(P149="Creditor",X149=1,AA149&gt;0),"Past due to a micro or small supplier: interest runs under MSMED s.16, and if unpaid at year end it is not deductible that year, s.37(2)(g)",IF(AND(P149="Debtor",X149=1,AA149&gt;0),"Past due to you: as a micro or small supplier you can claim interest under MSMED s.16","OK")))))))))))</f>
        <v/>
      </c>
      <c r="P149">
        <f>IF(C149="","",IFERROR(VLOOKUP(C149,'Parties'!$B$13:$Q$112,2,FALSE),"?"))</f>
        <v/>
      </c>
      <c r="Q149">
        <f>IF(D149="","",IFERROR(VLOOKUP(D149,Lists!$A$2:$D$9,3,FALSE),"?"))</f>
        <v/>
      </c>
      <c r="R149">
        <f>IF(D149="","",IFERROR(VLOOKUP(D149,Lists!$A$2:$D$9,4,FALSE),"?"))</f>
        <v/>
      </c>
      <c r="S149">
        <f>IF(P149="Debtor",I149,IF(P149="Creditor",J149,0))</f>
        <v/>
      </c>
      <c r="T149">
        <f>IF(P149="Debtor",J149,IF(P149="Creditor",I149,0))</f>
        <v/>
      </c>
      <c r="U149">
        <f>IF(OR(S149=0,B149=""),0,IFERROR(VLOOKUP(C149,'Parties'!$B$13:$Q$112,13,FALSE),0)+SUMIFS($S$7:$S$506,$C$7:$C$506,C149,$B$7:$B$506,"&lt;"&amp;B149)+SUMIFS(S$7:S149,C$7:C149,C149,B$7:B149,B149))</f>
        <v/>
      </c>
      <c r="V149">
        <f>IF(S149=0,0,IFERROR(VLOOKUP(C149,'Parties'!$B$13:$Q$112,14,FALSE),0)+SUMIFS($T$7:$T$506,$C$7:$C$506,C149,$B$7:$B$506,"&lt;="&amp;'Outstanding'!$E$5))</f>
        <v/>
      </c>
      <c r="W149">
        <f>IF(OR('Outstanding'!$E$5="",S149=0,B149="",B149&gt;'Outstanding'!$E$5),0,MAX(0,MIN(S149,U149-V149)))</f>
        <v/>
      </c>
      <c r="X149">
        <f>IF(C149="",0,IFERROR(VLOOKUP(C149,'Parties'!$B$13:$Q$112,15,FALSE),0))</f>
        <v/>
      </c>
      <c r="Y149">
        <f>IF(C149="","",IFERROR(VLOOKUP(C149,'Parties'!$B$13:$Q$112,16,FALSE),0))</f>
        <v/>
      </c>
      <c r="Z149">
        <f>IF(OR(S149=0,B149="",Y149=""),"",IF(AND(F149&lt;&gt;"",D149="Purchase bill"),F149,B149)+Y149)</f>
        <v/>
      </c>
      <c r="AA149">
        <f>IF(OR(W149=0,Z149=""),0,MAX(0,'Outstanding'!$E$5-Z149))</f>
        <v/>
      </c>
      <c r="AB149">
        <f>IF(AND(X149=1,AA149&gt;0),W149*((1+3*N('Parties'!$E$10)/12)^(AA149*12/365)-1),0)</f>
        <v/>
      </c>
      <c r="AC149">
        <f>IF(W149=0,"",'Outstanding'!$E$5-B149)</f>
        <v/>
      </c>
      <c r="AD149">
        <f>IF(S149=0,0,IFERROR(VLOOKUP(C149,'Parties'!$B$13:$Q$112,14,FALSE),0)+SUMIFS($T$7:$T$506,$C$7:$C$506,C149,$B$7:$B$506,"&lt;="&amp;'Parties'!$E$8))</f>
        <v/>
      </c>
      <c r="AE149">
        <f>IF(OR('Parties'!$E$8="",S149=0,B149="",B149&gt;'Parties'!$E$8),0,MAX(0,MIN(S149,U149-AD149)))</f>
        <v/>
      </c>
      <c r="AF149">
        <f>IF(AND(P149="Creditor",X149=1,AE149&gt;0,Z149&lt;&gt;""),IF(Z149&lt;='Parties'!$E$8,AE149,0),0)</f>
        <v/>
      </c>
      <c r="AG149">
        <f>IF(OR(AE149=0,Z149=""),0,MAX(0,'Parties'!$E$8-Z149))</f>
        <v/>
      </c>
      <c r="AH149">
        <f>IF(AND(P149="Creditor",X149=1,AG149&gt;0),AE149*((1+3*N('Parties'!$E$10)/12)^(AG149*12/365)-1),0)</f>
        <v/>
      </c>
      <c r="AI149">
        <f>IF(AND(C149&lt;&gt;"",C149='Ledger Account'!$D$4,B149&lt;&gt;"",B149&gt;='Ledger Account'!$D$5,B149&lt;='Ledger Account'!$D$6),1,0)</f>
        <v/>
      </c>
      <c r="AJ149">
        <f>IF(AI149=1,SUM(AI$7:AI149),"")</f>
        <v/>
      </c>
      <c r="AK149">
        <f>IF(OR(N149="",N149="OK"),0,1)</f>
        <v/>
      </c>
    </row>
    <row r="150">
      <c r="B150" s="24" t="n"/>
      <c r="C150" s="14" t="n"/>
      <c r="D150" s="14" t="n"/>
      <c r="E150" s="20" t="n"/>
      <c r="F150" s="24" t="n"/>
      <c r="G150" s="14" t="n"/>
      <c r="H150" s="22" t="n"/>
      <c r="I150" s="25">
        <f>IF(Q150="D",N(H150),0)</f>
        <v/>
      </c>
      <c r="J150" s="25">
        <f>IF(Q150="C",N(H150),0)</f>
        <v/>
      </c>
      <c r="K150" s="26">
        <f>IF(Z150="","",Z150)</f>
        <v/>
      </c>
      <c r="L150" s="27">
        <f>W150</f>
        <v/>
      </c>
      <c r="M150" s="28">
        <f>AA150</f>
        <v/>
      </c>
      <c r="N150" s="23">
        <f>IF(AND(B150="",C150="",D150="",N(H150)=0),"",IF(B150="","Enter the date",IF(C150="","Pick the party",IF(P150="?","Add this party on the Parties sheet first",IF(D150="","Pick the entry type",IF(Q150="?","Pick the entry type from the list",IF(N(H150)=0,"Enter the amount",IF(AND(R150&lt;&gt;"Any",R150&lt;&gt;P150),"Sales, receipts and credit notes are for debtors; purchases, payments and debit notes for creditors",IF(AND(F150&lt;&gt;"",D150&lt;&gt;"Purchase bill"),"The received-on date is only for purchase bills",IF(AND(P150="Creditor",X150=1,AA150&gt;0),"Past due to a micro or small supplier: interest runs under MSMED s.16, and if unpaid at year end it is not deductible that year, s.37(2)(g)",IF(AND(P150="Debtor",X150=1,AA150&gt;0),"Past due to you: as a micro or small supplier you can claim interest under MSMED s.16","OK")))))))))))</f>
        <v/>
      </c>
      <c r="P150">
        <f>IF(C150="","",IFERROR(VLOOKUP(C150,'Parties'!$B$13:$Q$112,2,FALSE),"?"))</f>
        <v/>
      </c>
      <c r="Q150">
        <f>IF(D150="","",IFERROR(VLOOKUP(D150,Lists!$A$2:$D$9,3,FALSE),"?"))</f>
        <v/>
      </c>
      <c r="R150">
        <f>IF(D150="","",IFERROR(VLOOKUP(D150,Lists!$A$2:$D$9,4,FALSE),"?"))</f>
        <v/>
      </c>
      <c r="S150">
        <f>IF(P150="Debtor",I150,IF(P150="Creditor",J150,0))</f>
        <v/>
      </c>
      <c r="T150">
        <f>IF(P150="Debtor",J150,IF(P150="Creditor",I150,0))</f>
        <v/>
      </c>
      <c r="U150">
        <f>IF(OR(S150=0,B150=""),0,IFERROR(VLOOKUP(C150,'Parties'!$B$13:$Q$112,13,FALSE),0)+SUMIFS($S$7:$S$506,$C$7:$C$506,C150,$B$7:$B$506,"&lt;"&amp;B150)+SUMIFS(S$7:S150,C$7:C150,C150,B$7:B150,B150))</f>
        <v/>
      </c>
      <c r="V150">
        <f>IF(S150=0,0,IFERROR(VLOOKUP(C150,'Parties'!$B$13:$Q$112,14,FALSE),0)+SUMIFS($T$7:$T$506,$C$7:$C$506,C150,$B$7:$B$506,"&lt;="&amp;'Outstanding'!$E$5))</f>
        <v/>
      </c>
      <c r="W150">
        <f>IF(OR('Outstanding'!$E$5="",S150=0,B150="",B150&gt;'Outstanding'!$E$5),0,MAX(0,MIN(S150,U150-V150)))</f>
        <v/>
      </c>
      <c r="X150">
        <f>IF(C150="",0,IFERROR(VLOOKUP(C150,'Parties'!$B$13:$Q$112,15,FALSE),0))</f>
        <v/>
      </c>
      <c r="Y150">
        <f>IF(C150="","",IFERROR(VLOOKUP(C150,'Parties'!$B$13:$Q$112,16,FALSE),0))</f>
        <v/>
      </c>
      <c r="Z150">
        <f>IF(OR(S150=0,B150="",Y150=""),"",IF(AND(F150&lt;&gt;"",D150="Purchase bill"),F150,B150)+Y150)</f>
        <v/>
      </c>
      <c r="AA150">
        <f>IF(OR(W150=0,Z150=""),0,MAX(0,'Outstanding'!$E$5-Z150))</f>
        <v/>
      </c>
      <c r="AB150">
        <f>IF(AND(X150=1,AA150&gt;0),W150*((1+3*N('Parties'!$E$10)/12)^(AA150*12/365)-1),0)</f>
        <v/>
      </c>
      <c r="AC150">
        <f>IF(W150=0,"",'Outstanding'!$E$5-B150)</f>
        <v/>
      </c>
      <c r="AD150">
        <f>IF(S150=0,0,IFERROR(VLOOKUP(C150,'Parties'!$B$13:$Q$112,14,FALSE),0)+SUMIFS($T$7:$T$506,$C$7:$C$506,C150,$B$7:$B$506,"&lt;="&amp;'Parties'!$E$8))</f>
        <v/>
      </c>
      <c r="AE150">
        <f>IF(OR('Parties'!$E$8="",S150=0,B150="",B150&gt;'Parties'!$E$8),0,MAX(0,MIN(S150,U150-AD150)))</f>
        <v/>
      </c>
      <c r="AF150">
        <f>IF(AND(P150="Creditor",X150=1,AE150&gt;0,Z150&lt;&gt;""),IF(Z150&lt;='Parties'!$E$8,AE150,0),0)</f>
        <v/>
      </c>
      <c r="AG150">
        <f>IF(OR(AE150=0,Z150=""),0,MAX(0,'Parties'!$E$8-Z150))</f>
        <v/>
      </c>
      <c r="AH150">
        <f>IF(AND(P150="Creditor",X150=1,AG150&gt;0),AE150*((1+3*N('Parties'!$E$10)/12)^(AG150*12/365)-1),0)</f>
        <v/>
      </c>
      <c r="AI150">
        <f>IF(AND(C150&lt;&gt;"",C150='Ledger Account'!$D$4,B150&lt;&gt;"",B150&gt;='Ledger Account'!$D$5,B150&lt;='Ledger Account'!$D$6),1,0)</f>
        <v/>
      </c>
      <c r="AJ150">
        <f>IF(AI150=1,SUM(AI$7:AI150),"")</f>
        <v/>
      </c>
      <c r="AK150">
        <f>IF(OR(N150="",N150="OK"),0,1)</f>
        <v/>
      </c>
    </row>
    <row r="151">
      <c r="B151" s="24" t="n"/>
      <c r="C151" s="14" t="n"/>
      <c r="D151" s="14" t="n"/>
      <c r="E151" s="20" t="n"/>
      <c r="F151" s="24" t="n"/>
      <c r="G151" s="14" t="n"/>
      <c r="H151" s="22" t="n"/>
      <c r="I151" s="25">
        <f>IF(Q151="D",N(H151),0)</f>
        <v/>
      </c>
      <c r="J151" s="25">
        <f>IF(Q151="C",N(H151),0)</f>
        <v/>
      </c>
      <c r="K151" s="26">
        <f>IF(Z151="","",Z151)</f>
        <v/>
      </c>
      <c r="L151" s="27">
        <f>W151</f>
        <v/>
      </c>
      <c r="M151" s="28">
        <f>AA151</f>
        <v/>
      </c>
      <c r="N151" s="23">
        <f>IF(AND(B151="",C151="",D151="",N(H151)=0),"",IF(B151="","Enter the date",IF(C151="","Pick the party",IF(P151="?","Add this party on the Parties sheet first",IF(D151="","Pick the entry type",IF(Q151="?","Pick the entry type from the list",IF(N(H151)=0,"Enter the amount",IF(AND(R151&lt;&gt;"Any",R151&lt;&gt;P151),"Sales, receipts and credit notes are for debtors; purchases, payments and debit notes for creditors",IF(AND(F151&lt;&gt;"",D151&lt;&gt;"Purchase bill"),"The received-on date is only for purchase bills",IF(AND(P151="Creditor",X151=1,AA151&gt;0),"Past due to a micro or small supplier: interest runs under MSMED s.16, and if unpaid at year end it is not deductible that year, s.37(2)(g)",IF(AND(P151="Debtor",X151=1,AA151&gt;0),"Past due to you: as a micro or small supplier you can claim interest under MSMED s.16","OK")))))))))))</f>
        <v/>
      </c>
      <c r="P151">
        <f>IF(C151="","",IFERROR(VLOOKUP(C151,'Parties'!$B$13:$Q$112,2,FALSE),"?"))</f>
        <v/>
      </c>
      <c r="Q151">
        <f>IF(D151="","",IFERROR(VLOOKUP(D151,Lists!$A$2:$D$9,3,FALSE),"?"))</f>
        <v/>
      </c>
      <c r="R151">
        <f>IF(D151="","",IFERROR(VLOOKUP(D151,Lists!$A$2:$D$9,4,FALSE),"?"))</f>
        <v/>
      </c>
      <c r="S151">
        <f>IF(P151="Debtor",I151,IF(P151="Creditor",J151,0))</f>
        <v/>
      </c>
      <c r="T151">
        <f>IF(P151="Debtor",J151,IF(P151="Creditor",I151,0))</f>
        <v/>
      </c>
      <c r="U151">
        <f>IF(OR(S151=0,B151=""),0,IFERROR(VLOOKUP(C151,'Parties'!$B$13:$Q$112,13,FALSE),0)+SUMIFS($S$7:$S$506,$C$7:$C$506,C151,$B$7:$B$506,"&lt;"&amp;B151)+SUMIFS(S$7:S151,C$7:C151,C151,B$7:B151,B151))</f>
        <v/>
      </c>
      <c r="V151">
        <f>IF(S151=0,0,IFERROR(VLOOKUP(C151,'Parties'!$B$13:$Q$112,14,FALSE),0)+SUMIFS($T$7:$T$506,$C$7:$C$506,C151,$B$7:$B$506,"&lt;="&amp;'Outstanding'!$E$5))</f>
        <v/>
      </c>
      <c r="W151">
        <f>IF(OR('Outstanding'!$E$5="",S151=0,B151="",B151&gt;'Outstanding'!$E$5),0,MAX(0,MIN(S151,U151-V151)))</f>
        <v/>
      </c>
      <c r="X151">
        <f>IF(C151="",0,IFERROR(VLOOKUP(C151,'Parties'!$B$13:$Q$112,15,FALSE),0))</f>
        <v/>
      </c>
      <c r="Y151">
        <f>IF(C151="","",IFERROR(VLOOKUP(C151,'Parties'!$B$13:$Q$112,16,FALSE),0))</f>
        <v/>
      </c>
      <c r="Z151">
        <f>IF(OR(S151=0,B151="",Y151=""),"",IF(AND(F151&lt;&gt;"",D151="Purchase bill"),F151,B151)+Y151)</f>
        <v/>
      </c>
      <c r="AA151">
        <f>IF(OR(W151=0,Z151=""),0,MAX(0,'Outstanding'!$E$5-Z151))</f>
        <v/>
      </c>
      <c r="AB151">
        <f>IF(AND(X151=1,AA151&gt;0),W151*((1+3*N('Parties'!$E$10)/12)^(AA151*12/365)-1),0)</f>
        <v/>
      </c>
      <c r="AC151">
        <f>IF(W151=0,"",'Outstanding'!$E$5-B151)</f>
        <v/>
      </c>
      <c r="AD151">
        <f>IF(S151=0,0,IFERROR(VLOOKUP(C151,'Parties'!$B$13:$Q$112,14,FALSE),0)+SUMIFS($T$7:$T$506,$C$7:$C$506,C151,$B$7:$B$506,"&lt;="&amp;'Parties'!$E$8))</f>
        <v/>
      </c>
      <c r="AE151">
        <f>IF(OR('Parties'!$E$8="",S151=0,B151="",B151&gt;'Parties'!$E$8),0,MAX(0,MIN(S151,U151-AD151)))</f>
        <v/>
      </c>
      <c r="AF151">
        <f>IF(AND(P151="Creditor",X151=1,AE151&gt;0,Z151&lt;&gt;""),IF(Z151&lt;='Parties'!$E$8,AE151,0),0)</f>
        <v/>
      </c>
      <c r="AG151">
        <f>IF(OR(AE151=0,Z151=""),0,MAX(0,'Parties'!$E$8-Z151))</f>
        <v/>
      </c>
      <c r="AH151">
        <f>IF(AND(P151="Creditor",X151=1,AG151&gt;0),AE151*((1+3*N('Parties'!$E$10)/12)^(AG151*12/365)-1),0)</f>
        <v/>
      </c>
      <c r="AI151">
        <f>IF(AND(C151&lt;&gt;"",C151='Ledger Account'!$D$4,B151&lt;&gt;"",B151&gt;='Ledger Account'!$D$5,B151&lt;='Ledger Account'!$D$6),1,0)</f>
        <v/>
      </c>
      <c r="AJ151">
        <f>IF(AI151=1,SUM(AI$7:AI151),"")</f>
        <v/>
      </c>
      <c r="AK151">
        <f>IF(OR(N151="",N151="OK"),0,1)</f>
        <v/>
      </c>
    </row>
    <row r="152">
      <c r="B152" s="24" t="n"/>
      <c r="C152" s="14" t="n"/>
      <c r="D152" s="14" t="n"/>
      <c r="E152" s="20" t="n"/>
      <c r="F152" s="24" t="n"/>
      <c r="G152" s="14" t="n"/>
      <c r="H152" s="22" t="n"/>
      <c r="I152" s="25">
        <f>IF(Q152="D",N(H152),0)</f>
        <v/>
      </c>
      <c r="J152" s="25">
        <f>IF(Q152="C",N(H152),0)</f>
        <v/>
      </c>
      <c r="K152" s="26">
        <f>IF(Z152="","",Z152)</f>
        <v/>
      </c>
      <c r="L152" s="27">
        <f>W152</f>
        <v/>
      </c>
      <c r="M152" s="28">
        <f>AA152</f>
        <v/>
      </c>
      <c r="N152" s="23">
        <f>IF(AND(B152="",C152="",D152="",N(H152)=0),"",IF(B152="","Enter the date",IF(C152="","Pick the party",IF(P152="?","Add this party on the Parties sheet first",IF(D152="","Pick the entry type",IF(Q152="?","Pick the entry type from the list",IF(N(H152)=0,"Enter the amount",IF(AND(R152&lt;&gt;"Any",R152&lt;&gt;P152),"Sales, receipts and credit notes are for debtors; purchases, payments and debit notes for creditors",IF(AND(F152&lt;&gt;"",D152&lt;&gt;"Purchase bill"),"The received-on date is only for purchase bills",IF(AND(P152="Creditor",X152=1,AA152&gt;0),"Past due to a micro or small supplier: interest runs under MSMED s.16, and if unpaid at year end it is not deductible that year, s.37(2)(g)",IF(AND(P152="Debtor",X152=1,AA152&gt;0),"Past due to you: as a micro or small supplier you can claim interest under MSMED s.16","OK")))))))))))</f>
        <v/>
      </c>
      <c r="P152">
        <f>IF(C152="","",IFERROR(VLOOKUP(C152,'Parties'!$B$13:$Q$112,2,FALSE),"?"))</f>
        <v/>
      </c>
      <c r="Q152">
        <f>IF(D152="","",IFERROR(VLOOKUP(D152,Lists!$A$2:$D$9,3,FALSE),"?"))</f>
        <v/>
      </c>
      <c r="R152">
        <f>IF(D152="","",IFERROR(VLOOKUP(D152,Lists!$A$2:$D$9,4,FALSE),"?"))</f>
        <v/>
      </c>
      <c r="S152">
        <f>IF(P152="Debtor",I152,IF(P152="Creditor",J152,0))</f>
        <v/>
      </c>
      <c r="T152">
        <f>IF(P152="Debtor",J152,IF(P152="Creditor",I152,0))</f>
        <v/>
      </c>
      <c r="U152">
        <f>IF(OR(S152=0,B152=""),0,IFERROR(VLOOKUP(C152,'Parties'!$B$13:$Q$112,13,FALSE),0)+SUMIFS($S$7:$S$506,$C$7:$C$506,C152,$B$7:$B$506,"&lt;"&amp;B152)+SUMIFS(S$7:S152,C$7:C152,C152,B$7:B152,B152))</f>
        <v/>
      </c>
      <c r="V152">
        <f>IF(S152=0,0,IFERROR(VLOOKUP(C152,'Parties'!$B$13:$Q$112,14,FALSE),0)+SUMIFS($T$7:$T$506,$C$7:$C$506,C152,$B$7:$B$506,"&lt;="&amp;'Outstanding'!$E$5))</f>
        <v/>
      </c>
      <c r="W152">
        <f>IF(OR('Outstanding'!$E$5="",S152=0,B152="",B152&gt;'Outstanding'!$E$5),0,MAX(0,MIN(S152,U152-V152)))</f>
        <v/>
      </c>
      <c r="X152">
        <f>IF(C152="",0,IFERROR(VLOOKUP(C152,'Parties'!$B$13:$Q$112,15,FALSE),0))</f>
        <v/>
      </c>
      <c r="Y152">
        <f>IF(C152="","",IFERROR(VLOOKUP(C152,'Parties'!$B$13:$Q$112,16,FALSE),0))</f>
        <v/>
      </c>
      <c r="Z152">
        <f>IF(OR(S152=0,B152="",Y152=""),"",IF(AND(F152&lt;&gt;"",D152="Purchase bill"),F152,B152)+Y152)</f>
        <v/>
      </c>
      <c r="AA152">
        <f>IF(OR(W152=0,Z152=""),0,MAX(0,'Outstanding'!$E$5-Z152))</f>
        <v/>
      </c>
      <c r="AB152">
        <f>IF(AND(X152=1,AA152&gt;0),W152*((1+3*N('Parties'!$E$10)/12)^(AA152*12/365)-1),0)</f>
        <v/>
      </c>
      <c r="AC152">
        <f>IF(W152=0,"",'Outstanding'!$E$5-B152)</f>
        <v/>
      </c>
      <c r="AD152">
        <f>IF(S152=0,0,IFERROR(VLOOKUP(C152,'Parties'!$B$13:$Q$112,14,FALSE),0)+SUMIFS($T$7:$T$506,$C$7:$C$506,C152,$B$7:$B$506,"&lt;="&amp;'Parties'!$E$8))</f>
        <v/>
      </c>
      <c r="AE152">
        <f>IF(OR('Parties'!$E$8="",S152=0,B152="",B152&gt;'Parties'!$E$8),0,MAX(0,MIN(S152,U152-AD152)))</f>
        <v/>
      </c>
      <c r="AF152">
        <f>IF(AND(P152="Creditor",X152=1,AE152&gt;0,Z152&lt;&gt;""),IF(Z152&lt;='Parties'!$E$8,AE152,0),0)</f>
        <v/>
      </c>
      <c r="AG152">
        <f>IF(OR(AE152=0,Z152=""),0,MAX(0,'Parties'!$E$8-Z152))</f>
        <v/>
      </c>
      <c r="AH152">
        <f>IF(AND(P152="Creditor",X152=1,AG152&gt;0),AE152*((1+3*N('Parties'!$E$10)/12)^(AG152*12/365)-1),0)</f>
        <v/>
      </c>
      <c r="AI152">
        <f>IF(AND(C152&lt;&gt;"",C152='Ledger Account'!$D$4,B152&lt;&gt;"",B152&gt;='Ledger Account'!$D$5,B152&lt;='Ledger Account'!$D$6),1,0)</f>
        <v/>
      </c>
      <c r="AJ152">
        <f>IF(AI152=1,SUM(AI$7:AI152),"")</f>
        <v/>
      </c>
      <c r="AK152">
        <f>IF(OR(N152="",N152="OK"),0,1)</f>
        <v/>
      </c>
    </row>
    <row r="153">
      <c r="B153" s="24" t="n"/>
      <c r="C153" s="14" t="n"/>
      <c r="D153" s="14" t="n"/>
      <c r="E153" s="20" t="n"/>
      <c r="F153" s="24" t="n"/>
      <c r="G153" s="14" t="n"/>
      <c r="H153" s="22" t="n"/>
      <c r="I153" s="25">
        <f>IF(Q153="D",N(H153),0)</f>
        <v/>
      </c>
      <c r="J153" s="25">
        <f>IF(Q153="C",N(H153),0)</f>
        <v/>
      </c>
      <c r="K153" s="26">
        <f>IF(Z153="","",Z153)</f>
        <v/>
      </c>
      <c r="L153" s="27">
        <f>W153</f>
        <v/>
      </c>
      <c r="M153" s="28">
        <f>AA153</f>
        <v/>
      </c>
      <c r="N153" s="23">
        <f>IF(AND(B153="",C153="",D153="",N(H153)=0),"",IF(B153="","Enter the date",IF(C153="","Pick the party",IF(P153="?","Add this party on the Parties sheet first",IF(D153="","Pick the entry type",IF(Q153="?","Pick the entry type from the list",IF(N(H153)=0,"Enter the amount",IF(AND(R153&lt;&gt;"Any",R153&lt;&gt;P153),"Sales, receipts and credit notes are for debtors; purchases, payments and debit notes for creditors",IF(AND(F153&lt;&gt;"",D153&lt;&gt;"Purchase bill"),"The received-on date is only for purchase bills",IF(AND(P153="Creditor",X153=1,AA153&gt;0),"Past due to a micro or small supplier: interest runs under MSMED s.16, and if unpaid at year end it is not deductible that year, s.37(2)(g)",IF(AND(P153="Debtor",X153=1,AA153&gt;0),"Past due to you: as a micro or small supplier you can claim interest under MSMED s.16","OK")))))))))))</f>
        <v/>
      </c>
      <c r="P153">
        <f>IF(C153="","",IFERROR(VLOOKUP(C153,'Parties'!$B$13:$Q$112,2,FALSE),"?"))</f>
        <v/>
      </c>
      <c r="Q153">
        <f>IF(D153="","",IFERROR(VLOOKUP(D153,Lists!$A$2:$D$9,3,FALSE),"?"))</f>
        <v/>
      </c>
      <c r="R153">
        <f>IF(D153="","",IFERROR(VLOOKUP(D153,Lists!$A$2:$D$9,4,FALSE),"?"))</f>
        <v/>
      </c>
      <c r="S153">
        <f>IF(P153="Debtor",I153,IF(P153="Creditor",J153,0))</f>
        <v/>
      </c>
      <c r="T153">
        <f>IF(P153="Debtor",J153,IF(P153="Creditor",I153,0))</f>
        <v/>
      </c>
      <c r="U153">
        <f>IF(OR(S153=0,B153=""),0,IFERROR(VLOOKUP(C153,'Parties'!$B$13:$Q$112,13,FALSE),0)+SUMIFS($S$7:$S$506,$C$7:$C$506,C153,$B$7:$B$506,"&lt;"&amp;B153)+SUMIFS(S$7:S153,C$7:C153,C153,B$7:B153,B153))</f>
        <v/>
      </c>
      <c r="V153">
        <f>IF(S153=0,0,IFERROR(VLOOKUP(C153,'Parties'!$B$13:$Q$112,14,FALSE),0)+SUMIFS($T$7:$T$506,$C$7:$C$506,C153,$B$7:$B$506,"&lt;="&amp;'Outstanding'!$E$5))</f>
        <v/>
      </c>
      <c r="W153">
        <f>IF(OR('Outstanding'!$E$5="",S153=0,B153="",B153&gt;'Outstanding'!$E$5),0,MAX(0,MIN(S153,U153-V153)))</f>
        <v/>
      </c>
      <c r="X153">
        <f>IF(C153="",0,IFERROR(VLOOKUP(C153,'Parties'!$B$13:$Q$112,15,FALSE),0))</f>
        <v/>
      </c>
      <c r="Y153">
        <f>IF(C153="","",IFERROR(VLOOKUP(C153,'Parties'!$B$13:$Q$112,16,FALSE),0))</f>
        <v/>
      </c>
      <c r="Z153">
        <f>IF(OR(S153=0,B153="",Y153=""),"",IF(AND(F153&lt;&gt;"",D153="Purchase bill"),F153,B153)+Y153)</f>
        <v/>
      </c>
      <c r="AA153">
        <f>IF(OR(W153=0,Z153=""),0,MAX(0,'Outstanding'!$E$5-Z153))</f>
        <v/>
      </c>
      <c r="AB153">
        <f>IF(AND(X153=1,AA153&gt;0),W153*((1+3*N('Parties'!$E$10)/12)^(AA153*12/365)-1),0)</f>
        <v/>
      </c>
      <c r="AC153">
        <f>IF(W153=0,"",'Outstanding'!$E$5-B153)</f>
        <v/>
      </c>
      <c r="AD153">
        <f>IF(S153=0,0,IFERROR(VLOOKUP(C153,'Parties'!$B$13:$Q$112,14,FALSE),0)+SUMIFS($T$7:$T$506,$C$7:$C$506,C153,$B$7:$B$506,"&lt;="&amp;'Parties'!$E$8))</f>
        <v/>
      </c>
      <c r="AE153">
        <f>IF(OR('Parties'!$E$8="",S153=0,B153="",B153&gt;'Parties'!$E$8),0,MAX(0,MIN(S153,U153-AD153)))</f>
        <v/>
      </c>
      <c r="AF153">
        <f>IF(AND(P153="Creditor",X153=1,AE153&gt;0,Z153&lt;&gt;""),IF(Z153&lt;='Parties'!$E$8,AE153,0),0)</f>
        <v/>
      </c>
      <c r="AG153">
        <f>IF(OR(AE153=0,Z153=""),0,MAX(0,'Parties'!$E$8-Z153))</f>
        <v/>
      </c>
      <c r="AH153">
        <f>IF(AND(P153="Creditor",X153=1,AG153&gt;0),AE153*((1+3*N('Parties'!$E$10)/12)^(AG153*12/365)-1),0)</f>
        <v/>
      </c>
      <c r="AI153">
        <f>IF(AND(C153&lt;&gt;"",C153='Ledger Account'!$D$4,B153&lt;&gt;"",B153&gt;='Ledger Account'!$D$5,B153&lt;='Ledger Account'!$D$6),1,0)</f>
        <v/>
      </c>
      <c r="AJ153">
        <f>IF(AI153=1,SUM(AI$7:AI153),"")</f>
        <v/>
      </c>
      <c r="AK153">
        <f>IF(OR(N153="",N153="OK"),0,1)</f>
        <v/>
      </c>
    </row>
    <row r="154">
      <c r="B154" s="24" t="n"/>
      <c r="C154" s="14" t="n"/>
      <c r="D154" s="14" t="n"/>
      <c r="E154" s="20" t="n"/>
      <c r="F154" s="24" t="n"/>
      <c r="G154" s="14" t="n"/>
      <c r="H154" s="22" t="n"/>
      <c r="I154" s="25">
        <f>IF(Q154="D",N(H154),0)</f>
        <v/>
      </c>
      <c r="J154" s="25">
        <f>IF(Q154="C",N(H154),0)</f>
        <v/>
      </c>
      <c r="K154" s="26">
        <f>IF(Z154="","",Z154)</f>
        <v/>
      </c>
      <c r="L154" s="27">
        <f>W154</f>
        <v/>
      </c>
      <c r="M154" s="28">
        <f>AA154</f>
        <v/>
      </c>
      <c r="N154" s="23">
        <f>IF(AND(B154="",C154="",D154="",N(H154)=0),"",IF(B154="","Enter the date",IF(C154="","Pick the party",IF(P154="?","Add this party on the Parties sheet first",IF(D154="","Pick the entry type",IF(Q154="?","Pick the entry type from the list",IF(N(H154)=0,"Enter the amount",IF(AND(R154&lt;&gt;"Any",R154&lt;&gt;P154),"Sales, receipts and credit notes are for debtors; purchases, payments and debit notes for creditors",IF(AND(F154&lt;&gt;"",D154&lt;&gt;"Purchase bill"),"The received-on date is only for purchase bills",IF(AND(P154="Creditor",X154=1,AA154&gt;0),"Past due to a micro or small supplier: interest runs under MSMED s.16, and if unpaid at year end it is not deductible that year, s.37(2)(g)",IF(AND(P154="Debtor",X154=1,AA154&gt;0),"Past due to you: as a micro or small supplier you can claim interest under MSMED s.16","OK")))))))))))</f>
        <v/>
      </c>
      <c r="P154">
        <f>IF(C154="","",IFERROR(VLOOKUP(C154,'Parties'!$B$13:$Q$112,2,FALSE),"?"))</f>
        <v/>
      </c>
      <c r="Q154">
        <f>IF(D154="","",IFERROR(VLOOKUP(D154,Lists!$A$2:$D$9,3,FALSE),"?"))</f>
        <v/>
      </c>
      <c r="R154">
        <f>IF(D154="","",IFERROR(VLOOKUP(D154,Lists!$A$2:$D$9,4,FALSE),"?"))</f>
        <v/>
      </c>
      <c r="S154">
        <f>IF(P154="Debtor",I154,IF(P154="Creditor",J154,0))</f>
        <v/>
      </c>
      <c r="T154">
        <f>IF(P154="Debtor",J154,IF(P154="Creditor",I154,0))</f>
        <v/>
      </c>
      <c r="U154">
        <f>IF(OR(S154=0,B154=""),0,IFERROR(VLOOKUP(C154,'Parties'!$B$13:$Q$112,13,FALSE),0)+SUMIFS($S$7:$S$506,$C$7:$C$506,C154,$B$7:$B$506,"&lt;"&amp;B154)+SUMIFS(S$7:S154,C$7:C154,C154,B$7:B154,B154))</f>
        <v/>
      </c>
      <c r="V154">
        <f>IF(S154=0,0,IFERROR(VLOOKUP(C154,'Parties'!$B$13:$Q$112,14,FALSE),0)+SUMIFS($T$7:$T$506,$C$7:$C$506,C154,$B$7:$B$506,"&lt;="&amp;'Outstanding'!$E$5))</f>
        <v/>
      </c>
      <c r="W154">
        <f>IF(OR('Outstanding'!$E$5="",S154=0,B154="",B154&gt;'Outstanding'!$E$5),0,MAX(0,MIN(S154,U154-V154)))</f>
        <v/>
      </c>
      <c r="X154">
        <f>IF(C154="",0,IFERROR(VLOOKUP(C154,'Parties'!$B$13:$Q$112,15,FALSE),0))</f>
        <v/>
      </c>
      <c r="Y154">
        <f>IF(C154="","",IFERROR(VLOOKUP(C154,'Parties'!$B$13:$Q$112,16,FALSE),0))</f>
        <v/>
      </c>
      <c r="Z154">
        <f>IF(OR(S154=0,B154="",Y154=""),"",IF(AND(F154&lt;&gt;"",D154="Purchase bill"),F154,B154)+Y154)</f>
        <v/>
      </c>
      <c r="AA154">
        <f>IF(OR(W154=0,Z154=""),0,MAX(0,'Outstanding'!$E$5-Z154))</f>
        <v/>
      </c>
      <c r="AB154">
        <f>IF(AND(X154=1,AA154&gt;0),W154*((1+3*N('Parties'!$E$10)/12)^(AA154*12/365)-1),0)</f>
        <v/>
      </c>
      <c r="AC154">
        <f>IF(W154=0,"",'Outstanding'!$E$5-B154)</f>
        <v/>
      </c>
      <c r="AD154">
        <f>IF(S154=0,0,IFERROR(VLOOKUP(C154,'Parties'!$B$13:$Q$112,14,FALSE),0)+SUMIFS($T$7:$T$506,$C$7:$C$506,C154,$B$7:$B$506,"&lt;="&amp;'Parties'!$E$8))</f>
        <v/>
      </c>
      <c r="AE154">
        <f>IF(OR('Parties'!$E$8="",S154=0,B154="",B154&gt;'Parties'!$E$8),0,MAX(0,MIN(S154,U154-AD154)))</f>
        <v/>
      </c>
      <c r="AF154">
        <f>IF(AND(P154="Creditor",X154=1,AE154&gt;0,Z154&lt;&gt;""),IF(Z154&lt;='Parties'!$E$8,AE154,0),0)</f>
        <v/>
      </c>
      <c r="AG154">
        <f>IF(OR(AE154=0,Z154=""),0,MAX(0,'Parties'!$E$8-Z154))</f>
        <v/>
      </c>
      <c r="AH154">
        <f>IF(AND(P154="Creditor",X154=1,AG154&gt;0),AE154*((1+3*N('Parties'!$E$10)/12)^(AG154*12/365)-1),0)</f>
        <v/>
      </c>
      <c r="AI154">
        <f>IF(AND(C154&lt;&gt;"",C154='Ledger Account'!$D$4,B154&lt;&gt;"",B154&gt;='Ledger Account'!$D$5,B154&lt;='Ledger Account'!$D$6),1,0)</f>
        <v/>
      </c>
      <c r="AJ154">
        <f>IF(AI154=1,SUM(AI$7:AI154),"")</f>
        <v/>
      </c>
      <c r="AK154">
        <f>IF(OR(N154="",N154="OK"),0,1)</f>
        <v/>
      </c>
    </row>
    <row r="155">
      <c r="B155" s="24" t="n"/>
      <c r="C155" s="14" t="n"/>
      <c r="D155" s="14" t="n"/>
      <c r="E155" s="20" t="n"/>
      <c r="F155" s="24" t="n"/>
      <c r="G155" s="14" t="n"/>
      <c r="H155" s="22" t="n"/>
      <c r="I155" s="25">
        <f>IF(Q155="D",N(H155),0)</f>
        <v/>
      </c>
      <c r="J155" s="25">
        <f>IF(Q155="C",N(H155),0)</f>
        <v/>
      </c>
      <c r="K155" s="26">
        <f>IF(Z155="","",Z155)</f>
        <v/>
      </c>
      <c r="L155" s="27">
        <f>W155</f>
        <v/>
      </c>
      <c r="M155" s="28">
        <f>AA155</f>
        <v/>
      </c>
      <c r="N155" s="23">
        <f>IF(AND(B155="",C155="",D155="",N(H155)=0),"",IF(B155="","Enter the date",IF(C155="","Pick the party",IF(P155="?","Add this party on the Parties sheet first",IF(D155="","Pick the entry type",IF(Q155="?","Pick the entry type from the list",IF(N(H155)=0,"Enter the amount",IF(AND(R155&lt;&gt;"Any",R155&lt;&gt;P155),"Sales, receipts and credit notes are for debtors; purchases, payments and debit notes for creditors",IF(AND(F155&lt;&gt;"",D155&lt;&gt;"Purchase bill"),"The received-on date is only for purchase bills",IF(AND(P155="Creditor",X155=1,AA155&gt;0),"Past due to a micro or small supplier: interest runs under MSMED s.16, and if unpaid at year end it is not deductible that year, s.37(2)(g)",IF(AND(P155="Debtor",X155=1,AA155&gt;0),"Past due to you: as a micro or small supplier you can claim interest under MSMED s.16","OK")))))))))))</f>
        <v/>
      </c>
      <c r="P155">
        <f>IF(C155="","",IFERROR(VLOOKUP(C155,'Parties'!$B$13:$Q$112,2,FALSE),"?"))</f>
        <v/>
      </c>
      <c r="Q155">
        <f>IF(D155="","",IFERROR(VLOOKUP(D155,Lists!$A$2:$D$9,3,FALSE),"?"))</f>
        <v/>
      </c>
      <c r="R155">
        <f>IF(D155="","",IFERROR(VLOOKUP(D155,Lists!$A$2:$D$9,4,FALSE),"?"))</f>
        <v/>
      </c>
      <c r="S155">
        <f>IF(P155="Debtor",I155,IF(P155="Creditor",J155,0))</f>
        <v/>
      </c>
      <c r="T155">
        <f>IF(P155="Debtor",J155,IF(P155="Creditor",I155,0))</f>
        <v/>
      </c>
      <c r="U155">
        <f>IF(OR(S155=0,B155=""),0,IFERROR(VLOOKUP(C155,'Parties'!$B$13:$Q$112,13,FALSE),0)+SUMIFS($S$7:$S$506,$C$7:$C$506,C155,$B$7:$B$506,"&lt;"&amp;B155)+SUMIFS(S$7:S155,C$7:C155,C155,B$7:B155,B155))</f>
        <v/>
      </c>
      <c r="V155">
        <f>IF(S155=0,0,IFERROR(VLOOKUP(C155,'Parties'!$B$13:$Q$112,14,FALSE),0)+SUMIFS($T$7:$T$506,$C$7:$C$506,C155,$B$7:$B$506,"&lt;="&amp;'Outstanding'!$E$5))</f>
        <v/>
      </c>
      <c r="W155">
        <f>IF(OR('Outstanding'!$E$5="",S155=0,B155="",B155&gt;'Outstanding'!$E$5),0,MAX(0,MIN(S155,U155-V155)))</f>
        <v/>
      </c>
      <c r="X155">
        <f>IF(C155="",0,IFERROR(VLOOKUP(C155,'Parties'!$B$13:$Q$112,15,FALSE),0))</f>
        <v/>
      </c>
      <c r="Y155">
        <f>IF(C155="","",IFERROR(VLOOKUP(C155,'Parties'!$B$13:$Q$112,16,FALSE),0))</f>
        <v/>
      </c>
      <c r="Z155">
        <f>IF(OR(S155=0,B155="",Y155=""),"",IF(AND(F155&lt;&gt;"",D155="Purchase bill"),F155,B155)+Y155)</f>
        <v/>
      </c>
      <c r="AA155">
        <f>IF(OR(W155=0,Z155=""),0,MAX(0,'Outstanding'!$E$5-Z155))</f>
        <v/>
      </c>
      <c r="AB155">
        <f>IF(AND(X155=1,AA155&gt;0),W155*((1+3*N('Parties'!$E$10)/12)^(AA155*12/365)-1),0)</f>
        <v/>
      </c>
      <c r="AC155">
        <f>IF(W155=0,"",'Outstanding'!$E$5-B155)</f>
        <v/>
      </c>
      <c r="AD155">
        <f>IF(S155=0,0,IFERROR(VLOOKUP(C155,'Parties'!$B$13:$Q$112,14,FALSE),0)+SUMIFS($T$7:$T$506,$C$7:$C$506,C155,$B$7:$B$506,"&lt;="&amp;'Parties'!$E$8))</f>
        <v/>
      </c>
      <c r="AE155">
        <f>IF(OR('Parties'!$E$8="",S155=0,B155="",B155&gt;'Parties'!$E$8),0,MAX(0,MIN(S155,U155-AD155)))</f>
        <v/>
      </c>
      <c r="AF155">
        <f>IF(AND(P155="Creditor",X155=1,AE155&gt;0,Z155&lt;&gt;""),IF(Z155&lt;='Parties'!$E$8,AE155,0),0)</f>
        <v/>
      </c>
      <c r="AG155">
        <f>IF(OR(AE155=0,Z155=""),0,MAX(0,'Parties'!$E$8-Z155))</f>
        <v/>
      </c>
      <c r="AH155">
        <f>IF(AND(P155="Creditor",X155=1,AG155&gt;0),AE155*((1+3*N('Parties'!$E$10)/12)^(AG155*12/365)-1),0)</f>
        <v/>
      </c>
      <c r="AI155">
        <f>IF(AND(C155&lt;&gt;"",C155='Ledger Account'!$D$4,B155&lt;&gt;"",B155&gt;='Ledger Account'!$D$5,B155&lt;='Ledger Account'!$D$6),1,0)</f>
        <v/>
      </c>
      <c r="AJ155">
        <f>IF(AI155=1,SUM(AI$7:AI155),"")</f>
        <v/>
      </c>
      <c r="AK155">
        <f>IF(OR(N155="",N155="OK"),0,1)</f>
        <v/>
      </c>
    </row>
    <row r="156">
      <c r="B156" s="24" t="n"/>
      <c r="C156" s="14" t="n"/>
      <c r="D156" s="14" t="n"/>
      <c r="E156" s="20" t="n"/>
      <c r="F156" s="24" t="n"/>
      <c r="G156" s="14" t="n"/>
      <c r="H156" s="22" t="n"/>
      <c r="I156" s="25">
        <f>IF(Q156="D",N(H156),0)</f>
        <v/>
      </c>
      <c r="J156" s="25">
        <f>IF(Q156="C",N(H156),0)</f>
        <v/>
      </c>
      <c r="K156" s="26">
        <f>IF(Z156="","",Z156)</f>
        <v/>
      </c>
      <c r="L156" s="27">
        <f>W156</f>
        <v/>
      </c>
      <c r="M156" s="28">
        <f>AA156</f>
        <v/>
      </c>
      <c r="N156" s="23">
        <f>IF(AND(B156="",C156="",D156="",N(H156)=0),"",IF(B156="","Enter the date",IF(C156="","Pick the party",IF(P156="?","Add this party on the Parties sheet first",IF(D156="","Pick the entry type",IF(Q156="?","Pick the entry type from the list",IF(N(H156)=0,"Enter the amount",IF(AND(R156&lt;&gt;"Any",R156&lt;&gt;P156),"Sales, receipts and credit notes are for debtors; purchases, payments and debit notes for creditors",IF(AND(F156&lt;&gt;"",D156&lt;&gt;"Purchase bill"),"The received-on date is only for purchase bills",IF(AND(P156="Creditor",X156=1,AA156&gt;0),"Past due to a micro or small supplier: interest runs under MSMED s.16, and if unpaid at year end it is not deductible that year, s.37(2)(g)",IF(AND(P156="Debtor",X156=1,AA156&gt;0),"Past due to you: as a micro or small supplier you can claim interest under MSMED s.16","OK")))))))))))</f>
        <v/>
      </c>
      <c r="P156">
        <f>IF(C156="","",IFERROR(VLOOKUP(C156,'Parties'!$B$13:$Q$112,2,FALSE),"?"))</f>
        <v/>
      </c>
      <c r="Q156">
        <f>IF(D156="","",IFERROR(VLOOKUP(D156,Lists!$A$2:$D$9,3,FALSE),"?"))</f>
        <v/>
      </c>
      <c r="R156">
        <f>IF(D156="","",IFERROR(VLOOKUP(D156,Lists!$A$2:$D$9,4,FALSE),"?"))</f>
        <v/>
      </c>
      <c r="S156">
        <f>IF(P156="Debtor",I156,IF(P156="Creditor",J156,0))</f>
        <v/>
      </c>
      <c r="T156">
        <f>IF(P156="Debtor",J156,IF(P156="Creditor",I156,0))</f>
        <v/>
      </c>
      <c r="U156">
        <f>IF(OR(S156=0,B156=""),0,IFERROR(VLOOKUP(C156,'Parties'!$B$13:$Q$112,13,FALSE),0)+SUMIFS($S$7:$S$506,$C$7:$C$506,C156,$B$7:$B$506,"&lt;"&amp;B156)+SUMIFS(S$7:S156,C$7:C156,C156,B$7:B156,B156))</f>
        <v/>
      </c>
      <c r="V156">
        <f>IF(S156=0,0,IFERROR(VLOOKUP(C156,'Parties'!$B$13:$Q$112,14,FALSE),0)+SUMIFS($T$7:$T$506,$C$7:$C$506,C156,$B$7:$B$506,"&lt;="&amp;'Outstanding'!$E$5))</f>
        <v/>
      </c>
      <c r="W156">
        <f>IF(OR('Outstanding'!$E$5="",S156=0,B156="",B156&gt;'Outstanding'!$E$5),0,MAX(0,MIN(S156,U156-V156)))</f>
        <v/>
      </c>
      <c r="X156">
        <f>IF(C156="",0,IFERROR(VLOOKUP(C156,'Parties'!$B$13:$Q$112,15,FALSE),0))</f>
        <v/>
      </c>
      <c r="Y156">
        <f>IF(C156="","",IFERROR(VLOOKUP(C156,'Parties'!$B$13:$Q$112,16,FALSE),0))</f>
        <v/>
      </c>
      <c r="Z156">
        <f>IF(OR(S156=0,B156="",Y156=""),"",IF(AND(F156&lt;&gt;"",D156="Purchase bill"),F156,B156)+Y156)</f>
        <v/>
      </c>
      <c r="AA156">
        <f>IF(OR(W156=0,Z156=""),0,MAX(0,'Outstanding'!$E$5-Z156))</f>
        <v/>
      </c>
      <c r="AB156">
        <f>IF(AND(X156=1,AA156&gt;0),W156*((1+3*N('Parties'!$E$10)/12)^(AA156*12/365)-1),0)</f>
        <v/>
      </c>
      <c r="AC156">
        <f>IF(W156=0,"",'Outstanding'!$E$5-B156)</f>
        <v/>
      </c>
      <c r="AD156">
        <f>IF(S156=0,0,IFERROR(VLOOKUP(C156,'Parties'!$B$13:$Q$112,14,FALSE),0)+SUMIFS($T$7:$T$506,$C$7:$C$506,C156,$B$7:$B$506,"&lt;="&amp;'Parties'!$E$8))</f>
        <v/>
      </c>
      <c r="AE156">
        <f>IF(OR('Parties'!$E$8="",S156=0,B156="",B156&gt;'Parties'!$E$8),0,MAX(0,MIN(S156,U156-AD156)))</f>
        <v/>
      </c>
      <c r="AF156">
        <f>IF(AND(P156="Creditor",X156=1,AE156&gt;0,Z156&lt;&gt;""),IF(Z156&lt;='Parties'!$E$8,AE156,0),0)</f>
        <v/>
      </c>
      <c r="AG156">
        <f>IF(OR(AE156=0,Z156=""),0,MAX(0,'Parties'!$E$8-Z156))</f>
        <v/>
      </c>
      <c r="AH156">
        <f>IF(AND(P156="Creditor",X156=1,AG156&gt;0),AE156*((1+3*N('Parties'!$E$10)/12)^(AG156*12/365)-1),0)</f>
        <v/>
      </c>
      <c r="AI156">
        <f>IF(AND(C156&lt;&gt;"",C156='Ledger Account'!$D$4,B156&lt;&gt;"",B156&gt;='Ledger Account'!$D$5,B156&lt;='Ledger Account'!$D$6),1,0)</f>
        <v/>
      </c>
      <c r="AJ156">
        <f>IF(AI156=1,SUM(AI$7:AI156),"")</f>
        <v/>
      </c>
      <c r="AK156">
        <f>IF(OR(N156="",N156="OK"),0,1)</f>
        <v/>
      </c>
    </row>
    <row r="157">
      <c r="B157" s="24" t="n"/>
      <c r="C157" s="14" t="n"/>
      <c r="D157" s="14" t="n"/>
      <c r="E157" s="20" t="n"/>
      <c r="F157" s="24" t="n"/>
      <c r="G157" s="14" t="n"/>
      <c r="H157" s="22" t="n"/>
      <c r="I157" s="25">
        <f>IF(Q157="D",N(H157),0)</f>
        <v/>
      </c>
      <c r="J157" s="25">
        <f>IF(Q157="C",N(H157),0)</f>
        <v/>
      </c>
      <c r="K157" s="26">
        <f>IF(Z157="","",Z157)</f>
        <v/>
      </c>
      <c r="L157" s="27">
        <f>W157</f>
        <v/>
      </c>
      <c r="M157" s="28">
        <f>AA157</f>
        <v/>
      </c>
      <c r="N157" s="23">
        <f>IF(AND(B157="",C157="",D157="",N(H157)=0),"",IF(B157="","Enter the date",IF(C157="","Pick the party",IF(P157="?","Add this party on the Parties sheet first",IF(D157="","Pick the entry type",IF(Q157="?","Pick the entry type from the list",IF(N(H157)=0,"Enter the amount",IF(AND(R157&lt;&gt;"Any",R157&lt;&gt;P157),"Sales, receipts and credit notes are for debtors; purchases, payments and debit notes for creditors",IF(AND(F157&lt;&gt;"",D157&lt;&gt;"Purchase bill"),"The received-on date is only for purchase bills",IF(AND(P157="Creditor",X157=1,AA157&gt;0),"Past due to a micro or small supplier: interest runs under MSMED s.16, and if unpaid at year end it is not deductible that year, s.37(2)(g)",IF(AND(P157="Debtor",X157=1,AA157&gt;0),"Past due to you: as a micro or small supplier you can claim interest under MSMED s.16","OK")))))))))))</f>
        <v/>
      </c>
      <c r="P157">
        <f>IF(C157="","",IFERROR(VLOOKUP(C157,'Parties'!$B$13:$Q$112,2,FALSE),"?"))</f>
        <v/>
      </c>
      <c r="Q157">
        <f>IF(D157="","",IFERROR(VLOOKUP(D157,Lists!$A$2:$D$9,3,FALSE),"?"))</f>
        <v/>
      </c>
      <c r="R157">
        <f>IF(D157="","",IFERROR(VLOOKUP(D157,Lists!$A$2:$D$9,4,FALSE),"?"))</f>
        <v/>
      </c>
      <c r="S157">
        <f>IF(P157="Debtor",I157,IF(P157="Creditor",J157,0))</f>
        <v/>
      </c>
      <c r="T157">
        <f>IF(P157="Debtor",J157,IF(P157="Creditor",I157,0))</f>
        <v/>
      </c>
      <c r="U157">
        <f>IF(OR(S157=0,B157=""),0,IFERROR(VLOOKUP(C157,'Parties'!$B$13:$Q$112,13,FALSE),0)+SUMIFS($S$7:$S$506,$C$7:$C$506,C157,$B$7:$B$506,"&lt;"&amp;B157)+SUMIFS(S$7:S157,C$7:C157,C157,B$7:B157,B157))</f>
        <v/>
      </c>
      <c r="V157">
        <f>IF(S157=0,0,IFERROR(VLOOKUP(C157,'Parties'!$B$13:$Q$112,14,FALSE),0)+SUMIFS($T$7:$T$506,$C$7:$C$506,C157,$B$7:$B$506,"&lt;="&amp;'Outstanding'!$E$5))</f>
        <v/>
      </c>
      <c r="W157">
        <f>IF(OR('Outstanding'!$E$5="",S157=0,B157="",B157&gt;'Outstanding'!$E$5),0,MAX(0,MIN(S157,U157-V157)))</f>
        <v/>
      </c>
      <c r="X157">
        <f>IF(C157="",0,IFERROR(VLOOKUP(C157,'Parties'!$B$13:$Q$112,15,FALSE),0))</f>
        <v/>
      </c>
      <c r="Y157">
        <f>IF(C157="","",IFERROR(VLOOKUP(C157,'Parties'!$B$13:$Q$112,16,FALSE),0))</f>
        <v/>
      </c>
      <c r="Z157">
        <f>IF(OR(S157=0,B157="",Y157=""),"",IF(AND(F157&lt;&gt;"",D157="Purchase bill"),F157,B157)+Y157)</f>
        <v/>
      </c>
      <c r="AA157">
        <f>IF(OR(W157=0,Z157=""),0,MAX(0,'Outstanding'!$E$5-Z157))</f>
        <v/>
      </c>
      <c r="AB157">
        <f>IF(AND(X157=1,AA157&gt;0),W157*((1+3*N('Parties'!$E$10)/12)^(AA157*12/365)-1),0)</f>
        <v/>
      </c>
      <c r="AC157">
        <f>IF(W157=0,"",'Outstanding'!$E$5-B157)</f>
        <v/>
      </c>
      <c r="AD157">
        <f>IF(S157=0,0,IFERROR(VLOOKUP(C157,'Parties'!$B$13:$Q$112,14,FALSE),0)+SUMIFS($T$7:$T$506,$C$7:$C$506,C157,$B$7:$B$506,"&lt;="&amp;'Parties'!$E$8))</f>
        <v/>
      </c>
      <c r="AE157">
        <f>IF(OR('Parties'!$E$8="",S157=0,B157="",B157&gt;'Parties'!$E$8),0,MAX(0,MIN(S157,U157-AD157)))</f>
        <v/>
      </c>
      <c r="AF157">
        <f>IF(AND(P157="Creditor",X157=1,AE157&gt;0,Z157&lt;&gt;""),IF(Z157&lt;='Parties'!$E$8,AE157,0),0)</f>
        <v/>
      </c>
      <c r="AG157">
        <f>IF(OR(AE157=0,Z157=""),0,MAX(0,'Parties'!$E$8-Z157))</f>
        <v/>
      </c>
      <c r="AH157">
        <f>IF(AND(P157="Creditor",X157=1,AG157&gt;0),AE157*((1+3*N('Parties'!$E$10)/12)^(AG157*12/365)-1),0)</f>
        <v/>
      </c>
      <c r="AI157">
        <f>IF(AND(C157&lt;&gt;"",C157='Ledger Account'!$D$4,B157&lt;&gt;"",B157&gt;='Ledger Account'!$D$5,B157&lt;='Ledger Account'!$D$6),1,0)</f>
        <v/>
      </c>
      <c r="AJ157">
        <f>IF(AI157=1,SUM(AI$7:AI157),"")</f>
        <v/>
      </c>
      <c r="AK157">
        <f>IF(OR(N157="",N157="OK"),0,1)</f>
        <v/>
      </c>
    </row>
    <row r="158">
      <c r="B158" s="24" t="n"/>
      <c r="C158" s="14" t="n"/>
      <c r="D158" s="14" t="n"/>
      <c r="E158" s="20" t="n"/>
      <c r="F158" s="24" t="n"/>
      <c r="G158" s="14" t="n"/>
      <c r="H158" s="22" t="n"/>
      <c r="I158" s="25">
        <f>IF(Q158="D",N(H158),0)</f>
        <v/>
      </c>
      <c r="J158" s="25">
        <f>IF(Q158="C",N(H158),0)</f>
        <v/>
      </c>
      <c r="K158" s="26">
        <f>IF(Z158="","",Z158)</f>
        <v/>
      </c>
      <c r="L158" s="27">
        <f>W158</f>
        <v/>
      </c>
      <c r="M158" s="28">
        <f>AA158</f>
        <v/>
      </c>
      <c r="N158" s="23">
        <f>IF(AND(B158="",C158="",D158="",N(H158)=0),"",IF(B158="","Enter the date",IF(C158="","Pick the party",IF(P158="?","Add this party on the Parties sheet first",IF(D158="","Pick the entry type",IF(Q158="?","Pick the entry type from the list",IF(N(H158)=0,"Enter the amount",IF(AND(R158&lt;&gt;"Any",R158&lt;&gt;P158),"Sales, receipts and credit notes are for debtors; purchases, payments and debit notes for creditors",IF(AND(F158&lt;&gt;"",D158&lt;&gt;"Purchase bill"),"The received-on date is only for purchase bills",IF(AND(P158="Creditor",X158=1,AA158&gt;0),"Past due to a micro or small supplier: interest runs under MSMED s.16, and if unpaid at year end it is not deductible that year, s.37(2)(g)",IF(AND(P158="Debtor",X158=1,AA158&gt;0),"Past due to you: as a micro or small supplier you can claim interest under MSMED s.16","OK")))))))))))</f>
        <v/>
      </c>
      <c r="P158">
        <f>IF(C158="","",IFERROR(VLOOKUP(C158,'Parties'!$B$13:$Q$112,2,FALSE),"?"))</f>
        <v/>
      </c>
      <c r="Q158">
        <f>IF(D158="","",IFERROR(VLOOKUP(D158,Lists!$A$2:$D$9,3,FALSE),"?"))</f>
        <v/>
      </c>
      <c r="R158">
        <f>IF(D158="","",IFERROR(VLOOKUP(D158,Lists!$A$2:$D$9,4,FALSE),"?"))</f>
        <v/>
      </c>
      <c r="S158">
        <f>IF(P158="Debtor",I158,IF(P158="Creditor",J158,0))</f>
        <v/>
      </c>
      <c r="T158">
        <f>IF(P158="Debtor",J158,IF(P158="Creditor",I158,0))</f>
        <v/>
      </c>
      <c r="U158">
        <f>IF(OR(S158=0,B158=""),0,IFERROR(VLOOKUP(C158,'Parties'!$B$13:$Q$112,13,FALSE),0)+SUMIFS($S$7:$S$506,$C$7:$C$506,C158,$B$7:$B$506,"&lt;"&amp;B158)+SUMIFS(S$7:S158,C$7:C158,C158,B$7:B158,B158))</f>
        <v/>
      </c>
      <c r="V158">
        <f>IF(S158=0,0,IFERROR(VLOOKUP(C158,'Parties'!$B$13:$Q$112,14,FALSE),0)+SUMIFS($T$7:$T$506,$C$7:$C$506,C158,$B$7:$B$506,"&lt;="&amp;'Outstanding'!$E$5))</f>
        <v/>
      </c>
      <c r="W158">
        <f>IF(OR('Outstanding'!$E$5="",S158=0,B158="",B158&gt;'Outstanding'!$E$5),0,MAX(0,MIN(S158,U158-V158)))</f>
        <v/>
      </c>
      <c r="X158">
        <f>IF(C158="",0,IFERROR(VLOOKUP(C158,'Parties'!$B$13:$Q$112,15,FALSE),0))</f>
        <v/>
      </c>
      <c r="Y158">
        <f>IF(C158="","",IFERROR(VLOOKUP(C158,'Parties'!$B$13:$Q$112,16,FALSE),0))</f>
        <v/>
      </c>
      <c r="Z158">
        <f>IF(OR(S158=0,B158="",Y158=""),"",IF(AND(F158&lt;&gt;"",D158="Purchase bill"),F158,B158)+Y158)</f>
        <v/>
      </c>
      <c r="AA158">
        <f>IF(OR(W158=0,Z158=""),0,MAX(0,'Outstanding'!$E$5-Z158))</f>
        <v/>
      </c>
      <c r="AB158">
        <f>IF(AND(X158=1,AA158&gt;0),W158*((1+3*N('Parties'!$E$10)/12)^(AA158*12/365)-1),0)</f>
        <v/>
      </c>
      <c r="AC158">
        <f>IF(W158=0,"",'Outstanding'!$E$5-B158)</f>
        <v/>
      </c>
      <c r="AD158">
        <f>IF(S158=0,0,IFERROR(VLOOKUP(C158,'Parties'!$B$13:$Q$112,14,FALSE),0)+SUMIFS($T$7:$T$506,$C$7:$C$506,C158,$B$7:$B$506,"&lt;="&amp;'Parties'!$E$8))</f>
        <v/>
      </c>
      <c r="AE158">
        <f>IF(OR('Parties'!$E$8="",S158=0,B158="",B158&gt;'Parties'!$E$8),0,MAX(0,MIN(S158,U158-AD158)))</f>
        <v/>
      </c>
      <c r="AF158">
        <f>IF(AND(P158="Creditor",X158=1,AE158&gt;0,Z158&lt;&gt;""),IF(Z158&lt;='Parties'!$E$8,AE158,0),0)</f>
        <v/>
      </c>
      <c r="AG158">
        <f>IF(OR(AE158=0,Z158=""),0,MAX(0,'Parties'!$E$8-Z158))</f>
        <v/>
      </c>
      <c r="AH158">
        <f>IF(AND(P158="Creditor",X158=1,AG158&gt;0),AE158*((1+3*N('Parties'!$E$10)/12)^(AG158*12/365)-1),0)</f>
        <v/>
      </c>
      <c r="AI158">
        <f>IF(AND(C158&lt;&gt;"",C158='Ledger Account'!$D$4,B158&lt;&gt;"",B158&gt;='Ledger Account'!$D$5,B158&lt;='Ledger Account'!$D$6),1,0)</f>
        <v/>
      </c>
      <c r="AJ158">
        <f>IF(AI158=1,SUM(AI$7:AI158),"")</f>
        <v/>
      </c>
      <c r="AK158">
        <f>IF(OR(N158="",N158="OK"),0,1)</f>
        <v/>
      </c>
    </row>
    <row r="159">
      <c r="B159" s="24" t="n"/>
      <c r="C159" s="14" t="n"/>
      <c r="D159" s="14" t="n"/>
      <c r="E159" s="20" t="n"/>
      <c r="F159" s="24" t="n"/>
      <c r="G159" s="14" t="n"/>
      <c r="H159" s="22" t="n"/>
      <c r="I159" s="25">
        <f>IF(Q159="D",N(H159),0)</f>
        <v/>
      </c>
      <c r="J159" s="25">
        <f>IF(Q159="C",N(H159),0)</f>
        <v/>
      </c>
      <c r="K159" s="26">
        <f>IF(Z159="","",Z159)</f>
        <v/>
      </c>
      <c r="L159" s="27">
        <f>W159</f>
        <v/>
      </c>
      <c r="M159" s="28">
        <f>AA159</f>
        <v/>
      </c>
      <c r="N159" s="23">
        <f>IF(AND(B159="",C159="",D159="",N(H159)=0),"",IF(B159="","Enter the date",IF(C159="","Pick the party",IF(P159="?","Add this party on the Parties sheet first",IF(D159="","Pick the entry type",IF(Q159="?","Pick the entry type from the list",IF(N(H159)=0,"Enter the amount",IF(AND(R159&lt;&gt;"Any",R159&lt;&gt;P159),"Sales, receipts and credit notes are for debtors; purchases, payments and debit notes for creditors",IF(AND(F159&lt;&gt;"",D159&lt;&gt;"Purchase bill"),"The received-on date is only for purchase bills",IF(AND(P159="Creditor",X159=1,AA159&gt;0),"Past due to a micro or small supplier: interest runs under MSMED s.16, and if unpaid at year end it is not deductible that year, s.37(2)(g)",IF(AND(P159="Debtor",X159=1,AA159&gt;0),"Past due to you: as a micro or small supplier you can claim interest under MSMED s.16","OK")))))))))))</f>
        <v/>
      </c>
      <c r="P159">
        <f>IF(C159="","",IFERROR(VLOOKUP(C159,'Parties'!$B$13:$Q$112,2,FALSE),"?"))</f>
        <v/>
      </c>
      <c r="Q159">
        <f>IF(D159="","",IFERROR(VLOOKUP(D159,Lists!$A$2:$D$9,3,FALSE),"?"))</f>
        <v/>
      </c>
      <c r="R159">
        <f>IF(D159="","",IFERROR(VLOOKUP(D159,Lists!$A$2:$D$9,4,FALSE),"?"))</f>
        <v/>
      </c>
      <c r="S159">
        <f>IF(P159="Debtor",I159,IF(P159="Creditor",J159,0))</f>
        <v/>
      </c>
      <c r="T159">
        <f>IF(P159="Debtor",J159,IF(P159="Creditor",I159,0))</f>
        <v/>
      </c>
      <c r="U159">
        <f>IF(OR(S159=0,B159=""),0,IFERROR(VLOOKUP(C159,'Parties'!$B$13:$Q$112,13,FALSE),0)+SUMIFS($S$7:$S$506,$C$7:$C$506,C159,$B$7:$B$506,"&lt;"&amp;B159)+SUMIFS(S$7:S159,C$7:C159,C159,B$7:B159,B159))</f>
        <v/>
      </c>
      <c r="V159">
        <f>IF(S159=0,0,IFERROR(VLOOKUP(C159,'Parties'!$B$13:$Q$112,14,FALSE),0)+SUMIFS($T$7:$T$506,$C$7:$C$506,C159,$B$7:$B$506,"&lt;="&amp;'Outstanding'!$E$5))</f>
        <v/>
      </c>
      <c r="W159">
        <f>IF(OR('Outstanding'!$E$5="",S159=0,B159="",B159&gt;'Outstanding'!$E$5),0,MAX(0,MIN(S159,U159-V159)))</f>
        <v/>
      </c>
      <c r="X159">
        <f>IF(C159="",0,IFERROR(VLOOKUP(C159,'Parties'!$B$13:$Q$112,15,FALSE),0))</f>
        <v/>
      </c>
      <c r="Y159">
        <f>IF(C159="","",IFERROR(VLOOKUP(C159,'Parties'!$B$13:$Q$112,16,FALSE),0))</f>
        <v/>
      </c>
      <c r="Z159">
        <f>IF(OR(S159=0,B159="",Y159=""),"",IF(AND(F159&lt;&gt;"",D159="Purchase bill"),F159,B159)+Y159)</f>
        <v/>
      </c>
      <c r="AA159">
        <f>IF(OR(W159=0,Z159=""),0,MAX(0,'Outstanding'!$E$5-Z159))</f>
        <v/>
      </c>
      <c r="AB159">
        <f>IF(AND(X159=1,AA159&gt;0),W159*((1+3*N('Parties'!$E$10)/12)^(AA159*12/365)-1),0)</f>
        <v/>
      </c>
      <c r="AC159">
        <f>IF(W159=0,"",'Outstanding'!$E$5-B159)</f>
        <v/>
      </c>
      <c r="AD159">
        <f>IF(S159=0,0,IFERROR(VLOOKUP(C159,'Parties'!$B$13:$Q$112,14,FALSE),0)+SUMIFS($T$7:$T$506,$C$7:$C$506,C159,$B$7:$B$506,"&lt;="&amp;'Parties'!$E$8))</f>
        <v/>
      </c>
      <c r="AE159">
        <f>IF(OR('Parties'!$E$8="",S159=0,B159="",B159&gt;'Parties'!$E$8),0,MAX(0,MIN(S159,U159-AD159)))</f>
        <v/>
      </c>
      <c r="AF159">
        <f>IF(AND(P159="Creditor",X159=1,AE159&gt;0,Z159&lt;&gt;""),IF(Z159&lt;='Parties'!$E$8,AE159,0),0)</f>
        <v/>
      </c>
      <c r="AG159">
        <f>IF(OR(AE159=0,Z159=""),0,MAX(0,'Parties'!$E$8-Z159))</f>
        <v/>
      </c>
      <c r="AH159">
        <f>IF(AND(P159="Creditor",X159=1,AG159&gt;0),AE159*((1+3*N('Parties'!$E$10)/12)^(AG159*12/365)-1),0)</f>
        <v/>
      </c>
      <c r="AI159">
        <f>IF(AND(C159&lt;&gt;"",C159='Ledger Account'!$D$4,B159&lt;&gt;"",B159&gt;='Ledger Account'!$D$5,B159&lt;='Ledger Account'!$D$6),1,0)</f>
        <v/>
      </c>
      <c r="AJ159">
        <f>IF(AI159=1,SUM(AI$7:AI159),"")</f>
        <v/>
      </c>
      <c r="AK159">
        <f>IF(OR(N159="",N159="OK"),0,1)</f>
        <v/>
      </c>
    </row>
    <row r="160">
      <c r="B160" s="24" t="n"/>
      <c r="C160" s="14" t="n"/>
      <c r="D160" s="14" t="n"/>
      <c r="E160" s="20" t="n"/>
      <c r="F160" s="24" t="n"/>
      <c r="G160" s="14" t="n"/>
      <c r="H160" s="22" t="n"/>
      <c r="I160" s="25">
        <f>IF(Q160="D",N(H160),0)</f>
        <v/>
      </c>
      <c r="J160" s="25">
        <f>IF(Q160="C",N(H160),0)</f>
        <v/>
      </c>
      <c r="K160" s="26">
        <f>IF(Z160="","",Z160)</f>
        <v/>
      </c>
      <c r="L160" s="27">
        <f>W160</f>
        <v/>
      </c>
      <c r="M160" s="28">
        <f>AA160</f>
        <v/>
      </c>
      <c r="N160" s="23">
        <f>IF(AND(B160="",C160="",D160="",N(H160)=0),"",IF(B160="","Enter the date",IF(C160="","Pick the party",IF(P160="?","Add this party on the Parties sheet first",IF(D160="","Pick the entry type",IF(Q160="?","Pick the entry type from the list",IF(N(H160)=0,"Enter the amount",IF(AND(R160&lt;&gt;"Any",R160&lt;&gt;P160),"Sales, receipts and credit notes are for debtors; purchases, payments and debit notes for creditors",IF(AND(F160&lt;&gt;"",D160&lt;&gt;"Purchase bill"),"The received-on date is only for purchase bills",IF(AND(P160="Creditor",X160=1,AA160&gt;0),"Past due to a micro or small supplier: interest runs under MSMED s.16, and if unpaid at year end it is not deductible that year, s.37(2)(g)",IF(AND(P160="Debtor",X160=1,AA160&gt;0),"Past due to you: as a micro or small supplier you can claim interest under MSMED s.16","OK")))))))))))</f>
        <v/>
      </c>
      <c r="P160">
        <f>IF(C160="","",IFERROR(VLOOKUP(C160,'Parties'!$B$13:$Q$112,2,FALSE),"?"))</f>
        <v/>
      </c>
      <c r="Q160">
        <f>IF(D160="","",IFERROR(VLOOKUP(D160,Lists!$A$2:$D$9,3,FALSE),"?"))</f>
        <v/>
      </c>
      <c r="R160">
        <f>IF(D160="","",IFERROR(VLOOKUP(D160,Lists!$A$2:$D$9,4,FALSE),"?"))</f>
        <v/>
      </c>
      <c r="S160">
        <f>IF(P160="Debtor",I160,IF(P160="Creditor",J160,0))</f>
        <v/>
      </c>
      <c r="T160">
        <f>IF(P160="Debtor",J160,IF(P160="Creditor",I160,0))</f>
        <v/>
      </c>
      <c r="U160">
        <f>IF(OR(S160=0,B160=""),0,IFERROR(VLOOKUP(C160,'Parties'!$B$13:$Q$112,13,FALSE),0)+SUMIFS($S$7:$S$506,$C$7:$C$506,C160,$B$7:$B$506,"&lt;"&amp;B160)+SUMIFS(S$7:S160,C$7:C160,C160,B$7:B160,B160))</f>
        <v/>
      </c>
      <c r="V160">
        <f>IF(S160=0,0,IFERROR(VLOOKUP(C160,'Parties'!$B$13:$Q$112,14,FALSE),0)+SUMIFS($T$7:$T$506,$C$7:$C$506,C160,$B$7:$B$506,"&lt;="&amp;'Outstanding'!$E$5))</f>
        <v/>
      </c>
      <c r="W160">
        <f>IF(OR('Outstanding'!$E$5="",S160=0,B160="",B160&gt;'Outstanding'!$E$5),0,MAX(0,MIN(S160,U160-V160)))</f>
        <v/>
      </c>
      <c r="X160">
        <f>IF(C160="",0,IFERROR(VLOOKUP(C160,'Parties'!$B$13:$Q$112,15,FALSE),0))</f>
        <v/>
      </c>
      <c r="Y160">
        <f>IF(C160="","",IFERROR(VLOOKUP(C160,'Parties'!$B$13:$Q$112,16,FALSE),0))</f>
        <v/>
      </c>
      <c r="Z160">
        <f>IF(OR(S160=0,B160="",Y160=""),"",IF(AND(F160&lt;&gt;"",D160="Purchase bill"),F160,B160)+Y160)</f>
        <v/>
      </c>
      <c r="AA160">
        <f>IF(OR(W160=0,Z160=""),0,MAX(0,'Outstanding'!$E$5-Z160))</f>
        <v/>
      </c>
      <c r="AB160">
        <f>IF(AND(X160=1,AA160&gt;0),W160*((1+3*N('Parties'!$E$10)/12)^(AA160*12/365)-1),0)</f>
        <v/>
      </c>
      <c r="AC160">
        <f>IF(W160=0,"",'Outstanding'!$E$5-B160)</f>
        <v/>
      </c>
      <c r="AD160">
        <f>IF(S160=0,0,IFERROR(VLOOKUP(C160,'Parties'!$B$13:$Q$112,14,FALSE),0)+SUMIFS($T$7:$T$506,$C$7:$C$506,C160,$B$7:$B$506,"&lt;="&amp;'Parties'!$E$8))</f>
        <v/>
      </c>
      <c r="AE160">
        <f>IF(OR('Parties'!$E$8="",S160=0,B160="",B160&gt;'Parties'!$E$8),0,MAX(0,MIN(S160,U160-AD160)))</f>
        <v/>
      </c>
      <c r="AF160">
        <f>IF(AND(P160="Creditor",X160=1,AE160&gt;0,Z160&lt;&gt;""),IF(Z160&lt;='Parties'!$E$8,AE160,0),0)</f>
        <v/>
      </c>
      <c r="AG160">
        <f>IF(OR(AE160=0,Z160=""),0,MAX(0,'Parties'!$E$8-Z160))</f>
        <v/>
      </c>
      <c r="AH160">
        <f>IF(AND(P160="Creditor",X160=1,AG160&gt;0),AE160*((1+3*N('Parties'!$E$10)/12)^(AG160*12/365)-1),0)</f>
        <v/>
      </c>
      <c r="AI160">
        <f>IF(AND(C160&lt;&gt;"",C160='Ledger Account'!$D$4,B160&lt;&gt;"",B160&gt;='Ledger Account'!$D$5,B160&lt;='Ledger Account'!$D$6),1,0)</f>
        <v/>
      </c>
      <c r="AJ160">
        <f>IF(AI160=1,SUM(AI$7:AI160),"")</f>
        <v/>
      </c>
      <c r="AK160">
        <f>IF(OR(N160="",N160="OK"),0,1)</f>
        <v/>
      </c>
    </row>
    <row r="161">
      <c r="B161" s="24" t="n"/>
      <c r="C161" s="14" t="n"/>
      <c r="D161" s="14" t="n"/>
      <c r="E161" s="20" t="n"/>
      <c r="F161" s="24" t="n"/>
      <c r="G161" s="14" t="n"/>
      <c r="H161" s="22" t="n"/>
      <c r="I161" s="25">
        <f>IF(Q161="D",N(H161),0)</f>
        <v/>
      </c>
      <c r="J161" s="25">
        <f>IF(Q161="C",N(H161),0)</f>
        <v/>
      </c>
      <c r="K161" s="26">
        <f>IF(Z161="","",Z161)</f>
        <v/>
      </c>
      <c r="L161" s="27">
        <f>W161</f>
        <v/>
      </c>
      <c r="M161" s="28">
        <f>AA161</f>
        <v/>
      </c>
      <c r="N161" s="23">
        <f>IF(AND(B161="",C161="",D161="",N(H161)=0),"",IF(B161="","Enter the date",IF(C161="","Pick the party",IF(P161="?","Add this party on the Parties sheet first",IF(D161="","Pick the entry type",IF(Q161="?","Pick the entry type from the list",IF(N(H161)=0,"Enter the amount",IF(AND(R161&lt;&gt;"Any",R161&lt;&gt;P161),"Sales, receipts and credit notes are for debtors; purchases, payments and debit notes for creditors",IF(AND(F161&lt;&gt;"",D161&lt;&gt;"Purchase bill"),"The received-on date is only for purchase bills",IF(AND(P161="Creditor",X161=1,AA161&gt;0),"Past due to a micro or small supplier: interest runs under MSMED s.16, and if unpaid at year end it is not deductible that year, s.37(2)(g)",IF(AND(P161="Debtor",X161=1,AA161&gt;0),"Past due to you: as a micro or small supplier you can claim interest under MSMED s.16","OK")))))))))))</f>
        <v/>
      </c>
      <c r="P161">
        <f>IF(C161="","",IFERROR(VLOOKUP(C161,'Parties'!$B$13:$Q$112,2,FALSE),"?"))</f>
        <v/>
      </c>
      <c r="Q161">
        <f>IF(D161="","",IFERROR(VLOOKUP(D161,Lists!$A$2:$D$9,3,FALSE),"?"))</f>
        <v/>
      </c>
      <c r="R161">
        <f>IF(D161="","",IFERROR(VLOOKUP(D161,Lists!$A$2:$D$9,4,FALSE),"?"))</f>
        <v/>
      </c>
      <c r="S161">
        <f>IF(P161="Debtor",I161,IF(P161="Creditor",J161,0))</f>
        <v/>
      </c>
      <c r="T161">
        <f>IF(P161="Debtor",J161,IF(P161="Creditor",I161,0))</f>
        <v/>
      </c>
      <c r="U161">
        <f>IF(OR(S161=0,B161=""),0,IFERROR(VLOOKUP(C161,'Parties'!$B$13:$Q$112,13,FALSE),0)+SUMIFS($S$7:$S$506,$C$7:$C$506,C161,$B$7:$B$506,"&lt;"&amp;B161)+SUMIFS(S$7:S161,C$7:C161,C161,B$7:B161,B161))</f>
        <v/>
      </c>
      <c r="V161">
        <f>IF(S161=0,0,IFERROR(VLOOKUP(C161,'Parties'!$B$13:$Q$112,14,FALSE),0)+SUMIFS($T$7:$T$506,$C$7:$C$506,C161,$B$7:$B$506,"&lt;="&amp;'Outstanding'!$E$5))</f>
        <v/>
      </c>
      <c r="W161">
        <f>IF(OR('Outstanding'!$E$5="",S161=0,B161="",B161&gt;'Outstanding'!$E$5),0,MAX(0,MIN(S161,U161-V161)))</f>
        <v/>
      </c>
      <c r="X161">
        <f>IF(C161="",0,IFERROR(VLOOKUP(C161,'Parties'!$B$13:$Q$112,15,FALSE),0))</f>
        <v/>
      </c>
      <c r="Y161">
        <f>IF(C161="","",IFERROR(VLOOKUP(C161,'Parties'!$B$13:$Q$112,16,FALSE),0))</f>
        <v/>
      </c>
      <c r="Z161">
        <f>IF(OR(S161=0,B161="",Y161=""),"",IF(AND(F161&lt;&gt;"",D161="Purchase bill"),F161,B161)+Y161)</f>
        <v/>
      </c>
      <c r="AA161">
        <f>IF(OR(W161=0,Z161=""),0,MAX(0,'Outstanding'!$E$5-Z161))</f>
        <v/>
      </c>
      <c r="AB161">
        <f>IF(AND(X161=1,AA161&gt;0),W161*((1+3*N('Parties'!$E$10)/12)^(AA161*12/365)-1),0)</f>
        <v/>
      </c>
      <c r="AC161">
        <f>IF(W161=0,"",'Outstanding'!$E$5-B161)</f>
        <v/>
      </c>
      <c r="AD161">
        <f>IF(S161=0,0,IFERROR(VLOOKUP(C161,'Parties'!$B$13:$Q$112,14,FALSE),0)+SUMIFS($T$7:$T$506,$C$7:$C$506,C161,$B$7:$B$506,"&lt;="&amp;'Parties'!$E$8))</f>
        <v/>
      </c>
      <c r="AE161">
        <f>IF(OR('Parties'!$E$8="",S161=0,B161="",B161&gt;'Parties'!$E$8),0,MAX(0,MIN(S161,U161-AD161)))</f>
        <v/>
      </c>
      <c r="AF161">
        <f>IF(AND(P161="Creditor",X161=1,AE161&gt;0,Z161&lt;&gt;""),IF(Z161&lt;='Parties'!$E$8,AE161,0),0)</f>
        <v/>
      </c>
      <c r="AG161">
        <f>IF(OR(AE161=0,Z161=""),0,MAX(0,'Parties'!$E$8-Z161))</f>
        <v/>
      </c>
      <c r="AH161">
        <f>IF(AND(P161="Creditor",X161=1,AG161&gt;0),AE161*((1+3*N('Parties'!$E$10)/12)^(AG161*12/365)-1),0)</f>
        <v/>
      </c>
      <c r="AI161">
        <f>IF(AND(C161&lt;&gt;"",C161='Ledger Account'!$D$4,B161&lt;&gt;"",B161&gt;='Ledger Account'!$D$5,B161&lt;='Ledger Account'!$D$6),1,0)</f>
        <v/>
      </c>
      <c r="AJ161">
        <f>IF(AI161=1,SUM(AI$7:AI161),"")</f>
        <v/>
      </c>
      <c r="AK161">
        <f>IF(OR(N161="",N161="OK"),0,1)</f>
        <v/>
      </c>
    </row>
    <row r="162">
      <c r="B162" s="24" t="n"/>
      <c r="C162" s="14" t="n"/>
      <c r="D162" s="14" t="n"/>
      <c r="E162" s="20" t="n"/>
      <c r="F162" s="24" t="n"/>
      <c r="G162" s="14" t="n"/>
      <c r="H162" s="22" t="n"/>
      <c r="I162" s="25">
        <f>IF(Q162="D",N(H162),0)</f>
        <v/>
      </c>
      <c r="J162" s="25">
        <f>IF(Q162="C",N(H162),0)</f>
        <v/>
      </c>
      <c r="K162" s="26">
        <f>IF(Z162="","",Z162)</f>
        <v/>
      </c>
      <c r="L162" s="27">
        <f>W162</f>
        <v/>
      </c>
      <c r="M162" s="28">
        <f>AA162</f>
        <v/>
      </c>
      <c r="N162" s="23">
        <f>IF(AND(B162="",C162="",D162="",N(H162)=0),"",IF(B162="","Enter the date",IF(C162="","Pick the party",IF(P162="?","Add this party on the Parties sheet first",IF(D162="","Pick the entry type",IF(Q162="?","Pick the entry type from the list",IF(N(H162)=0,"Enter the amount",IF(AND(R162&lt;&gt;"Any",R162&lt;&gt;P162),"Sales, receipts and credit notes are for debtors; purchases, payments and debit notes for creditors",IF(AND(F162&lt;&gt;"",D162&lt;&gt;"Purchase bill"),"The received-on date is only for purchase bills",IF(AND(P162="Creditor",X162=1,AA162&gt;0),"Past due to a micro or small supplier: interest runs under MSMED s.16, and if unpaid at year end it is not deductible that year, s.37(2)(g)",IF(AND(P162="Debtor",X162=1,AA162&gt;0),"Past due to you: as a micro or small supplier you can claim interest under MSMED s.16","OK")))))))))))</f>
        <v/>
      </c>
      <c r="P162">
        <f>IF(C162="","",IFERROR(VLOOKUP(C162,'Parties'!$B$13:$Q$112,2,FALSE),"?"))</f>
        <v/>
      </c>
      <c r="Q162">
        <f>IF(D162="","",IFERROR(VLOOKUP(D162,Lists!$A$2:$D$9,3,FALSE),"?"))</f>
        <v/>
      </c>
      <c r="R162">
        <f>IF(D162="","",IFERROR(VLOOKUP(D162,Lists!$A$2:$D$9,4,FALSE),"?"))</f>
        <v/>
      </c>
      <c r="S162">
        <f>IF(P162="Debtor",I162,IF(P162="Creditor",J162,0))</f>
        <v/>
      </c>
      <c r="T162">
        <f>IF(P162="Debtor",J162,IF(P162="Creditor",I162,0))</f>
        <v/>
      </c>
      <c r="U162">
        <f>IF(OR(S162=0,B162=""),0,IFERROR(VLOOKUP(C162,'Parties'!$B$13:$Q$112,13,FALSE),0)+SUMIFS($S$7:$S$506,$C$7:$C$506,C162,$B$7:$B$506,"&lt;"&amp;B162)+SUMIFS(S$7:S162,C$7:C162,C162,B$7:B162,B162))</f>
        <v/>
      </c>
      <c r="V162">
        <f>IF(S162=0,0,IFERROR(VLOOKUP(C162,'Parties'!$B$13:$Q$112,14,FALSE),0)+SUMIFS($T$7:$T$506,$C$7:$C$506,C162,$B$7:$B$506,"&lt;="&amp;'Outstanding'!$E$5))</f>
        <v/>
      </c>
      <c r="W162">
        <f>IF(OR('Outstanding'!$E$5="",S162=0,B162="",B162&gt;'Outstanding'!$E$5),0,MAX(0,MIN(S162,U162-V162)))</f>
        <v/>
      </c>
      <c r="X162">
        <f>IF(C162="",0,IFERROR(VLOOKUP(C162,'Parties'!$B$13:$Q$112,15,FALSE),0))</f>
        <v/>
      </c>
      <c r="Y162">
        <f>IF(C162="","",IFERROR(VLOOKUP(C162,'Parties'!$B$13:$Q$112,16,FALSE),0))</f>
        <v/>
      </c>
      <c r="Z162">
        <f>IF(OR(S162=0,B162="",Y162=""),"",IF(AND(F162&lt;&gt;"",D162="Purchase bill"),F162,B162)+Y162)</f>
        <v/>
      </c>
      <c r="AA162">
        <f>IF(OR(W162=0,Z162=""),0,MAX(0,'Outstanding'!$E$5-Z162))</f>
        <v/>
      </c>
      <c r="AB162">
        <f>IF(AND(X162=1,AA162&gt;0),W162*((1+3*N('Parties'!$E$10)/12)^(AA162*12/365)-1),0)</f>
        <v/>
      </c>
      <c r="AC162">
        <f>IF(W162=0,"",'Outstanding'!$E$5-B162)</f>
        <v/>
      </c>
      <c r="AD162">
        <f>IF(S162=0,0,IFERROR(VLOOKUP(C162,'Parties'!$B$13:$Q$112,14,FALSE),0)+SUMIFS($T$7:$T$506,$C$7:$C$506,C162,$B$7:$B$506,"&lt;="&amp;'Parties'!$E$8))</f>
        <v/>
      </c>
      <c r="AE162">
        <f>IF(OR('Parties'!$E$8="",S162=0,B162="",B162&gt;'Parties'!$E$8),0,MAX(0,MIN(S162,U162-AD162)))</f>
        <v/>
      </c>
      <c r="AF162">
        <f>IF(AND(P162="Creditor",X162=1,AE162&gt;0,Z162&lt;&gt;""),IF(Z162&lt;='Parties'!$E$8,AE162,0),0)</f>
        <v/>
      </c>
      <c r="AG162">
        <f>IF(OR(AE162=0,Z162=""),0,MAX(0,'Parties'!$E$8-Z162))</f>
        <v/>
      </c>
      <c r="AH162">
        <f>IF(AND(P162="Creditor",X162=1,AG162&gt;0),AE162*((1+3*N('Parties'!$E$10)/12)^(AG162*12/365)-1),0)</f>
        <v/>
      </c>
      <c r="AI162">
        <f>IF(AND(C162&lt;&gt;"",C162='Ledger Account'!$D$4,B162&lt;&gt;"",B162&gt;='Ledger Account'!$D$5,B162&lt;='Ledger Account'!$D$6),1,0)</f>
        <v/>
      </c>
      <c r="AJ162">
        <f>IF(AI162=1,SUM(AI$7:AI162),"")</f>
        <v/>
      </c>
      <c r="AK162">
        <f>IF(OR(N162="",N162="OK"),0,1)</f>
        <v/>
      </c>
    </row>
    <row r="163">
      <c r="B163" s="24" t="n"/>
      <c r="C163" s="14" t="n"/>
      <c r="D163" s="14" t="n"/>
      <c r="E163" s="20" t="n"/>
      <c r="F163" s="24" t="n"/>
      <c r="G163" s="14" t="n"/>
      <c r="H163" s="22" t="n"/>
      <c r="I163" s="25">
        <f>IF(Q163="D",N(H163),0)</f>
        <v/>
      </c>
      <c r="J163" s="25">
        <f>IF(Q163="C",N(H163),0)</f>
        <v/>
      </c>
      <c r="K163" s="26">
        <f>IF(Z163="","",Z163)</f>
        <v/>
      </c>
      <c r="L163" s="27">
        <f>W163</f>
        <v/>
      </c>
      <c r="M163" s="28">
        <f>AA163</f>
        <v/>
      </c>
      <c r="N163" s="23">
        <f>IF(AND(B163="",C163="",D163="",N(H163)=0),"",IF(B163="","Enter the date",IF(C163="","Pick the party",IF(P163="?","Add this party on the Parties sheet first",IF(D163="","Pick the entry type",IF(Q163="?","Pick the entry type from the list",IF(N(H163)=0,"Enter the amount",IF(AND(R163&lt;&gt;"Any",R163&lt;&gt;P163),"Sales, receipts and credit notes are for debtors; purchases, payments and debit notes for creditors",IF(AND(F163&lt;&gt;"",D163&lt;&gt;"Purchase bill"),"The received-on date is only for purchase bills",IF(AND(P163="Creditor",X163=1,AA163&gt;0),"Past due to a micro or small supplier: interest runs under MSMED s.16, and if unpaid at year end it is not deductible that year, s.37(2)(g)",IF(AND(P163="Debtor",X163=1,AA163&gt;0),"Past due to you: as a micro or small supplier you can claim interest under MSMED s.16","OK")))))))))))</f>
        <v/>
      </c>
      <c r="P163">
        <f>IF(C163="","",IFERROR(VLOOKUP(C163,'Parties'!$B$13:$Q$112,2,FALSE),"?"))</f>
        <v/>
      </c>
      <c r="Q163">
        <f>IF(D163="","",IFERROR(VLOOKUP(D163,Lists!$A$2:$D$9,3,FALSE),"?"))</f>
        <v/>
      </c>
      <c r="R163">
        <f>IF(D163="","",IFERROR(VLOOKUP(D163,Lists!$A$2:$D$9,4,FALSE),"?"))</f>
        <v/>
      </c>
      <c r="S163">
        <f>IF(P163="Debtor",I163,IF(P163="Creditor",J163,0))</f>
        <v/>
      </c>
      <c r="T163">
        <f>IF(P163="Debtor",J163,IF(P163="Creditor",I163,0))</f>
        <v/>
      </c>
      <c r="U163">
        <f>IF(OR(S163=0,B163=""),0,IFERROR(VLOOKUP(C163,'Parties'!$B$13:$Q$112,13,FALSE),0)+SUMIFS($S$7:$S$506,$C$7:$C$506,C163,$B$7:$B$506,"&lt;"&amp;B163)+SUMIFS(S$7:S163,C$7:C163,C163,B$7:B163,B163))</f>
        <v/>
      </c>
      <c r="V163">
        <f>IF(S163=0,0,IFERROR(VLOOKUP(C163,'Parties'!$B$13:$Q$112,14,FALSE),0)+SUMIFS($T$7:$T$506,$C$7:$C$506,C163,$B$7:$B$506,"&lt;="&amp;'Outstanding'!$E$5))</f>
        <v/>
      </c>
      <c r="W163">
        <f>IF(OR('Outstanding'!$E$5="",S163=0,B163="",B163&gt;'Outstanding'!$E$5),0,MAX(0,MIN(S163,U163-V163)))</f>
        <v/>
      </c>
      <c r="X163">
        <f>IF(C163="",0,IFERROR(VLOOKUP(C163,'Parties'!$B$13:$Q$112,15,FALSE),0))</f>
        <v/>
      </c>
      <c r="Y163">
        <f>IF(C163="","",IFERROR(VLOOKUP(C163,'Parties'!$B$13:$Q$112,16,FALSE),0))</f>
        <v/>
      </c>
      <c r="Z163">
        <f>IF(OR(S163=0,B163="",Y163=""),"",IF(AND(F163&lt;&gt;"",D163="Purchase bill"),F163,B163)+Y163)</f>
        <v/>
      </c>
      <c r="AA163">
        <f>IF(OR(W163=0,Z163=""),0,MAX(0,'Outstanding'!$E$5-Z163))</f>
        <v/>
      </c>
      <c r="AB163">
        <f>IF(AND(X163=1,AA163&gt;0),W163*((1+3*N('Parties'!$E$10)/12)^(AA163*12/365)-1),0)</f>
        <v/>
      </c>
      <c r="AC163">
        <f>IF(W163=0,"",'Outstanding'!$E$5-B163)</f>
        <v/>
      </c>
      <c r="AD163">
        <f>IF(S163=0,0,IFERROR(VLOOKUP(C163,'Parties'!$B$13:$Q$112,14,FALSE),0)+SUMIFS($T$7:$T$506,$C$7:$C$506,C163,$B$7:$B$506,"&lt;="&amp;'Parties'!$E$8))</f>
        <v/>
      </c>
      <c r="AE163">
        <f>IF(OR('Parties'!$E$8="",S163=0,B163="",B163&gt;'Parties'!$E$8),0,MAX(0,MIN(S163,U163-AD163)))</f>
        <v/>
      </c>
      <c r="AF163">
        <f>IF(AND(P163="Creditor",X163=1,AE163&gt;0,Z163&lt;&gt;""),IF(Z163&lt;='Parties'!$E$8,AE163,0),0)</f>
        <v/>
      </c>
      <c r="AG163">
        <f>IF(OR(AE163=0,Z163=""),0,MAX(0,'Parties'!$E$8-Z163))</f>
        <v/>
      </c>
      <c r="AH163">
        <f>IF(AND(P163="Creditor",X163=1,AG163&gt;0),AE163*((1+3*N('Parties'!$E$10)/12)^(AG163*12/365)-1),0)</f>
        <v/>
      </c>
      <c r="AI163">
        <f>IF(AND(C163&lt;&gt;"",C163='Ledger Account'!$D$4,B163&lt;&gt;"",B163&gt;='Ledger Account'!$D$5,B163&lt;='Ledger Account'!$D$6),1,0)</f>
        <v/>
      </c>
      <c r="AJ163">
        <f>IF(AI163=1,SUM(AI$7:AI163),"")</f>
        <v/>
      </c>
      <c r="AK163">
        <f>IF(OR(N163="",N163="OK"),0,1)</f>
        <v/>
      </c>
    </row>
    <row r="164">
      <c r="B164" s="24" t="n"/>
      <c r="C164" s="14" t="n"/>
      <c r="D164" s="14" t="n"/>
      <c r="E164" s="20" t="n"/>
      <c r="F164" s="24" t="n"/>
      <c r="G164" s="14" t="n"/>
      <c r="H164" s="22" t="n"/>
      <c r="I164" s="25">
        <f>IF(Q164="D",N(H164),0)</f>
        <v/>
      </c>
      <c r="J164" s="25">
        <f>IF(Q164="C",N(H164),0)</f>
        <v/>
      </c>
      <c r="K164" s="26">
        <f>IF(Z164="","",Z164)</f>
        <v/>
      </c>
      <c r="L164" s="27">
        <f>W164</f>
        <v/>
      </c>
      <c r="M164" s="28">
        <f>AA164</f>
        <v/>
      </c>
      <c r="N164" s="23">
        <f>IF(AND(B164="",C164="",D164="",N(H164)=0),"",IF(B164="","Enter the date",IF(C164="","Pick the party",IF(P164="?","Add this party on the Parties sheet first",IF(D164="","Pick the entry type",IF(Q164="?","Pick the entry type from the list",IF(N(H164)=0,"Enter the amount",IF(AND(R164&lt;&gt;"Any",R164&lt;&gt;P164),"Sales, receipts and credit notes are for debtors; purchases, payments and debit notes for creditors",IF(AND(F164&lt;&gt;"",D164&lt;&gt;"Purchase bill"),"The received-on date is only for purchase bills",IF(AND(P164="Creditor",X164=1,AA164&gt;0),"Past due to a micro or small supplier: interest runs under MSMED s.16, and if unpaid at year end it is not deductible that year, s.37(2)(g)",IF(AND(P164="Debtor",X164=1,AA164&gt;0),"Past due to you: as a micro or small supplier you can claim interest under MSMED s.16","OK")))))))))))</f>
        <v/>
      </c>
      <c r="P164">
        <f>IF(C164="","",IFERROR(VLOOKUP(C164,'Parties'!$B$13:$Q$112,2,FALSE),"?"))</f>
        <v/>
      </c>
      <c r="Q164">
        <f>IF(D164="","",IFERROR(VLOOKUP(D164,Lists!$A$2:$D$9,3,FALSE),"?"))</f>
        <v/>
      </c>
      <c r="R164">
        <f>IF(D164="","",IFERROR(VLOOKUP(D164,Lists!$A$2:$D$9,4,FALSE),"?"))</f>
        <v/>
      </c>
      <c r="S164">
        <f>IF(P164="Debtor",I164,IF(P164="Creditor",J164,0))</f>
        <v/>
      </c>
      <c r="T164">
        <f>IF(P164="Debtor",J164,IF(P164="Creditor",I164,0))</f>
        <v/>
      </c>
      <c r="U164">
        <f>IF(OR(S164=0,B164=""),0,IFERROR(VLOOKUP(C164,'Parties'!$B$13:$Q$112,13,FALSE),0)+SUMIFS($S$7:$S$506,$C$7:$C$506,C164,$B$7:$B$506,"&lt;"&amp;B164)+SUMIFS(S$7:S164,C$7:C164,C164,B$7:B164,B164))</f>
        <v/>
      </c>
      <c r="V164">
        <f>IF(S164=0,0,IFERROR(VLOOKUP(C164,'Parties'!$B$13:$Q$112,14,FALSE),0)+SUMIFS($T$7:$T$506,$C$7:$C$506,C164,$B$7:$B$506,"&lt;="&amp;'Outstanding'!$E$5))</f>
        <v/>
      </c>
      <c r="W164">
        <f>IF(OR('Outstanding'!$E$5="",S164=0,B164="",B164&gt;'Outstanding'!$E$5),0,MAX(0,MIN(S164,U164-V164)))</f>
        <v/>
      </c>
      <c r="X164">
        <f>IF(C164="",0,IFERROR(VLOOKUP(C164,'Parties'!$B$13:$Q$112,15,FALSE),0))</f>
        <v/>
      </c>
      <c r="Y164">
        <f>IF(C164="","",IFERROR(VLOOKUP(C164,'Parties'!$B$13:$Q$112,16,FALSE),0))</f>
        <v/>
      </c>
      <c r="Z164">
        <f>IF(OR(S164=0,B164="",Y164=""),"",IF(AND(F164&lt;&gt;"",D164="Purchase bill"),F164,B164)+Y164)</f>
        <v/>
      </c>
      <c r="AA164">
        <f>IF(OR(W164=0,Z164=""),0,MAX(0,'Outstanding'!$E$5-Z164))</f>
        <v/>
      </c>
      <c r="AB164">
        <f>IF(AND(X164=1,AA164&gt;0),W164*((1+3*N('Parties'!$E$10)/12)^(AA164*12/365)-1),0)</f>
        <v/>
      </c>
      <c r="AC164">
        <f>IF(W164=0,"",'Outstanding'!$E$5-B164)</f>
        <v/>
      </c>
      <c r="AD164">
        <f>IF(S164=0,0,IFERROR(VLOOKUP(C164,'Parties'!$B$13:$Q$112,14,FALSE),0)+SUMIFS($T$7:$T$506,$C$7:$C$506,C164,$B$7:$B$506,"&lt;="&amp;'Parties'!$E$8))</f>
        <v/>
      </c>
      <c r="AE164">
        <f>IF(OR('Parties'!$E$8="",S164=0,B164="",B164&gt;'Parties'!$E$8),0,MAX(0,MIN(S164,U164-AD164)))</f>
        <v/>
      </c>
      <c r="AF164">
        <f>IF(AND(P164="Creditor",X164=1,AE164&gt;0,Z164&lt;&gt;""),IF(Z164&lt;='Parties'!$E$8,AE164,0),0)</f>
        <v/>
      </c>
      <c r="AG164">
        <f>IF(OR(AE164=0,Z164=""),0,MAX(0,'Parties'!$E$8-Z164))</f>
        <v/>
      </c>
      <c r="AH164">
        <f>IF(AND(P164="Creditor",X164=1,AG164&gt;0),AE164*((1+3*N('Parties'!$E$10)/12)^(AG164*12/365)-1),0)</f>
        <v/>
      </c>
      <c r="AI164">
        <f>IF(AND(C164&lt;&gt;"",C164='Ledger Account'!$D$4,B164&lt;&gt;"",B164&gt;='Ledger Account'!$D$5,B164&lt;='Ledger Account'!$D$6),1,0)</f>
        <v/>
      </c>
      <c r="AJ164">
        <f>IF(AI164=1,SUM(AI$7:AI164),"")</f>
        <v/>
      </c>
      <c r="AK164">
        <f>IF(OR(N164="",N164="OK"),0,1)</f>
        <v/>
      </c>
    </row>
    <row r="165">
      <c r="B165" s="24" t="n"/>
      <c r="C165" s="14" t="n"/>
      <c r="D165" s="14" t="n"/>
      <c r="E165" s="20" t="n"/>
      <c r="F165" s="24" t="n"/>
      <c r="G165" s="14" t="n"/>
      <c r="H165" s="22" t="n"/>
      <c r="I165" s="25">
        <f>IF(Q165="D",N(H165),0)</f>
        <v/>
      </c>
      <c r="J165" s="25">
        <f>IF(Q165="C",N(H165),0)</f>
        <v/>
      </c>
      <c r="K165" s="26">
        <f>IF(Z165="","",Z165)</f>
        <v/>
      </c>
      <c r="L165" s="27">
        <f>W165</f>
        <v/>
      </c>
      <c r="M165" s="28">
        <f>AA165</f>
        <v/>
      </c>
      <c r="N165" s="23">
        <f>IF(AND(B165="",C165="",D165="",N(H165)=0),"",IF(B165="","Enter the date",IF(C165="","Pick the party",IF(P165="?","Add this party on the Parties sheet first",IF(D165="","Pick the entry type",IF(Q165="?","Pick the entry type from the list",IF(N(H165)=0,"Enter the amount",IF(AND(R165&lt;&gt;"Any",R165&lt;&gt;P165),"Sales, receipts and credit notes are for debtors; purchases, payments and debit notes for creditors",IF(AND(F165&lt;&gt;"",D165&lt;&gt;"Purchase bill"),"The received-on date is only for purchase bills",IF(AND(P165="Creditor",X165=1,AA165&gt;0),"Past due to a micro or small supplier: interest runs under MSMED s.16, and if unpaid at year end it is not deductible that year, s.37(2)(g)",IF(AND(P165="Debtor",X165=1,AA165&gt;0),"Past due to you: as a micro or small supplier you can claim interest under MSMED s.16","OK")))))))))))</f>
        <v/>
      </c>
      <c r="P165">
        <f>IF(C165="","",IFERROR(VLOOKUP(C165,'Parties'!$B$13:$Q$112,2,FALSE),"?"))</f>
        <v/>
      </c>
      <c r="Q165">
        <f>IF(D165="","",IFERROR(VLOOKUP(D165,Lists!$A$2:$D$9,3,FALSE),"?"))</f>
        <v/>
      </c>
      <c r="R165">
        <f>IF(D165="","",IFERROR(VLOOKUP(D165,Lists!$A$2:$D$9,4,FALSE),"?"))</f>
        <v/>
      </c>
      <c r="S165">
        <f>IF(P165="Debtor",I165,IF(P165="Creditor",J165,0))</f>
        <v/>
      </c>
      <c r="T165">
        <f>IF(P165="Debtor",J165,IF(P165="Creditor",I165,0))</f>
        <v/>
      </c>
      <c r="U165">
        <f>IF(OR(S165=0,B165=""),0,IFERROR(VLOOKUP(C165,'Parties'!$B$13:$Q$112,13,FALSE),0)+SUMIFS($S$7:$S$506,$C$7:$C$506,C165,$B$7:$B$506,"&lt;"&amp;B165)+SUMIFS(S$7:S165,C$7:C165,C165,B$7:B165,B165))</f>
        <v/>
      </c>
      <c r="V165">
        <f>IF(S165=0,0,IFERROR(VLOOKUP(C165,'Parties'!$B$13:$Q$112,14,FALSE),0)+SUMIFS($T$7:$T$506,$C$7:$C$506,C165,$B$7:$B$506,"&lt;="&amp;'Outstanding'!$E$5))</f>
        <v/>
      </c>
      <c r="W165">
        <f>IF(OR('Outstanding'!$E$5="",S165=0,B165="",B165&gt;'Outstanding'!$E$5),0,MAX(0,MIN(S165,U165-V165)))</f>
        <v/>
      </c>
      <c r="X165">
        <f>IF(C165="",0,IFERROR(VLOOKUP(C165,'Parties'!$B$13:$Q$112,15,FALSE),0))</f>
        <v/>
      </c>
      <c r="Y165">
        <f>IF(C165="","",IFERROR(VLOOKUP(C165,'Parties'!$B$13:$Q$112,16,FALSE),0))</f>
        <v/>
      </c>
      <c r="Z165">
        <f>IF(OR(S165=0,B165="",Y165=""),"",IF(AND(F165&lt;&gt;"",D165="Purchase bill"),F165,B165)+Y165)</f>
        <v/>
      </c>
      <c r="AA165">
        <f>IF(OR(W165=0,Z165=""),0,MAX(0,'Outstanding'!$E$5-Z165))</f>
        <v/>
      </c>
      <c r="AB165">
        <f>IF(AND(X165=1,AA165&gt;0),W165*((1+3*N('Parties'!$E$10)/12)^(AA165*12/365)-1),0)</f>
        <v/>
      </c>
      <c r="AC165">
        <f>IF(W165=0,"",'Outstanding'!$E$5-B165)</f>
        <v/>
      </c>
      <c r="AD165">
        <f>IF(S165=0,0,IFERROR(VLOOKUP(C165,'Parties'!$B$13:$Q$112,14,FALSE),0)+SUMIFS($T$7:$T$506,$C$7:$C$506,C165,$B$7:$B$506,"&lt;="&amp;'Parties'!$E$8))</f>
        <v/>
      </c>
      <c r="AE165">
        <f>IF(OR('Parties'!$E$8="",S165=0,B165="",B165&gt;'Parties'!$E$8),0,MAX(0,MIN(S165,U165-AD165)))</f>
        <v/>
      </c>
      <c r="AF165">
        <f>IF(AND(P165="Creditor",X165=1,AE165&gt;0,Z165&lt;&gt;""),IF(Z165&lt;='Parties'!$E$8,AE165,0),0)</f>
        <v/>
      </c>
      <c r="AG165">
        <f>IF(OR(AE165=0,Z165=""),0,MAX(0,'Parties'!$E$8-Z165))</f>
        <v/>
      </c>
      <c r="AH165">
        <f>IF(AND(P165="Creditor",X165=1,AG165&gt;0),AE165*((1+3*N('Parties'!$E$10)/12)^(AG165*12/365)-1),0)</f>
        <v/>
      </c>
      <c r="AI165">
        <f>IF(AND(C165&lt;&gt;"",C165='Ledger Account'!$D$4,B165&lt;&gt;"",B165&gt;='Ledger Account'!$D$5,B165&lt;='Ledger Account'!$D$6),1,0)</f>
        <v/>
      </c>
      <c r="AJ165">
        <f>IF(AI165=1,SUM(AI$7:AI165),"")</f>
        <v/>
      </c>
      <c r="AK165">
        <f>IF(OR(N165="",N165="OK"),0,1)</f>
        <v/>
      </c>
    </row>
    <row r="166">
      <c r="B166" s="24" t="n"/>
      <c r="C166" s="14" t="n"/>
      <c r="D166" s="14" t="n"/>
      <c r="E166" s="20" t="n"/>
      <c r="F166" s="24" t="n"/>
      <c r="G166" s="14" t="n"/>
      <c r="H166" s="22" t="n"/>
      <c r="I166" s="25">
        <f>IF(Q166="D",N(H166),0)</f>
        <v/>
      </c>
      <c r="J166" s="25">
        <f>IF(Q166="C",N(H166),0)</f>
        <v/>
      </c>
      <c r="K166" s="26">
        <f>IF(Z166="","",Z166)</f>
        <v/>
      </c>
      <c r="L166" s="27">
        <f>W166</f>
        <v/>
      </c>
      <c r="M166" s="28">
        <f>AA166</f>
        <v/>
      </c>
      <c r="N166" s="23">
        <f>IF(AND(B166="",C166="",D166="",N(H166)=0),"",IF(B166="","Enter the date",IF(C166="","Pick the party",IF(P166="?","Add this party on the Parties sheet first",IF(D166="","Pick the entry type",IF(Q166="?","Pick the entry type from the list",IF(N(H166)=0,"Enter the amount",IF(AND(R166&lt;&gt;"Any",R166&lt;&gt;P166),"Sales, receipts and credit notes are for debtors; purchases, payments and debit notes for creditors",IF(AND(F166&lt;&gt;"",D166&lt;&gt;"Purchase bill"),"The received-on date is only for purchase bills",IF(AND(P166="Creditor",X166=1,AA166&gt;0),"Past due to a micro or small supplier: interest runs under MSMED s.16, and if unpaid at year end it is not deductible that year, s.37(2)(g)",IF(AND(P166="Debtor",X166=1,AA166&gt;0),"Past due to you: as a micro or small supplier you can claim interest under MSMED s.16","OK")))))))))))</f>
        <v/>
      </c>
      <c r="P166">
        <f>IF(C166="","",IFERROR(VLOOKUP(C166,'Parties'!$B$13:$Q$112,2,FALSE),"?"))</f>
        <v/>
      </c>
      <c r="Q166">
        <f>IF(D166="","",IFERROR(VLOOKUP(D166,Lists!$A$2:$D$9,3,FALSE),"?"))</f>
        <v/>
      </c>
      <c r="R166">
        <f>IF(D166="","",IFERROR(VLOOKUP(D166,Lists!$A$2:$D$9,4,FALSE),"?"))</f>
        <v/>
      </c>
      <c r="S166">
        <f>IF(P166="Debtor",I166,IF(P166="Creditor",J166,0))</f>
        <v/>
      </c>
      <c r="T166">
        <f>IF(P166="Debtor",J166,IF(P166="Creditor",I166,0))</f>
        <v/>
      </c>
      <c r="U166">
        <f>IF(OR(S166=0,B166=""),0,IFERROR(VLOOKUP(C166,'Parties'!$B$13:$Q$112,13,FALSE),0)+SUMIFS($S$7:$S$506,$C$7:$C$506,C166,$B$7:$B$506,"&lt;"&amp;B166)+SUMIFS(S$7:S166,C$7:C166,C166,B$7:B166,B166))</f>
        <v/>
      </c>
      <c r="V166">
        <f>IF(S166=0,0,IFERROR(VLOOKUP(C166,'Parties'!$B$13:$Q$112,14,FALSE),0)+SUMIFS($T$7:$T$506,$C$7:$C$506,C166,$B$7:$B$506,"&lt;="&amp;'Outstanding'!$E$5))</f>
        <v/>
      </c>
      <c r="W166">
        <f>IF(OR('Outstanding'!$E$5="",S166=0,B166="",B166&gt;'Outstanding'!$E$5),0,MAX(0,MIN(S166,U166-V166)))</f>
        <v/>
      </c>
      <c r="X166">
        <f>IF(C166="",0,IFERROR(VLOOKUP(C166,'Parties'!$B$13:$Q$112,15,FALSE),0))</f>
        <v/>
      </c>
      <c r="Y166">
        <f>IF(C166="","",IFERROR(VLOOKUP(C166,'Parties'!$B$13:$Q$112,16,FALSE),0))</f>
        <v/>
      </c>
      <c r="Z166">
        <f>IF(OR(S166=0,B166="",Y166=""),"",IF(AND(F166&lt;&gt;"",D166="Purchase bill"),F166,B166)+Y166)</f>
        <v/>
      </c>
      <c r="AA166">
        <f>IF(OR(W166=0,Z166=""),0,MAX(0,'Outstanding'!$E$5-Z166))</f>
        <v/>
      </c>
      <c r="AB166">
        <f>IF(AND(X166=1,AA166&gt;0),W166*((1+3*N('Parties'!$E$10)/12)^(AA166*12/365)-1),0)</f>
        <v/>
      </c>
      <c r="AC166">
        <f>IF(W166=0,"",'Outstanding'!$E$5-B166)</f>
        <v/>
      </c>
      <c r="AD166">
        <f>IF(S166=0,0,IFERROR(VLOOKUP(C166,'Parties'!$B$13:$Q$112,14,FALSE),0)+SUMIFS($T$7:$T$506,$C$7:$C$506,C166,$B$7:$B$506,"&lt;="&amp;'Parties'!$E$8))</f>
        <v/>
      </c>
      <c r="AE166">
        <f>IF(OR('Parties'!$E$8="",S166=0,B166="",B166&gt;'Parties'!$E$8),0,MAX(0,MIN(S166,U166-AD166)))</f>
        <v/>
      </c>
      <c r="AF166">
        <f>IF(AND(P166="Creditor",X166=1,AE166&gt;0,Z166&lt;&gt;""),IF(Z166&lt;='Parties'!$E$8,AE166,0),0)</f>
        <v/>
      </c>
      <c r="AG166">
        <f>IF(OR(AE166=0,Z166=""),0,MAX(0,'Parties'!$E$8-Z166))</f>
        <v/>
      </c>
      <c r="AH166">
        <f>IF(AND(P166="Creditor",X166=1,AG166&gt;0),AE166*((1+3*N('Parties'!$E$10)/12)^(AG166*12/365)-1),0)</f>
        <v/>
      </c>
      <c r="AI166">
        <f>IF(AND(C166&lt;&gt;"",C166='Ledger Account'!$D$4,B166&lt;&gt;"",B166&gt;='Ledger Account'!$D$5,B166&lt;='Ledger Account'!$D$6),1,0)</f>
        <v/>
      </c>
      <c r="AJ166">
        <f>IF(AI166=1,SUM(AI$7:AI166),"")</f>
        <v/>
      </c>
      <c r="AK166">
        <f>IF(OR(N166="",N166="OK"),0,1)</f>
        <v/>
      </c>
    </row>
    <row r="167">
      <c r="B167" s="24" t="n"/>
      <c r="C167" s="14" t="n"/>
      <c r="D167" s="14" t="n"/>
      <c r="E167" s="20" t="n"/>
      <c r="F167" s="24" t="n"/>
      <c r="G167" s="14" t="n"/>
      <c r="H167" s="22" t="n"/>
      <c r="I167" s="25">
        <f>IF(Q167="D",N(H167),0)</f>
        <v/>
      </c>
      <c r="J167" s="25">
        <f>IF(Q167="C",N(H167),0)</f>
        <v/>
      </c>
      <c r="K167" s="26">
        <f>IF(Z167="","",Z167)</f>
        <v/>
      </c>
      <c r="L167" s="27">
        <f>W167</f>
        <v/>
      </c>
      <c r="M167" s="28">
        <f>AA167</f>
        <v/>
      </c>
      <c r="N167" s="23">
        <f>IF(AND(B167="",C167="",D167="",N(H167)=0),"",IF(B167="","Enter the date",IF(C167="","Pick the party",IF(P167="?","Add this party on the Parties sheet first",IF(D167="","Pick the entry type",IF(Q167="?","Pick the entry type from the list",IF(N(H167)=0,"Enter the amount",IF(AND(R167&lt;&gt;"Any",R167&lt;&gt;P167),"Sales, receipts and credit notes are for debtors; purchases, payments and debit notes for creditors",IF(AND(F167&lt;&gt;"",D167&lt;&gt;"Purchase bill"),"The received-on date is only for purchase bills",IF(AND(P167="Creditor",X167=1,AA167&gt;0),"Past due to a micro or small supplier: interest runs under MSMED s.16, and if unpaid at year end it is not deductible that year, s.37(2)(g)",IF(AND(P167="Debtor",X167=1,AA167&gt;0),"Past due to you: as a micro or small supplier you can claim interest under MSMED s.16","OK")))))))))))</f>
        <v/>
      </c>
      <c r="P167">
        <f>IF(C167="","",IFERROR(VLOOKUP(C167,'Parties'!$B$13:$Q$112,2,FALSE),"?"))</f>
        <v/>
      </c>
      <c r="Q167">
        <f>IF(D167="","",IFERROR(VLOOKUP(D167,Lists!$A$2:$D$9,3,FALSE),"?"))</f>
        <v/>
      </c>
      <c r="R167">
        <f>IF(D167="","",IFERROR(VLOOKUP(D167,Lists!$A$2:$D$9,4,FALSE),"?"))</f>
        <v/>
      </c>
      <c r="S167">
        <f>IF(P167="Debtor",I167,IF(P167="Creditor",J167,0))</f>
        <v/>
      </c>
      <c r="T167">
        <f>IF(P167="Debtor",J167,IF(P167="Creditor",I167,0))</f>
        <v/>
      </c>
      <c r="U167">
        <f>IF(OR(S167=0,B167=""),0,IFERROR(VLOOKUP(C167,'Parties'!$B$13:$Q$112,13,FALSE),0)+SUMIFS($S$7:$S$506,$C$7:$C$506,C167,$B$7:$B$506,"&lt;"&amp;B167)+SUMIFS(S$7:S167,C$7:C167,C167,B$7:B167,B167))</f>
        <v/>
      </c>
      <c r="V167">
        <f>IF(S167=0,0,IFERROR(VLOOKUP(C167,'Parties'!$B$13:$Q$112,14,FALSE),0)+SUMIFS($T$7:$T$506,$C$7:$C$506,C167,$B$7:$B$506,"&lt;="&amp;'Outstanding'!$E$5))</f>
        <v/>
      </c>
      <c r="W167">
        <f>IF(OR('Outstanding'!$E$5="",S167=0,B167="",B167&gt;'Outstanding'!$E$5),0,MAX(0,MIN(S167,U167-V167)))</f>
        <v/>
      </c>
      <c r="X167">
        <f>IF(C167="",0,IFERROR(VLOOKUP(C167,'Parties'!$B$13:$Q$112,15,FALSE),0))</f>
        <v/>
      </c>
      <c r="Y167">
        <f>IF(C167="","",IFERROR(VLOOKUP(C167,'Parties'!$B$13:$Q$112,16,FALSE),0))</f>
        <v/>
      </c>
      <c r="Z167">
        <f>IF(OR(S167=0,B167="",Y167=""),"",IF(AND(F167&lt;&gt;"",D167="Purchase bill"),F167,B167)+Y167)</f>
        <v/>
      </c>
      <c r="AA167">
        <f>IF(OR(W167=0,Z167=""),0,MAX(0,'Outstanding'!$E$5-Z167))</f>
        <v/>
      </c>
      <c r="AB167">
        <f>IF(AND(X167=1,AA167&gt;0),W167*((1+3*N('Parties'!$E$10)/12)^(AA167*12/365)-1),0)</f>
        <v/>
      </c>
      <c r="AC167">
        <f>IF(W167=0,"",'Outstanding'!$E$5-B167)</f>
        <v/>
      </c>
      <c r="AD167">
        <f>IF(S167=0,0,IFERROR(VLOOKUP(C167,'Parties'!$B$13:$Q$112,14,FALSE),0)+SUMIFS($T$7:$T$506,$C$7:$C$506,C167,$B$7:$B$506,"&lt;="&amp;'Parties'!$E$8))</f>
        <v/>
      </c>
      <c r="AE167">
        <f>IF(OR('Parties'!$E$8="",S167=0,B167="",B167&gt;'Parties'!$E$8),0,MAX(0,MIN(S167,U167-AD167)))</f>
        <v/>
      </c>
      <c r="AF167">
        <f>IF(AND(P167="Creditor",X167=1,AE167&gt;0,Z167&lt;&gt;""),IF(Z167&lt;='Parties'!$E$8,AE167,0),0)</f>
        <v/>
      </c>
      <c r="AG167">
        <f>IF(OR(AE167=0,Z167=""),0,MAX(0,'Parties'!$E$8-Z167))</f>
        <v/>
      </c>
      <c r="AH167">
        <f>IF(AND(P167="Creditor",X167=1,AG167&gt;0),AE167*((1+3*N('Parties'!$E$10)/12)^(AG167*12/365)-1),0)</f>
        <v/>
      </c>
      <c r="AI167">
        <f>IF(AND(C167&lt;&gt;"",C167='Ledger Account'!$D$4,B167&lt;&gt;"",B167&gt;='Ledger Account'!$D$5,B167&lt;='Ledger Account'!$D$6),1,0)</f>
        <v/>
      </c>
      <c r="AJ167">
        <f>IF(AI167=1,SUM(AI$7:AI167),"")</f>
        <v/>
      </c>
      <c r="AK167">
        <f>IF(OR(N167="",N167="OK"),0,1)</f>
        <v/>
      </c>
    </row>
    <row r="168">
      <c r="B168" s="24" t="n"/>
      <c r="C168" s="14" t="n"/>
      <c r="D168" s="14" t="n"/>
      <c r="E168" s="20" t="n"/>
      <c r="F168" s="24" t="n"/>
      <c r="G168" s="14" t="n"/>
      <c r="H168" s="22" t="n"/>
      <c r="I168" s="25">
        <f>IF(Q168="D",N(H168),0)</f>
        <v/>
      </c>
      <c r="J168" s="25">
        <f>IF(Q168="C",N(H168),0)</f>
        <v/>
      </c>
      <c r="K168" s="26">
        <f>IF(Z168="","",Z168)</f>
        <v/>
      </c>
      <c r="L168" s="27">
        <f>W168</f>
        <v/>
      </c>
      <c r="M168" s="28">
        <f>AA168</f>
        <v/>
      </c>
      <c r="N168" s="23">
        <f>IF(AND(B168="",C168="",D168="",N(H168)=0),"",IF(B168="","Enter the date",IF(C168="","Pick the party",IF(P168="?","Add this party on the Parties sheet first",IF(D168="","Pick the entry type",IF(Q168="?","Pick the entry type from the list",IF(N(H168)=0,"Enter the amount",IF(AND(R168&lt;&gt;"Any",R168&lt;&gt;P168),"Sales, receipts and credit notes are for debtors; purchases, payments and debit notes for creditors",IF(AND(F168&lt;&gt;"",D168&lt;&gt;"Purchase bill"),"The received-on date is only for purchase bills",IF(AND(P168="Creditor",X168=1,AA168&gt;0),"Past due to a micro or small supplier: interest runs under MSMED s.16, and if unpaid at year end it is not deductible that year, s.37(2)(g)",IF(AND(P168="Debtor",X168=1,AA168&gt;0),"Past due to you: as a micro or small supplier you can claim interest under MSMED s.16","OK")))))))))))</f>
        <v/>
      </c>
      <c r="P168">
        <f>IF(C168="","",IFERROR(VLOOKUP(C168,'Parties'!$B$13:$Q$112,2,FALSE),"?"))</f>
        <v/>
      </c>
      <c r="Q168">
        <f>IF(D168="","",IFERROR(VLOOKUP(D168,Lists!$A$2:$D$9,3,FALSE),"?"))</f>
        <v/>
      </c>
      <c r="R168">
        <f>IF(D168="","",IFERROR(VLOOKUP(D168,Lists!$A$2:$D$9,4,FALSE),"?"))</f>
        <v/>
      </c>
      <c r="S168">
        <f>IF(P168="Debtor",I168,IF(P168="Creditor",J168,0))</f>
        <v/>
      </c>
      <c r="T168">
        <f>IF(P168="Debtor",J168,IF(P168="Creditor",I168,0))</f>
        <v/>
      </c>
      <c r="U168">
        <f>IF(OR(S168=0,B168=""),0,IFERROR(VLOOKUP(C168,'Parties'!$B$13:$Q$112,13,FALSE),0)+SUMIFS($S$7:$S$506,$C$7:$C$506,C168,$B$7:$B$506,"&lt;"&amp;B168)+SUMIFS(S$7:S168,C$7:C168,C168,B$7:B168,B168))</f>
        <v/>
      </c>
      <c r="V168">
        <f>IF(S168=0,0,IFERROR(VLOOKUP(C168,'Parties'!$B$13:$Q$112,14,FALSE),0)+SUMIFS($T$7:$T$506,$C$7:$C$506,C168,$B$7:$B$506,"&lt;="&amp;'Outstanding'!$E$5))</f>
        <v/>
      </c>
      <c r="W168">
        <f>IF(OR('Outstanding'!$E$5="",S168=0,B168="",B168&gt;'Outstanding'!$E$5),0,MAX(0,MIN(S168,U168-V168)))</f>
        <v/>
      </c>
      <c r="X168">
        <f>IF(C168="",0,IFERROR(VLOOKUP(C168,'Parties'!$B$13:$Q$112,15,FALSE),0))</f>
        <v/>
      </c>
      <c r="Y168">
        <f>IF(C168="","",IFERROR(VLOOKUP(C168,'Parties'!$B$13:$Q$112,16,FALSE),0))</f>
        <v/>
      </c>
      <c r="Z168">
        <f>IF(OR(S168=0,B168="",Y168=""),"",IF(AND(F168&lt;&gt;"",D168="Purchase bill"),F168,B168)+Y168)</f>
        <v/>
      </c>
      <c r="AA168">
        <f>IF(OR(W168=0,Z168=""),0,MAX(0,'Outstanding'!$E$5-Z168))</f>
        <v/>
      </c>
      <c r="AB168">
        <f>IF(AND(X168=1,AA168&gt;0),W168*((1+3*N('Parties'!$E$10)/12)^(AA168*12/365)-1),0)</f>
        <v/>
      </c>
      <c r="AC168">
        <f>IF(W168=0,"",'Outstanding'!$E$5-B168)</f>
        <v/>
      </c>
      <c r="AD168">
        <f>IF(S168=0,0,IFERROR(VLOOKUP(C168,'Parties'!$B$13:$Q$112,14,FALSE),0)+SUMIFS($T$7:$T$506,$C$7:$C$506,C168,$B$7:$B$506,"&lt;="&amp;'Parties'!$E$8))</f>
        <v/>
      </c>
      <c r="AE168">
        <f>IF(OR('Parties'!$E$8="",S168=0,B168="",B168&gt;'Parties'!$E$8),0,MAX(0,MIN(S168,U168-AD168)))</f>
        <v/>
      </c>
      <c r="AF168">
        <f>IF(AND(P168="Creditor",X168=1,AE168&gt;0,Z168&lt;&gt;""),IF(Z168&lt;='Parties'!$E$8,AE168,0),0)</f>
        <v/>
      </c>
      <c r="AG168">
        <f>IF(OR(AE168=0,Z168=""),0,MAX(0,'Parties'!$E$8-Z168))</f>
        <v/>
      </c>
      <c r="AH168">
        <f>IF(AND(P168="Creditor",X168=1,AG168&gt;0),AE168*((1+3*N('Parties'!$E$10)/12)^(AG168*12/365)-1),0)</f>
        <v/>
      </c>
      <c r="AI168">
        <f>IF(AND(C168&lt;&gt;"",C168='Ledger Account'!$D$4,B168&lt;&gt;"",B168&gt;='Ledger Account'!$D$5,B168&lt;='Ledger Account'!$D$6),1,0)</f>
        <v/>
      </c>
      <c r="AJ168">
        <f>IF(AI168=1,SUM(AI$7:AI168),"")</f>
        <v/>
      </c>
      <c r="AK168">
        <f>IF(OR(N168="",N168="OK"),0,1)</f>
        <v/>
      </c>
    </row>
    <row r="169">
      <c r="B169" s="24" t="n"/>
      <c r="C169" s="14" t="n"/>
      <c r="D169" s="14" t="n"/>
      <c r="E169" s="20" t="n"/>
      <c r="F169" s="24" t="n"/>
      <c r="G169" s="14" t="n"/>
      <c r="H169" s="22" t="n"/>
      <c r="I169" s="25">
        <f>IF(Q169="D",N(H169),0)</f>
        <v/>
      </c>
      <c r="J169" s="25">
        <f>IF(Q169="C",N(H169),0)</f>
        <v/>
      </c>
      <c r="K169" s="26">
        <f>IF(Z169="","",Z169)</f>
        <v/>
      </c>
      <c r="L169" s="27">
        <f>W169</f>
        <v/>
      </c>
      <c r="M169" s="28">
        <f>AA169</f>
        <v/>
      </c>
      <c r="N169" s="23">
        <f>IF(AND(B169="",C169="",D169="",N(H169)=0),"",IF(B169="","Enter the date",IF(C169="","Pick the party",IF(P169="?","Add this party on the Parties sheet first",IF(D169="","Pick the entry type",IF(Q169="?","Pick the entry type from the list",IF(N(H169)=0,"Enter the amount",IF(AND(R169&lt;&gt;"Any",R169&lt;&gt;P169),"Sales, receipts and credit notes are for debtors; purchases, payments and debit notes for creditors",IF(AND(F169&lt;&gt;"",D169&lt;&gt;"Purchase bill"),"The received-on date is only for purchase bills",IF(AND(P169="Creditor",X169=1,AA169&gt;0),"Past due to a micro or small supplier: interest runs under MSMED s.16, and if unpaid at year end it is not deductible that year, s.37(2)(g)",IF(AND(P169="Debtor",X169=1,AA169&gt;0),"Past due to you: as a micro or small supplier you can claim interest under MSMED s.16","OK")))))))))))</f>
        <v/>
      </c>
      <c r="P169">
        <f>IF(C169="","",IFERROR(VLOOKUP(C169,'Parties'!$B$13:$Q$112,2,FALSE),"?"))</f>
        <v/>
      </c>
      <c r="Q169">
        <f>IF(D169="","",IFERROR(VLOOKUP(D169,Lists!$A$2:$D$9,3,FALSE),"?"))</f>
        <v/>
      </c>
      <c r="R169">
        <f>IF(D169="","",IFERROR(VLOOKUP(D169,Lists!$A$2:$D$9,4,FALSE),"?"))</f>
        <v/>
      </c>
      <c r="S169">
        <f>IF(P169="Debtor",I169,IF(P169="Creditor",J169,0))</f>
        <v/>
      </c>
      <c r="T169">
        <f>IF(P169="Debtor",J169,IF(P169="Creditor",I169,0))</f>
        <v/>
      </c>
      <c r="U169">
        <f>IF(OR(S169=0,B169=""),0,IFERROR(VLOOKUP(C169,'Parties'!$B$13:$Q$112,13,FALSE),0)+SUMIFS($S$7:$S$506,$C$7:$C$506,C169,$B$7:$B$506,"&lt;"&amp;B169)+SUMIFS(S$7:S169,C$7:C169,C169,B$7:B169,B169))</f>
        <v/>
      </c>
      <c r="V169">
        <f>IF(S169=0,0,IFERROR(VLOOKUP(C169,'Parties'!$B$13:$Q$112,14,FALSE),0)+SUMIFS($T$7:$T$506,$C$7:$C$506,C169,$B$7:$B$506,"&lt;="&amp;'Outstanding'!$E$5))</f>
        <v/>
      </c>
      <c r="W169">
        <f>IF(OR('Outstanding'!$E$5="",S169=0,B169="",B169&gt;'Outstanding'!$E$5),0,MAX(0,MIN(S169,U169-V169)))</f>
        <v/>
      </c>
      <c r="X169">
        <f>IF(C169="",0,IFERROR(VLOOKUP(C169,'Parties'!$B$13:$Q$112,15,FALSE),0))</f>
        <v/>
      </c>
      <c r="Y169">
        <f>IF(C169="","",IFERROR(VLOOKUP(C169,'Parties'!$B$13:$Q$112,16,FALSE),0))</f>
        <v/>
      </c>
      <c r="Z169">
        <f>IF(OR(S169=0,B169="",Y169=""),"",IF(AND(F169&lt;&gt;"",D169="Purchase bill"),F169,B169)+Y169)</f>
        <v/>
      </c>
      <c r="AA169">
        <f>IF(OR(W169=0,Z169=""),0,MAX(0,'Outstanding'!$E$5-Z169))</f>
        <v/>
      </c>
      <c r="AB169">
        <f>IF(AND(X169=1,AA169&gt;0),W169*((1+3*N('Parties'!$E$10)/12)^(AA169*12/365)-1),0)</f>
        <v/>
      </c>
      <c r="AC169">
        <f>IF(W169=0,"",'Outstanding'!$E$5-B169)</f>
        <v/>
      </c>
      <c r="AD169">
        <f>IF(S169=0,0,IFERROR(VLOOKUP(C169,'Parties'!$B$13:$Q$112,14,FALSE),0)+SUMIFS($T$7:$T$506,$C$7:$C$506,C169,$B$7:$B$506,"&lt;="&amp;'Parties'!$E$8))</f>
        <v/>
      </c>
      <c r="AE169">
        <f>IF(OR('Parties'!$E$8="",S169=0,B169="",B169&gt;'Parties'!$E$8),0,MAX(0,MIN(S169,U169-AD169)))</f>
        <v/>
      </c>
      <c r="AF169">
        <f>IF(AND(P169="Creditor",X169=1,AE169&gt;0,Z169&lt;&gt;""),IF(Z169&lt;='Parties'!$E$8,AE169,0),0)</f>
        <v/>
      </c>
      <c r="AG169">
        <f>IF(OR(AE169=0,Z169=""),0,MAX(0,'Parties'!$E$8-Z169))</f>
        <v/>
      </c>
      <c r="AH169">
        <f>IF(AND(P169="Creditor",X169=1,AG169&gt;0),AE169*((1+3*N('Parties'!$E$10)/12)^(AG169*12/365)-1),0)</f>
        <v/>
      </c>
      <c r="AI169">
        <f>IF(AND(C169&lt;&gt;"",C169='Ledger Account'!$D$4,B169&lt;&gt;"",B169&gt;='Ledger Account'!$D$5,B169&lt;='Ledger Account'!$D$6),1,0)</f>
        <v/>
      </c>
      <c r="AJ169">
        <f>IF(AI169=1,SUM(AI$7:AI169),"")</f>
        <v/>
      </c>
      <c r="AK169">
        <f>IF(OR(N169="",N169="OK"),0,1)</f>
        <v/>
      </c>
    </row>
    <row r="170">
      <c r="B170" s="24" t="n"/>
      <c r="C170" s="14" t="n"/>
      <c r="D170" s="14" t="n"/>
      <c r="E170" s="20" t="n"/>
      <c r="F170" s="24" t="n"/>
      <c r="G170" s="14" t="n"/>
      <c r="H170" s="22" t="n"/>
      <c r="I170" s="25">
        <f>IF(Q170="D",N(H170),0)</f>
        <v/>
      </c>
      <c r="J170" s="25">
        <f>IF(Q170="C",N(H170),0)</f>
        <v/>
      </c>
      <c r="K170" s="26">
        <f>IF(Z170="","",Z170)</f>
        <v/>
      </c>
      <c r="L170" s="27">
        <f>W170</f>
        <v/>
      </c>
      <c r="M170" s="28">
        <f>AA170</f>
        <v/>
      </c>
      <c r="N170" s="23">
        <f>IF(AND(B170="",C170="",D170="",N(H170)=0),"",IF(B170="","Enter the date",IF(C170="","Pick the party",IF(P170="?","Add this party on the Parties sheet first",IF(D170="","Pick the entry type",IF(Q170="?","Pick the entry type from the list",IF(N(H170)=0,"Enter the amount",IF(AND(R170&lt;&gt;"Any",R170&lt;&gt;P170),"Sales, receipts and credit notes are for debtors; purchases, payments and debit notes for creditors",IF(AND(F170&lt;&gt;"",D170&lt;&gt;"Purchase bill"),"The received-on date is only for purchase bills",IF(AND(P170="Creditor",X170=1,AA170&gt;0),"Past due to a micro or small supplier: interest runs under MSMED s.16, and if unpaid at year end it is not deductible that year, s.37(2)(g)",IF(AND(P170="Debtor",X170=1,AA170&gt;0),"Past due to you: as a micro or small supplier you can claim interest under MSMED s.16","OK")))))))))))</f>
        <v/>
      </c>
      <c r="P170">
        <f>IF(C170="","",IFERROR(VLOOKUP(C170,'Parties'!$B$13:$Q$112,2,FALSE),"?"))</f>
        <v/>
      </c>
      <c r="Q170">
        <f>IF(D170="","",IFERROR(VLOOKUP(D170,Lists!$A$2:$D$9,3,FALSE),"?"))</f>
        <v/>
      </c>
      <c r="R170">
        <f>IF(D170="","",IFERROR(VLOOKUP(D170,Lists!$A$2:$D$9,4,FALSE),"?"))</f>
        <v/>
      </c>
      <c r="S170">
        <f>IF(P170="Debtor",I170,IF(P170="Creditor",J170,0))</f>
        <v/>
      </c>
      <c r="T170">
        <f>IF(P170="Debtor",J170,IF(P170="Creditor",I170,0))</f>
        <v/>
      </c>
      <c r="U170">
        <f>IF(OR(S170=0,B170=""),0,IFERROR(VLOOKUP(C170,'Parties'!$B$13:$Q$112,13,FALSE),0)+SUMIFS($S$7:$S$506,$C$7:$C$506,C170,$B$7:$B$506,"&lt;"&amp;B170)+SUMIFS(S$7:S170,C$7:C170,C170,B$7:B170,B170))</f>
        <v/>
      </c>
      <c r="V170">
        <f>IF(S170=0,0,IFERROR(VLOOKUP(C170,'Parties'!$B$13:$Q$112,14,FALSE),0)+SUMIFS($T$7:$T$506,$C$7:$C$506,C170,$B$7:$B$506,"&lt;="&amp;'Outstanding'!$E$5))</f>
        <v/>
      </c>
      <c r="W170">
        <f>IF(OR('Outstanding'!$E$5="",S170=0,B170="",B170&gt;'Outstanding'!$E$5),0,MAX(0,MIN(S170,U170-V170)))</f>
        <v/>
      </c>
      <c r="X170">
        <f>IF(C170="",0,IFERROR(VLOOKUP(C170,'Parties'!$B$13:$Q$112,15,FALSE),0))</f>
        <v/>
      </c>
      <c r="Y170">
        <f>IF(C170="","",IFERROR(VLOOKUP(C170,'Parties'!$B$13:$Q$112,16,FALSE),0))</f>
        <v/>
      </c>
      <c r="Z170">
        <f>IF(OR(S170=0,B170="",Y170=""),"",IF(AND(F170&lt;&gt;"",D170="Purchase bill"),F170,B170)+Y170)</f>
        <v/>
      </c>
      <c r="AA170">
        <f>IF(OR(W170=0,Z170=""),0,MAX(0,'Outstanding'!$E$5-Z170))</f>
        <v/>
      </c>
      <c r="AB170">
        <f>IF(AND(X170=1,AA170&gt;0),W170*((1+3*N('Parties'!$E$10)/12)^(AA170*12/365)-1),0)</f>
        <v/>
      </c>
      <c r="AC170">
        <f>IF(W170=0,"",'Outstanding'!$E$5-B170)</f>
        <v/>
      </c>
      <c r="AD170">
        <f>IF(S170=0,0,IFERROR(VLOOKUP(C170,'Parties'!$B$13:$Q$112,14,FALSE),0)+SUMIFS($T$7:$T$506,$C$7:$C$506,C170,$B$7:$B$506,"&lt;="&amp;'Parties'!$E$8))</f>
        <v/>
      </c>
      <c r="AE170">
        <f>IF(OR('Parties'!$E$8="",S170=0,B170="",B170&gt;'Parties'!$E$8),0,MAX(0,MIN(S170,U170-AD170)))</f>
        <v/>
      </c>
      <c r="AF170">
        <f>IF(AND(P170="Creditor",X170=1,AE170&gt;0,Z170&lt;&gt;""),IF(Z170&lt;='Parties'!$E$8,AE170,0),0)</f>
        <v/>
      </c>
      <c r="AG170">
        <f>IF(OR(AE170=0,Z170=""),0,MAX(0,'Parties'!$E$8-Z170))</f>
        <v/>
      </c>
      <c r="AH170">
        <f>IF(AND(P170="Creditor",X170=1,AG170&gt;0),AE170*((1+3*N('Parties'!$E$10)/12)^(AG170*12/365)-1),0)</f>
        <v/>
      </c>
      <c r="AI170">
        <f>IF(AND(C170&lt;&gt;"",C170='Ledger Account'!$D$4,B170&lt;&gt;"",B170&gt;='Ledger Account'!$D$5,B170&lt;='Ledger Account'!$D$6),1,0)</f>
        <v/>
      </c>
      <c r="AJ170">
        <f>IF(AI170=1,SUM(AI$7:AI170),"")</f>
        <v/>
      </c>
      <c r="AK170">
        <f>IF(OR(N170="",N170="OK"),0,1)</f>
        <v/>
      </c>
    </row>
    <row r="171">
      <c r="B171" s="24" t="n"/>
      <c r="C171" s="14" t="n"/>
      <c r="D171" s="14" t="n"/>
      <c r="E171" s="20" t="n"/>
      <c r="F171" s="24" t="n"/>
      <c r="G171" s="14" t="n"/>
      <c r="H171" s="22" t="n"/>
      <c r="I171" s="25">
        <f>IF(Q171="D",N(H171),0)</f>
        <v/>
      </c>
      <c r="J171" s="25">
        <f>IF(Q171="C",N(H171),0)</f>
        <v/>
      </c>
      <c r="K171" s="26">
        <f>IF(Z171="","",Z171)</f>
        <v/>
      </c>
      <c r="L171" s="27">
        <f>W171</f>
        <v/>
      </c>
      <c r="M171" s="28">
        <f>AA171</f>
        <v/>
      </c>
      <c r="N171" s="23">
        <f>IF(AND(B171="",C171="",D171="",N(H171)=0),"",IF(B171="","Enter the date",IF(C171="","Pick the party",IF(P171="?","Add this party on the Parties sheet first",IF(D171="","Pick the entry type",IF(Q171="?","Pick the entry type from the list",IF(N(H171)=0,"Enter the amount",IF(AND(R171&lt;&gt;"Any",R171&lt;&gt;P171),"Sales, receipts and credit notes are for debtors; purchases, payments and debit notes for creditors",IF(AND(F171&lt;&gt;"",D171&lt;&gt;"Purchase bill"),"The received-on date is only for purchase bills",IF(AND(P171="Creditor",X171=1,AA171&gt;0),"Past due to a micro or small supplier: interest runs under MSMED s.16, and if unpaid at year end it is not deductible that year, s.37(2)(g)",IF(AND(P171="Debtor",X171=1,AA171&gt;0),"Past due to you: as a micro or small supplier you can claim interest under MSMED s.16","OK")))))))))))</f>
        <v/>
      </c>
      <c r="P171">
        <f>IF(C171="","",IFERROR(VLOOKUP(C171,'Parties'!$B$13:$Q$112,2,FALSE),"?"))</f>
        <v/>
      </c>
      <c r="Q171">
        <f>IF(D171="","",IFERROR(VLOOKUP(D171,Lists!$A$2:$D$9,3,FALSE),"?"))</f>
        <v/>
      </c>
      <c r="R171">
        <f>IF(D171="","",IFERROR(VLOOKUP(D171,Lists!$A$2:$D$9,4,FALSE),"?"))</f>
        <v/>
      </c>
      <c r="S171">
        <f>IF(P171="Debtor",I171,IF(P171="Creditor",J171,0))</f>
        <v/>
      </c>
      <c r="T171">
        <f>IF(P171="Debtor",J171,IF(P171="Creditor",I171,0))</f>
        <v/>
      </c>
      <c r="U171">
        <f>IF(OR(S171=0,B171=""),0,IFERROR(VLOOKUP(C171,'Parties'!$B$13:$Q$112,13,FALSE),0)+SUMIFS($S$7:$S$506,$C$7:$C$506,C171,$B$7:$B$506,"&lt;"&amp;B171)+SUMIFS(S$7:S171,C$7:C171,C171,B$7:B171,B171))</f>
        <v/>
      </c>
      <c r="V171">
        <f>IF(S171=0,0,IFERROR(VLOOKUP(C171,'Parties'!$B$13:$Q$112,14,FALSE),0)+SUMIFS($T$7:$T$506,$C$7:$C$506,C171,$B$7:$B$506,"&lt;="&amp;'Outstanding'!$E$5))</f>
        <v/>
      </c>
      <c r="W171">
        <f>IF(OR('Outstanding'!$E$5="",S171=0,B171="",B171&gt;'Outstanding'!$E$5),0,MAX(0,MIN(S171,U171-V171)))</f>
        <v/>
      </c>
      <c r="X171">
        <f>IF(C171="",0,IFERROR(VLOOKUP(C171,'Parties'!$B$13:$Q$112,15,FALSE),0))</f>
        <v/>
      </c>
      <c r="Y171">
        <f>IF(C171="","",IFERROR(VLOOKUP(C171,'Parties'!$B$13:$Q$112,16,FALSE),0))</f>
        <v/>
      </c>
      <c r="Z171">
        <f>IF(OR(S171=0,B171="",Y171=""),"",IF(AND(F171&lt;&gt;"",D171="Purchase bill"),F171,B171)+Y171)</f>
        <v/>
      </c>
      <c r="AA171">
        <f>IF(OR(W171=0,Z171=""),0,MAX(0,'Outstanding'!$E$5-Z171))</f>
        <v/>
      </c>
      <c r="AB171">
        <f>IF(AND(X171=1,AA171&gt;0),W171*((1+3*N('Parties'!$E$10)/12)^(AA171*12/365)-1),0)</f>
        <v/>
      </c>
      <c r="AC171">
        <f>IF(W171=0,"",'Outstanding'!$E$5-B171)</f>
        <v/>
      </c>
      <c r="AD171">
        <f>IF(S171=0,0,IFERROR(VLOOKUP(C171,'Parties'!$B$13:$Q$112,14,FALSE),0)+SUMIFS($T$7:$T$506,$C$7:$C$506,C171,$B$7:$B$506,"&lt;="&amp;'Parties'!$E$8))</f>
        <v/>
      </c>
      <c r="AE171">
        <f>IF(OR('Parties'!$E$8="",S171=0,B171="",B171&gt;'Parties'!$E$8),0,MAX(0,MIN(S171,U171-AD171)))</f>
        <v/>
      </c>
      <c r="AF171">
        <f>IF(AND(P171="Creditor",X171=1,AE171&gt;0,Z171&lt;&gt;""),IF(Z171&lt;='Parties'!$E$8,AE171,0),0)</f>
        <v/>
      </c>
      <c r="AG171">
        <f>IF(OR(AE171=0,Z171=""),0,MAX(0,'Parties'!$E$8-Z171))</f>
        <v/>
      </c>
      <c r="AH171">
        <f>IF(AND(P171="Creditor",X171=1,AG171&gt;0),AE171*((1+3*N('Parties'!$E$10)/12)^(AG171*12/365)-1),0)</f>
        <v/>
      </c>
      <c r="AI171">
        <f>IF(AND(C171&lt;&gt;"",C171='Ledger Account'!$D$4,B171&lt;&gt;"",B171&gt;='Ledger Account'!$D$5,B171&lt;='Ledger Account'!$D$6),1,0)</f>
        <v/>
      </c>
      <c r="AJ171">
        <f>IF(AI171=1,SUM(AI$7:AI171),"")</f>
        <v/>
      </c>
      <c r="AK171">
        <f>IF(OR(N171="",N171="OK"),0,1)</f>
        <v/>
      </c>
    </row>
    <row r="172">
      <c r="B172" s="24" t="n"/>
      <c r="C172" s="14" t="n"/>
      <c r="D172" s="14" t="n"/>
      <c r="E172" s="20" t="n"/>
      <c r="F172" s="24" t="n"/>
      <c r="G172" s="14" t="n"/>
      <c r="H172" s="22" t="n"/>
      <c r="I172" s="25">
        <f>IF(Q172="D",N(H172),0)</f>
        <v/>
      </c>
      <c r="J172" s="25">
        <f>IF(Q172="C",N(H172),0)</f>
        <v/>
      </c>
      <c r="K172" s="26">
        <f>IF(Z172="","",Z172)</f>
        <v/>
      </c>
      <c r="L172" s="27">
        <f>W172</f>
        <v/>
      </c>
      <c r="M172" s="28">
        <f>AA172</f>
        <v/>
      </c>
      <c r="N172" s="23">
        <f>IF(AND(B172="",C172="",D172="",N(H172)=0),"",IF(B172="","Enter the date",IF(C172="","Pick the party",IF(P172="?","Add this party on the Parties sheet first",IF(D172="","Pick the entry type",IF(Q172="?","Pick the entry type from the list",IF(N(H172)=0,"Enter the amount",IF(AND(R172&lt;&gt;"Any",R172&lt;&gt;P172),"Sales, receipts and credit notes are for debtors; purchases, payments and debit notes for creditors",IF(AND(F172&lt;&gt;"",D172&lt;&gt;"Purchase bill"),"The received-on date is only for purchase bills",IF(AND(P172="Creditor",X172=1,AA172&gt;0),"Past due to a micro or small supplier: interest runs under MSMED s.16, and if unpaid at year end it is not deductible that year, s.37(2)(g)",IF(AND(P172="Debtor",X172=1,AA172&gt;0),"Past due to you: as a micro or small supplier you can claim interest under MSMED s.16","OK")))))))))))</f>
        <v/>
      </c>
      <c r="P172">
        <f>IF(C172="","",IFERROR(VLOOKUP(C172,'Parties'!$B$13:$Q$112,2,FALSE),"?"))</f>
        <v/>
      </c>
      <c r="Q172">
        <f>IF(D172="","",IFERROR(VLOOKUP(D172,Lists!$A$2:$D$9,3,FALSE),"?"))</f>
        <v/>
      </c>
      <c r="R172">
        <f>IF(D172="","",IFERROR(VLOOKUP(D172,Lists!$A$2:$D$9,4,FALSE),"?"))</f>
        <v/>
      </c>
      <c r="S172">
        <f>IF(P172="Debtor",I172,IF(P172="Creditor",J172,0))</f>
        <v/>
      </c>
      <c r="T172">
        <f>IF(P172="Debtor",J172,IF(P172="Creditor",I172,0))</f>
        <v/>
      </c>
      <c r="U172">
        <f>IF(OR(S172=0,B172=""),0,IFERROR(VLOOKUP(C172,'Parties'!$B$13:$Q$112,13,FALSE),0)+SUMIFS($S$7:$S$506,$C$7:$C$506,C172,$B$7:$B$506,"&lt;"&amp;B172)+SUMIFS(S$7:S172,C$7:C172,C172,B$7:B172,B172))</f>
        <v/>
      </c>
      <c r="V172">
        <f>IF(S172=0,0,IFERROR(VLOOKUP(C172,'Parties'!$B$13:$Q$112,14,FALSE),0)+SUMIFS($T$7:$T$506,$C$7:$C$506,C172,$B$7:$B$506,"&lt;="&amp;'Outstanding'!$E$5))</f>
        <v/>
      </c>
      <c r="W172">
        <f>IF(OR('Outstanding'!$E$5="",S172=0,B172="",B172&gt;'Outstanding'!$E$5),0,MAX(0,MIN(S172,U172-V172)))</f>
        <v/>
      </c>
      <c r="X172">
        <f>IF(C172="",0,IFERROR(VLOOKUP(C172,'Parties'!$B$13:$Q$112,15,FALSE),0))</f>
        <v/>
      </c>
      <c r="Y172">
        <f>IF(C172="","",IFERROR(VLOOKUP(C172,'Parties'!$B$13:$Q$112,16,FALSE),0))</f>
        <v/>
      </c>
      <c r="Z172">
        <f>IF(OR(S172=0,B172="",Y172=""),"",IF(AND(F172&lt;&gt;"",D172="Purchase bill"),F172,B172)+Y172)</f>
        <v/>
      </c>
      <c r="AA172">
        <f>IF(OR(W172=0,Z172=""),0,MAX(0,'Outstanding'!$E$5-Z172))</f>
        <v/>
      </c>
      <c r="AB172">
        <f>IF(AND(X172=1,AA172&gt;0),W172*((1+3*N('Parties'!$E$10)/12)^(AA172*12/365)-1),0)</f>
        <v/>
      </c>
      <c r="AC172">
        <f>IF(W172=0,"",'Outstanding'!$E$5-B172)</f>
        <v/>
      </c>
      <c r="AD172">
        <f>IF(S172=0,0,IFERROR(VLOOKUP(C172,'Parties'!$B$13:$Q$112,14,FALSE),0)+SUMIFS($T$7:$T$506,$C$7:$C$506,C172,$B$7:$B$506,"&lt;="&amp;'Parties'!$E$8))</f>
        <v/>
      </c>
      <c r="AE172">
        <f>IF(OR('Parties'!$E$8="",S172=0,B172="",B172&gt;'Parties'!$E$8),0,MAX(0,MIN(S172,U172-AD172)))</f>
        <v/>
      </c>
      <c r="AF172">
        <f>IF(AND(P172="Creditor",X172=1,AE172&gt;0,Z172&lt;&gt;""),IF(Z172&lt;='Parties'!$E$8,AE172,0),0)</f>
        <v/>
      </c>
      <c r="AG172">
        <f>IF(OR(AE172=0,Z172=""),0,MAX(0,'Parties'!$E$8-Z172))</f>
        <v/>
      </c>
      <c r="AH172">
        <f>IF(AND(P172="Creditor",X172=1,AG172&gt;0),AE172*((1+3*N('Parties'!$E$10)/12)^(AG172*12/365)-1),0)</f>
        <v/>
      </c>
      <c r="AI172">
        <f>IF(AND(C172&lt;&gt;"",C172='Ledger Account'!$D$4,B172&lt;&gt;"",B172&gt;='Ledger Account'!$D$5,B172&lt;='Ledger Account'!$D$6),1,0)</f>
        <v/>
      </c>
      <c r="AJ172">
        <f>IF(AI172=1,SUM(AI$7:AI172),"")</f>
        <v/>
      </c>
      <c r="AK172">
        <f>IF(OR(N172="",N172="OK"),0,1)</f>
        <v/>
      </c>
    </row>
    <row r="173">
      <c r="B173" s="24" t="n"/>
      <c r="C173" s="14" t="n"/>
      <c r="D173" s="14" t="n"/>
      <c r="E173" s="20" t="n"/>
      <c r="F173" s="24" t="n"/>
      <c r="G173" s="14" t="n"/>
      <c r="H173" s="22" t="n"/>
      <c r="I173" s="25">
        <f>IF(Q173="D",N(H173),0)</f>
        <v/>
      </c>
      <c r="J173" s="25">
        <f>IF(Q173="C",N(H173),0)</f>
        <v/>
      </c>
      <c r="K173" s="26">
        <f>IF(Z173="","",Z173)</f>
        <v/>
      </c>
      <c r="L173" s="27">
        <f>W173</f>
        <v/>
      </c>
      <c r="M173" s="28">
        <f>AA173</f>
        <v/>
      </c>
      <c r="N173" s="23">
        <f>IF(AND(B173="",C173="",D173="",N(H173)=0),"",IF(B173="","Enter the date",IF(C173="","Pick the party",IF(P173="?","Add this party on the Parties sheet first",IF(D173="","Pick the entry type",IF(Q173="?","Pick the entry type from the list",IF(N(H173)=0,"Enter the amount",IF(AND(R173&lt;&gt;"Any",R173&lt;&gt;P173),"Sales, receipts and credit notes are for debtors; purchases, payments and debit notes for creditors",IF(AND(F173&lt;&gt;"",D173&lt;&gt;"Purchase bill"),"The received-on date is only for purchase bills",IF(AND(P173="Creditor",X173=1,AA173&gt;0),"Past due to a micro or small supplier: interest runs under MSMED s.16, and if unpaid at year end it is not deductible that year, s.37(2)(g)",IF(AND(P173="Debtor",X173=1,AA173&gt;0),"Past due to you: as a micro or small supplier you can claim interest under MSMED s.16","OK")))))))))))</f>
        <v/>
      </c>
      <c r="P173">
        <f>IF(C173="","",IFERROR(VLOOKUP(C173,'Parties'!$B$13:$Q$112,2,FALSE),"?"))</f>
        <v/>
      </c>
      <c r="Q173">
        <f>IF(D173="","",IFERROR(VLOOKUP(D173,Lists!$A$2:$D$9,3,FALSE),"?"))</f>
        <v/>
      </c>
      <c r="R173">
        <f>IF(D173="","",IFERROR(VLOOKUP(D173,Lists!$A$2:$D$9,4,FALSE),"?"))</f>
        <v/>
      </c>
      <c r="S173">
        <f>IF(P173="Debtor",I173,IF(P173="Creditor",J173,0))</f>
        <v/>
      </c>
      <c r="T173">
        <f>IF(P173="Debtor",J173,IF(P173="Creditor",I173,0))</f>
        <v/>
      </c>
      <c r="U173">
        <f>IF(OR(S173=0,B173=""),0,IFERROR(VLOOKUP(C173,'Parties'!$B$13:$Q$112,13,FALSE),0)+SUMIFS($S$7:$S$506,$C$7:$C$506,C173,$B$7:$B$506,"&lt;"&amp;B173)+SUMIFS(S$7:S173,C$7:C173,C173,B$7:B173,B173))</f>
        <v/>
      </c>
      <c r="V173">
        <f>IF(S173=0,0,IFERROR(VLOOKUP(C173,'Parties'!$B$13:$Q$112,14,FALSE),0)+SUMIFS($T$7:$T$506,$C$7:$C$506,C173,$B$7:$B$506,"&lt;="&amp;'Outstanding'!$E$5))</f>
        <v/>
      </c>
      <c r="W173">
        <f>IF(OR('Outstanding'!$E$5="",S173=0,B173="",B173&gt;'Outstanding'!$E$5),0,MAX(0,MIN(S173,U173-V173)))</f>
        <v/>
      </c>
      <c r="X173">
        <f>IF(C173="",0,IFERROR(VLOOKUP(C173,'Parties'!$B$13:$Q$112,15,FALSE),0))</f>
        <v/>
      </c>
      <c r="Y173">
        <f>IF(C173="","",IFERROR(VLOOKUP(C173,'Parties'!$B$13:$Q$112,16,FALSE),0))</f>
        <v/>
      </c>
      <c r="Z173">
        <f>IF(OR(S173=0,B173="",Y173=""),"",IF(AND(F173&lt;&gt;"",D173="Purchase bill"),F173,B173)+Y173)</f>
        <v/>
      </c>
      <c r="AA173">
        <f>IF(OR(W173=0,Z173=""),0,MAX(0,'Outstanding'!$E$5-Z173))</f>
        <v/>
      </c>
      <c r="AB173">
        <f>IF(AND(X173=1,AA173&gt;0),W173*((1+3*N('Parties'!$E$10)/12)^(AA173*12/365)-1),0)</f>
        <v/>
      </c>
      <c r="AC173">
        <f>IF(W173=0,"",'Outstanding'!$E$5-B173)</f>
        <v/>
      </c>
      <c r="AD173">
        <f>IF(S173=0,0,IFERROR(VLOOKUP(C173,'Parties'!$B$13:$Q$112,14,FALSE),0)+SUMIFS($T$7:$T$506,$C$7:$C$506,C173,$B$7:$B$506,"&lt;="&amp;'Parties'!$E$8))</f>
        <v/>
      </c>
      <c r="AE173">
        <f>IF(OR('Parties'!$E$8="",S173=0,B173="",B173&gt;'Parties'!$E$8),0,MAX(0,MIN(S173,U173-AD173)))</f>
        <v/>
      </c>
      <c r="AF173">
        <f>IF(AND(P173="Creditor",X173=1,AE173&gt;0,Z173&lt;&gt;""),IF(Z173&lt;='Parties'!$E$8,AE173,0),0)</f>
        <v/>
      </c>
      <c r="AG173">
        <f>IF(OR(AE173=0,Z173=""),0,MAX(0,'Parties'!$E$8-Z173))</f>
        <v/>
      </c>
      <c r="AH173">
        <f>IF(AND(P173="Creditor",X173=1,AG173&gt;0),AE173*((1+3*N('Parties'!$E$10)/12)^(AG173*12/365)-1),0)</f>
        <v/>
      </c>
      <c r="AI173">
        <f>IF(AND(C173&lt;&gt;"",C173='Ledger Account'!$D$4,B173&lt;&gt;"",B173&gt;='Ledger Account'!$D$5,B173&lt;='Ledger Account'!$D$6),1,0)</f>
        <v/>
      </c>
      <c r="AJ173">
        <f>IF(AI173=1,SUM(AI$7:AI173),"")</f>
        <v/>
      </c>
      <c r="AK173">
        <f>IF(OR(N173="",N173="OK"),0,1)</f>
        <v/>
      </c>
    </row>
    <row r="174">
      <c r="B174" s="24" t="n"/>
      <c r="C174" s="14" t="n"/>
      <c r="D174" s="14" t="n"/>
      <c r="E174" s="20" t="n"/>
      <c r="F174" s="24" t="n"/>
      <c r="G174" s="14" t="n"/>
      <c r="H174" s="22" t="n"/>
      <c r="I174" s="25">
        <f>IF(Q174="D",N(H174),0)</f>
        <v/>
      </c>
      <c r="J174" s="25">
        <f>IF(Q174="C",N(H174),0)</f>
        <v/>
      </c>
      <c r="K174" s="26">
        <f>IF(Z174="","",Z174)</f>
        <v/>
      </c>
      <c r="L174" s="27">
        <f>W174</f>
        <v/>
      </c>
      <c r="M174" s="28">
        <f>AA174</f>
        <v/>
      </c>
      <c r="N174" s="23">
        <f>IF(AND(B174="",C174="",D174="",N(H174)=0),"",IF(B174="","Enter the date",IF(C174="","Pick the party",IF(P174="?","Add this party on the Parties sheet first",IF(D174="","Pick the entry type",IF(Q174="?","Pick the entry type from the list",IF(N(H174)=0,"Enter the amount",IF(AND(R174&lt;&gt;"Any",R174&lt;&gt;P174),"Sales, receipts and credit notes are for debtors; purchases, payments and debit notes for creditors",IF(AND(F174&lt;&gt;"",D174&lt;&gt;"Purchase bill"),"The received-on date is only for purchase bills",IF(AND(P174="Creditor",X174=1,AA174&gt;0),"Past due to a micro or small supplier: interest runs under MSMED s.16, and if unpaid at year end it is not deductible that year, s.37(2)(g)",IF(AND(P174="Debtor",X174=1,AA174&gt;0),"Past due to you: as a micro or small supplier you can claim interest under MSMED s.16","OK")))))))))))</f>
        <v/>
      </c>
      <c r="P174">
        <f>IF(C174="","",IFERROR(VLOOKUP(C174,'Parties'!$B$13:$Q$112,2,FALSE),"?"))</f>
        <v/>
      </c>
      <c r="Q174">
        <f>IF(D174="","",IFERROR(VLOOKUP(D174,Lists!$A$2:$D$9,3,FALSE),"?"))</f>
        <v/>
      </c>
      <c r="R174">
        <f>IF(D174="","",IFERROR(VLOOKUP(D174,Lists!$A$2:$D$9,4,FALSE),"?"))</f>
        <v/>
      </c>
      <c r="S174">
        <f>IF(P174="Debtor",I174,IF(P174="Creditor",J174,0))</f>
        <v/>
      </c>
      <c r="T174">
        <f>IF(P174="Debtor",J174,IF(P174="Creditor",I174,0))</f>
        <v/>
      </c>
      <c r="U174">
        <f>IF(OR(S174=0,B174=""),0,IFERROR(VLOOKUP(C174,'Parties'!$B$13:$Q$112,13,FALSE),0)+SUMIFS($S$7:$S$506,$C$7:$C$506,C174,$B$7:$B$506,"&lt;"&amp;B174)+SUMIFS(S$7:S174,C$7:C174,C174,B$7:B174,B174))</f>
        <v/>
      </c>
      <c r="V174">
        <f>IF(S174=0,0,IFERROR(VLOOKUP(C174,'Parties'!$B$13:$Q$112,14,FALSE),0)+SUMIFS($T$7:$T$506,$C$7:$C$506,C174,$B$7:$B$506,"&lt;="&amp;'Outstanding'!$E$5))</f>
        <v/>
      </c>
      <c r="W174">
        <f>IF(OR('Outstanding'!$E$5="",S174=0,B174="",B174&gt;'Outstanding'!$E$5),0,MAX(0,MIN(S174,U174-V174)))</f>
        <v/>
      </c>
      <c r="X174">
        <f>IF(C174="",0,IFERROR(VLOOKUP(C174,'Parties'!$B$13:$Q$112,15,FALSE),0))</f>
        <v/>
      </c>
      <c r="Y174">
        <f>IF(C174="","",IFERROR(VLOOKUP(C174,'Parties'!$B$13:$Q$112,16,FALSE),0))</f>
        <v/>
      </c>
      <c r="Z174">
        <f>IF(OR(S174=0,B174="",Y174=""),"",IF(AND(F174&lt;&gt;"",D174="Purchase bill"),F174,B174)+Y174)</f>
        <v/>
      </c>
      <c r="AA174">
        <f>IF(OR(W174=0,Z174=""),0,MAX(0,'Outstanding'!$E$5-Z174))</f>
        <v/>
      </c>
      <c r="AB174">
        <f>IF(AND(X174=1,AA174&gt;0),W174*((1+3*N('Parties'!$E$10)/12)^(AA174*12/365)-1),0)</f>
        <v/>
      </c>
      <c r="AC174">
        <f>IF(W174=0,"",'Outstanding'!$E$5-B174)</f>
        <v/>
      </c>
      <c r="AD174">
        <f>IF(S174=0,0,IFERROR(VLOOKUP(C174,'Parties'!$B$13:$Q$112,14,FALSE),0)+SUMIFS($T$7:$T$506,$C$7:$C$506,C174,$B$7:$B$506,"&lt;="&amp;'Parties'!$E$8))</f>
        <v/>
      </c>
      <c r="AE174">
        <f>IF(OR('Parties'!$E$8="",S174=0,B174="",B174&gt;'Parties'!$E$8),0,MAX(0,MIN(S174,U174-AD174)))</f>
        <v/>
      </c>
      <c r="AF174">
        <f>IF(AND(P174="Creditor",X174=1,AE174&gt;0,Z174&lt;&gt;""),IF(Z174&lt;='Parties'!$E$8,AE174,0),0)</f>
        <v/>
      </c>
      <c r="AG174">
        <f>IF(OR(AE174=0,Z174=""),0,MAX(0,'Parties'!$E$8-Z174))</f>
        <v/>
      </c>
      <c r="AH174">
        <f>IF(AND(P174="Creditor",X174=1,AG174&gt;0),AE174*((1+3*N('Parties'!$E$10)/12)^(AG174*12/365)-1),0)</f>
        <v/>
      </c>
      <c r="AI174">
        <f>IF(AND(C174&lt;&gt;"",C174='Ledger Account'!$D$4,B174&lt;&gt;"",B174&gt;='Ledger Account'!$D$5,B174&lt;='Ledger Account'!$D$6),1,0)</f>
        <v/>
      </c>
      <c r="AJ174">
        <f>IF(AI174=1,SUM(AI$7:AI174),"")</f>
        <v/>
      </c>
      <c r="AK174">
        <f>IF(OR(N174="",N174="OK"),0,1)</f>
        <v/>
      </c>
    </row>
    <row r="175">
      <c r="B175" s="24" t="n"/>
      <c r="C175" s="14" t="n"/>
      <c r="D175" s="14" t="n"/>
      <c r="E175" s="20" t="n"/>
      <c r="F175" s="24" t="n"/>
      <c r="G175" s="14" t="n"/>
      <c r="H175" s="22" t="n"/>
      <c r="I175" s="25">
        <f>IF(Q175="D",N(H175),0)</f>
        <v/>
      </c>
      <c r="J175" s="25">
        <f>IF(Q175="C",N(H175),0)</f>
        <v/>
      </c>
      <c r="K175" s="26">
        <f>IF(Z175="","",Z175)</f>
        <v/>
      </c>
      <c r="L175" s="27">
        <f>W175</f>
        <v/>
      </c>
      <c r="M175" s="28">
        <f>AA175</f>
        <v/>
      </c>
      <c r="N175" s="23">
        <f>IF(AND(B175="",C175="",D175="",N(H175)=0),"",IF(B175="","Enter the date",IF(C175="","Pick the party",IF(P175="?","Add this party on the Parties sheet first",IF(D175="","Pick the entry type",IF(Q175="?","Pick the entry type from the list",IF(N(H175)=0,"Enter the amount",IF(AND(R175&lt;&gt;"Any",R175&lt;&gt;P175),"Sales, receipts and credit notes are for debtors; purchases, payments and debit notes for creditors",IF(AND(F175&lt;&gt;"",D175&lt;&gt;"Purchase bill"),"The received-on date is only for purchase bills",IF(AND(P175="Creditor",X175=1,AA175&gt;0),"Past due to a micro or small supplier: interest runs under MSMED s.16, and if unpaid at year end it is not deductible that year, s.37(2)(g)",IF(AND(P175="Debtor",X175=1,AA175&gt;0),"Past due to you: as a micro or small supplier you can claim interest under MSMED s.16","OK")))))))))))</f>
        <v/>
      </c>
      <c r="P175">
        <f>IF(C175="","",IFERROR(VLOOKUP(C175,'Parties'!$B$13:$Q$112,2,FALSE),"?"))</f>
        <v/>
      </c>
      <c r="Q175">
        <f>IF(D175="","",IFERROR(VLOOKUP(D175,Lists!$A$2:$D$9,3,FALSE),"?"))</f>
        <v/>
      </c>
      <c r="R175">
        <f>IF(D175="","",IFERROR(VLOOKUP(D175,Lists!$A$2:$D$9,4,FALSE),"?"))</f>
        <v/>
      </c>
      <c r="S175">
        <f>IF(P175="Debtor",I175,IF(P175="Creditor",J175,0))</f>
        <v/>
      </c>
      <c r="T175">
        <f>IF(P175="Debtor",J175,IF(P175="Creditor",I175,0))</f>
        <v/>
      </c>
      <c r="U175">
        <f>IF(OR(S175=0,B175=""),0,IFERROR(VLOOKUP(C175,'Parties'!$B$13:$Q$112,13,FALSE),0)+SUMIFS($S$7:$S$506,$C$7:$C$506,C175,$B$7:$B$506,"&lt;"&amp;B175)+SUMIFS(S$7:S175,C$7:C175,C175,B$7:B175,B175))</f>
        <v/>
      </c>
      <c r="V175">
        <f>IF(S175=0,0,IFERROR(VLOOKUP(C175,'Parties'!$B$13:$Q$112,14,FALSE),0)+SUMIFS($T$7:$T$506,$C$7:$C$506,C175,$B$7:$B$506,"&lt;="&amp;'Outstanding'!$E$5))</f>
        <v/>
      </c>
      <c r="W175">
        <f>IF(OR('Outstanding'!$E$5="",S175=0,B175="",B175&gt;'Outstanding'!$E$5),0,MAX(0,MIN(S175,U175-V175)))</f>
        <v/>
      </c>
      <c r="X175">
        <f>IF(C175="",0,IFERROR(VLOOKUP(C175,'Parties'!$B$13:$Q$112,15,FALSE),0))</f>
        <v/>
      </c>
      <c r="Y175">
        <f>IF(C175="","",IFERROR(VLOOKUP(C175,'Parties'!$B$13:$Q$112,16,FALSE),0))</f>
        <v/>
      </c>
      <c r="Z175">
        <f>IF(OR(S175=0,B175="",Y175=""),"",IF(AND(F175&lt;&gt;"",D175="Purchase bill"),F175,B175)+Y175)</f>
        <v/>
      </c>
      <c r="AA175">
        <f>IF(OR(W175=0,Z175=""),0,MAX(0,'Outstanding'!$E$5-Z175))</f>
        <v/>
      </c>
      <c r="AB175">
        <f>IF(AND(X175=1,AA175&gt;0),W175*((1+3*N('Parties'!$E$10)/12)^(AA175*12/365)-1),0)</f>
        <v/>
      </c>
      <c r="AC175">
        <f>IF(W175=0,"",'Outstanding'!$E$5-B175)</f>
        <v/>
      </c>
      <c r="AD175">
        <f>IF(S175=0,0,IFERROR(VLOOKUP(C175,'Parties'!$B$13:$Q$112,14,FALSE),0)+SUMIFS($T$7:$T$506,$C$7:$C$506,C175,$B$7:$B$506,"&lt;="&amp;'Parties'!$E$8))</f>
        <v/>
      </c>
      <c r="AE175">
        <f>IF(OR('Parties'!$E$8="",S175=0,B175="",B175&gt;'Parties'!$E$8),0,MAX(0,MIN(S175,U175-AD175)))</f>
        <v/>
      </c>
      <c r="AF175">
        <f>IF(AND(P175="Creditor",X175=1,AE175&gt;0,Z175&lt;&gt;""),IF(Z175&lt;='Parties'!$E$8,AE175,0),0)</f>
        <v/>
      </c>
      <c r="AG175">
        <f>IF(OR(AE175=0,Z175=""),0,MAX(0,'Parties'!$E$8-Z175))</f>
        <v/>
      </c>
      <c r="AH175">
        <f>IF(AND(P175="Creditor",X175=1,AG175&gt;0),AE175*((1+3*N('Parties'!$E$10)/12)^(AG175*12/365)-1),0)</f>
        <v/>
      </c>
      <c r="AI175">
        <f>IF(AND(C175&lt;&gt;"",C175='Ledger Account'!$D$4,B175&lt;&gt;"",B175&gt;='Ledger Account'!$D$5,B175&lt;='Ledger Account'!$D$6),1,0)</f>
        <v/>
      </c>
      <c r="AJ175">
        <f>IF(AI175=1,SUM(AI$7:AI175),"")</f>
        <v/>
      </c>
      <c r="AK175">
        <f>IF(OR(N175="",N175="OK"),0,1)</f>
        <v/>
      </c>
    </row>
    <row r="176">
      <c r="B176" s="24" t="n"/>
      <c r="C176" s="14" t="n"/>
      <c r="D176" s="14" t="n"/>
      <c r="E176" s="20" t="n"/>
      <c r="F176" s="24" t="n"/>
      <c r="G176" s="14" t="n"/>
      <c r="H176" s="22" t="n"/>
      <c r="I176" s="25">
        <f>IF(Q176="D",N(H176),0)</f>
        <v/>
      </c>
      <c r="J176" s="25">
        <f>IF(Q176="C",N(H176),0)</f>
        <v/>
      </c>
      <c r="K176" s="26">
        <f>IF(Z176="","",Z176)</f>
        <v/>
      </c>
      <c r="L176" s="27">
        <f>W176</f>
        <v/>
      </c>
      <c r="M176" s="28">
        <f>AA176</f>
        <v/>
      </c>
      <c r="N176" s="23">
        <f>IF(AND(B176="",C176="",D176="",N(H176)=0),"",IF(B176="","Enter the date",IF(C176="","Pick the party",IF(P176="?","Add this party on the Parties sheet first",IF(D176="","Pick the entry type",IF(Q176="?","Pick the entry type from the list",IF(N(H176)=0,"Enter the amount",IF(AND(R176&lt;&gt;"Any",R176&lt;&gt;P176),"Sales, receipts and credit notes are for debtors; purchases, payments and debit notes for creditors",IF(AND(F176&lt;&gt;"",D176&lt;&gt;"Purchase bill"),"The received-on date is only for purchase bills",IF(AND(P176="Creditor",X176=1,AA176&gt;0),"Past due to a micro or small supplier: interest runs under MSMED s.16, and if unpaid at year end it is not deductible that year, s.37(2)(g)",IF(AND(P176="Debtor",X176=1,AA176&gt;0),"Past due to you: as a micro or small supplier you can claim interest under MSMED s.16","OK")))))))))))</f>
        <v/>
      </c>
      <c r="P176">
        <f>IF(C176="","",IFERROR(VLOOKUP(C176,'Parties'!$B$13:$Q$112,2,FALSE),"?"))</f>
        <v/>
      </c>
      <c r="Q176">
        <f>IF(D176="","",IFERROR(VLOOKUP(D176,Lists!$A$2:$D$9,3,FALSE),"?"))</f>
        <v/>
      </c>
      <c r="R176">
        <f>IF(D176="","",IFERROR(VLOOKUP(D176,Lists!$A$2:$D$9,4,FALSE),"?"))</f>
        <v/>
      </c>
      <c r="S176">
        <f>IF(P176="Debtor",I176,IF(P176="Creditor",J176,0))</f>
        <v/>
      </c>
      <c r="T176">
        <f>IF(P176="Debtor",J176,IF(P176="Creditor",I176,0))</f>
        <v/>
      </c>
      <c r="U176">
        <f>IF(OR(S176=0,B176=""),0,IFERROR(VLOOKUP(C176,'Parties'!$B$13:$Q$112,13,FALSE),0)+SUMIFS($S$7:$S$506,$C$7:$C$506,C176,$B$7:$B$506,"&lt;"&amp;B176)+SUMIFS(S$7:S176,C$7:C176,C176,B$7:B176,B176))</f>
        <v/>
      </c>
      <c r="V176">
        <f>IF(S176=0,0,IFERROR(VLOOKUP(C176,'Parties'!$B$13:$Q$112,14,FALSE),0)+SUMIFS($T$7:$T$506,$C$7:$C$506,C176,$B$7:$B$506,"&lt;="&amp;'Outstanding'!$E$5))</f>
        <v/>
      </c>
      <c r="W176">
        <f>IF(OR('Outstanding'!$E$5="",S176=0,B176="",B176&gt;'Outstanding'!$E$5),0,MAX(0,MIN(S176,U176-V176)))</f>
        <v/>
      </c>
      <c r="X176">
        <f>IF(C176="",0,IFERROR(VLOOKUP(C176,'Parties'!$B$13:$Q$112,15,FALSE),0))</f>
        <v/>
      </c>
      <c r="Y176">
        <f>IF(C176="","",IFERROR(VLOOKUP(C176,'Parties'!$B$13:$Q$112,16,FALSE),0))</f>
        <v/>
      </c>
      <c r="Z176">
        <f>IF(OR(S176=0,B176="",Y176=""),"",IF(AND(F176&lt;&gt;"",D176="Purchase bill"),F176,B176)+Y176)</f>
        <v/>
      </c>
      <c r="AA176">
        <f>IF(OR(W176=0,Z176=""),0,MAX(0,'Outstanding'!$E$5-Z176))</f>
        <v/>
      </c>
      <c r="AB176">
        <f>IF(AND(X176=1,AA176&gt;0),W176*((1+3*N('Parties'!$E$10)/12)^(AA176*12/365)-1),0)</f>
        <v/>
      </c>
      <c r="AC176">
        <f>IF(W176=0,"",'Outstanding'!$E$5-B176)</f>
        <v/>
      </c>
      <c r="AD176">
        <f>IF(S176=0,0,IFERROR(VLOOKUP(C176,'Parties'!$B$13:$Q$112,14,FALSE),0)+SUMIFS($T$7:$T$506,$C$7:$C$506,C176,$B$7:$B$506,"&lt;="&amp;'Parties'!$E$8))</f>
        <v/>
      </c>
      <c r="AE176">
        <f>IF(OR('Parties'!$E$8="",S176=0,B176="",B176&gt;'Parties'!$E$8),0,MAX(0,MIN(S176,U176-AD176)))</f>
        <v/>
      </c>
      <c r="AF176">
        <f>IF(AND(P176="Creditor",X176=1,AE176&gt;0,Z176&lt;&gt;""),IF(Z176&lt;='Parties'!$E$8,AE176,0),0)</f>
        <v/>
      </c>
      <c r="AG176">
        <f>IF(OR(AE176=0,Z176=""),0,MAX(0,'Parties'!$E$8-Z176))</f>
        <v/>
      </c>
      <c r="AH176">
        <f>IF(AND(P176="Creditor",X176=1,AG176&gt;0),AE176*((1+3*N('Parties'!$E$10)/12)^(AG176*12/365)-1),0)</f>
        <v/>
      </c>
      <c r="AI176">
        <f>IF(AND(C176&lt;&gt;"",C176='Ledger Account'!$D$4,B176&lt;&gt;"",B176&gt;='Ledger Account'!$D$5,B176&lt;='Ledger Account'!$D$6),1,0)</f>
        <v/>
      </c>
      <c r="AJ176">
        <f>IF(AI176=1,SUM(AI$7:AI176),"")</f>
        <v/>
      </c>
      <c r="AK176">
        <f>IF(OR(N176="",N176="OK"),0,1)</f>
        <v/>
      </c>
    </row>
    <row r="177">
      <c r="B177" s="24" t="n"/>
      <c r="C177" s="14" t="n"/>
      <c r="D177" s="14" t="n"/>
      <c r="E177" s="20" t="n"/>
      <c r="F177" s="24" t="n"/>
      <c r="G177" s="14" t="n"/>
      <c r="H177" s="22" t="n"/>
      <c r="I177" s="25">
        <f>IF(Q177="D",N(H177),0)</f>
        <v/>
      </c>
      <c r="J177" s="25">
        <f>IF(Q177="C",N(H177),0)</f>
        <v/>
      </c>
      <c r="K177" s="26">
        <f>IF(Z177="","",Z177)</f>
        <v/>
      </c>
      <c r="L177" s="27">
        <f>W177</f>
        <v/>
      </c>
      <c r="M177" s="28">
        <f>AA177</f>
        <v/>
      </c>
      <c r="N177" s="23">
        <f>IF(AND(B177="",C177="",D177="",N(H177)=0),"",IF(B177="","Enter the date",IF(C177="","Pick the party",IF(P177="?","Add this party on the Parties sheet first",IF(D177="","Pick the entry type",IF(Q177="?","Pick the entry type from the list",IF(N(H177)=0,"Enter the amount",IF(AND(R177&lt;&gt;"Any",R177&lt;&gt;P177),"Sales, receipts and credit notes are for debtors; purchases, payments and debit notes for creditors",IF(AND(F177&lt;&gt;"",D177&lt;&gt;"Purchase bill"),"The received-on date is only for purchase bills",IF(AND(P177="Creditor",X177=1,AA177&gt;0),"Past due to a micro or small supplier: interest runs under MSMED s.16, and if unpaid at year end it is not deductible that year, s.37(2)(g)",IF(AND(P177="Debtor",X177=1,AA177&gt;0),"Past due to you: as a micro or small supplier you can claim interest under MSMED s.16","OK")))))))))))</f>
        <v/>
      </c>
      <c r="P177">
        <f>IF(C177="","",IFERROR(VLOOKUP(C177,'Parties'!$B$13:$Q$112,2,FALSE),"?"))</f>
        <v/>
      </c>
      <c r="Q177">
        <f>IF(D177="","",IFERROR(VLOOKUP(D177,Lists!$A$2:$D$9,3,FALSE),"?"))</f>
        <v/>
      </c>
      <c r="R177">
        <f>IF(D177="","",IFERROR(VLOOKUP(D177,Lists!$A$2:$D$9,4,FALSE),"?"))</f>
        <v/>
      </c>
      <c r="S177">
        <f>IF(P177="Debtor",I177,IF(P177="Creditor",J177,0))</f>
        <v/>
      </c>
      <c r="T177">
        <f>IF(P177="Debtor",J177,IF(P177="Creditor",I177,0))</f>
        <v/>
      </c>
      <c r="U177">
        <f>IF(OR(S177=0,B177=""),0,IFERROR(VLOOKUP(C177,'Parties'!$B$13:$Q$112,13,FALSE),0)+SUMIFS($S$7:$S$506,$C$7:$C$506,C177,$B$7:$B$506,"&lt;"&amp;B177)+SUMIFS(S$7:S177,C$7:C177,C177,B$7:B177,B177))</f>
        <v/>
      </c>
      <c r="V177">
        <f>IF(S177=0,0,IFERROR(VLOOKUP(C177,'Parties'!$B$13:$Q$112,14,FALSE),0)+SUMIFS($T$7:$T$506,$C$7:$C$506,C177,$B$7:$B$506,"&lt;="&amp;'Outstanding'!$E$5))</f>
        <v/>
      </c>
      <c r="W177">
        <f>IF(OR('Outstanding'!$E$5="",S177=0,B177="",B177&gt;'Outstanding'!$E$5),0,MAX(0,MIN(S177,U177-V177)))</f>
        <v/>
      </c>
      <c r="X177">
        <f>IF(C177="",0,IFERROR(VLOOKUP(C177,'Parties'!$B$13:$Q$112,15,FALSE),0))</f>
        <v/>
      </c>
      <c r="Y177">
        <f>IF(C177="","",IFERROR(VLOOKUP(C177,'Parties'!$B$13:$Q$112,16,FALSE),0))</f>
        <v/>
      </c>
      <c r="Z177">
        <f>IF(OR(S177=0,B177="",Y177=""),"",IF(AND(F177&lt;&gt;"",D177="Purchase bill"),F177,B177)+Y177)</f>
        <v/>
      </c>
      <c r="AA177">
        <f>IF(OR(W177=0,Z177=""),0,MAX(0,'Outstanding'!$E$5-Z177))</f>
        <v/>
      </c>
      <c r="AB177">
        <f>IF(AND(X177=1,AA177&gt;0),W177*((1+3*N('Parties'!$E$10)/12)^(AA177*12/365)-1),0)</f>
        <v/>
      </c>
      <c r="AC177">
        <f>IF(W177=0,"",'Outstanding'!$E$5-B177)</f>
        <v/>
      </c>
      <c r="AD177">
        <f>IF(S177=0,0,IFERROR(VLOOKUP(C177,'Parties'!$B$13:$Q$112,14,FALSE),0)+SUMIFS($T$7:$T$506,$C$7:$C$506,C177,$B$7:$B$506,"&lt;="&amp;'Parties'!$E$8))</f>
        <v/>
      </c>
      <c r="AE177">
        <f>IF(OR('Parties'!$E$8="",S177=0,B177="",B177&gt;'Parties'!$E$8),0,MAX(0,MIN(S177,U177-AD177)))</f>
        <v/>
      </c>
      <c r="AF177">
        <f>IF(AND(P177="Creditor",X177=1,AE177&gt;0,Z177&lt;&gt;""),IF(Z177&lt;='Parties'!$E$8,AE177,0),0)</f>
        <v/>
      </c>
      <c r="AG177">
        <f>IF(OR(AE177=0,Z177=""),0,MAX(0,'Parties'!$E$8-Z177))</f>
        <v/>
      </c>
      <c r="AH177">
        <f>IF(AND(P177="Creditor",X177=1,AG177&gt;0),AE177*((1+3*N('Parties'!$E$10)/12)^(AG177*12/365)-1),0)</f>
        <v/>
      </c>
      <c r="AI177">
        <f>IF(AND(C177&lt;&gt;"",C177='Ledger Account'!$D$4,B177&lt;&gt;"",B177&gt;='Ledger Account'!$D$5,B177&lt;='Ledger Account'!$D$6),1,0)</f>
        <v/>
      </c>
      <c r="AJ177">
        <f>IF(AI177=1,SUM(AI$7:AI177),"")</f>
        <v/>
      </c>
      <c r="AK177">
        <f>IF(OR(N177="",N177="OK"),0,1)</f>
        <v/>
      </c>
    </row>
    <row r="178">
      <c r="B178" s="24" t="n"/>
      <c r="C178" s="14" t="n"/>
      <c r="D178" s="14" t="n"/>
      <c r="E178" s="20" t="n"/>
      <c r="F178" s="24" t="n"/>
      <c r="G178" s="14" t="n"/>
      <c r="H178" s="22" t="n"/>
      <c r="I178" s="25">
        <f>IF(Q178="D",N(H178),0)</f>
        <v/>
      </c>
      <c r="J178" s="25">
        <f>IF(Q178="C",N(H178),0)</f>
        <v/>
      </c>
      <c r="K178" s="26">
        <f>IF(Z178="","",Z178)</f>
        <v/>
      </c>
      <c r="L178" s="27">
        <f>W178</f>
        <v/>
      </c>
      <c r="M178" s="28">
        <f>AA178</f>
        <v/>
      </c>
      <c r="N178" s="23">
        <f>IF(AND(B178="",C178="",D178="",N(H178)=0),"",IF(B178="","Enter the date",IF(C178="","Pick the party",IF(P178="?","Add this party on the Parties sheet first",IF(D178="","Pick the entry type",IF(Q178="?","Pick the entry type from the list",IF(N(H178)=0,"Enter the amount",IF(AND(R178&lt;&gt;"Any",R178&lt;&gt;P178),"Sales, receipts and credit notes are for debtors; purchases, payments and debit notes for creditors",IF(AND(F178&lt;&gt;"",D178&lt;&gt;"Purchase bill"),"The received-on date is only for purchase bills",IF(AND(P178="Creditor",X178=1,AA178&gt;0),"Past due to a micro or small supplier: interest runs under MSMED s.16, and if unpaid at year end it is not deductible that year, s.37(2)(g)",IF(AND(P178="Debtor",X178=1,AA178&gt;0),"Past due to you: as a micro or small supplier you can claim interest under MSMED s.16","OK")))))))))))</f>
        <v/>
      </c>
      <c r="P178">
        <f>IF(C178="","",IFERROR(VLOOKUP(C178,'Parties'!$B$13:$Q$112,2,FALSE),"?"))</f>
        <v/>
      </c>
      <c r="Q178">
        <f>IF(D178="","",IFERROR(VLOOKUP(D178,Lists!$A$2:$D$9,3,FALSE),"?"))</f>
        <v/>
      </c>
      <c r="R178">
        <f>IF(D178="","",IFERROR(VLOOKUP(D178,Lists!$A$2:$D$9,4,FALSE),"?"))</f>
        <v/>
      </c>
      <c r="S178">
        <f>IF(P178="Debtor",I178,IF(P178="Creditor",J178,0))</f>
        <v/>
      </c>
      <c r="T178">
        <f>IF(P178="Debtor",J178,IF(P178="Creditor",I178,0))</f>
        <v/>
      </c>
      <c r="U178">
        <f>IF(OR(S178=0,B178=""),0,IFERROR(VLOOKUP(C178,'Parties'!$B$13:$Q$112,13,FALSE),0)+SUMIFS($S$7:$S$506,$C$7:$C$506,C178,$B$7:$B$506,"&lt;"&amp;B178)+SUMIFS(S$7:S178,C$7:C178,C178,B$7:B178,B178))</f>
        <v/>
      </c>
      <c r="V178">
        <f>IF(S178=0,0,IFERROR(VLOOKUP(C178,'Parties'!$B$13:$Q$112,14,FALSE),0)+SUMIFS($T$7:$T$506,$C$7:$C$506,C178,$B$7:$B$506,"&lt;="&amp;'Outstanding'!$E$5))</f>
        <v/>
      </c>
      <c r="W178">
        <f>IF(OR('Outstanding'!$E$5="",S178=0,B178="",B178&gt;'Outstanding'!$E$5),0,MAX(0,MIN(S178,U178-V178)))</f>
        <v/>
      </c>
      <c r="X178">
        <f>IF(C178="",0,IFERROR(VLOOKUP(C178,'Parties'!$B$13:$Q$112,15,FALSE),0))</f>
        <v/>
      </c>
      <c r="Y178">
        <f>IF(C178="","",IFERROR(VLOOKUP(C178,'Parties'!$B$13:$Q$112,16,FALSE),0))</f>
        <v/>
      </c>
      <c r="Z178">
        <f>IF(OR(S178=0,B178="",Y178=""),"",IF(AND(F178&lt;&gt;"",D178="Purchase bill"),F178,B178)+Y178)</f>
        <v/>
      </c>
      <c r="AA178">
        <f>IF(OR(W178=0,Z178=""),0,MAX(0,'Outstanding'!$E$5-Z178))</f>
        <v/>
      </c>
      <c r="AB178">
        <f>IF(AND(X178=1,AA178&gt;0),W178*((1+3*N('Parties'!$E$10)/12)^(AA178*12/365)-1),0)</f>
        <v/>
      </c>
      <c r="AC178">
        <f>IF(W178=0,"",'Outstanding'!$E$5-B178)</f>
        <v/>
      </c>
      <c r="AD178">
        <f>IF(S178=0,0,IFERROR(VLOOKUP(C178,'Parties'!$B$13:$Q$112,14,FALSE),0)+SUMIFS($T$7:$T$506,$C$7:$C$506,C178,$B$7:$B$506,"&lt;="&amp;'Parties'!$E$8))</f>
        <v/>
      </c>
      <c r="AE178">
        <f>IF(OR('Parties'!$E$8="",S178=0,B178="",B178&gt;'Parties'!$E$8),0,MAX(0,MIN(S178,U178-AD178)))</f>
        <v/>
      </c>
      <c r="AF178">
        <f>IF(AND(P178="Creditor",X178=1,AE178&gt;0,Z178&lt;&gt;""),IF(Z178&lt;='Parties'!$E$8,AE178,0),0)</f>
        <v/>
      </c>
      <c r="AG178">
        <f>IF(OR(AE178=0,Z178=""),0,MAX(0,'Parties'!$E$8-Z178))</f>
        <v/>
      </c>
      <c r="AH178">
        <f>IF(AND(P178="Creditor",X178=1,AG178&gt;0),AE178*((1+3*N('Parties'!$E$10)/12)^(AG178*12/365)-1),0)</f>
        <v/>
      </c>
      <c r="AI178">
        <f>IF(AND(C178&lt;&gt;"",C178='Ledger Account'!$D$4,B178&lt;&gt;"",B178&gt;='Ledger Account'!$D$5,B178&lt;='Ledger Account'!$D$6),1,0)</f>
        <v/>
      </c>
      <c r="AJ178">
        <f>IF(AI178=1,SUM(AI$7:AI178),"")</f>
        <v/>
      </c>
      <c r="AK178">
        <f>IF(OR(N178="",N178="OK"),0,1)</f>
        <v/>
      </c>
    </row>
    <row r="179">
      <c r="B179" s="24" t="n"/>
      <c r="C179" s="14" t="n"/>
      <c r="D179" s="14" t="n"/>
      <c r="E179" s="20" t="n"/>
      <c r="F179" s="24" t="n"/>
      <c r="G179" s="14" t="n"/>
      <c r="H179" s="22" t="n"/>
      <c r="I179" s="25">
        <f>IF(Q179="D",N(H179),0)</f>
        <v/>
      </c>
      <c r="J179" s="25">
        <f>IF(Q179="C",N(H179),0)</f>
        <v/>
      </c>
      <c r="K179" s="26">
        <f>IF(Z179="","",Z179)</f>
        <v/>
      </c>
      <c r="L179" s="27">
        <f>W179</f>
        <v/>
      </c>
      <c r="M179" s="28">
        <f>AA179</f>
        <v/>
      </c>
      <c r="N179" s="23">
        <f>IF(AND(B179="",C179="",D179="",N(H179)=0),"",IF(B179="","Enter the date",IF(C179="","Pick the party",IF(P179="?","Add this party on the Parties sheet first",IF(D179="","Pick the entry type",IF(Q179="?","Pick the entry type from the list",IF(N(H179)=0,"Enter the amount",IF(AND(R179&lt;&gt;"Any",R179&lt;&gt;P179),"Sales, receipts and credit notes are for debtors; purchases, payments and debit notes for creditors",IF(AND(F179&lt;&gt;"",D179&lt;&gt;"Purchase bill"),"The received-on date is only for purchase bills",IF(AND(P179="Creditor",X179=1,AA179&gt;0),"Past due to a micro or small supplier: interest runs under MSMED s.16, and if unpaid at year end it is not deductible that year, s.37(2)(g)",IF(AND(P179="Debtor",X179=1,AA179&gt;0),"Past due to you: as a micro or small supplier you can claim interest under MSMED s.16","OK")))))))))))</f>
        <v/>
      </c>
      <c r="P179">
        <f>IF(C179="","",IFERROR(VLOOKUP(C179,'Parties'!$B$13:$Q$112,2,FALSE),"?"))</f>
        <v/>
      </c>
      <c r="Q179">
        <f>IF(D179="","",IFERROR(VLOOKUP(D179,Lists!$A$2:$D$9,3,FALSE),"?"))</f>
        <v/>
      </c>
      <c r="R179">
        <f>IF(D179="","",IFERROR(VLOOKUP(D179,Lists!$A$2:$D$9,4,FALSE),"?"))</f>
        <v/>
      </c>
      <c r="S179">
        <f>IF(P179="Debtor",I179,IF(P179="Creditor",J179,0))</f>
        <v/>
      </c>
      <c r="T179">
        <f>IF(P179="Debtor",J179,IF(P179="Creditor",I179,0))</f>
        <v/>
      </c>
      <c r="U179">
        <f>IF(OR(S179=0,B179=""),0,IFERROR(VLOOKUP(C179,'Parties'!$B$13:$Q$112,13,FALSE),0)+SUMIFS($S$7:$S$506,$C$7:$C$506,C179,$B$7:$B$506,"&lt;"&amp;B179)+SUMIFS(S$7:S179,C$7:C179,C179,B$7:B179,B179))</f>
        <v/>
      </c>
      <c r="V179">
        <f>IF(S179=0,0,IFERROR(VLOOKUP(C179,'Parties'!$B$13:$Q$112,14,FALSE),0)+SUMIFS($T$7:$T$506,$C$7:$C$506,C179,$B$7:$B$506,"&lt;="&amp;'Outstanding'!$E$5))</f>
        <v/>
      </c>
      <c r="W179">
        <f>IF(OR('Outstanding'!$E$5="",S179=0,B179="",B179&gt;'Outstanding'!$E$5),0,MAX(0,MIN(S179,U179-V179)))</f>
        <v/>
      </c>
      <c r="X179">
        <f>IF(C179="",0,IFERROR(VLOOKUP(C179,'Parties'!$B$13:$Q$112,15,FALSE),0))</f>
        <v/>
      </c>
      <c r="Y179">
        <f>IF(C179="","",IFERROR(VLOOKUP(C179,'Parties'!$B$13:$Q$112,16,FALSE),0))</f>
        <v/>
      </c>
      <c r="Z179">
        <f>IF(OR(S179=0,B179="",Y179=""),"",IF(AND(F179&lt;&gt;"",D179="Purchase bill"),F179,B179)+Y179)</f>
        <v/>
      </c>
      <c r="AA179">
        <f>IF(OR(W179=0,Z179=""),0,MAX(0,'Outstanding'!$E$5-Z179))</f>
        <v/>
      </c>
      <c r="AB179">
        <f>IF(AND(X179=1,AA179&gt;0),W179*((1+3*N('Parties'!$E$10)/12)^(AA179*12/365)-1),0)</f>
        <v/>
      </c>
      <c r="AC179">
        <f>IF(W179=0,"",'Outstanding'!$E$5-B179)</f>
        <v/>
      </c>
      <c r="AD179">
        <f>IF(S179=0,0,IFERROR(VLOOKUP(C179,'Parties'!$B$13:$Q$112,14,FALSE),0)+SUMIFS($T$7:$T$506,$C$7:$C$506,C179,$B$7:$B$506,"&lt;="&amp;'Parties'!$E$8))</f>
        <v/>
      </c>
      <c r="AE179">
        <f>IF(OR('Parties'!$E$8="",S179=0,B179="",B179&gt;'Parties'!$E$8),0,MAX(0,MIN(S179,U179-AD179)))</f>
        <v/>
      </c>
      <c r="AF179">
        <f>IF(AND(P179="Creditor",X179=1,AE179&gt;0,Z179&lt;&gt;""),IF(Z179&lt;='Parties'!$E$8,AE179,0),0)</f>
        <v/>
      </c>
      <c r="AG179">
        <f>IF(OR(AE179=0,Z179=""),0,MAX(0,'Parties'!$E$8-Z179))</f>
        <v/>
      </c>
      <c r="AH179">
        <f>IF(AND(P179="Creditor",X179=1,AG179&gt;0),AE179*((1+3*N('Parties'!$E$10)/12)^(AG179*12/365)-1),0)</f>
        <v/>
      </c>
      <c r="AI179">
        <f>IF(AND(C179&lt;&gt;"",C179='Ledger Account'!$D$4,B179&lt;&gt;"",B179&gt;='Ledger Account'!$D$5,B179&lt;='Ledger Account'!$D$6),1,0)</f>
        <v/>
      </c>
      <c r="AJ179">
        <f>IF(AI179=1,SUM(AI$7:AI179),"")</f>
        <v/>
      </c>
      <c r="AK179">
        <f>IF(OR(N179="",N179="OK"),0,1)</f>
        <v/>
      </c>
    </row>
    <row r="180">
      <c r="B180" s="24" t="n"/>
      <c r="C180" s="14" t="n"/>
      <c r="D180" s="14" t="n"/>
      <c r="E180" s="20" t="n"/>
      <c r="F180" s="24" t="n"/>
      <c r="G180" s="14" t="n"/>
      <c r="H180" s="22" t="n"/>
      <c r="I180" s="25">
        <f>IF(Q180="D",N(H180),0)</f>
        <v/>
      </c>
      <c r="J180" s="25">
        <f>IF(Q180="C",N(H180),0)</f>
        <v/>
      </c>
      <c r="K180" s="26">
        <f>IF(Z180="","",Z180)</f>
        <v/>
      </c>
      <c r="L180" s="27">
        <f>W180</f>
        <v/>
      </c>
      <c r="M180" s="28">
        <f>AA180</f>
        <v/>
      </c>
      <c r="N180" s="23">
        <f>IF(AND(B180="",C180="",D180="",N(H180)=0),"",IF(B180="","Enter the date",IF(C180="","Pick the party",IF(P180="?","Add this party on the Parties sheet first",IF(D180="","Pick the entry type",IF(Q180="?","Pick the entry type from the list",IF(N(H180)=0,"Enter the amount",IF(AND(R180&lt;&gt;"Any",R180&lt;&gt;P180),"Sales, receipts and credit notes are for debtors; purchases, payments and debit notes for creditors",IF(AND(F180&lt;&gt;"",D180&lt;&gt;"Purchase bill"),"The received-on date is only for purchase bills",IF(AND(P180="Creditor",X180=1,AA180&gt;0),"Past due to a micro or small supplier: interest runs under MSMED s.16, and if unpaid at year end it is not deductible that year, s.37(2)(g)",IF(AND(P180="Debtor",X180=1,AA180&gt;0),"Past due to you: as a micro or small supplier you can claim interest under MSMED s.16","OK")))))))))))</f>
        <v/>
      </c>
      <c r="P180">
        <f>IF(C180="","",IFERROR(VLOOKUP(C180,'Parties'!$B$13:$Q$112,2,FALSE),"?"))</f>
        <v/>
      </c>
      <c r="Q180">
        <f>IF(D180="","",IFERROR(VLOOKUP(D180,Lists!$A$2:$D$9,3,FALSE),"?"))</f>
        <v/>
      </c>
      <c r="R180">
        <f>IF(D180="","",IFERROR(VLOOKUP(D180,Lists!$A$2:$D$9,4,FALSE),"?"))</f>
        <v/>
      </c>
      <c r="S180">
        <f>IF(P180="Debtor",I180,IF(P180="Creditor",J180,0))</f>
        <v/>
      </c>
      <c r="T180">
        <f>IF(P180="Debtor",J180,IF(P180="Creditor",I180,0))</f>
        <v/>
      </c>
      <c r="U180">
        <f>IF(OR(S180=0,B180=""),0,IFERROR(VLOOKUP(C180,'Parties'!$B$13:$Q$112,13,FALSE),0)+SUMIFS($S$7:$S$506,$C$7:$C$506,C180,$B$7:$B$506,"&lt;"&amp;B180)+SUMIFS(S$7:S180,C$7:C180,C180,B$7:B180,B180))</f>
        <v/>
      </c>
      <c r="V180">
        <f>IF(S180=0,0,IFERROR(VLOOKUP(C180,'Parties'!$B$13:$Q$112,14,FALSE),0)+SUMIFS($T$7:$T$506,$C$7:$C$506,C180,$B$7:$B$506,"&lt;="&amp;'Outstanding'!$E$5))</f>
        <v/>
      </c>
      <c r="W180">
        <f>IF(OR('Outstanding'!$E$5="",S180=0,B180="",B180&gt;'Outstanding'!$E$5),0,MAX(0,MIN(S180,U180-V180)))</f>
        <v/>
      </c>
      <c r="X180">
        <f>IF(C180="",0,IFERROR(VLOOKUP(C180,'Parties'!$B$13:$Q$112,15,FALSE),0))</f>
        <v/>
      </c>
      <c r="Y180">
        <f>IF(C180="","",IFERROR(VLOOKUP(C180,'Parties'!$B$13:$Q$112,16,FALSE),0))</f>
        <v/>
      </c>
      <c r="Z180">
        <f>IF(OR(S180=0,B180="",Y180=""),"",IF(AND(F180&lt;&gt;"",D180="Purchase bill"),F180,B180)+Y180)</f>
        <v/>
      </c>
      <c r="AA180">
        <f>IF(OR(W180=0,Z180=""),0,MAX(0,'Outstanding'!$E$5-Z180))</f>
        <v/>
      </c>
      <c r="AB180">
        <f>IF(AND(X180=1,AA180&gt;0),W180*((1+3*N('Parties'!$E$10)/12)^(AA180*12/365)-1),0)</f>
        <v/>
      </c>
      <c r="AC180">
        <f>IF(W180=0,"",'Outstanding'!$E$5-B180)</f>
        <v/>
      </c>
      <c r="AD180">
        <f>IF(S180=0,0,IFERROR(VLOOKUP(C180,'Parties'!$B$13:$Q$112,14,FALSE),0)+SUMIFS($T$7:$T$506,$C$7:$C$506,C180,$B$7:$B$506,"&lt;="&amp;'Parties'!$E$8))</f>
        <v/>
      </c>
      <c r="AE180">
        <f>IF(OR('Parties'!$E$8="",S180=0,B180="",B180&gt;'Parties'!$E$8),0,MAX(0,MIN(S180,U180-AD180)))</f>
        <v/>
      </c>
      <c r="AF180">
        <f>IF(AND(P180="Creditor",X180=1,AE180&gt;0,Z180&lt;&gt;""),IF(Z180&lt;='Parties'!$E$8,AE180,0),0)</f>
        <v/>
      </c>
      <c r="AG180">
        <f>IF(OR(AE180=0,Z180=""),0,MAX(0,'Parties'!$E$8-Z180))</f>
        <v/>
      </c>
      <c r="AH180">
        <f>IF(AND(P180="Creditor",X180=1,AG180&gt;0),AE180*((1+3*N('Parties'!$E$10)/12)^(AG180*12/365)-1),0)</f>
        <v/>
      </c>
      <c r="AI180">
        <f>IF(AND(C180&lt;&gt;"",C180='Ledger Account'!$D$4,B180&lt;&gt;"",B180&gt;='Ledger Account'!$D$5,B180&lt;='Ledger Account'!$D$6),1,0)</f>
        <v/>
      </c>
      <c r="AJ180">
        <f>IF(AI180=1,SUM(AI$7:AI180),"")</f>
        <v/>
      </c>
      <c r="AK180">
        <f>IF(OR(N180="",N180="OK"),0,1)</f>
        <v/>
      </c>
    </row>
    <row r="181">
      <c r="B181" s="24" t="n"/>
      <c r="C181" s="14" t="n"/>
      <c r="D181" s="14" t="n"/>
      <c r="E181" s="20" t="n"/>
      <c r="F181" s="24" t="n"/>
      <c r="G181" s="14" t="n"/>
      <c r="H181" s="22" t="n"/>
      <c r="I181" s="25">
        <f>IF(Q181="D",N(H181),0)</f>
        <v/>
      </c>
      <c r="J181" s="25">
        <f>IF(Q181="C",N(H181),0)</f>
        <v/>
      </c>
      <c r="K181" s="26">
        <f>IF(Z181="","",Z181)</f>
        <v/>
      </c>
      <c r="L181" s="27">
        <f>W181</f>
        <v/>
      </c>
      <c r="M181" s="28">
        <f>AA181</f>
        <v/>
      </c>
      <c r="N181" s="23">
        <f>IF(AND(B181="",C181="",D181="",N(H181)=0),"",IF(B181="","Enter the date",IF(C181="","Pick the party",IF(P181="?","Add this party on the Parties sheet first",IF(D181="","Pick the entry type",IF(Q181="?","Pick the entry type from the list",IF(N(H181)=0,"Enter the amount",IF(AND(R181&lt;&gt;"Any",R181&lt;&gt;P181),"Sales, receipts and credit notes are for debtors; purchases, payments and debit notes for creditors",IF(AND(F181&lt;&gt;"",D181&lt;&gt;"Purchase bill"),"The received-on date is only for purchase bills",IF(AND(P181="Creditor",X181=1,AA181&gt;0),"Past due to a micro or small supplier: interest runs under MSMED s.16, and if unpaid at year end it is not deductible that year, s.37(2)(g)",IF(AND(P181="Debtor",X181=1,AA181&gt;0),"Past due to you: as a micro or small supplier you can claim interest under MSMED s.16","OK")))))))))))</f>
        <v/>
      </c>
      <c r="P181">
        <f>IF(C181="","",IFERROR(VLOOKUP(C181,'Parties'!$B$13:$Q$112,2,FALSE),"?"))</f>
        <v/>
      </c>
      <c r="Q181">
        <f>IF(D181="","",IFERROR(VLOOKUP(D181,Lists!$A$2:$D$9,3,FALSE),"?"))</f>
        <v/>
      </c>
      <c r="R181">
        <f>IF(D181="","",IFERROR(VLOOKUP(D181,Lists!$A$2:$D$9,4,FALSE),"?"))</f>
        <v/>
      </c>
      <c r="S181">
        <f>IF(P181="Debtor",I181,IF(P181="Creditor",J181,0))</f>
        <v/>
      </c>
      <c r="T181">
        <f>IF(P181="Debtor",J181,IF(P181="Creditor",I181,0))</f>
        <v/>
      </c>
      <c r="U181">
        <f>IF(OR(S181=0,B181=""),0,IFERROR(VLOOKUP(C181,'Parties'!$B$13:$Q$112,13,FALSE),0)+SUMIFS($S$7:$S$506,$C$7:$C$506,C181,$B$7:$B$506,"&lt;"&amp;B181)+SUMIFS(S$7:S181,C$7:C181,C181,B$7:B181,B181))</f>
        <v/>
      </c>
      <c r="V181">
        <f>IF(S181=0,0,IFERROR(VLOOKUP(C181,'Parties'!$B$13:$Q$112,14,FALSE),0)+SUMIFS($T$7:$T$506,$C$7:$C$506,C181,$B$7:$B$506,"&lt;="&amp;'Outstanding'!$E$5))</f>
        <v/>
      </c>
      <c r="W181">
        <f>IF(OR('Outstanding'!$E$5="",S181=0,B181="",B181&gt;'Outstanding'!$E$5),0,MAX(0,MIN(S181,U181-V181)))</f>
        <v/>
      </c>
      <c r="X181">
        <f>IF(C181="",0,IFERROR(VLOOKUP(C181,'Parties'!$B$13:$Q$112,15,FALSE),0))</f>
        <v/>
      </c>
      <c r="Y181">
        <f>IF(C181="","",IFERROR(VLOOKUP(C181,'Parties'!$B$13:$Q$112,16,FALSE),0))</f>
        <v/>
      </c>
      <c r="Z181">
        <f>IF(OR(S181=0,B181="",Y181=""),"",IF(AND(F181&lt;&gt;"",D181="Purchase bill"),F181,B181)+Y181)</f>
        <v/>
      </c>
      <c r="AA181">
        <f>IF(OR(W181=0,Z181=""),0,MAX(0,'Outstanding'!$E$5-Z181))</f>
        <v/>
      </c>
      <c r="AB181">
        <f>IF(AND(X181=1,AA181&gt;0),W181*((1+3*N('Parties'!$E$10)/12)^(AA181*12/365)-1),0)</f>
        <v/>
      </c>
      <c r="AC181">
        <f>IF(W181=0,"",'Outstanding'!$E$5-B181)</f>
        <v/>
      </c>
      <c r="AD181">
        <f>IF(S181=0,0,IFERROR(VLOOKUP(C181,'Parties'!$B$13:$Q$112,14,FALSE),0)+SUMIFS($T$7:$T$506,$C$7:$C$506,C181,$B$7:$B$506,"&lt;="&amp;'Parties'!$E$8))</f>
        <v/>
      </c>
      <c r="AE181">
        <f>IF(OR('Parties'!$E$8="",S181=0,B181="",B181&gt;'Parties'!$E$8),0,MAX(0,MIN(S181,U181-AD181)))</f>
        <v/>
      </c>
      <c r="AF181">
        <f>IF(AND(P181="Creditor",X181=1,AE181&gt;0,Z181&lt;&gt;""),IF(Z181&lt;='Parties'!$E$8,AE181,0),0)</f>
        <v/>
      </c>
      <c r="AG181">
        <f>IF(OR(AE181=0,Z181=""),0,MAX(0,'Parties'!$E$8-Z181))</f>
        <v/>
      </c>
      <c r="AH181">
        <f>IF(AND(P181="Creditor",X181=1,AG181&gt;0),AE181*((1+3*N('Parties'!$E$10)/12)^(AG181*12/365)-1),0)</f>
        <v/>
      </c>
      <c r="AI181">
        <f>IF(AND(C181&lt;&gt;"",C181='Ledger Account'!$D$4,B181&lt;&gt;"",B181&gt;='Ledger Account'!$D$5,B181&lt;='Ledger Account'!$D$6),1,0)</f>
        <v/>
      </c>
      <c r="AJ181">
        <f>IF(AI181=1,SUM(AI$7:AI181),"")</f>
        <v/>
      </c>
      <c r="AK181">
        <f>IF(OR(N181="",N181="OK"),0,1)</f>
        <v/>
      </c>
    </row>
    <row r="182">
      <c r="B182" s="24" t="n"/>
      <c r="C182" s="14" t="n"/>
      <c r="D182" s="14" t="n"/>
      <c r="E182" s="20" t="n"/>
      <c r="F182" s="24" t="n"/>
      <c r="G182" s="14" t="n"/>
      <c r="H182" s="22" t="n"/>
      <c r="I182" s="25">
        <f>IF(Q182="D",N(H182),0)</f>
        <v/>
      </c>
      <c r="J182" s="25">
        <f>IF(Q182="C",N(H182),0)</f>
        <v/>
      </c>
      <c r="K182" s="26">
        <f>IF(Z182="","",Z182)</f>
        <v/>
      </c>
      <c r="L182" s="27">
        <f>W182</f>
        <v/>
      </c>
      <c r="M182" s="28">
        <f>AA182</f>
        <v/>
      </c>
      <c r="N182" s="23">
        <f>IF(AND(B182="",C182="",D182="",N(H182)=0),"",IF(B182="","Enter the date",IF(C182="","Pick the party",IF(P182="?","Add this party on the Parties sheet first",IF(D182="","Pick the entry type",IF(Q182="?","Pick the entry type from the list",IF(N(H182)=0,"Enter the amount",IF(AND(R182&lt;&gt;"Any",R182&lt;&gt;P182),"Sales, receipts and credit notes are for debtors; purchases, payments and debit notes for creditors",IF(AND(F182&lt;&gt;"",D182&lt;&gt;"Purchase bill"),"The received-on date is only for purchase bills",IF(AND(P182="Creditor",X182=1,AA182&gt;0),"Past due to a micro or small supplier: interest runs under MSMED s.16, and if unpaid at year end it is not deductible that year, s.37(2)(g)",IF(AND(P182="Debtor",X182=1,AA182&gt;0),"Past due to you: as a micro or small supplier you can claim interest under MSMED s.16","OK")))))))))))</f>
        <v/>
      </c>
      <c r="P182">
        <f>IF(C182="","",IFERROR(VLOOKUP(C182,'Parties'!$B$13:$Q$112,2,FALSE),"?"))</f>
        <v/>
      </c>
      <c r="Q182">
        <f>IF(D182="","",IFERROR(VLOOKUP(D182,Lists!$A$2:$D$9,3,FALSE),"?"))</f>
        <v/>
      </c>
      <c r="R182">
        <f>IF(D182="","",IFERROR(VLOOKUP(D182,Lists!$A$2:$D$9,4,FALSE),"?"))</f>
        <v/>
      </c>
      <c r="S182">
        <f>IF(P182="Debtor",I182,IF(P182="Creditor",J182,0))</f>
        <v/>
      </c>
      <c r="T182">
        <f>IF(P182="Debtor",J182,IF(P182="Creditor",I182,0))</f>
        <v/>
      </c>
      <c r="U182">
        <f>IF(OR(S182=0,B182=""),0,IFERROR(VLOOKUP(C182,'Parties'!$B$13:$Q$112,13,FALSE),0)+SUMIFS($S$7:$S$506,$C$7:$C$506,C182,$B$7:$B$506,"&lt;"&amp;B182)+SUMIFS(S$7:S182,C$7:C182,C182,B$7:B182,B182))</f>
        <v/>
      </c>
      <c r="V182">
        <f>IF(S182=0,0,IFERROR(VLOOKUP(C182,'Parties'!$B$13:$Q$112,14,FALSE),0)+SUMIFS($T$7:$T$506,$C$7:$C$506,C182,$B$7:$B$506,"&lt;="&amp;'Outstanding'!$E$5))</f>
        <v/>
      </c>
      <c r="W182">
        <f>IF(OR('Outstanding'!$E$5="",S182=0,B182="",B182&gt;'Outstanding'!$E$5),0,MAX(0,MIN(S182,U182-V182)))</f>
        <v/>
      </c>
      <c r="X182">
        <f>IF(C182="",0,IFERROR(VLOOKUP(C182,'Parties'!$B$13:$Q$112,15,FALSE),0))</f>
        <v/>
      </c>
      <c r="Y182">
        <f>IF(C182="","",IFERROR(VLOOKUP(C182,'Parties'!$B$13:$Q$112,16,FALSE),0))</f>
        <v/>
      </c>
      <c r="Z182">
        <f>IF(OR(S182=0,B182="",Y182=""),"",IF(AND(F182&lt;&gt;"",D182="Purchase bill"),F182,B182)+Y182)</f>
        <v/>
      </c>
      <c r="AA182">
        <f>IF(OR(W182=0,Z182=""),0,MAX(0,'Outstanding'!$E$5-Z182))</f>
        <v/>
      </c>
      <c r="AB182">
        <f>IF(AND(X182=1,AA182&gt;0),W182*((1+3*N('Parties'!$E$10)/12)^(AA182*12/365)-1),0)</f>
        <v/>
      </c>
      <c r="AC182">
        <f>IF(W182=0,"",'Outstanding'!$E$5-B182)</f>
        <v/>
      </c>
      <c r="AD182">
        <f>IF(S182=0,0,IFERROR(VLOOKUP(C182,'Parties'!$B$13:$Q$112,14,FALSE),0)+SUMIFS($T$7:$T$506,$C$7:$C$506,C182,$B$7:$B$506,"&lt;="&amp;'Parties'!$E$8))</f>
        <v/>
      </c>
      <c r="AE182">
        <f>IF(OR('Parties'!$E$8="",S182=0,B182="",B182&gt;'Parties'!$E$8),0,MAX(0,MIN(S182,U182-AD182)))</f>
        <v/>
      </c>
      <c r="AF182">
        <f>IF(AND(P182="Creditor",X182=1,AE182&gt;0,Z182&lt;&gt;""),IF(Z182&lt;='Parties'!$E$8,AE182,0),0)</f>
        <v/>
      </c>
      <c r="AG182">
        <f>IF(OR(AE182=0,Z182=""),0,MAX(0,'Parties'!$E$8-Z182))</f>
        <v/>
      </c>
      <c r="AH182">
        <f>IF(AND(P182="Creditor",X182=1,AG182&gt;0),AE182*((1+3*N('Parties'!$E$10)/12)^(AG182*12/365)-1),0)</f>
        <v/>
      </c>
      <c r="AI182">
        <f>IF(AND(C182&lt;&gt;"",C182='Ledger Account'!$D$4,B182&lt;&gt;"",B182&gt;='Ledger Account'!$D$5,B182&lt;='Ledger Account'!$D$6),1,0)</f>
        <v/>
      </c>
      <c r="AJ182">
        <f>IF(AI182=1,SUM(AI$7:AI182),"")</f>
        <v/>
      </c>
      <c r="AK182">
        <f>IF(OR(N182="",N182="OK"),0,1)</f>
        <v/>
      </c>
    </row>
    <row r="183">
      <c r="B183" s="24" t="n"/>
      <c r="C183" s="14" t="n"/>
      <c r="D183" s="14" t="n"/>
      <c r="E183" s="20" t="n"/>
      <c r="F183" s="24" t="n"/>
      <c r="G183" s="14" t="n"/>
      <c r="H183" s="22" t="n"/>
      <c r="I183" s="25">
        <f>IF(Q183="D",N(H183),0)</f>
        <v/>
      </c>
      <c r="J183" s="25">
        <f>IF(Q183="C",N(H183),0)</f>
        <v/>
      </c>
      <c r="K183" s="26">
        <f>IF(Z183="","",Z183)</f>
        <v/>
      </c>
      <c r="L183" s="27">
        <f>W183</f>
        <v/>
      </c>
      <c r="M183" s="28">
        <f>AA183</f>
        <v/>
      </c>
      <c r="N183" s="23">
        <f>IF(AND(B183="",C183="",D183="",N(H183)=0),"",IF(B183="","Enter the date",IF(C183="","Pick the party",IF(P183="?","Add this party on the Parties sheet first",IF(D183="","Pick the entry type",IF(Q183="?","Pick the entry type from the list",IF(N(H183)=0,"Enter the amount",IF(AND(R183&lt;&gt;"Any",R183&lt;&gt;P183),"Sales, receipts and credit notes are for debtors; purchases, payments and debit notes for creditors",IF(AND(F183&lt;&gt;"",D183&lt;&gt;"Purchase bill"),"The received-on date is only for purchase bills",IF(AND(P183="Creditor",X183=1,AA183&gt;0),"Past due to a micro or small supplier: interest runs under MSMED s.16, and if unpaid at year end it is not deductible that year, s.37(2)(g)",IF(AND(P183="Debtor",X183=1,AA183&gt;0),"Past due to you: as a micro or small supplier you can claim interest under MSMED s.16","OK")))))))))))</f>
        <v/>
      </c>
      <c r="P183">
        <f>IF(C183="","",IFERROR(VLOOKUP(C183,'Parties'!$B$13:$Q$112,2,FALSE),"?"))</f>
        <v/>
      </c>
      <c r="Q183">
        <f>IF(D183="","",IFERROR(VLOOKUP(D183,Lists!$A$2:$D$9,3,FALSE),"?"))</f>
        <v/>
      </c>
      <c r="R183">
        <f>IF(D183="","",IFERROR(VLOOKUP(D183,Lists!$A$2:$D$9,4,FALSE),"?"))</f>
        <v/>
      </c>
      <c r="S183">
        <f>IF(P183="Debtor",I183,IF(P183="Creditor",J183,0))</f>
        <v/>
      </c>
      <c r="T183">
        <f>IF(P183="Debtor",J183,IF(P183="Creditor",I183,0))</f>
        <v/>
      </c>
      <c r="U183">
        <f>IF(OR(S183=0,B183=""),0,IFERROR(VLOOKUP(C183,'Parties'!$B$13:$Q$112,13,FALSE),0)+SUMIFS($S$7:$S$506,$C$7:$C$506,C183,$B$7:$B$506,"&lt;"&amp;B183)+SUMIFS(S$7:S183,C$7:C183,C183,B$7:B183,B183))</f>
        <v/>
      </c>
      <c r="V183">
        <f>IF(S183=0,0,IFERROR(VLOOKUP(C183,'Parties'!$B$13:$Q$112,14,FALSE),0)+SUMIFS($T$7:$T$506,$C$7:$C$506,C183,$B$7:$B$506,"&lt;="&amp;'Outstanding'!$E$5))</f>
        <v/>
      </c>
      <c r="W183">
        <f>IF(OR('Outstanding'!$E$5="",S183=0,B183="",B183&gt;'Outstanding'!$E$5),0,MAX(0,MIN(S183,U183-V183)))</f>
        <v/>
      </c>
      <c r="X183">
        <f>IF(C183="",0,IFERROR(VLOOKUP(C183,'Parties'!$B$13:$Q$112,15,FALSE),0))</f>
        <v/>
      </c>
      <c r="Y183">
        <f>IF(C183="","",IFERROR(VLOOKUP(C183,'Parties'!$B$13:$Q$112,16,FALSE),0))</f>
        <v/>
      </c>
      <c r="Z183">
        <f>IF(OR(S183=0,B183="",Y183=""),"",IF(AND(F183&lt;&gt;"",D183="Purchase bill"),F183,B183)+Y183)</f>
        <v/>
      </c>
      <c r="AA183">
        <f>IF(OR(W183=0,Z183=""),0,MAX(0,'Outstanding'!$E$5-Z183))</f>
        <v/>
      </c>
      <c r="AB183">
        <f>IF(AND(X183=1,AA183&gt;0),W183*((1+3*N('Parties'!$E$10)/12)^(AA183*12/365)-1),0)</f>
        <v/>
      </c>
      <c r="AC183">
        <f>IF(W183=0,"",'Outstanding'!$E$5-B183)</f>
        <v/>
      </c>
      <c r="AD183">
        <f>IF(S183=0,0,IFERROR(VLOOKUP(C183,'Parties'!$B$13:$Q$112,14,FALSE),0)+SUMIFS($T$7:$T$506,$C$7:$C$506,C183,$B$7:$B$506,"&lt;="&amp;'Parties'!$E$8))</f>
        <v/>
      </c>
      <c r="AE183">
        <f>IF(OR('Parties'!$E$8="",S183=0,B183="",B183&gt;'Parties'!$E$8),0,MAX(0,MIN(S183,U183-AD183)))</f>
        <v/>
      </c>
      <c r="AF183">
        <f>IF(AND(P183="Creditor",X183=1,AE183&gt;0,Z183&lt;&gt;""),IF(Z183&lt;='Parties'!$E$8,AE183,0),0)</f>
        <v/>
      </c>
      <c r="AG183">
        <f>IF(OR(AE183=0,Z183=""),0,MAX(0,'Parties'!$E$8-Z183))</f>
        <v/>
      </c>
      <c r="AH183">
        <f>IF(AND(P183="Creditor",X183=1,AG183&gt;0),AE183*((1+3*N('Parties'!$E$10)/12)^(AG183*12/365)-1),0)</f>
        <v/>
      </c>
      <c r="AI183">
        <f>IF(AND(C183&lt;&gt;"",C183='Ledger Account'!$D$4,B183&lt;&gt;"",B183&gt;='Ledger Account'!$D$5,B183&lt;='Ledger Account'!$D$6),1,0)</f>
        <v/>
      </c>
      <c r="AJ183">
        <f>IF(AI183=1,SUM(AI$7:AI183),"")</f>
        <v/>
      </c>
      <c r="AK183">
        <f>IF(OR(N183="",N183="OK"),0,1)</f>
        <v/>
      </c>
    </row>
    <row r="184">
      <c r="B184" s="24" t="n"/>
      <c r="C184" s="14" t="n"/>
      <c r="D184" s="14" t="n"/>
      <c r="E184" s="20" t="n"/>
      <c r="F184" s="24" t="n"/>
      <c r="G184" s="14" t="n"/>
      <c r="H184" s="22" t="n"/>
      <c r="I184" s="25">
        <f>IF(Q184="D",N(H184),0)</f>
        <v/>
      </c>
      <c r="J184" s="25">
        <f>IF(Q184="C",N(H184),0)</f>
        <v/>
      </c>
      <c r="K184" s="26">
        <f>IF(Z184="","",Z184)</f>
        <v/>
      </c>
      <c r="L184" s="27">
        <f>W184</f>
        <v/>
      </c>
      <c r="M184" s="28">
        <f>AA184</f>
        <v/>
      </c>
      <c r="N184" s="23">
        <f>IF(AND(B184="",C184="",D184="",N(H184)=0),"",IF(B184="","Enter the date",IF(C184="","Pick the party",IF(P184="?","Add this party on the Parties sheet first",IF(D184="","Pick the entry type",IF(Q184="?","Pick the entry type from the list",IF(N(H184)=0,"Enter the amount",IF(AND(R184&lt;&gt;"Any",R184&lt;&gt;P184),"Sales, receipts and credit notes are for debtors; purchases, payments and debit notes for creditors",IF(AND(F184&lt;&gt;"",D184&lt;&gt;"Purchase bill"),"The received-on date is only for purchase bills",IF(AND(P184="Creditor",X184=1,AA184&gt;0),"Past due to a micro or small supplier: interest runs under MSMED s.16, and if unpaid at year end it is not deductible that year, s.37(2)(g)",IF(AND(P184="Debtor",X184=1,AA184&gt;0),"Past due to you: as a micro or small supplier you can claim interest under MSMED s.16","OK")))))))))))</f>
        <v/>
      </c>
      <c r="P184">
        <f>IF(C184="","",IFERROR(VLOOKUP(C184,'Parties'!$B$13:$Q$112,2,FALSE),"?"))</f>
        <v/>
      </c>
      <c r="Q184">
        <f>IF(D184="","",IFERROR(VLOOKUP(D184,Lists!$A$2:$D$9,3,FALSE),"?"))</f>
        <v/>
      </c>
      <c r="R184">
        <f>IF(D184="","",IFERROR(VLOOKUP(D184,Lists!$A$2:$D$9,4,FALSE),"?"))</f>
        <v/>
      </c>
      <c r="S184">
        <f>IF(P184="Debtor",I184,IF(P184="Creditor",J184,0))</f>
        <v/>
      </c>
      <c r="T184">
        <f>IF(P184="Debtor",J184,IF(P184="Creditor",I184,0))</f>
        <v/>
      </c>
      <c r="U184">
        <f>IF(OR(S184=0,B184=""),0,IFERROR(VLOOKUP(C184,'Parties'!$B$13:$Q$112,13,FALSE),0)+SUMIFS($S$7:$S$506,$C$7:$C$506,C184,$B$7:$B$506,"&lt;"&amp;B184)+SUMIFS(S$7:S184,C$7:C184,C184,B$7:B184,B184))</f>
        <v/>
      </c>
      <c r="V184">
        <f>IF(S184=0,0,IFERROR(VLOOKUP(C184,'Parties'!$B$13:$Q$112,14,FALSE),0)+SUMIFS($T$7:$T$506,$C$7:$C$506,C184,$B$7:$B$506,"&lt;="&amp;'Outstanding'!$E$5))</f>
        <v/>
      </c>
      <c r="W184">
        <f>IF(OR('Outstanding'!$E$5="",S184=0,B184="",B184&gt;'Outstanding'!$E$5),0,MAX(0,MIN(S184,U184-V184)))</f>
        <v/>
      </c>
      <c r="X184">
        <f>IF(C184="",0,IFERROR(VLOOKUP(C184,'Parties'!$B$13:$Q$112,15,FALSE),0))</f>
        <v/>
      </c>
      <c r="Y184">
        <f>IF(C184="","",IFERROR(VLOOKUP(C184,'Parties'!$B$13:$Q$112,16,FALSE),0))</f>
        <v/>
      </c>
      <c r="Z184">
        <f>IF(OR(S184=0,B184="",Y184=""),"",IF(AND(F184&lt;&gt;"",D184="Purchase bill"),F184,B184)+Y184)</f>
        <v/>
      </c>
      <c r="AA184">
        <f>IF(OR(W184=0,Z184=""),0,MAX(0,'Outstanding'!$E$5-Z184))</f>
        <v/>
      </c>
      <c r="AB184">
        <f>IF(AND(X184=1,AA184&gt;0),W184*((1+3*N('Parties'!$E$10)/12)^(AA184*12/365)-1),0)</f>
        <v/>
      </c>
      <c r="AC184">
        <f>IF(W184=0,"",'Outstanding'!$E$5-B184)</f>
        <v/>
      </c>
      <c r="AD184">
        <f>IF(S184=0,0,IFERROR(VLOOKUP(C184,'Parties'!$B$13:$Q$112,14,FALSE),0)+SUMIFS($T$7:$T$506,$C$7:$C$506,C184,$B$7:$B$506,"&lt;="&amp;'Parties'!$E$8))</f>
        <v/>
      </c>
      <c r="AE184">
        <f>IF(OR('Parties'!$E$8="",S184=0,B184="",B184&gt;'Parties'!$E$8),0,MAX(0,MIN(S184,U184-AD184)))</f>
        <v/>
      </c>
      <c r="AF184">
        <f>IF(AND(P184="Creditor",X184=1,AE184&gt;0,Z184&lt;&gt;""),IF(Z184&lt;='Parties'!$E$8,AE184,0),0)</f>
        <v/>
      </c>
      <c r="AG184">
        <f>IF(OR(AE184=0,Z184=""),0,MAX(0,'Parties'!$E$8-Z184))</f>
        <v/>
      </c>
      <c r="AH184">
        <f>IF(AND(P184="Creditor",X184=1,AG184&gt;0),AE184*((1+3*N('Parties'!$E$10)/12)^(AG184*12/365)-1),0)</f>
        <v/>
      </c>
      <c r="AI184">
        <f>IF(AND(C184&lt;&gt;"",C184='Ledger Account'!$D$4,B184&lt;&gt;"",B184&gt;='Ledger Account'!$D$5,B184&lt;='Ledger Account'!$D$6),1,0)</f>
        <v/>
      </c>
      <c r="AJ184">
        <f>IF(AI184=1,SUM(AI$7:AI184),"")</f>
        <v/>
      </c>
      <c r="AK184">
        <f>IF(OR(N184="",N184="OK"),0,1)</f>
        <v/>
      </c>
    </row>
    <row r="185">
      <c r="B185" s="24" t="n"/>
      <c r="C185" s="14" t="n"/>
      <c r="D185" s="14" t="n"/>
      <c r="E185" s="20" t="n"/>
      <c r="F185" s="24" t="n"/>
      <c r="G185" s="14" t="n"/>
      <c r="H185" s="22" t="n"/>
      <c r="I185" s="25">
        <f>IF(Q185="D",N(H185),0)</f>
        <v/>
      </c>
      <c r="J185" s="25">
        <f>IF(Q185="C",N(H185),0)</f>
        <v/>
      </c>
      <c r="K185" s="26">
        <f>IF(Z185="","",Z185)</f>
        <v/>
      </c>
      <c r="L185" s="27">
        <f>W185</f>
        <v/>
      </c>
      <c r="M185" s="28">
        <f>AA185</f>
        <v/>
      </c>
      <c r="N185" s="23">
        <f>IF(AND(B185="",C185="",D185="",N(H185)=0),"",IF(B185="","Enter the date",IF(C185="","Pick the party",IF(P185="?","Add this party on the Parties sheet first",IF(D185="","Pick the entry type",IF(Q185="?","Pick the entry type from the list",IF(N(H185)=0,"Enter the amount",IF(AND(R185&lt;&gt;"Any",R185&lt;&gt;P185),"Sales, receipts and credit notes are for debtors; purchases, payments and debit notes for creditors",IF(AND(F185&lt;&gt;"",D185&lt;&gt;"Purchase bill"),"The received-on date is only for purchase bills",IF(AND(P185="Creditor",X185=1,AA185&gt;0),"Past due to a micro or small supplier: interest runs under MSMED s.16, and if unpaid at year end it is not deductible that year, s.37(2)(g)",IF(AND(P185="Debtor",X185=1,AA185&gt;0),"Past due to you: as a micro or small supplier you can claim interest under MSMED s.16","OK")))))))))))</f>
        <v/>
      </c>
      <c r="P185">
        <f>IF(C185="","",IFERROR(VLOOKUP(C185,'Parties'!$B$13:$Q$112,2,FALSE),"?"))</f>
        <v/>
      </c>
      <c r="Q185">
        <f>IF(D185="","",IFERROR(VLOOKUP(D185,Lists!$A$2:$D$9,3,FALSE),"?"))</f>
        <v/>
      </c>
      <c r="R185">
        <f>IF(D185="","",IFERROR(VLOOKUP(D185,Lists!$A$2:$D$9,4,FALSE),"?"))</f>
        <v/>
      </c>
      <c r="S185">
        <f>IF(P185="Debtor",I185,IF(P185="Creditor",J185,0))</f>
        <v/>
      </c>
      <c r="T185">
        <f>IF(P185="Debtor",J185,IF(P185="Creditor",I185,0))</f>
        <v/>
      </c>
      <c r="U185">
        <f>IF(OR(S185=0,B185=""),0,IFERROR(VLOOKUP(C185,'Parties'!$B$13:$Q$112,13,FALSE),0)+SUMIFS($S$7:$S$506,$C$7:$C$506,C185,$B$7:$B$506,"&lt;"&amp;B185)+SUMIFS(S$7:S185,C$7:C185,C185,B$7:B185,B185))</f>
        <v/>
      </c>
      <c r="V185">
        <f>IF(S185=0,0,IFERROR(VLOOKUP(C185,'Parties'!$B$13:$Q$112,14,FALSE),0)+SUMIFS($T$7:$T$506,$C$7:$C$506,C185,$B$7:$B$506,"&lt;="&amp;'Outstanding'!$E$5))</f>
        <v/>
      </c>
      <c r="W185">
        <f>IF(OR('Outstanding'!$E$5="",S185=0,B185="",B185&gt;'Outstanding'!$E$5),0,MAX(0,MIN(S185,U185-V185)))</f>
        <v/>
      </c>
      <c r="X185">
        <f>IF(C185="",0,IFERROR(VLOOKUP(C185,'Parties'!$B$13:$Q$112,15,FALSE),0))</f>
        <v/>
      </c>
      <c r="Y185">
        <f>IF(C185="","",IFERROR(VLOOKUP(C185,'Parties'!$B$13:$Q$112,16,FALSE),0))</f>
        <v/>
      </c>
      <c r="Z185">
        <f>IF(OR(S185=0,B185="",Y185=""),"",IF(AND(F185&lt;&gt;"",D185="Purchase bill"),F185,B185)+Y185)</f>
        <v/>
      </c>
      <c r="AA185">
        <f>IF(OR(W185=0,Z185=""),0,MAX(0,'Outstanding'!$E$5-Z185))</f>
        <v/>
      </c>
      <c r="AB185">
        <f>IF(AND(X185=1,AA185&gt;0),W185*((1+3*N('Parties'!$E$10)/12)^(AA185*12/365)-1),0)</f>
        <v/>
      </c>
      <c r="AC185">
        <f>IF(W185=0,"",'Outstanding'!$E$5-B185)</f>
        <v/>
      </c>
      <c r="AD185">
        <f>IF(S185=0,0,IFERROR(VLOOKUP(C185,'Parties'!$B$13:$Q$112,14,FALSE),0)+SUMIFS($T$7:$T$506,$C$7:$C$506,C185,$B$7:$B$506,"&lt;="&amp;'Parties'!$E$8))</f>
        <v/>
      </c>
      <c r="AE185">
        <f>IF(OR('Parties'!$E$8="",S185=0,B185="",B185&gt;'Parties'!$E$8),0,MAX(0,MIN(S185,U185-AD185)))</f>
        <v/>
      </c>
      <c r="AF185">
        <f>IF(AND(P185="Creditor",X185=1,AE185&gt;0,Z185&lt;&gt;""),IF(Z185&lt;='Parties'!$E$8,AE185,0),0)</f>
        <v/>
      </c>
      <c r="AG185">
        <f>IF(OR(AE185=0,Z185=""),0,MAX(0,'Parties'!$E$8-Z185))</f>
        <v/>
      </c>
      <c r="AH185">
        <f>IF(AND(P185="Creditor",X185=1,AG185&gt;0),AE185*((1+3*N('Parties'!$E$10)/12)^(AG185*12/365)-1),0)</f>
        <v/>
      </c>
      <c r="AI185">
        <f>IF(AND(C185&lt;&gt;"",C185='Ledger Account'!$D$4,B185&lt;&gt;"",B185&gt;='Ledger Account'!$D$5,B185&lt;='Ledger Account'!$D$6),1,0)</f>
        <v/>
      </c>
      <c r="AJ185">
        <f>IF(AI185=1,SUM(AI$7:AI185),"")</f>
        <v/>
      </c>
      <c r="AK185">
        <f>IF(OR(N185="",N185="OK"),0,1)</f>
        <v/>
      </c>
    </row>
    <row r="186">
      <c r="B186" s="24" t="n"/>
      <c r="C186" s="14" t="n"/>
      <c r="D186" s="14" t="n"/>
      <c r="E186" s="20" t="n"/>
      <c r="F186" s="24" t="n"/>
      <c r="G186" s="14" t="n"/>
      <c r="H186" s="22" t="n"/>
      <c r="I186" s="25">
        <f>IF(Q186="D",N(H186),0)</f>
        <v/>
      </c>
      <c r="J186" s="25">
        <f>IF(Q186="C",N(H186),0)</f>
        <v/>
      </c>
      <c r="K186" s="26">
        <f>IF(Z186="","",Z186)</f>
        <v/>
      </c>
      <c r="L186" s="27">
        <f>W186</f>
        <v/>
      </c>
      <c r="M186" s="28">
        <f>AA186</f>
        <v/>
      </c>
      <c r="N186" s="23">
        <f>IF(AND(B186="",C186="",D186="",N(H186)=0),"",IF(B186="","Enter the date",IF(C186="","Pick the party",IF(P186="?","Add this party on the Parties sheet first",IF(D186="","Pick the entry type",IF(Q186="?","Pick the entry type from the list",IF(N(H186)=0,"Enter the amount",IF(AND(R186&lt;&gt;"Any",R186&lt;&gt;P186),"Sales, receipts and credit notes are for debtors; purchases, payments and debit notes for creditors",IF(AND(F186&lt;&gt;"",D186&lt;&gt;"Purchase bill"),"The received-on date is only for purchase bills",IF(AND(P186="Creditor",X186=1,AA186&gt;0),"Past due to a micro or small supplier: interest runs under MSMED s.16, and if unpaid at year end it is not deductible that year, s.37(2)(g)",IF(AND(P186="Debtor",X186=1,AA186&gt;0),"Past due to you: as a micro or small supplier you can claim interest under MSMED s.16","OK")))))))))))</f>
        <v/>
      </c>
      <c r="P186">
        <f>IF(C186="","",IFERROR(VLOOKUP(C186,'Parties'!$B$13:$Q$112,2,FALSE),"?"))</f>
        <v/>
      </c>
      <c r="Q186">
        <f>IF(D186="","",IFERROR(VLOOKUP(D186,Lists!$A$2:$D$9,3,FALSE),"?"))</f>
        <v/>
      </c>
      <c r="R186">
        <f>IF(D186="","",IFERROR(VLOOKUP(D186,Lists!$A$2:$D$9,4,FALSE),"?"))</f>
        <v/>
      </c>
      <c r="S186">
        <f>IF(P186="Debtor",I186,IF(P186="Creditor",J186,0))</f>
        <v/>
      </c>
      <c r="T186">
        <f>IF(P186="Debtor",J186,IF(P186="Creditor",I186,0))</f>
        <v/>
      </c>
      <c r="U186">
        <f>IF(OR(S186=0,B186=""),0,IFERROR(VLOOKUP(C186,'Parties'!$B$13:$Q$112,13,FALSE),0)+SUMIFS($S$7:$S$506,$C$7:$C$506,C186,$B$7:$B$506,"&lt;"&amp;B186)+SUMIFS(S$7:S186,C$7:C186,C186,B$7:B186,B186))</f>
        <v/>
      </c>
      <c r="V186">
        <f>IF(S186=0,0,IFERROR(VLOOKUP(C186,'Parties'!$B$13:$Q$112,14,FALSE),0)+SUMIFS($T$7:$T$506,$C$7:$C$506,C186,$B$7:$B$506,"&lt;="&amp;'Outstanding'!$E$5))</f>
        <v/>
      </c>
      <c r="W186">
        <f>IF(OR('Outstanding'!$E$5="",S186=0,B186="",B186&gt;'Outstanding'!$E$5),0,MAX(0,MIN(S186,U186-V186)))</f>
        <v/>
      </c>
      <c r="X186">
        <f>IF(C186="",0,IFERROR(VLOOKUP(C186,'Parties'!$B$13:$Q$112,15,FALSE),0))</f>
        <v/>
      </c>
      <c r="Y186">
        <f>IF(C186="","",IFERROR(VLOOKUP(C186,'Parties'!$B$13:$Q$112,16,FALSE),0))</f>
        <v/>
      </c>
      <c r="Z186">
        <f>IF(OR(S186=0,B186="",Y186=""),"",IF(AND(F186&lt;&gt;"",D186="Purchase bill"),F186,B186)+Y186)</f>
        <v/>
      </c>
      <c r="AA186">
        <f>IF(OR(W186=0,Z186=""),0,MAX(0,'Outstanding'!$E$5-Z186))</f>
        <v/>
      </c>
      <c r="AB186">
        <f>IF(AND(X186=1,AA186&gt;0),W186*((1+3*N('Parties'!$E$10)/12)^(AA186*12/365)-1),0)</f>
        <v/>
      </c>
      <c r="AC186">
        <f>IF(W186=0,"",'Outstanding'!$E$5-B186)</f>
        <v/>
      </c>
      <c r="AD186">
        <f>IF(S186=0,0,IFERROR(VLOOKUP(C186,'Parties'!$B$13:$Q$112,14,FALSE),0)+SUMIFS($T$7:$T$506,$C$7:$C$506,C186,$B$7:$B$506,"&lt;="&amp;'Parties'!$E$8))</f>
        <v/>
      </c>
      <c r="AE186">
        <f>IF(OR('Parties'!$E$8="",S186=0,B186="",B186&gt;'Parties'!$E$8),0,MAX(0,MIN(S186,U186-AD186)))</f>
        <v/>
      </c>
      <c r="AF186">
        <f>IF(AND(P186="Creditor",X186=1,AE186&gt;0,Z186&lt;&gt;""),IF(Z186&lt;='Parties'!$E$8,AE186,0),0)</f>
        <v/>
      </c>
      <c r="AG186">
        <f>IF(OR(AE186=0,Z186=""),0,MAX(0,'Parties'!$E$8-Z186))</f>
        <v/>
      </c>
      <c r="AH186">
        <f>IF(AND(P186="Creditor",X186=1,AG186&gt;0),AE186*((1+3*N('Parties'!$E$10)/12)^(AG186*12/365)-1),0)</f>
        <v/>
      </c>
      <c r="AI186">
        <f>IF(AND(C186&lt;&gt;"",C186='Ledger Account'!$D$4,B186&lt;&gt;"",B186&gt;='Ledger Account'!$D$5,B186&lt;='Ledger Account'!$D$6),1,0)</f>
        <v/>
      </c>
      <c r="AJ186">
        <f>IF(AI186=1,SUM(AI$7:AI186),"")</f>
        <v/>
      </c>
      <c r="AK186">
        <f>IF(OR(N186="",N186="OK"),0,1)</f>
        <v/>
      </c>
    </row>
    <row r="187">
      <c r="B187" s="24" t="n"/>
      <c r="C187" s="14" t="n"/>
      <c r="D187" s="14" t="n"/>
      <c r="E187" s="20" t="n"/>
      <c r="F187" s="24" t="n"/>
      <c r="G187" s="14" t="n"/>
      <c r="H187" s="22" t="n"/>
      <c r="I187" s="25">
        <f>IF(Q187="D",N(H187),0)</f>
        <v/>
      </c>
      <c r="J187" s="25">
        <f>IF(Q187="C",N(H187),0)</f>
        <v/>
      </c>
      <c r="K187" s="26">
        <f>IF(Z187="","",Z187)</f>
        <v/>
      </c>
      <c r="L187" s="27">
        <f>W187</f>
        <v/>
      </c>
      <c r="M187" s="28">
        <f>AA187</f>
        <v/>
      </c>
      <c r="N187" s="23">
        <f>IF(AND(B187="",C187="",D187="",N(H187)=0),"",IF(B187="","Enter the date",IF(C187="","Pick the party",IF(P187="?","Add this party on the Parties sheet first",IF(D187="","Pick the entry type",IF(Q187="?","Pick the entry type from the list",IF(N(H187)=0,"Enter the amount",IF(AND(R187&lt;&gt;"Any",R187&lt;&gt;P187),"Sales, receipts and credit notes are for debtors; purchases, payments and debit notes for creditors",IF(AND(F187&lt;&gt;"",D187&lt;&gt;"Purchase bill"),"The received-on date is only for purchase bills",IF(AND(P187="Creditor",X187=1,AA187&gt;0),"Past due to a micro or small supplier: interest runs under MSMED s.16, and if unpaid at year end it is not deductible that year, s.37(2)(g)",IF(AND(P187="Debtor",X187=1,AA187&gt;0),"Past due to you: as a micro or small supplier you can claim interest under MSMED s.16","OK")))))))))))</f>
        <v/>
      </c>
      <c r="P187">
        <f>IF(C187="","",IFERROR(VLOOKUP(C187,'Parties'!$B$13:$Q$112,2,FALSE),"?"))</f>
        <v/>
      </c>
      <c r="Q187">
        <f>IF(D187="","",IFERROR(VLOOKUP(D187,Lists!$A$2:$D$9,3,FALSE),"?"))</f>
        <v/>
      </c>
      <c r="R187">
        <f>IF(D187="","",IFERROR(VLOOKUP(D187,Lists!$A$2:$D$9,4,FALSE),"?"))</f>
        <v/>
      </c>
      <c r="S187">
        <f>IF(P187="Debtor",I187,IF(P187="Creditor",J187,0))</f>
        <v/>
      </c>
      <c r="T187">
        <f>IF(P187="Debtor",J187,IF(P187="Creditor",I187,0))</f>
        <v/>
      </c>
      <c r="U187">
        <f>IF(OR(S187=0,B187=""),0,IFERROR(VLOOKUP(C187,'Parties'!$B$13:$Q$112,13,FALSE),0)+SUMIFS($S$7:$S$506,$C$7:$C$506,C187,$B$7:$B$506,"&lt;"&amp;B187)+SUMIFS(S$7:S187,C$7:C187,C187,B$7:B187,B187))</f>
        <v/>
      </c>
      <c r="V187">
        <f>IF(S187=0,0,IFERROR(VLOOKUP(C187,'Parties'!$B$13:$Q$112,14,FALSE),0)+SUMIFS($T$7:$T$506,$C$7:$C$506,C187,$B$7:$B$506,"&lt;="&amp;'Outstanding'!$E$5))</f>
        <v/>
      </c>
      <c r="W187">
        <f>IF(OR('Outstanding'!$E$5="",S187=0,B187="",B187&gt;'Outstanding'!$E$5),0,MAX(0,MIN(S187,U187-V187)))</f>
        <v/>
      </c>
      <c r="X187">
        <f>IF(C187="",0,IFERROR(VLOOKUP(C187,'Parties'!$B$13:$Q$112,15,FALSE),0))</f>
        <v/>
      </c>
      <c r="Y187">
        <f>IF(C187="","",IFERROR(VLOOKUP(C187,'Parties'!$B$13:$Q$112,16,FALSE),0))</f>
        <v/>
      </c>
      <c r="Z187">
        <f>IF(OR(S187=0,B187="",Y187=""),"",IF(AND(F187&lt;&gt;"",D187="Purchase bill"),F187,B187)+Y187)</f>
        <v/>
      </c>
      <c r="AA187">
        <f>IF(OR(W187=0,Z187=""),0,MAX(0,'Outstanding'!$E$5-Z187))</f>
        <v/>
      </c>
      <c r="AB187">
        <f>IF(AND(X187=1,AA187&gt;0),W187*((1+3*N('Parties'!$E$10)/12)^(AA187*12/365)-1),0)</f>
        <v/>
      </c>
      <c r="AC187">
        <f>IF(W187=0,"",'Outstanding'!$E$5-B187)</f>
        <v/>
      </c>
      <c r="AD187">
        <f>IF(S187=0,0,IFERROR(VLOOKUP(C187,'Parties'!$B$13:$Q$112,14,FALSE),0)+SUMIFS($T$7:$T$506,$C$7:$C$506,C187,$B$7:$B$506,"&lt;="&amp;'Parties'!$E$8))</f>
        <v/>
      </c>
      <c r="AE187">
        <f>IF(OR('Parties'!$E$8="",S187=0,B187="",B187&gt;'Parties'!$E$8),0,MAX(0,MIN(S187,U187-AD187)))</f>
        <v/>
      </c>
      <c r="AF187">
        <f>IF(AND(P187="Creditor",X187=1,AE187&gt;0,Z187&lt;&gt;""),IF(Z187&lt;='Parties'!$E$8,AE187,0),0)</f>
        <v/>
      </c>
      <c r="AG187">
        <f>IF(OR(AE187=0,Z187=""),0,MAX(0,'Parties'!$E$8-Z187))</f>
        <v/>
      </c>
      <c r="AH187">
        <f>IF(AND(P187="Creditor",X187=1,AG187&gt;0),AE187*((1+3*N('Parties'!$E$10)/12)^(AG187*12/365)-1),0)</f>
        <v/>
      </c>
      <c r="AI187">
        <f>IF(AND(C187&lt;&gt;"",C187='Ledger Account'!$D$4,B187&lt;&gt;"",B187&gt;='Ledger Account'!$D$5,B187&lt;='Ledger Account'!$D$6),1,0)</f>
        <v/>
      </c>
      <c r="AJ187">
        <f>IF(AI187=1,SUM(AI$7:AI187),"")</f>
        <v/>
      </c>
      <c r="AK187">
        <f>IF(OR(N187="",N187="OK"),0,1)</f>
        <v/>
      </c>
    </row>
    <row r="188">
      <c r="B188" s="24" t="n"/>
      <c r="C188" s="14" t="n"/>
      <c r="D188" s="14" t="n"/>
      <c r="E188" s="20" t="n"/>
      <c r="F188" s="24" t="n"/>
      <c r="G188" s="14" t="n"/>
      <c r="H188" s="22" t="n"/>
      <c r="I188" s="25">
        <f>IF(Q188="D",N(H188),0)</f>
        <v/>
      </c>
      <c r="J188" s="25">
        <f>IF(Q188="C",N(H188),0)</f>
        <v/>
      </c>
      <c r="K188" s="26">
        <f>IF(Z188="","",Z188)</f>
        <v/>
      </c>
      <c r="L188" s="27">
        <f>W188</f>
        <v/>
      </c>
      <c r="M188" s="28">
        <f>AA188</f>
        <v/>
      </c>
      <c r="N188" s="23">
        <f>IF(AND(B188="",C188="",D188="",N(H188)=0),"",IF(B188="","Enter the date",IF(C188="","Pick the party",IF(P188="?","Add this party on the Parties sheet first",IF(D188="","Pick the entry type",IF(Q188="?","Pick the entry type from the list",IF(N(H188)=0,"Enter the amount",IF(AND(R188&lt;&gt;"Any",R188&lt;&gt;P188),"Sales, receipts and credit notes are for debtors; purchases, payments and debit notes for creditors",IF(AND(F188&lt;&gt;"",D188&lt;&gt;"Purchase bill"),"The received-on date is only for purchase bills",IF(AND(P188="Creditor",X188=1,AA188&gt;0),"Past due to a micro or small supplier: interest runs under MSMED s.16, and if unpaid at year end it is not deductible that year, s.37(2)(g)",IF(AND(P188="Debtor",X188=1,AA188&gt;0),"Past due to you: as a micro or small supplier you can claim interest under MSMED s.16","OK")))))))))))</f>
        <v/>
      </c>
      <c r="P188">
        <f>IF(C188="","",IFERROR(VLOOKUP(C188,'Parties'!$B$13:$Q$112,2,FALSE),"?"))</f>
        <v/>
      </c>
      <c r="Q188">
        <f>IF(D188="","",IFERROR(VLOOKUP(D188,Lists!$A$2:$D$9,3,FALSE),"?"))</f>
        <v/>
      </c>
      <c r="R188">
        <f>IF(D188="","",IFERROR(VLOOKUP(D188,Lists!$A$2:$D$9,4,FALSE),"?"))</f>
        <v/>
      </c>
      <c r="S188">
        <f>IF(P188="Debtor",I188,IF(P188="Creditor",J188,0))</f>
        <v/>
      </c>
      <c r="T188">
        <f>IF(P188="Debtor",J188,IF(P188="Creditor",I188,0))</f>
        <v/>
      </c>
      <c r="U188">
        <f>IF(OR(S188=0,B188=""),0,IFERROR(VLOOKUP(C188,'Parties'!$B$13:$Q$112,13,FALSE),0)+SUMIFS($S$7:$S$506,$C$7:$C$506,C188,$B$7:$B$506,"&lt;"&amp;B188)+SUMIFS(S$7:S188,C$7:C188,C188,B$7:B188,B188))</f>
        <v/>
      </c>
      <c r="V188">
        <f>IF(S188=0,0,IFERROR(VLOOKUP(C188,'Parties'!$B$13:$Q$112,14,FALSE),0)+SUMIFS($T$7:$T$506,$C$7:$C$506,C188,$B$7:$B$506,"&lt;="&amp;'Outstanding'!$E$5))</f>
        <v/>
      </c>
      <c r="W188">
        <f>IF(OR('Outstanding'!$E$5="",S188=0,B188="",B188&gt;'Outstanding'!$E$5),0,MAX(0,MIN(S188,U188-V188)))</f>
        <v/>
      </c>
      <c r="X188">
        <f>IF(C188="",0,IFERROR(VLOOKUP(C188,'Parties'!$B$13:$Q$112,15,FALSE),0))</f>
        <v/>
      </c>
      <c r="Y188">
        <f>IF(C188="","",IFERROR(VLOOKUP(C188,'Parties'!$B$13:$Q$112,16,FALSE),0))</f>
        <v/>
      </c>
      <c r="Z188">
        <f>IF(OR(S188=0,B188="",Y188=""),"",IF(AND(F188&lt;&gt;"",D188="Purchase bill"),F188,B188)+Y188)</f>
        <v/>
      </c>
      <c r="AA188">
        <f>IF(OR(W188=0,Z188=""),0,MAX(0,'Outstanding'!$E$5-Z188))</f>
        <v/>
      </c>
      <c r="AB188">
        <f>IF(AND(X188=1,AA188&gt;0),W188*((1+3*N('Parties'!$E$10)/12)^(AA188*12/365)-1),0)</f>
        <v/>
      </c>
      <c r="AC188">
        <f>IF(W188=0,"",'Outstanding'!$E$5-B188)</f>
        <v/>
      </c>
      <c r="AD188">
        <f>IF(S188=0,0,IFERROR(VLOOKUP(C188,'Parties'!$B$13:$Q$112,14,FALSE),0)+SUMIFS($T$7:$T$506,$C$7:$C$506,C188,$B$7:$B$506,"&lt;="&amp;'Parties'!$E$8))</f>
        <v/>
      </c>
      <c r="AE188">
        <f>IF(OR('Parties'!$E$8="",S188=0,B188="",B188&gt;'Parties'!$E$8),0,MAX(0,MIN(S188,U188-AD188)))</f>
        <v/>
      </c>
      <c r="AF188">
        <f>IF(AND(P188="Creditor",X188=1,AE188&gt;0,Z188&lt;&gt;""),IF(Z188&lt;='Parties'!$E$8,AE188,0),0)</f>
        <v/>
      </c>
      <c r="AG188">
        <f>IF(OR(AE188=0,Z188=""),0,MAX(0,'Parties'!$E$8-Z188))</f>
        <v/>
      </c>
      <c r="AH188">
        <f>IF(AND(P188="Creditor",X188=1,AG188&gt;0),AE188*((1+3*N('Parties'!$E$10)/12)^(AG188*12/365)-1),0)</f>
        <v/>
      </c>
      <c r="AI188">
        <f>IF(AND(C188&lt;&gt;"",C188='Ledger Account'!$D$4,B188&lt;&gt;"",B188&gt;='Ledger Account'!$D$5,B188&lt;='Ledger Account'!$D$6),1,0)</f>
        <v/>
      </c>
      <c r="AJ188">
        <f>IF(AI188=1,SUM(AI$7:AI188),"")</f>
        <v/>
      </c>
      <c r="AK188">
        <f>IF(OR(N188="",N188="OK"),0,1)</f>
        <v/>
      </c>
    </row>
    <row r="189">
      <c r="B189" s="24" t="n"/>
      <c r="C189" s="14" t="n"/>
      <c r="D189" s="14" t="n"/>
      <c r="E189" s="20" t="n"/>
      <c r="F189" s="24" t="n"/>
      <c r="G189" s="14" t="n"/>
      <c r="H189" s="22" t="n"/>
      <c r="I189" s="25">
        <f>IF(Q189="D",N(H189),0)</f>
        <v/>
      </c>
      <c r="J189" s="25">
        <f>IF(Q189="C",N(H189),0)</f>
        <v/>
      </c>
      <c r="K189" s="26">
        <f>IF(Z189="","",Z189)</f>
        <v/>
      </c>
      <c r="L189" s="27">
        <f>W189</f>
        <v/>
      </c>
      <c r="M189" s="28">
        <f>AA189</f>
        <v/>
      </c>
      <c r="N189" s="23">
        <f>IF(AND(B189="",C189="",D189="",N(H189)=0),"",IF(B189="","Enter the date",IF(C189="","Pick the party",IF(P189="?","Add this party on the Parties sheet first",IF(D189="","Pick the entry type",IF(Q189="?","Pick the entry type from the list",IF(N(H189)=0,"Enter the amount",IF(AND(R189&lt;&gt;"Any",R189&lt;&gt;P189),"Sales, receipts and credit notes are for debtors; purchases, payments and debit notes for creditors",IF(AND(F189&lt;&gt;"",D189&lt;&gt;"Purchase bill"),"The received-on date is only for purchase bills",IF(AND(P189="Creditor",X189=1,AA189&gt;0),"Past due to a micro or small supplier: interest runs under MSMED s.16, and if unpaid at year end it is not deductible that year, s.37(2)(g)",IF(AND(P189="Debtor",X189=1,AA189&gt;0),"Past due to you: as a micro or small supplier you can claim interest under MSMED s.16","OK")))))))))))</f>
        <v/>
      </c>
      <c r="P189">
        <f>IF(C189="","",IFERROR(VLOOKUP(C189,'Parties'!$B$13:$Q$112,2,FALSE),"?"))</f>
        <v/>
      </c>
      <c r="Q189">
        <f>IF(D189="","",IFERROR(VLOOKUP(D189,Lists!$A$2:$D$9,3,FALSE),"?"))</f>
        <v/>
      </c>
      <c r="R189">
        <f>IF(D189="","",IFERROR(VLOOKUP(D189,Lists!$A$2:$D$9,4,FALSE),"?"))</f>
        <v/>
      </c>
      <c r="S189">
        <f>IF(P189="Debtor",I189,IF(P189="Creditor",J189,0))</f>
        <v/>
      </c>
      <c r="T189">
        <f>IF(P189="Debtor",J189,IF(P189="Creditor",I189,0))</f>
        <v/>
      </c>
      <c r="U189">
        <f>IF(OR(S189=0,B189=""),0,IFERROR(VLOOKUP(C189,'Parties'!$B$13:$Q$112,13,FALSE),0)+SUMIFS($S$7:$S$506,$C$7:$C$506,C189,$B$7:$B$506,"&lt;"&amp;B189)+SUMIFS(S$7:S189,C$7:C189,C189,B$7:B189,B189))</f>
        <v/>
      </c>
      <c r="V189">
        <f>IF(S189=0,0,IFERROR(VLOOKUP(C189,'Parties'!$B$13:$Q$112,14,FALSE),0)+SUMIFS($T$7:$T$506,$C$7:$C$506,C189,$B$7:$B$506,"&lt;="&amp;'Outstanding'!$E$5))</f>
        <v/>
      </c>
      <c r="W189">
        <f>IF(OR('Outstanding'!$E$5="",S189=0,B189="",B189&gt;'Outstanding'!$E$5),0,MAX(0,MIN(S189,U189-V189)))</f>
        <v/>
      </c>
      <c r="X189">
        <f>IF(C189="",0,IFERROR(VLOOKUP(C189,'Parties'!$B$13:$Q$112,15,FALSE),0))</f>
        <v/>
      </c>
      <c r="Y189">
        <f>IF(C189="","",IFERROR(VLOOKUP(C189,'Parties'!$B$13:$Q$112,16,FALSE),0))</f>
        <v/>
      </c>
      <c r="Z189">
        <f>IF(OR(S189=0,B189="",Y189=""),"",IF(AND(F189&lt;&gt;"",D189="Purchase bill"),F189,B189)+Y189)</f>
        <v/>
      </c>
      <c r="AA189">
        <f>IF(OR(W189=0,Z189=""),0,MAX(0,'Outstanding'!$E$5-Z189))</f>
        <v/>
      </c>
      <c r="AB189">
        <f>IF(AND(X189=1,AA189&gt;0),W189*((1+3*N('Parties'!$E$10)/12)^(AA189*12/365)-1),0)</f>
        <v/>
      </c>
      <c r="AC189">
        <f>IF(W189=0,"",'Outstanding'!$E$5-B189)</f>
        <v/>
      </c>
      <c r="AD189">
        <f>IF(S189=0,0,IFERROR(VLOOKUP(C189,'Parties'!$B$13:$Q$112,14,FALSE),0)+SUMIFS($T$7:$T$506,$C$7:$C$506,C189,$B$7:$B$506,"&lt;="&amp;'Parties'!$E$8))</f>
        <v/>
      </c>
      <c r="AE189">
        <f>IF(OR('Parties'!$E$8="",S189=0,B189="",B189&gt;'Parties'!$E$8),0,MAX(0,MIN(S189,U189-AD189)))</f>
        <v/>
      </c>
      <c r="AF189">
        <f>IF(AND(P189="Creditor",X189=1,AE189&gt;0,Z189&lt;&gt;""),IF(Z189&lt;='Parties'!$E$8,AE189,0),0)</f>
        <v/>
      </c>
      <c r="AG189">
        <f>IF(OR(AE189=0,Z189=""),0,MAX(0,'Parties'!$E$8-Z189))</f>
        <v/>
      </c>
      <c r="AH189">
        <f>IF(AND(P189="Creditor",X189=1,AG189&gt;0),AE189*((1+3*N('Parties'!$E$10)/12)^(AG189*12/365)-1),0)</f>
        <v/>
      </c>
      <c r="AI189">
        <f>IF(AND(C189&lt;&gt;"",C189='Ledger Account'!$D$4,B189&lt;&gt;"",B189&gt;='Ledger Account'!$D$5,B189&lt;='Ledger Account'!$D$6),1,0)</f>
        <v/>
      </c>
      <c r="AJ189">
        <f>IF(AI189=1,SUM(AI$7:AI189),"")</f>
        <v/>
      </c>
      <c r="AK189">
        <f>IF(OR(N189="",N189="OK"),0,1)</f>
        <v/>
      </c>
    </row>
    <row r="190">
      <c r="B190" s="24" t="n"/>
      <c r="C190" s="14" t="n"/>
      <c r="D190" s="14" t="n"/>
      <c r="E190" s="20" t="n"/>
      <c r="F190" s="24" t="n"/>
      <c r="G190" s="14" t="n"/>
      <c r="H190" s="22" t="n"/>
      <c r="I190" s="25">
        <f>IF(Q190="D",N(H190),0)</f>
        <v/>
      </c>
      <c r="J190" s="25">
        <f>IF(Q190="C",N(H190),0)</f>
        <v/>
      </c>
      <c r="K190" s="26">
        <f>IF(Z190="","",Z190)</f>
        <v/>
      </c>
      <c r="L190" s="27">
        <f>W190</f>
        <v/>
      </c>
      <c r="M190" s="28">
        <f>AA190</f>
        <v/>
      </c>
      <c r="N190" s="23">
        <f>IF(AND(B190="",C190="",D190="",N(H190)=0),"",IF(B190="","Enter the date",IF(C190="","Pick the party",IF(P190="?","Add this party on the Parties sheet first",IF(D190="","Pick the entry type",IF(Q190="?","Pick the entry type from the list",IF(N(H190)=0,"Enter the amount",IF(AND(R190&lt;&gt;"Any",R190&lt;&gt;P190),"Sales, receipts and credit notes are for debtors; purchases, payments and debit notes for creditors",IF(AND(F190&lt;&gt;"",D190&lt;&gt;"Purchase bill"),"The received-on date is only for purchase bills",IF(AND(P190="Creditor",X190=1,AA190&gt;0),"Past due to a micro or small supplier: interest runs under MSMED s.16, and if unpaid at year end it is not deductible that year, s.37(2)(g)",IF(AND(P190="Debtor",X190=1,AA190&gt;0),"Past due to you: as a micro or small supplier you can claim interest under MSMED s.16","OK")))))))))))</f>
        <v/>
      </c>
      <c r="P190">
        <f>IF(C190="","",IFERROR(VLOOKUP(C190,'Parties'!$B$13:$Q$112,2,FALSE),"?"))</f>
        <v/>
      </c>
      <c r="Q190">
        <f>IF(D190="","",IFERROR(VLOOKUP(D190,Lists!$A$2:$D$9,3,FALSE),"?"))</f>
        <v/>
      </c>
      <c r="R190">
        <f>IF(D190="","",IFERROR(VLOOKUP(D190,Lists!$A$2:$D$9,4,FALSE),"?"))</f>
        <v/>
      </c>
      <c r="S190">
        <f>IF(P190="Debtor",I190,IF(P190="Creditor",J190,0))</f>
        <v/>
      </c>
      <c r="T190">
        <f>IF(P190="Debtor",J190,IF(P190="Creditor",I190,0))</f>
        <v/>
      </c>
      <c r="U190">
        <f>IF(OR(S190=0,B190=""),0,IFERROR(VLOOKUP(C190,'Parties'!$B$13:$Q$112,13,FALSE),0)+SUMIFS($S$7:$S$506,$C$7:$C$506,C190,$B$7:$B$506,"&lt;"&amp;B190)+SUMIFS(S$7:S190,C$7:C190,C190,B$7:B190,B190))</f>
        <v/>
      </c>
      <c r="V190">
        <f>IF(S190=0,0,IFERROR(VLOOKUP(C190,'Parties'!$B$13:$Q$112,14,FALSE),0)+SUMIFS($T$7:$T$506,$C$7:$C$506,C190,$B$7:$B$506,"&lt;="&amp;'Outstanding'!$E$5))</f>
        <v/>
      </c>
      <c r="W190">
        <f>IF(OR('Outstanding'!$E$5="",S190=0,B190="",B190&gt;'Outstanding'!$E$5),0,MAX(0,MIN(S190,U190-V190)))</f>
        <v/>
      </c>
      <c r="X190">
        <f>IF(C190="",0,IFERROR(VLOOKUP(C190,'Parties'!$B$13:$Q$112,15,FALSE),0))</f>
        <v/>
      </c>
      <c r="Y190">
        <f>IF(C190="","",IFERROR(VLOOKUP(C190,'Parties'!$B$13:$Q$112,16,FALSE),0))</f>
        <v/>
      </c>
      <c r="Z190">
        <f>IF(OR(S190=0,B190="",Y190=""),"",IF(AND(F190&lt;&gt;"",D190="Purchase bill"),F190,B190)+Y190)</f>
        <v/>
      </c>
      <c r="AA190">
        <f>IF(OR(W190=0,Z190=""),0,MAX(0,'Outstanding'!$E$5-Z190))</f>
        <v/>
      </c>
      <c r="AB190">
        <f>IF(AND(X190=1,AA190&gt;0),W190*((1+3*N('Parties'!$E$10)/12)^(AA190*12/365)-1),0)</f>
        <v/>
      </c>
      <c r="AC190">
        <f>IF(W190=0,"",'Outstanding'!$E$5-B190)</f>
        <v/>
      </c>
      <c r="AD190">
        <f>IF(S190=0,0,IFERROR(VLOOKUP(C190,'Parties'!$B$13:$Q$112,14,FALSE),0)+SUMIFS($T$7:$T$506,$C$7:$C$506,C190,$B$7:$B$506,"&lt;="&amp;'Parties'!$E$8))</f>
        <v/>
      </c>
      <c r="AE190">
        <f>IF(OR('Parties'!$E$8="",S190=0,B190="",B190&gt;'Parties'!$E$8),0,MAX(0,MIN(S190,U190-AD190)))</f>
        <v/>
      </c>
      <c r="AF190">
        <f>IF(AND(P190="Creditor",X190=1,AE190&gt;0,Z190&lt;&gt;""),IF(Z190&lt;='Parties'!$E$8,AE190,0),0)</f>
        <v/>
      </c>
      <c r="AG190">
        <f>IF(OR(AE190=0,Z190=""),0,MAX(0,'Parties'!$E$8-Z190))</f>
        <v/>
      </c>
      <c r="AH190">
        <f>IF(AND(P190="Creditor",X190=1,AG190&gt;0),AE190*((1+3*N('Parties'!$E$10)/12)^(AG190*12/365)-1),0)</f>
        <v/>
      </c>
      <c r="AI190">
        <f>IF(AND(C190&lt;&gt;"",C190='Ledger Account'!$D$4,B190&lt;&gt;"",B190&gt;='Ledger Account'!$D$5,B190&lt;='Ledger Account'!$D$6),1,0)</f>
        <v/>
      </c>
      <c r="AJ190">
        <f>IF(AI190=1,SUM(AI$7:AI190),"")</f>
        <v/>
      </c>
      <c r="AK190">
        <f>IF(OR(N190="",N190="OK"),0,1)</f>
        <v/>
      </c>
    </row>
    <row r="191">
      <c r="B191" s="24" t="n"/>
      <c r="C191" s="14" t="n"/>
      <c r="D191" s="14" t="n"/>
      <c r="E191" s="20" t="n"/>
      <c r="F191" s="24" t="n"/>
      <c r="G191" s="14" t="n"/>
      <c r="H191" s="22" t="n"/>
      <c r="I191" s="25">
        <f>IF(Q191="D",N(H191),0)</f>
        <v/>
      </c>
      <c r="J191" s="25">
        <f>IF(Q191="C",N(H191),0)</f>
        <v/>
      </c>
      <c r="K191" s="26">
        <f>IF(Z191="","",Z191)</f>
        <v/>
      </c>
      <c r="L191" s="27">
        <f>W191</f>
        <v/>
      </c>
      <c r="M191" s="28">
        <f>AA191</f>
        <v/>
      </c>
      <c r="N191" s="23">
        <f>IF(AND(B191="",C191="",D191="",N(H191)=0),"",IF(B191="","Enter the date",IF(C191="","Pick the party",IF(P191="?","Add this party on the Parties sheet first",IF(D191="","Pick the entry type",IF(Q191="?","Pick the entry type from the list",IF(N(H191)=0,"Enter the amount",IF(AND(R191&lt;&gt;"Any",R191&lt;&gt;P191),"Sales, receipts and credit notes are for debtors; purchases, payments and debit notes for creditors",IF(AND(F191&lt;&gt;"",D191&lt;&gt;"Purchase bill"),"The received-on date is only for purchase bills",IF(AND(P191="Creditor",X191=1,AA191&gt;0),"Past due to a micro or small supplier: interest runs under MSMED s.16, and if unpaid at year end it is not deductible that year, s.37(2)(g)",IF(AND(P191="Debtor",X191=1,AA191&gt;0),"Past due to you: as a micro or small supplier you can claim interest under MSMED s.16","OK")))))))))))</f>
        <v/>
      </c>
      <c r="P191">
        <f>IF(C191="","",IFERROR(VLOOKUP(C191,'Parties'!$B$13:$Q$112,2,FALSE),"?"))</f>
        <v/>
      </c>
      <c r="Q191">
        <f>IF(D191="","",IFERROR(VLOOKUP(D191,Lists!$A$2:$D$9,3,FALSE),"?"))</f>
        <v/>
      </c>
      <c r="R191">
        <f>IF(D191="","",IFERROR(VLOOKUP(D191,Lists!$A$2:$D$9,4,FALSE),"?"))</f>
        <v/>
      </c>
      <c r="S191">
        <f>IF(P191="Debtor",I191,IF(P191="Creditor",J191,0))</f>
        <v/>
      </c>
      <c r="T191">
        <f>IF(P191="Debtor",J191,IF(P191="Creditor",I191,0))</f>
        <v/>
      </c>
      <c r="U191">
        <f>IF(OR(S191=0,B191=""),0,IFERROR(VLOOKUP(C191,'Parties'!$B$13:$Q$112,13,FALSE),0)+SUMIFS($S$7:$S$506,$C$7:$C$506,C191,$B$7:$B$506,"&lt;"&amp;B191)+SUMIFS(S$7:S191,C$7:C191,C191,B$7:B191,B191))</f>
        <v/>
      </c>
      <c r="V191">
        <f>IF(S191=0,0,IFERROR(VLOOKUP(C191,'Parties'!$B$13:$Q$112,14,FALSE),0)+SUMIFS($T$7:$T$506,$C$7:$C$506,C191,$B$7:$B$506,"&lt;="&amp;'Outstanding'!$E$5))</f>
        <v/>
      </c>
      <c r="W191">
        <f>IF(OR('Outstanding'!$E$5="",S191=0,B191="",B191&gt;'Outstanding'!$E$5),0,MAX(0,MIN(S191,U191-V191)))</f>
        <v/>
      </c>
      <c r="X191">
        <f>IF(C191="",0,IFERROR(VLOOKUP(C191,'Parties'!$B$13:$Q$112,15,FALSE),0))</f>
        <v/>
      </c>
      <c r="Y191">
        <f>IF(C191="","",IFERROR(VLOOKUP(C191,'Parties'!$B$13:$Q$112,16,FALSE),0))</f>
        <v/>
      </c>
      <c r="Z191">
        <f>IF(OR(S191=0,B191="",Y191=""),"",IF(AND(F191&lt;&gt;"",D191="Purchase bill"),F191,B191)+Y191)</f>
        <v/>
      </c>
      <c r="AA191">
        <f>IF(OR(W191=0,Z191=""),0,MAX(0,'Outstanding'!$E$5-Z191))</f>
        <v/>
      </c>
      <c r="AB191">
        <f>IF(AND(X191=1,AA191&gt;0),W191*((1+3*N('Parties'!$E$10)/12)^(AA191*12/365)-1),0)</f>
        <v/>
      </c>
      <c r="AC191">
        <f>IF(W191=0,"",'Outstanding'!$E$5-B191)</f>
        <v/>
      </c>
      <c r="AD191">
        <f>IF(S191=0,0,IFERROR(VLOOKUP(C191,'Parties'!$B$13:$Q$112,14,FALSE),0)+SUMIFS($T$7:$T$506,$C$7:$C$506,C191,$B$7:$B$506,"&lt;="&amp;'Parties'!$E$8))</f>
        <v/>
      </c>
      <c r="AE191">
        <f>IF(OR('Parties'!$E$8="",S191=0,B191="",B191&gt;'Parties'!$E$8),0,MAX(0,MIN(S191,U191-AD191)))</f>
        <v/>
      </c>
      <c r="AF191">
        <f>IF(AND(P191="Creditor",X191=1,AE191&gt;0,Z191&lt;&gt;""),IF(Z191&lt;='Parties'!$E$8,AE191,0),0)</f>
        <v/>
      </c>
      <c r="AG191">
        <f>IF(OR(AE191=0,Z191=""),0,MAX(0,'Parties'!$E$8-Z191))</f>
        <v/>
      </c>
      <c r="AH191">
        <f>IF(AND(P191="Creditor",X191=1,AG191&gt;0),AE191*((1+3*N('Parties'!$E$10)/12)^(AG191*12/365)-1),0)</f>
        <v/>
      </c>
      <c r="AI191">
        <f>IF(AND(C191&lt;&gt;"",C191='Ledger Account'!$D$4,B191&lt;&gt;"",B191&gt;='Ledger Account'!$D$5,B191&lt;='Ledger Account'!$D$6),1,0)</f>
        <v/>
      </c>
      <c r="AJ191">
        <f>IF(AI191=1,SUM(AI$7:AI191),"")</f>
        <v/>
      </c>
      <c r="AK191">
        <f>IF(OR(N191="",N191="OK"),0,1)</f>
        <v/>
      </c>
    </row>
    <row r="192">
      <c r="B192" s="24" t="n"/>
      <c r="C192" s="14" t="n"/>
      <c r="D192" s="14" t="n"/>
      <c r="E192" s="20" t="n"/>
      <c r="F192" s="24" t="n"/>
      <c r="G192" s="14" t="n"/>
      <c r="H192" s="22" t="n"/>
      <c r="I192" s="25">
        <f>IF(Q192="D",N(H192),0)</f>
        <v/>
      </c>
      <c r="J192" s="25">
        <f>IF(Q192="C",N(H192),0)</f>
        <v/>
      </c>
      <c r="K192" s="26">
        <f>IF(Z192="","",Z192)</f>
        <v/>
      </c>
      <c r="L192" s="27">
        <f>W192</f>
        <v/>
      </c>
      <c r="M192" s="28">
        <f>AA192</f>
        <v/>
      </c>
      <c r="N192" s="23">
        <f>IF(AND(B192="",C192="",D192="",N(H192)=0),"",IF(B192="","Enter the date",IF(C192="","Pick the party",IF(P192="?","Add this party on the Parties sheet first",IF(D192="","Pick the entry type",IF(Q192="?","Pick the entry type from the list",IF(N(H192)=0,"Enter the amount",IF(AND(R192&lt;&gt;"Any",R192&lt;&gt;P192),"Sales, receipts and credit notes are for debtors; purchases, payments and debit notes for creditors",IF(AND(F192&lt;&gt;"",D192&lt;&gt;"Purchase bill"),"The received-on date is only for purchase bills",IF(AND(P192="Creditor",X192=1,AA192&gt;0),"Past due to a micro or small supplier: interest runs under MSMED s.16, and if unpaid at year end it is not deductible that year, s.37(2)(g)",IF(AND(P192="Debtor",X192=1,AA192&gt;0),"Past due to you: as a micro or small supplier you can claim interest under MSMED s.16","OK")))))))))))</f>
        <v/>
      </c>
      <c r="P192">
        <f>IF(C192="","",IFERROR(VLOOKUP(C192,'Parties'!$B$13:$Q$112,2,FALSE),"?"))</f>
        <v/>
      </c>
      <c r="Q192">
        <f>IF(D192="","",IFERROR(VLOOKUP(D192,Lists!$A$2:$D$9,3,FALSE),"?"))</f>
        <v/>
      </c>
      <c r="R192">
        <f>IF(D192="","",IFERROR(VLOOKUP(D192,Lists!$A$2:$D$9,4,FALSE),"?"))</f>
        <v/>
      </c>
      <c r="S192">
        <f>IF(P192="Debtor",I192,IF(P192="Creditor",J192,0))</f>
        <v/>
      </c>
      <c r="T192">
        <f>IF(P192="Debtor",J192,IF(P192="Creditor",I192,0))</f>
        <v/>
      </c>
      <c r="U192">
        <f>IF(OR(S192=0,B192=""),0,IFERROR(VLOOKUP(C192,'Parties'!$B$13:$Q$112,13,FALSE),0)+SUMIFS($S$7:$S$506,$C$7:$C$506,C192,$B$7:$B$506,"&lt;"&amp;B192)+SUMIFS(S$7:S192,C$7:C192,C192,B$7:B192,B192))</f>
        <v/>
      </c>
      <c r="V192">
        <f>IF(S192=0,0,IFERROR(VLOOKUP(C192,'Parties'!$B$13:$Q$112,14,FALSE),0)+SUMIFS($T$7:$T$506,$C$7:$C$506,C192,$B$7:$B$506,"&lt;="&amp;'Outstanding'!$E$5))</f>
        <v/>
      </c>
      <c r="W192">
        <f>IF(OR('Outstanding'!$E$5="",S192=0,B192="",B192&gt;'Outstanding'!$E$5),0,MAX(0,MIN(S192,U192-V192)))</f>
        <v/>
      </c>
      <c r="X192">
        <f>IF(C192="",0,IFERROR(VLOOKUP(C192,'Parties'!$B$13:$Q$112,15,FALSE),0))</f>
        <v/>
      </c>
      <c r="Y192">
        <f>IF(C192="","",IFERROR(VLOOKUP(C192,'Parties'!$B$13:$Q$112,16,FALSE),0))</f>
        <v/>
      </c>
      <c r="Z192">
        <f>IF(OR(S192=0,B192="",Y192=""),"",IF(AND(F192&lt;&gt;"",D192="Purchase bill"),F192,B192)+Y192)</f>
        <v/>
      </c>
      <c r="AA192">
        <f>IF(OR(W192=0,Z192=""),0,MAX(0,'Outstanding'!$E$5-Z192))</f>
        <v/>
      </c>
      <c r="AB192">
        <f>IF(AND(X192=1,AA192&gt;0),W192*((1+3*N('Parties'!$E$10)/12)^(AA192*12/365)-1),0)</f>
        <v/>
      </c>
      <c r="AC192">
        <f>IF(W192=0,"",'Outstanding'!$E$5-B192)</f>
        <v/>
      </c>
      <c r="AD192">
        <f>IF(S192=0,0,IFERROR(VLOOKUP(C192,'Parties'!$B$13:$Q$112,14,FALSE),0)+SUMIFS($T$7:$T$506,$C$7:$C$506,C192,$B$7:$B$506,"&lt;="&amp;'Parties'!$E$8))</f>
        <v/>
      </c>
      <c r="AE192">
        <f>IF(OR('Parties'!$E$8="",S192=0,B192="",B192&gt;'Parties'!$E$8),0,MAX(0,MIN(S192,U192-AD192)))</f>
        <v/>
      </c>
      <c r="AF192">
        <f>IF(AND(P192="Creditor",X192=1,AE192&gt;0,Z192&lt;&gt;""),IF(Z192&lt;='Parties'!$E$8,AE192,0),0)</f>
        <v/>
      </c>
      <c r="AG192">
        <f>IF(OR(AE192=0,Z192=""),0,MAX(0,'Parties'!$E$8-Z192))</f>
        <v/>
      </c>
      <c r="AH192">
        <f>IF(AND(P192="Creditor",X192=1,AG192&gt;0),AE192*((1+3*N('Parties'!$E$10)/12)^(AG192*12/365)-1),0)</f>
        <v/>
      </c>
      <c r="AI192">
        <f>IF(AND(C192&lt;&gt;"",C192='Ledger Account'!$D$4,B192&lt;&gt;"",B192&gt;='Ledger Account'!$D$5,B192&lt;='Ledger Account'!$D$6),1,0)</f>
        <v/>
      </c>
      <c r="AJ192">
        <f>IF(AI192=1,SUM(AI$7:AI192),"")</f>
        <v/>
      </c>
      <c r="AK192">
        <f>IF(OR(N192="",N192="OK"),0,1)</f>
        <v/>
      </c>
    </row>
    <row r="193">
      <c r="B193" s="24" t="n"/>
      <c r="C193" s="14" t="n"/>
      <c r="D193" s="14" t="n"/>
      <c r="E193" s="20" t="n"/>
      <c r="F193" s="24" t="n"/>
      <c r="G193" s="14" t="n"/>
      <c r="H193" s="22" t="n"/>
      <c r="I193" s="25">
        <f>IF(Q193="D",N(H193),0)</f>
        <v/>
      </c>
      <c r="J193" s="25">
        <f>IF(Q193="C",N(H193),0)</f>
        <v/>
      </c>
      <c r="K193" s="26">
        <f>IF(Z193="","",Z193)</f>
        <v/>
      </c>
      <c r="L193" s="27">
        <f>W193</f>
        <v/>
      </c>
      <c r="M193" s="28">
        <f>AA193</f>
        <v/>
      </c>
      <c r="N193" s="23">
        <f>IF(AND(B193="",C193="",D193="",N(H193)=0),"",IF(B193="","Enter the date",IF(C193="","Pick the party",IF(P193="?","Add this party on the Parties sheet first",IF(D193="","Pick the entry type",IF(Q193="?","Pick the entry type from the list",IF(N(H193)=0,"Enter the amount",IF(AND(R193&lt;&gt;"Any",R193&lt;&gt;P193),"Sales, receipts and credit notes are for debtors; purchases, payments and debit notes for creditors",IF(AND(F193&lt;&gt;"",D193&lt;&gt;"Purchase bill"),"The received-on date is only for purchase bills",IF(AND(P193="Creditor",X193=1,AA193&gt;0),"Past due to a micro or small supplier: interest runs under MSMED s.16, and if unpaid at year end it is not deductible that year, s.37(2)(g)",IF(AND(P193="Debtor",X193=1,AA193&gt;0),"Past due to you: as a micro or small supplier you can claim interest under MSMED s.16","OK")))))))))))</f>
        <v/>
      </c>
      <c r="P193">
        <f>IF(C193="","",IFERROR(VLOOKUP(C193,'Parties'!$B$13:$Q$112,2,FALSE),"?"))</f>
        <v/>
      </c>
      <c r="Q193">
        <f>IF(D193="","",IFERROR(VLOOKUP(D193,Lists!$A$2:$D$9,3,FALSE),"?"))</f>
        <v/>
      </c>
      <c r="R193">
        <f>IF(D193="","",IFERROR(VLOOKUP(D193,Lists!$A$2:$D$9,4,FALSE),"?"))</f>
        <v/>
      </c>
      <c r="S193">
        <f>IF(P193="Debtor",I193,IF(P193="Creditor",J193,0))</f>
        <v/>
      </c>
      <c r="T193">
        <f>IF(P193="Debtor",J193,IF(P193="Creditor",I193,0))</f>
        <v/>
      </c>
      <c r="U193">
        <f>IF(OR(S193=0,B193=""),0,IFERROR(VLOOKUP(C193,'Parties'!$B$13:$Q$112,13,FALSE),0)+SUMIFS($S$7:$S$506,$C$7:$C$506,C193,$B$7:$B$506,"&lt;"&amp;B193)+SUMIFS(S$7:S193,C$7:C193,C193,B$7:B193,B193))</f>
        <v/>
      </c>
      <c r="V193">
        <f>IF(S193=0,0,IFERROR(VLOOKUP(C193,'Parties'!$B$13:$Q$112,14,FALSE),0)+SUMIFS($T$7:$T$506,$C$7:$C$506,C193,$B$7:$B$506,"&lt;="&amp;'Outstanding'!$E$5))</f>
        <v/>
      </c>
      <c r="W193">
        <f>IF(OR('Outstanding'!$E$5="",S193=0,B193="",B193&gt;'Outstanding'!$E$5),0,MAX(0,MIN(S193,U193-V193)))</f>
        <v/>
      </c>
      <c r="X193">
        <f>IF(C193="",0,IFERROR(VLOOKUP(C193,'Parties'!$B$13:$Q$112,15,FALSE),0))</f>
        <v/>
      </c>
      <c r="Y193">
        <f>IF(C193="","",IFERROR(VLOOKUP(C193,'Parties'!$B$13:$Q$112,16,FALSE),0))</f>
        <v/>
      </c>
      <c r="Z193">
        <f>IF(OR(S193=0,B193="",Y193=""),"",IF(AND(F193&lt;&gt;"",D193="Purchase bill"),F193,B193)+Y193)</f>
        <v/>
      </c>
      <c r="AA193">
        <f>IF(OR(W193=0,Z193=""),0,MAX(0,'Outstanding'!$E$5-Z193))</f>
        <v/>
      </c>
      <c r="AB193">
        <f>IF(AND(X193=1,AA193&gt;0),W193*((1+3*N('Parties'!$E$10)/12)^(AA193*12/365)-1),0)</f>
        <v/>
      </c>
      <c r="AC193">
        <f>IF(W193=0,"",'Outstanding'!$E$5-B193)</f>
        <v/>
      </c>
      <c r="AD193">
        <f>IF(S193=0,0,IFERROR(VLOOKUP(C193,'Parties'!$B$13:$Q$112,14,FALSE),0)+SUMIFS($T$7:$T$506,$C$7:$C$506,C193,$B$7:$B$506,"&lt;="&amp;'Parties'!$E$8))</f>
        <v/>
      </c>
      <c r="AE193">
        <f>IF(OR('Parties'!$E$8="",S193=0,B193="",B193&gt;'Parties'!$E$8),0,MAX(0,MIN(S193,U193-AD193)))</f>
        <v/>
      </c>
      <c r="AF193">
        <f>IF(AND(P193="Creditor",X193=1,AE193&gt;0,Z193&lt;&gt;""),IF(Z193&lt;='Parties'!$E$8,AE193,0),0)</f>
        <v/>
      </c>
      <c r="AG193">
        <f>IF(OR(AE193=0,Z193=""),0,MAX(0,'Parties'!$E$8-Z193))</f>
        <v/>
      </c>
      <c r="AH193">
        <f>IF(AND(P193="Creditor",X193=1,AG193&gt;0),AE193*((1+3*N('Parties'!$E$10)/12)^(AG193*12/365)-1),0)</f>
        <v/>
      </c>
      <c r="AI193">
        <f>IF(AND(C193&lt;&gt;"",C193='Ledger Account'!$D$4,B193&lt;&gt;"",B193&gt;='Ledger Account'!$D$5,B193&lt;='Ledger Account'!$D$6),1,0)</f>
        <v/>
      </c>
      <c r="AJ193">
        <f>IF(AI193=1,SUM(AI$7:AI193),"")</f>
        <v/>
      </c>
      <c r="AK193">
        <f>IF(OR(N193="",N193="OK"),0,1)</f>
        <v/>
      </c>
    </row>
    <row r="194">
      <c r="B194" s="24" t="n"/>
      <c r="C194" s="14" t="n"/>
      <c r="D194" s="14" t="n"/>
      <c r="E194" s="20" t="n"/>
      <c r="F194" s="24" t="n"/>
      <c r="G194" s="14" t="n"/>
      <c r="H194" s="22" t="n"/>
      <c r="I194" s="25">
        <f>IF(Q194="D",N(H194),0)</f>
        <v/>
      </c>
      <c r="J194" s="25">
        <f>IF(Q194="C",N(H194),0)</f>
        <v/>
      </c>
      <c r="K194" s="26">
        <f>IF(Z194="","",Z194)</f>
        <v/>
      </c>
      <c r="L194" s="27">
        <f>W194</f>
        <v/>
      </c>
      <c r="M194" s="28">
        <f>AA194</f>
        <v/>
      </c>
      <c r="N194" s="23">
        <f>IF(AND(B194="",C194="",D194="",N(H194)=0),"",IF(B194="","Enter the date",IF(C194="","Pick the party",IF(P194="?","Add this party on the Parties sheet first",IF(D194="","Pick the entry type",IF(Q194="?","Pick the entry type from the list",IF(N(H194)=0,"Enter the amount",IF(AND(R194&lt;&gt;"Any",R194&lt;&gt;P194),"Sales, receipts and credit notes are for debtors; purchases, payments and debit notes for creditors",IF(AND(F194&lt;&gt;"",D194&lt;&gt;"Purchase bill"),"The received-on date is only for purchase bills",IF(AND(P194="Creditor",X194=1,AA194&gt;0),"Past due to a micro or small supplier: interest runs under MSMED s.16, and if unpaid at year end it is not deductible that year, s.37(2)(g)",IF(AND(P194="Debtor",X194=1,AA194&gt;0),"Past due to you: as a micro or small supplier you can claim interest under MSMED s.16","OK")))))))))))</f>
        <v/>
      </c>
      <c r="P194">
        <f>IF(C194="","",IFERROR(VLOOKUP(C194,'Parties'!$B$13:$Q$112,2,FALSE),"?"))</f>
        <v/>
      </c>
      <c r="Q194">
        <f>IF(D194="","",IFERROR(VLOOKUP(D194,Lists!$A$2:$D$9,3,FALSE),"?"))</f>
        <v/>
      </c>
      <c r="R194">
        <f>IF(D194="","",IFERROR(VLOOKUP(D194,Lists!$A$2:$D$9,4,FALSE),"?"))</f>
        <v/>
      </c>
      <c r="S194">
        <f>IF(P194="Debtor",I194,IF(P194="Creditor",J194,0))</f>
        <v/>
      </c>
      <c r="T194">
        <f>IF(P194="Debtor",J194,IF(P194="Creditor",I194,0))</f>
        <v/>
      </c>
      <c r="U194">
        <f>IF(OR(S194=0,B194=""),0,IFERROR(VLOOKUP(C194,'Parties'!$B$13:$Q$112,13,FALSE),0)+SUMIFS($S$7:$S$506,$C$7:$C$506,C194,$B$7:$B$506,"&lt;"&amp;B194)+SUMIFS(S$7:S194,C$7:C194,C194,B$7:B194,B194))</f>
        <v/>
      </c>
      <c r="V194">
        <f>IF(S194=0,0,IFERROR(VLOOKUP(C194,'Parties'!$B$13:$Q$112,14,FALSE),0)+SUMIFS($T$7:$T$506,$C$7:$C$506,C194,$B$7:$B$506,"&lt;="&amp;'Outstanding'!$E$5))</f>
        <v/>
      </c>
      <c r="W194">
        <f>IF(OR('Outstanding'!$E$5="",S194=0,B194="",B194&gt;'Outstanding'!$E$5),0,MAX(0,MIN(S194,U194-V194)))</f>
        <v/>
      </c>
      <c r="X194">
        <f>IF(C194="",0,IFERROR(VLOOKUP(C194,'Parties'!$B$13:$Q$112,15,FALSE),0))</f>
        <v/>
      </c>
      <c r="Y194">
        <f>IF(C194="","",IFERROR(VLOOKUP(C194,'Parties'!$B$13:$Q$112,16,FALSE),0))</f>
        <v/>
      </c>
      <c r="Z194">
        <f>IF(OR(S194=0,B194="",Y194=""),"",IF(AND(F194&lt;&gt;"",D194="Purchase bill"),F194,B194)+Y194)</f>
        <v/>
      </c>
      <c r="AA194">
        <f>IF(OR(W194=0,Z194=""),0,MAX(0,'Outstanding'!$E$5-Z194))</f>
        <v/>
      </c>
      <c r="AB194">
        <f>IF(AND(X194=1,AA194&gt;0),W194*((1+3*N('Parties'!$E$10)/12)^(AA194*12/365)-1),0)</f>
        <v/>
      </c>
      <c r="AC194">
        <f>IF(W194=0,"",'Outstanding'!$E$5-B194)</f>
        <v/>
      </c>
      <c r="AD194">
        <f>IF(S194=0,0,IFERROR(VLOOKUP(C194,'Parties'!$B$13:$Q$112,14,FALSE),0)+SUMIFS($T$7:$T$506,$C$7:$C$506,C194,$B$7:$B$506,"&lt;="&amp;'Parties'!$E$8))</f>
        <v/>
      </c>
      <c r="AE194">
        <f>IF(OR('Parties'!$E$8="",S194=0,B194="",B194&gt;'Parties'!$E$8),0,MAX(0,MIN(S194,U194-AD194)))</f>
        <v/>
      </c>
      <c r="AF194">
        <f>IF(AND(P194="Creditor",X194=1,AE194&gt;0,Z194&lt;&gt;""),IF(Z194&lt;='Parties'!$E$8,AE194,0),0)</f>
        <v/>
      </c>
      <c r="AG194">
        <f>IF(OR(AE194=0,Z194=""),0,MAX(0,'Parties'!$E$8-Z194))</f>
        <v/>
      </c>
      <c r="AH194">
        <f>IF(AND(P194="Creditor",X194=1,AG194&gt;0),AE194*((1+3*N('Parties'!$E$10)/12)^(AG194*12/365)-1),0)</f>
        <v/>
      </c>
      <c r="AI194">
        <f>IF(AND(C194&lt;&gt;"",C194='Ledger Account'!$D$4,B194&lt;&gt;"",B194&gt;='Ledger Account'!$D$5,B194&lt;='Ledger Account'!$D$6),1,0)</f>
        <v/>
      </c>
      <c r="AJ194">
        <f>IF(AI194=1,SUM(AI$7:AI194),"")</f>
        <v/>
      </c>
      <c r="AK194">
        <f>IF(OR(N194="",N194="OK"),0,1)</f>
        <v/>
      </c>
    </row>
    <row r="195">
      <c r="B195" s="24" t="n"/>
      <c r="C195" s="14" t="n"/>
      <c r="D195" s="14" t="n"/>
      <c r="E195" s="20" t="n"/>
      <c r="F195" s="24" t="n"/>
      <c r="G195" s="14" t="n"/>
      <c r="H195" s="22" t="n"/>
      <c r="I195" s="25">
        <f>IF(Q195="D",N(H195),0)</f>
        <v/>
      </c>
      <c r="J195" s="25">
        <f>IF(Q195="C",N(H195),0)</f>
        <v/>
      </c>
      <c r="K195" s="26">
        <f>IF(Z195="","",Z195)</f>
        <v/>
      </c>
      <c r="L195" s="27">
        <f>W195</f>
        <v/>
      </c>
      <c r="M195" s="28">
        <f>AA195</f>
        <v/>
      </c>
      <c r="N195" s="23">
        <f>IF(AND(B195="",C195="",D195="",N(H195)=0),"",IF(B195="","Enter the date",IF(C195="","Pick the party",IF(P195="?","Add this party on the Parties sheet first",IF(D195="","Pick the entry type",IF(Q195="?","Pick the entry type from the list",IF(N(H195)=0,"Enter the amount",IF(AND(R195&lt;&gt;"Any",R195&lt;&gt;P195),"Sales, receipts and credit notes are for debtors; purchases, payments and debit notes for creditors",IF(AND(F195&lt;&gt;"",D195&lt;&gt;"Purchase bill"),"The received-on date is only for purchase bills",IF(AND(P195="Creditor",X195=1,AA195&gt;0),"Past due to a micro or small supplier: interest runs under MSMED s.16, and if unpaid at year end it is not deductible that year, s.37(2)(g)",IF(AND(P195="Debtor",X195=1,AA195&gt;0),"Past due to you: as a micro or small supplier you can claim interest under MSMED s.16","OK")))))))))))</f>
        <v/>
      </c>
      <c r="P195">
        <f>IF(C195="","",IFERROR(VLOOKUP(C195,'Parties'!$B$13:$Q$112,2,FALSE),"?"))</f>
        <v/>
      </c>
      <c r="Q195">
        <f>IF(D195="","",IFERROR(VLOOKUP(D195,Lists!$A$2:$D$9,3,FALSE),"?"))</f>
        <v/>
      </c>
      <c r="R195">
        <f>IF(D195="","",IFERROR(VLOOKUP(D195,Lists!$A$2:$D$9,4,FALSE),"?"))</f>
        <v/>
      </c>
      <c r="S195">
        <f>IF(P195="Debtor",I195,IF(P195="Creditor",J195,0))</f>
        <v/>
      </c>
      <c r="T195">
        <f>IF(P195="Debtor",J195,IF(P195="Creditor",I195,0))</f>
        <v/>
      </c>
      <c r="U195">
        <f>IF(OR(S195=0,B195=""),0,IFERROR(VLOOKUP(C195,'Parties'!$B$13:$Q$112,13,FALSE),0)+SUMIFS($S$7:$S$506,$C$7:$C$506,C195,$B$7:$B$506,"&lt;"&amp;B195)+SUMIFS(S$7:S195,C$7:C195,C195,B$7:B195,B195))</f>
        <v/>
      </c>
      <c r="V195">
        <f>IF(S195=0,0,IFERROR(VLOOKUP(C195,'Parties'!$B$13:$Q$112,14,FALSE),0)+SUMIFS($T$7:$T$506,$C$7:$C$506,C195,$B$7:$B$506,"&lt;="&amp;'Outstanding'!$E$5))</f>
        <v/>
      </c>
      <c r="W195">
        <f>IF(OR('Outstanding'!$E$5="",S195=0,B195="",B195&gt;'Outstanding'!$E$5),0,MAX(0,MIN(S195,U195-V195)))</f>
        <v/>
      </c>
      <c r="X195">
        <f>IF(C195="",0,IFERROR(VLOOKUP(C195,'Parties'!$B$13:$Q$112,15,FALSE),0))</f>
        <v/>
      </c>
      <c r="Y195">
        <f>IF(C195="","",IFERROR(VLOOKUP(C195,'Parties'!$B$13:$Q$112,16,FALSE),0))</f>
        <v/>
      </c>
      <c r="Z195">
        <f>IF(OR(S195=0,B195="",Y195=""),"",IF(AND(F195&lt;&gt;"",D195="Purchase bill"),F195,B195)+Y195)</f>
        <v/>
      </c>
      <c r="AA195">
        <f>IF(OR(W195=0,Z195=""),0,MAX(0,'Outstanding'!$E$5-Z195))</f>
        <v/>
      </c>
      <c r="AB195">
        <f>IF(AND(X195=1,AA195&gt;0),W195*((1+3*N('Parties'!$E$10)/12)^(AA195*12/365)-1),0)</f>
        <v/>
      </c>
      <c r="AC195">
        <f>IF(W195=0,"",'Outstanding'!$E$5-B195)</f>
        <v/>
      </c>
      <c r="AD195">
        <f>IF(S195=0,0,IFERROR(VLOOKUP(C195,'Parties'!$B$13:$Q$112,14,FALSE),0)+SUMIFS($T$7:$T$506,$C$7:$C$506,C195,$B$7:$B$506,"&lt;="&amp;'Parties'!$E$8))</f>
        <v/>
      </c>
      <c r="AE195">
        <f>IF(OR('Parties'!$E$8="",S195=0,B195="",B195&gt;'Parties'!$E$8),0,MAX(0,MIN(S195,U195-AD195)))</f>
        <v/>
      </c>
      <c r="AF195">
        <f>IF(AND(P195="Creditor",X195=1,AE195&gt;0,Z195&lt;&gt;""),IF(Z195&lt;='Parties'!$E$8,AE195,0),0)</f>
        <v/>
      </c>
      <c r="AG195">
        <f>IF(OR(AE195=0,Z195=""),0,MAX(0,'Parties'!$E$8-Z195))</f>
        <v/>
      </c>
      <c r="AH195">
        <f>IF(AND(P195="Creditor",X195=1,AG195&gt;0),AE195*((1+3*N('Parties'!$E$10)/12)^(AG195*12/365)-1),0)</f>
        <v/>
      </c>
      <c r="AI195">
        <f>IF(AND(C195&lt;&gt;"",C195='Ledger Account'!$D$4,B195&lt;&gt;"",B195&gt;='Ledger Account'!$D$5,B195&lt;='Ledger Account'!$D$6),1,0)</f>
        <v/>
      </c>
      <c r="AJ195">
        <f>IF(AI195=1,SUM(AI$7:AI195),"")</f>
        <v/>
      </c>
      <c r="AK195">
        <f>IF(OR(N195="",N195="OK"),0,1)</f>
        <v/>
      </c>
    </row>
    <row r="196">
      <c r="B196" s="24" t="n"/>
      <c r="C196" s="14" t="n"/>
      <c r="D196" s="14" t="n"/>
      <c r="E196" s="20" t="n"/>
      <c r="F196" s="24" t="n"/>
      <c r="G196" s="14" t="n"/>
      <c r="H196" s="22" t="n"/>
      <c r="I196" s="25">
        <f>IF(Q196="D",N(H196),0)</f>
        <v/>
      </c>
      <c r="J196" s="25">
        <f>IF(Q196="C",N(H196),0)</f>
        <v/>
      </c>
      <c r="K196" s="26">
        <f>IF(Z196="","",Z196)</f>
        <v/>
      </c>
      <c r="L196" s="27">
        <f>W196</f>
        <v/>
      </c>
      <c r="M196" s="28">
        <f>AA196</f>
        <v/>
      </c>
      <c r="N196" s="23">
        <f>IF(AND(B196="",C196="",D196="",N(H196)=0),"",IF(B196="","Enter the date",IF(C196="","Pick the party",IF(P196="?","Add this party on the Parties sheet first",IF(D196="","Pick the entry type",IF(Q196="?","Pick the entry type from the list",IF(N(H196)=0,"Enter the amount",IF(AND(R196&lt;&gt;"Any",R196&lt;&gt;P196),"Sales, receipts and credit notes are for debtors; purchases, payments and debit notes for creditors",IF(AND(F196&lt;&gt;"",D196&lt;&gt;"Purchase bill"),"The received-on date is only for purchase bills",IF(AND(P196="Creditor",X196=1,AA196&gt;0),"Past due to a micro or small supplier: interest runs under MSMED s.16, and if unpaid at year end it is not deductible that year, s.37(2)(g)",IF(AND(P196="Debtor",X196=1,AA196&gt;0),"Past due to you: as a micro or small supplier you can claim interest under MSMED s.16","OK")))))))))))</f>
        <v/>
      </c>
      <c r="P196">
        <f>IF(C196="","",IFERROR(VLOOKUP(C196,'Parties'!$B$13:$Q$112,2,FALSE),"?"))</f>
        <v/>
      </c>
      <c r="Q196">
        <f>IF(D196="","",IFERROR(VLOOKUP(D196,Lists!$A$2:$D$9,3,FALSE),"?"))</f>
        <v/>
      </c>
      <c r="R196">
        <f>IF(D196="","",IFERROR(VLOOKUP(D196,Lists!$A$2:$D$9,4,FALSE),"?"))</f>
        <v/>
      </c>
      <c r="S196">
        <f>IF(P196="Debtor",I196,IF(P196="Creditor",J196,0))</f>
        <v/>
      </c>
      <c r="T196">
        <f>IF(P196="Debtor",J196,IF(P196="Creditor",I196,0))</f>
        <v/>
      </c>
      <c r="U196">
        <f>IF(OR(S196=0,B196=""),0,IFERROR(VLOOKUP(C196,'Parties'!$B$13:$Q$112,13,FALSE),0)+SUMIFS($S$7:$S$506,$C$7:$C$506,C196,$B$7:$B$506,"&lt;"&amp;B196)+SUMIFS(S$7:S196,C$7:C196,C196,B$7:B196,B196))</f>
        <v/>
      </c>
      <c r="V196">
        <f>IF(S196=0,0,IFERROR(VLOOKUP(C196,'Parties'!$B$13:$Q$112,14,FALSE),0)+SUMIFS($T$7:$T$506,$C$7:$C$506,C196,$B$7:$B$506,"&lt;="&amp;'Outstanding'!$E$5))</f>
        <v/>
      </c>
      <c r="W196">
        <f>IF(OR('Outstanding'!$E$5="",S196=0,B196="",B196&gt;'Outstanding'!$E$5),0,MAX(0,MIN(S196,U196-V196)))</f>
        <v/>
      </c>
      <c r="X196">
        <f>IF(C196="",0,IFERROR(VLOOKUP(C196,'Parties'!$B$13:$Q$112,15,FALSE),0))</f>
        <v/>
      </c>
      <c r="Y196">
        <f>IF(C196="","",IFERROR(VLOOKUP(C196,'Parties'!$B$13:$Q$112,16,FALSE),0))</f>
        <v/>
      </c>
      <c r="Z196">
        <f>IF(OR(S196=0,B196="",Y196=""),"",IF(AND(F196&lt;&gt;"",D196="Purchase bill"),F196,B196)+Y196)</f>
        <v/>
      </c>
      <c r="AA196">
        <f>IF(OR(W196=0,Z196=""),0,MAX(0,'Outstanding'!$E$5-Z196))</f>
        <v/>
      </c>
      <c r="AB196">
        <f>IF(AND(X196=1,AA196&gt;0),W196*((1+3*N('Parties'!$E$10)/12)^(AA196*12/365)-1),0)</f>
        <v/>
      </c>
      <c r="AC196">
        <f>IF(W196=0,"",'Outstanding'!$E$5-B196)</f>
        <v/>
      </c>
      <c r="AD196">
        <f>IF(S196=0,0,IFERROR(VLOOKUP(C196,'Parties'!$B$13:$Q$112,14,FALSE),0)+SUMIFS($T$7:$T$506,$C$7:$C$506,C196,$B$7:$B$506,"&lt;="&amp;'Parties'!$E$8))</f>
        <v/>
      </c>
      <c r="AE196">
        <f>IF(OR('Parties'!$E$8="",S196=0,B196="",B196&gt;'Parties'!$E$8),0,MAX(0,MIN(S196,U196-AD196)))</f>
        <v/>
      </c>
      <c r="AF196">
        <f>IF(AND(P196="Creditor",X196=1,AE196&gt;0,Z196&lt;&gt;""),IF(Z196&lt;='Parties'!$E$8,AE196,0),0)</f>
        <v/>
      </c>
      <c r="AG196">
        <f>IF(OR(AE196=0,Z196=""),0,MAX(0,'Parties'!$E$8-Z196))</f>
        <v/>
      </c>
      <c r="AH196">
        <f>IF(AND(P196="Creditor",X196=1,AG196&gt;0),AE196*((1+3*N('Parties'!$E$10)/12)^(AG196*12/365)-1),0)</f>
        <v/>
      </c>
      <c r="AI196">
        <f>IF(AND(C196&lt;&gt;"",C196='Ledger Account'!$D$4,B196&lt;&gt;"",B196&gt;='Ledger Account'!$D$5,B196&lt;='Ledger Account'!$D$6),1,0)</f>
        <v/>
      </c>
      <c r="AJ196">
        <f>IF(AI196=1,SUM(AI$7:AI196),"")</f>
        <v/>
      </c>
      <c r="AK196">
        <f>IF(OR(N196="",N196="OK"),0,1)</f>
        <v/>
      </c>
    </row>
    <row r="197">
      <c r="B197" s="24" t="n"/>
      <c r="C197" s="14" t="n"/>
      <c r="D197" s="14" t="n"/>
      <c r="E197" s="20" t="n"/>
      <c r="F197" s="24" t="n"/>
      <c r="G197" s="14" t="n"/>
      <c r="H197" s="22" t="n"/>
      <c r="I197" s="25">
        <f>IF(Q197="D",N(H197),0)</f>
        <v/>
      </c>
      <c r="J197" s="25">
        <f>IF(Q197="C",N(H197),0)</f>
        <v/>
      </c>
      <c r="K197" s="26">
        <f>IF(Z197="","",Z197)</f>
        <v/>
      </c>
      <c r="L197" s="27">
        <f>W197</f>
        <v/>
      </c>
      <c r="M197" s="28">
        <f>AA197</f>
        <v/>
      </c>
      <c r="N197" s="23">
        <f>IF(AND(B197="",C197="",D197="",N(H197)=0),"",IF(B197="","Enter the date",IF(C197="","Pick the party",IF(P197="?","Add this party on the Parties sheet first",IF(D197="","Pick the entry type",IF(Q197="?","Pick the entry type from the list",IF(N(H197)=0,"Enter the amount",IF(AND(R197&lt;&gt;"Any",R197&lt;&gt;P197),"Sales, receipts and credit notes are for debtors; purchases, payments and debit notes for creditors",IF(AND(F197&lt;&gt;"",D197&lt;&gt;"Purchase bill"),"The received-on date is only for purchase bills",IF(AND(P197="Creditor",X197=1,AA197&gt;0),"Past due to a micro or small supplier: interest runs under MSMED s.16, and if unpaid at year end it is not deductible that year, s.37(2)(g)",IF(AND(P197="Debtor",X197=1,AA197&gt;0),"Past due to you: as a micro or small supplier you can claim interest under MSMED s.16","OK")))))))))))</f>
        <v/>
      </c>
      <c r="P197">
        <f>IF(C197="","",IFERROR(VLOOKUP(C197,'Parties'!$B$13:$Q$112,2,FALSE),"?"))</f>
        <v/>
      </c>
      <c r="Q197">
        <f>IF(D197="","",IFERROR(VLOOKUP(D197,Lists!$A$2:$D$9,3,FALSE),"?"))</f>
        <v/>
      </c>
      <c r="R197">
        <f>IF(D197="","",IFERROR(VLOOKUP(D197,Lists!$A$2:$D$9,4,FALSE),"?"))</f>
        <v/>
      </c>
      <c r="S197">
        <f>IF(P197="Debtor",I197,IF(P197="Creditor",J197,0))</f>
        <v/>
      </c>
      <c r="T197">
        <f>IF(P197="Debtor",J197,IF(P197="Creditor",I197,0))</f>
        <v/>
      </c>
      <c r="U197">
        <f>IF(OR(S197=0,B197=""),0,IFERROR(VLOOKUP(C197,'Parties'!$B$13:$Q$112,13,FALSE),0)+SUMIFS($S$7:$S$506,$C$7:$C$506,C197,$B$7:$B$506,"&lt;"&amp;B197)+SUMIFS(S$7:S197,C$7:C197,C197,B$7:B197,B197))</f>
        <v/>
      </c>
      <c r="V197">
        <f>IF(S197=0,0,IFERROR(VLOOKUP(C197,'Parties'!$B$13:$Q$112,14,FALSE),0)+SUMIFS($T$7:$T$506,$C$7:$C$506,C197,$B$7:$B$506,"&lt;="&amp;'Outstanding'!$E$5))</f>
        <v/>
      </c>
      <c r="W197">
        <f>IF(OR('Outstanding'!$E$5="",S197=0,B197="",B197&gt;'Outstanding'!$E$5),0,MAX(0,MIN(S197,U197-V197)))</f>
        <v/>
      </c>
      <c r="X197">
        <f>IF(C197="",0,IFERROR(VLOOKUP(C197,'Parties'!$B$13:$Q$112,15,FALSE),0))</f>
        <v/>
      </c>
      <c r="Y197">
        <f>IF(C197="","",IFERROR(VLOOKUP(C197,'Parties'!$B$13:$Q$112,16,FALSE),0))</f>
        <v/>
      </c>
      <c r="Z197">
        <f>IF(OR(S197=0,B197="",Y197=""),"",IF(AND(F197&lt;&gt;"",D197="Purchase bill"),F197,B197)+Y197)</f>
        <v/>
      </c>
      <c r="AA197">
        <f>IF(OR(W197=0,Z197=""),0,MAX(0,'Outstanding'!$E$5-Z197))</f>
        <v/>
      </c>
      <c r="AB197">
        <f>IF(AND(X197=1,AA197&gt;0),W197*((1+3*N('Parties'!$E$10)/12)^(AA197*12/365)-1),0)</f>
        <v/>
      </c>
      <c r="AC197">
        <f>IF(W197=0,"",'Outstanding'!$E$5-B197)</f>
        <v/>
      </c>
      <c r="AD197">
        <f>IF(S197=0,0,IFERROR(VLOOKUP(C197,'Parties'!$B$13:$Q$112,14,FALSE),0)+SUMIFS($T$7:$T$506,$C$7:$C$506,C197,$B$7:$B$506,"&lt;="&amp;'Parties'!$E$8))</f>
        <v/>
      </c>
      <c r="AE197">
        <f>IF(OR('Parties'!$E$8="",S197=0,B197="",B197&gt;'Parties'!$E$8),0,MAX(0,MIN(S197,U197-AD197)))</f>
        <v/>
      </c>
      <c r="AF197">
        <f>IF(AND(P197="Creditor",X197=1,AE197&gt;0,Z197&lt;&gt;""),IF(Z197&lt;='Parties'!$E$8,AE197,0),0)</f>
        <v/>
      </c>
      <c r="AG197">
        <f>IF(OR(AE197=0,Z197=""),0,MAX(0,'Parties'!$E$8-Z197))</f>
        <v/>
      </c>
      <c r="AH197">
        <f>IF(AND(P197="Creditor",X197=1,AG197&gt;0),AE197*((1+3*N('Parties'!$E$10)/12)^(AG197*12/365)-1),0)</f>
        <v/>
      </c>
      <c r="AI197">
        <f>IF(AND(C197&lt;&gt;"",C197='Ledger Account'!$D$4,B197&lt;&gt;"",B197&gt;='Ledger Account'!$D$5,B197&lt;='Ledger Account'!$D$6),1,0)</f>
        <v/>
      </c>
      <c r="AJ197">
        <f>IF(AI197=1,SUM(AI$7:AI197),"")</f>
        <v/>
      </c>
      <c r="AK197">
        <f>IF(OR(N197="",N197="OK"),0,1)</f>
        <v/>
      </c>
    </row>
    <row r="198">
      <c r="B198" s="24" t="n"/>
      <c r="C198" s="14" t="n"/>
      <c r="D198" s="14" t="n"/>
      <c r="E198" s="20" t="n"/>
      <c r="F198" s="24" t="n"/>
      <c r="G198" s="14" t="n"/>
      <c r="H198" s="22" t="n"/>
      <c r="I198" s="25">
        <f>IF(Q198="D",N(H198),0)</f>
        <v/>
      </c>
      <c r="J198" s="25">
        <f>IF(Q198="C",N(H198),0)</f>
        <v/>
      </c>
      <c r="K198" s="26">
        <f>IF(Z198="","",Z198)</f>
        <v/>
      </c>
      <c r="L198" s="27">
        <f>W198</f>
        <v/>
      </c>
      <c r="M198" s="28">
        <f>AA198</f>
        <v/>
      </c>
      <c r="N198" s="23">
        <f>IF(AND(B198="",C198="",D198="",N(H198)=0),"",IF(B198="","Enter the date",IF(C198="","Pick the party",IF(P198="?","Add this party on the Parties sheet first",IF(D198="","Pick the entry type",IF(Q198="?","Pick the entry type from the list",IF(N(H198)=0,"Enter the amount",IF(AND(R198&lt;&gt;"Any",R198&lt;&gt;P198),"Sales, receipts and credit notes are for debtors; purchases, payments and debit notes for creditors",IF(AND(F198&lt;&gt;"",D198&lt;&gt;"Purchase bill"),"The received-on date is only for purchase bills",IF(AND(P198="Creditor",X198=1,AA198&gt;0),"Past due to a micro or small supplier: interest runs under MSMED s.16, and if unpaid at year end it is not deductible that year, s.37(2)(g)",IF(AND(P198="Debtor",X198=1,AA198&gt;0),"Past due to you: as a micro or small supplier you can claim interest under MSMED s.16","OK")))))))))))</f>
        <v/>
      </c>
      <c r="P198">
        <f>IF(C198="","",IFERROR(VLOOKUP(C198,'Parties'!$B$13:$Q$112,2,FALSE),"?"))</f>
        <v/>
      </c>
      <c r="Q198">
        <f>IF(D198="","",IFERROR(VLOOKUP(D198,Lists!$A$2:$D$9,3,FALSE),"?"))</f>
        <v/>
      </c>
      <c r="R198">
        <f>IF(D198="","",IFERROR(VLOOKUP(D198,Lists!$A$2:$D$9,4,FALSE),"?"))</f>
        <v/>
      </c>
      <c r="S198">
        <f>IF(P198="Debtor",I198,IF(P198="Creditor",J198,0))</f>
        <v/>
      </c>
      <c r="T198">
        <f>IF(P198="Debtor",J198,IF(P198="Creditor",I198,0))</f>
        <v/>
      </c>
      <c r="U198">
        <f>IF(OR(S198=0,B198=""),0,IFERROR(VLOOKUP(C198,'Parties'!$B$13:$Q$112,13,FALSE),0)+SUMIFS($S$7:$S$506,$C$7:$C$506,C198,$B$7:$B$506,"&lt;"&amp;B198)+SUMIFS(S$7:S198,C$7:C198,C198,B$7:B198,B198))</f>
        <v/>
      </c>
      <c r="V198">
        <f>IF(S198=0,0,IFERROR(VLOOKUP(C198,'Parties'!$B$13:$Q$112,14,FALSE),0)+SUMIFS($T$7:$T$506,$C$7:$C$506,C198,$B$7:$B$506,"&lt;="&amp;'Outstanding'!$E$5))</f>
        <v/>
      </c>
      <c r="W198">
        <f>IF(OR('Outstanding'!$E$5="",S198=0,B198="",B198&gt;'Outstanding'!$E$5),0,MAX(0,MIN(S198,U198-V198)))</f>
        <v/>
      </c>
      <c r="X198">
        <f>IF(C198="",0,IFERROR(VLOOKUP(C198,'Parties'!$B$13:$Q$112,15,FALSE),0))</f>
        <v/>
      </c>
      <c r="Y198">
        <f>IF(C198="","",IFERROR(VLOOKUP(C198,'Parties'!$B$13:$Q$112,16,FALSE),0))</f>
        <v/>
      </c>
      <c r="Z198">
        <f>IF(OR(S198=0,B198="",Y198=""),"",IF(AND(F198&lt;&gt;"",D198="Purchase bill"),F198,B198)+Y198)</f>
        <v/>
      </c>
      <c r="AA198">
        <f>IF(OR(W198=0,Z198=""),0,MAX(0,'Outstanding'!$E$5-Z198))</f>
        <v/>
      </c>
      <c r="AB198">
        <f>IF(AND(X198=1,AA198&gt;0),W198*((1+3*N('Parties'!$E$10)/12)^(AA198*12/365)-1),0)</f>
        <v/>
      </c>
      <c r="AC198">
        <f>IF(W198=0,"",'Outstanding'!$E$5-B198)</f>
        <v/>
      </c>
      <c r="AD198">
        <f>IF(S198=0,0,IFERROR(VLOOKUP(C198,'Parties'!$B$13:$Q$112,14,FALSE),0)+SUMIFS($T$7:$T$506,$C$7:$C$506,C198,$B$7:$B$506,"&lt;="&amp;'Parties'!$E$8))</f>
        <v/>
      </c>
      <c r="AE198">
        <f>IF(OR('Parties'!$E$8="",S198=0,B198="",B198&gt;'Parties'!$E$8),0,MAX(0,MIN(S198,U198-AD198)))</f>
        <v/>
      </c>
      <c r="AF198">
        <f>IF(AND(P198="Creditor",X198=1,AE198&gt;0,Z198&lt;&gt;""),IF(Z198&lt;='Parties'!$E$8,AE198,0),0)</f>
        <v/>
      </c>
      <c r="AG198">
        <f>IF(OR(AE198=0,Z198=""),0,MAX(0,'Parties'!$E$8-Z198))</f>
        <v/>
      </c>
      <c r="AH198">
        <f>IF(AND(P198="Creditor",X198=1,AG198&gt;0),AE198*((1+3*N('Parties'!$E$10)/12)^(AG198*12/365)-1),0)</f>
        <v/>
      </c>
      <c r="AI198">
        <f>IF(AND(C198&lt;&gt;"",C198='Ledger Account'!$D$4,B198&lt;&gt;"",B198&gt;='Ledger Account'!$D$5,B198&lt;='Ledger Account'!$D$6),1,0)</f>
        <v/>
      </c>
      <c r="AJ198">
        <f>IF(AI198=1,SUM(AI$7:AI198),"")</f>
        <v/>
      </c>
      <c r="AK198">
        <f>IF(OR(N198="",N198="OK"),0,1)</f>
        <v/>
      </c>
    </row>
    <row r="199">
      <c r="B199" s="24" t="n"/>
      <c r="C199" s="14" t="n"/>
      <c r="D199" s="14" t="n"/>
      <c r="E199" s="20" t="n"/>
      <c r="F199" s="24" t="n"/>
      <c r="G199" s="14" t="n"/>
      <c r="H199" s="22" t="n"/>
      <c r="I199" s="25">
        <f>IF(Q199="D",N(H199),0)</f>
        <v/>
      </c>
      <c r="J199" s="25">
        <f>IF(Q199="C",N(H199),0)</f>
        <v/>
      </c>
      <c r="K199" s="26">
        <f>IF(Z199="","",Z199)</f>
        <v/>
      </c>
      <c r="L199" s="27">
        <f>W199</f>
        <v/>
      </c>
      <c r="M199" s="28">
        <f>AA199</f>
        <v/>
      </c>
      <c r="N199" s="23">
        <f>IF(AND(B199="",C199="",D199="",N(H199)=0),"",IF(B199="","Enter the date",IF(C199="","Pick the party",IF(P199="?","Add this party on the Parties sheet first",IF(D199="","Pick the entry type",IF(Q199="?","Pick the entry type from the list",IF(N(H199)=0,"Enter the amount",IF(AND(R199&lt;&gt;"Any",R199&lt;&gt;P199),"Sales, receipts and credit notes are for debtors; purchases, payments and debit notes for creditors",IF(AND(F199&lt;&gt;"",D199&lt;&gt;"Purchase bill"),"The received-on date is only for purchase bills",IF(AND(P199="Creditor",X199=1,AA199&gt;0),"Past due to a micro or small supplier: interest runs under MSMED s.16, and if unpaid at year end it is not deductible that year, s.37(2)(g)",IF(AND(P199="Debtor",X199=1,AA199&gt;0),"Past due to you: as a micro or small supplier you can claim interest under MSMED s.16","OK")))))))))))</f>
        <v/>
      </c>
      <c r="P199">
        <f>IF(C199="","",IFERROR(VLOOKUP(C199,'Parties'!$B$13:$Q$112,2,FALSE),"?"))</f>
        <v/>
      </c>
      <c r="Q199">
        <f>IF(D199="","",IFERROR(VLOOKUP(D199,Lists!$A$2:$D$9,3,FALSE),"?"))</f>
        <v/>
      </c>
      <c r="R199">
        <f>IF(D199="","",IFERROR(VLOOKUP(D199,Lists!$A$2:$D$9,4,FALSE),"?"))</f>
        <v/>
      </c>
      <c r="S199">
        <f>IF(P199="Debtor",I199,IF(P199="Creditor",J199,0))</f>
        <v/>
      </c>
      <c r="T199">
        <f>IF(P199="Debtor",J199,IF(P199="Creditor",I199,0))</f>
        <v/>
      </c>
      <c r="U199">
        <f>IF(OR(S199=0,B199=""),0,IFERROR(VLOOKUP(C199,'Parties'!$B$13:$Q$112,13,FALSE),0)+SUMIFS($S$7:$S$506,$C$7:$C$506,C199,$B$7:$B$506,"&lt;"&amp;B199)+SUMIFS(S$7:S199,C$7:C199,C199,B$7:B199,B199))</f>
        <v/>
      </c>
      <c r="V199">
        <f>IF(S199=0,0,IFERROR(VLOOKUP(C199,'Parties'!$B$13:$Q$112,14,FALSE),0)+SUMIFS($T$7:$T$506,$C$7:$C$506,C199,$B$7:$B$506,"&lt;="&amp;'Outstanding'!$E$5))</f>
        <v/>
      </c>
      <c r="W199">
        <f>IF(OR('Outstanding'!$E$5="",S199=0,B199="",B199&gt;'Outstanding'!$E$5),0,MAX(0,MIN(S199,U199-V199)))</f>
        <v/>
      </c>
      <c r="X199">
        <f>IF(C199="",0,IFERROR(VLOOKUP(C199,'Parties'!$B$13:$Q$112,15,FALSE),0))</f>
        <v/>
      </c>
      <c r="Y199">
        <f>IF(C199="","",IFERROR(VLOOKUP(C199,'Parties'!$B$13:$Q$112,16,FALSE),0))</f>
        <v/>
      </c>
      <c r="Z199">
        <f>IF(OR(S199=0,B199="",Y199=""),"",IF(AND(F199&lt;&gt;"",D199="Purchase bill"),F199,B199)+Y199)</f>
        <v/>
      </c>
      <c r="AA199">
        <f>IF(OR(W199=0,Z199=""),0,MAX(0,'Outstanding'!$E$5-Z199))</f>
        <v/>
      </c>
      <c r="AB199">
        <f>IF(AND(X199=1,AA199&gt;0),W199*((1+3*N('Parties'!$E$10)/12)^(AA199*12/365)-1),0)</f>
        <v/>
      </c>
      <c r="AC199">
        <f>IF(W199=0,"",'Outstanding'!$E$5-B199)</f>
        <v/>
      </c>
      <c r="AD199">
        <f>IF(S199=0,0,IFERROR(VLOOKUP(C199,'Parties'!$B$13:$Q$112,14,FALSE),0)+SUMIFS($T$7:$T$506,$C$7:$C$506,C199,$B$7:$B$506,"&lt;="&amp;'Parties'!$E$8))</f>
        <v/>
      </c>
      <c r="AE199">
        <f>IF(OR('Parties'!$E$8="",S199=0,B199="",B199&gt;'Parties'!$E$8),0,MAX(0,MIN(S199,U199-AD199)))</f>
        <v/>
      </c>
      <c r="AF199">
        <f>IF(AND(P199="Creditor",X199=1,AE199&gt;0,Z199&lt;&gt;""),IF(Z199&lt;='Parties'!$E$8,AE199,0),0)</f>
        <v/>
      </c>
      <c r="AG199">
        <f>IF(OR(AE199=0,Z199=""),0,MAX(0,'Parties'!$E$8-Z199))</f>
        <v/>
      </c>
      <c r="AH199">
        <f>IF(AND(P199="Creditor",X199=1,AG199&gt;0),AE199*((1+3*N('Parties'!$E$10)/12)^(AG199*12/365)-1),0)</f>
        <v/>
      </c>
      <c r="AI199">
        <f>IF(AND(C199&lt;&gt;"",C199='Ledger Account'!$D$4,B199&lt;&gt;"",B199&gt;='Ledger Account'!$D$5,B199&lt;='Ledger Account'!$D$6),1,0)</f>
        <v/>
      </c>
      <c r="AJ199">
        <f>IF(AI199=1,SUM(AI$7:AI199),"")</f>
        <v/>
      </c>
      <c r="AK199">
        <f>IF(OR(N199="",N199="OK"),0,1)</f>
        <v/>
      </c>
    </row>
    <row r="200">
      <c r="B200" s="24" t="n"/>
      <c r="C200" s="14" t="n"/>
      <c r="D200" s="14" t="n"/>
      <c r="E200" s="20" t="n"/>
      <c r="F200" s="24" t="n"/>
      <c r="G200" s="14" t="n"/>
      <c r="H200" s="22" t="n"/>
      <c r="I200" s="25">
        <f>IF(Q200="D",N(H200),0)</f>
        <v/>
      </c>
      <c r="J200" s="25">
        <f>IF(Q200="C",N(H200),0)</f>
        <v/>
      </c>
      <c r="K200" s="26">
        <f>IF(Z200="","",Z200)</f>
        <v/>
      </c>
      <c r="L200" s="27">
        <f>W200</f>
        <v/>
      </c>
      <c r="M200" s="28">
        <f>AA200</f>
        <v/>
      </c>
      <c r="N200" s="23">
        <f>IF(AND(B200="",C200="",D200="",N(H200)=0),"",IF(B200="","Enter the date",IF(C200="","Pick the party",IF(P200="?","Add this party on the Parties sheet first",IF(D200="","Pick the entry type",IF(Q200="?","Pick the entry type from the list",IF(N(H200)=0,"Enter the amount",IF(AND(R200&lt;&gt;"Any",R200&lt;&gt;P200),"Sales, receipts and credit notes are for debtors; purchases, payments and debit notes for creditors",IF(AND(F200&lt;&gt;"",D200&lt;&gt;"Purchase bill"),"The received-on date is only for purchase bills",IF(AND(P200="Creditor",X200=1,AA200&gt;0),"Past due to a micro or small supplier: interest runs under MSMED s.16, and if unpaid at year end it is not deductible that year, s.37(2)(g)",IF(AND(P200="Debtor",X200=1,AA200&gt;0),"Past due to you: as a micro or small supplier you can claim interest under MSMED s.16","OK")))))))))))</f>
        <v/>
      </c>
      <c r="P200">
        <f>IF(C200="","",IFERROR(VLOOKUP(C200,'Parties'!$B$13:$Q$112,2,FALSE),"?"))</f>
        <v/>
      </c>
      <c r="Q200">
        <f>IF(D200="","",IFERROR(VLOOKUP(D200,Lists!$A$2:$D$9,3,FALSE),"?"))</f>
        <v/>
      </c>
      <c r="R200">
        <f>IF(D200="","",IFERROR(VLOOKUP(D200,Lists!$A$2:$D$9,4,FALSE),"?"))</f>
        <v/>
      </c>
      <c r="S200">
        <f>IF(P200="Debtor",I200,IF(P200="Creditor",J200,0))</f>
        <v/>
      </c>
      <c r="T200">
        <f>IF(P200="Debtor",J200,IF(P200="Creditor",I200,0))</f>
        <v/>
      </c>
      <c r="U200">
        <f>IF(OR(S200=0,B200=""),0,IFERROR(VLOOKUP(C200,'Parties'!$B$13:$Q$112,13,FALSE),0)+SUMIFS($S$7:$S$506,$C$7:$C$506,C200,$B$7:$B$506,"&lt;"&amp;B200)+SUMIFS(S$7:S200,C$7:C200,C200,B$7:B200,B200))</f>
        <v/>
      </c>
      <c r="V200">
        <f>IF(S200=0,0,IFERROR(VLOOKUP(C200,'Parties'!$B$13:$Q$112,14,FALSE),0)+SUMIFS($T$7:$T$506,$C$7:$C$506,C200,$B$7:$B$506,"&lt;="&amp;'Outstanding'!$E$5))</f>
        <v/>
      </c>
      <c r="W200">
        <f>IF(OR('Outstanding'!$E$5="",S200=0,B200="",B200&gt;'Outstanding'!$E$5),0,MAX(0,MIN(S200,U200-V200)))</f>
        <v/>
      </c>
      <c r="X200">
        <f>IF(C200="",0,IFERROR(VLOOKUP(C200,'Parties'!$B$13:$Q$112,15,FALSE),0))</f>
        <v/>
      </c>
      <c r="Y200">
        <f>IF(C200="","",IFERROR(VLOOKUP(C200,'Parties'!$B$13:$Q$112,16,FALSE),0))</f>
        <v/>
      </c>
      <c r="Z200">
        <f>IF(OR(S200=0,B200="",Y200=""),"",IF(AND(F200&lt;&gt;"",D200="Purchase bill"),F200,B200)+Y200)</f>
        <v/>
      </c>
      <c r="AA200">
        <f>IF(OR(W200=0,Z200=""),0,MAX(0,'Outstanding'!$E$5-Z200))</f>
        <v/>
      </c>
      <c r="AB200">
        <f>IF(AND(X200=1,AA200&gt;0),W200*((1+3*N('Parties'!$E$10)/12)^(AA200*12/365)-1),0)</f>
        <v/>
      </c>
      <c r="AC200">
        <f>IF(W200=0,"",'Outstanding'!$E$5-B200)</f>
        <v/>
      </c>
      <c r="AD200">
        <f>IF(S200=0,0,IFERROR(VLOOKUP(C200,'Parties'!$B$13:$Q$112,14,FALSE),0)+SUMIFS($T$7:$T$506,$C$7:$C$506,C200,$B$7:$B$506,"&lt;="&amp;'Parties'!$E$8))</f>
        <v/>
      </c>
      <c r="AE200">
        <f>IF(OR('Parties'!$E$8="",S200=0,B200="",B200&gt;'Parties'!$E$8),0,MAX(0,MIN(S200,U200-AD200)))</f>
        <v/>
      </c>
      <c r="AF200">
        <f>IF(AND(P200="Creditor",X200=1,AE200&gt;0,Z200&lt;&gt;""),IF(Z200&lt;='Parties'!$E$8,AE200,0),0)</f>
        <v/>
      </c>
      <c r="AG200">
        <f>IF(OR(AE200=0,Z200=""),0,MAX(0,'Parties'!$E$8-Z200))</f>
        <v/>
      </c>
      <c r="AH200">
        <f>IF(AND(P200="Creditor",X200=1,AG200&gt;0),AE200*((1+3*N('Parties'!$E$10)/12)^(AG200*12/365)-1),0)</f>
        <v/>
      </c>
      <c r="AI200">
        <f>IF(AND(C200&lt;&gt;"",C200='Ledger Account'!$D$4,B200&lt;&gt;"",B200&gt;='Ledger Account'!$D$5,B200&lt;='Ledger Account'!$D$6),1,0)</f>
        <v/>
      </c>
      <c r="AJ200">
        <f>IF(AI200=1,SUM(AI$7:AI200),"")</f>
        <v/>
      </c>
      <c r="AK200">
        <f>IF(OR(N200="",N200="OK"),0,1)</f>
        <v/>
      </c>
    </row>
    <row r="201">
      <c r="B201" s="24" t="n"/>
      <c r="C201" s="14" t="n"/>
      <c r="D201" s="14" t="n"/>
      <c r="E201" s="20" t="n"/>
      <c r="F201" s="24" t="n"/>
      <c r="G201" s="14" t="n"/>
      <c r="H201" s="22" t="n"/>
      <c r="I201" s="25">
        <f>IF(Q201="D",N(H201),0)</f>
        <v/>
      </c>
      <c r="J201" s="25">
        <f>IF(Q201="C",N(H201),0)</f>
        <v/>
      </c>
      <c r="K201" s="26">
        <f>IF(Z201="","",Z201)</f>
        <v/>
      </c>
      <c r="L201" s="27">
        <f>W201</f>
        <v/>
      </c>
      <c r="M201" s="28">
        <f>AA201</f>
        <v/>
      </c>
      <c r="N201" s="23">
        <f>IF(AND(B201="",C201="",D201="",N(H201)=0),"",IF(B201="","Enter the date",IF(C201="","Pick the party",IF(P201="?","Add this party on the Parties sheet first",IF(D201="","Pick the entry type",IF(Q201="?","Pick the entry type from the list",IF(N(H201)=0,"Enter the amount",IF(AND(R201&lt;&gt;"Any",R201&lt;&gt;P201),"Sales, receipts and credit notes are for debtors; purchases, payments and debit notes for creditors",IF(AND(F201&lt;&gt;"",D201&lt;&gt;"Purchase bill"),"The received-on date is only for purchase bills",IF(AND(P201="Creditor",X201=1,AA201&gt;0),"Past due to a micro or small supplier: interest runs under MSMED s.16, and if unpaid at year end it is not deductible that year, s.37(2)(g)",IF(AND(P201="Debtor",X201=1,AA201&gt;0),"Past due to you: as a micro or small supplier you can claim interest under MSMED s.16","OK")))))))))))</f>
        <v/>
      </c>
      <c r="P201">
        <f>IF(C201="","",IFERROR(VLOOKUP(C201,'Parties'!$B$13:$Q$112,2,FALSE),"?"))</f>
        <v/>
      </c>
      <c r="Q201">
        <f>IF(D201="","",IFERROR(VLOOKUP(D201,Lists!$A$2:$D$9,3,FALSE),"?"))</f>
        <v/>
      </c>
      <c r="R201">
        <f>IF(D201="","",IFERROR(VLOOKUP(D201,Lists!$A$2:$D$9,4,FALSE),"?"))</f>
        <v/>
      </c>
      <c r="S201">
        <f>IF(P201="Debtor",I201,IF(P201="Creditor",J201,0))</f>
        <v/>
      </c>
      <c r="T201">
        <f>IF(P201="Debtor",J201,IF(P201="Creditor",I201,0))</f>
        <v/>
      </c>
      <c r="U201">
        <f>IF(OR(S201=0,B201=""),0,IFERROR(VLOOKUP(C201,'Parties'!$B$13:$Q$112,13,FALSE),0)+SUMIFS($S$7:$S$506,$C$7:$C$506,C201,$B$7:$B$506,"&lt;"&amp;B201)+SUMIFS(S$7:S201,C$7:C201,C201,B$7:B201,B201))</f>
        <v/>
      </c>
      <c r="V201">
        <f>IF(S201=0,0,IFERROR(VLOOKUP(C201,'Parties'!$B$13:$Q$112,14,FALSE),0)+SUMIFS($T$7:$T$506,$C$7:$C$506,C201,$B$7:$B$506,"&lt;="&amp;'Outstanding'!$E$5))</f>
        <v/>
      </c>
      <c r="W201">
        <f>IF(OR('Outstanding'!$E$5="",S201=0,B201="",B201&gt;'Outstanding'!$E$5),0,MAX(0,MIN(S201,U201-V201)))</f>
        <v/>
      </c>
      <c r="X201">
        <f>IF(C201="",0,IFERROR(VLOOKUP(C201,'Parties'!$B$13:$Q$112,15,FALSE),0))</f>
        <v/>
      </c>
      <c r="Y201">
        <f>IF(C201="","",IFERROR(VLOOKUP(C201,'Parties'!$B$13:$Q$112,16,FALSE),0))</f>
        <v/>
      </c>
      <c r="Z201">
        <f>IF(OR(S201=0,B201="",Y201=""),"",IF(AND(F201&lt;&gt;"",D201="Purchase bill"),F201,B201)+Y201)</f>
        <v/>
      </c>
      <c r="AA201">
        <f>IF(OR(W201=0,Z201=""),0,MAX(0,'Outstanding'!$E$5-Z201))</f>
        <v/>
      </c>
      <c r="AB201">
        <f>IF(AND(X201=1,AA201&gt;0),W201*((1+3*N('Parties'!$E$10)/12)^(AA201*12/365)-1),0)</f>
        <v/>
      </c>
      <c r="AC201">
        <f>IF(W201=0,"",'Outstanding'!$E$5-B201)</f>
        <v/>
      </c>
      <c r="AD201">
        <f>IF(S201=0,0,IFERROR(VLOOKUP(C201,'Parties'!$B$13:$Q$112,14,FALSE),0)+SUMIFS($T$7:$T$506,$C$7:$C$506,C201,$B$7:$B$506,"&lt;="&amp;'Parties'!$E$8))</f>
        <v/>
      </c>
      <c r="AE201">
        <f>IF(OR('Parties'!$E$8="",S201=0,B201="",B201&gt;'Parties'!$E$8),0,MAX(0,MIN(S201,U201-AD201)))</f>
        <v/>
      </c>
      <c r="AF201">
        <f>IF(AND(P201="Creditor",X201=1,AE201&gt;0,Z201&lt;&gt;""),IF(Z201&lt;='Parties'!$E$8,AE201,0),0)</f>
        <v/>
      </c>
      <c r="AG201">
        <f>IF(OR(AE201=0,Z201=""),0,MAX(0,'Parties'!$E$8-Z201))</f>
        <v/>
      </c>
      <c r="AH201">
        <f>IF(AND(P201="Creditor",X201=1,AG201&gt;0),AE201*((1+3*N('Parties'!$E$10)/12)^(AG201*12/365)-1),0)</f>
        <v/>
      </c>
      <c r="AI201">
        <f>IF(AND(C201&lt;&gt;"",C201='Ledger Account'!$D$4,B201&lt;&gt;"",B201&gt;='Ledger Account'!$D$5,B201&lt;='Ledger Account'!$D$6),1,0)</f>
        <v/>
      </c>
      <c r="AJ201">
        <f>IF(AI201=1,SUM(AI$7:AI201),"")</f>
        <v/>
      </c>
      <c r="AK201">
        <f>IF(OR(N201="",N201="OK"),0,1)</f>
        <v/>
      </c>
    </row>
    <row r="202">
      <c r="B202" s="24" t="n"/>
      <c r="C202" s="14" t="n"/>
      <c r="D202" s="14" t="n"/>
      <c r="E202" s="20" t="n"/>
      <c r="F202" s="24" t="n"/>
      <c r="G202" s="14" t="n"/>
      <c r="H202" s="22" t="n"/>
      <c r="I202" s="25">
        <f>IF(Q202="D",N(H202),0)</f>
        <v/>
      </c>
      <c r="J202" s="25">
        <f>IF(Q202="C",N(H202),0)</f>
        <v/>
      </c>
      <c r="K202" s="26">
        <f>IF(Z202="","",Z202)</f>
        <v/>
      </c>
      <c r="L202" s="27">
        <f>W202</f>
        <v/>
      </c>
      <c r="M202" s="28">
        <f>AA202</f>
        <v/>
      </c>
      <c r="N202" s="23">
        <f>IF(AND(B202="",C202="",D202="",N(H202)=0),"",IF(B202="","Enter the date",IF(C202="","Pick the party",IF(P202="?","Add this party on the Parties sheet first",IF(D202="","Pick the entry type",IF(Q202="?","Pick the entry type from the list",IF(N(H202)=0,"Enter the amount",IF(AND(R202&lt;&gt;"Any",R202&lt;&gt;P202),"Sales, receipts and credit notes are for debtors; purchases, payments and debit notes for creditors",IF(AND(F202&lt;&gt;"",D202&lt;&gt;"Purchase bill"),"The received-on date is only for purchase bills",IF(AND(P202="Creditor",X202=1,AA202&gt;0),"Past due to a micro or small supplier: interest runs under MSMED s.16, and if unpaid at year end it is not deductible that year, s.37(2)(g)",IF(AND(P202="Debtor",X202=1,AA202&gt;0),"Past due to you: as a micro or small supplier you can claim interest under MSMED s.16","OK")))))))))))</f>
        <v/>
      </c>
      <c r="P202">
        <f>IF(C202="","",IFERROR(VLOOKUP(C202,'Parties'!$B$13:$Q$112,2,FALSE),"?"))</f>
        <v/>
      </c>
      <c r="Q202">
        <f>IF(D202="","",IFERROR(VLOOKUP(D202,Lists!$A$2:$D$9,3,FALSE),"?"))</f>
        <v/>
      </c>
      <c r="R202">
        <f>IF(D202="","",IFERROR(VLOOKUP(D202,Lists!$A$2:$D$9,4,FALSE),"?"))</f>
        <v/>
      </c>
      <c r="S202">
        <f>IF(P202="Debtor",I202,IF(P202="Creditor",J202,0))</f>
        <v/>
      </c>
      <c r="T202">
        <f>IF(P202="Debtor",J202,IF(P202="Creditor",I202,0))</f>
        <v/>
      </c>
      <c r="U202">
        <f>IF(OR(S202=0,B202=""),0,IFERROR(VLOOKUP(C202,'Parties'!$B$13:$Q$112,13,FALSE),0)+SUMIFS($S$7:$S$506,$C$7:$C$506,C202,$B$7:$B$506,"&lt;"&amp;B202)+SUMIFS(S$7:S202,C$7:C202,C202,B$7:B202,B202))</f>
        <v/>
      </c>
      <c r="V202">
        <f>IF(S202=0,0,IFERROR(VLOOKUP(C202,'Parties'!$B$13:$Q$112,14,FALSE),0)+SUMIFS($T$7:$T$506,$C$7:$C$506,C202,$B$7:$B$506,"&lt;="&amp;'Outstanding'!$E$5))</f>
        <v/>
      </c>
      <c r="W202">
        <f>IF(OR('Outstanding'!$E$5="",S202=0,B202="",B202&gt;'Outstanding'!$E$5),0,MAX(0,MIN(S202,U202-V202)))</f>
        <v/>
      </c>
      <c r="X202">
        <f>IF(C202="",0,IFERROR(VLOOKUP(C202,'Parties'!$B$13:$Q$112,15,FALSE),0))</f>
        <v/>
      </c>
      <c r="Y202">
        <f>IF(C202="","",IFERROR(VLOOKUP(C202,'Parties'!$B$13:$Q$112,16,FALSE),0))</f>
        <v/>
      </c>
      <c r="Z202">
        <f>IF(OR(S202=0,B202="",Y202=""),"",IF(AND(F202&lt;&gt;"",D202="Purchase bill"),F202,B202)+Y202)</f>
        <v/>
      </c>
      <c r="AA202">
        <f>IF(OR(W202=0,Z202=""),0,MAX(0,'Outstanding'!$E$5-Z202))</f>
        <v/>
      </c>
      <c r="AB202">
        <f>IF(AND(X202=1,AA202&gt;0),W202*((1+3*N('Parties'!$E$10)/12)^(AA202*12/365)-1),0)</f>
        <v/>
      </c>
      <c r="AC202">
        <f>IF(W202=0,"",'Outstanding'!$E$5-B202)</f>
        <v/>
      </c>
      <c r="AD202">
        <f>IF(S202=0,0,IFERROR(VLOOKUP(C202,'Parties'!$B$13:$Q$112,14,FALSE),0)+SUMIFS($T$7:$T$506,$C$7:$C$506,C202,$B$7:$B$506,"&lt;="&amp;'Parties'!$E$8))</f>
        <v/>
      </c>
      <c r="AE202">
        <f>IF(OR('Parties'!$E$8="",S202=0,B202="",B202&gt;'Parties'!$E$8),0,MAX(0,MIN(S202,U202-AD202)))</f>
        <v/>
      </c>
      <c r="AF202">
        <f>IF(AND(P202="Creditor",X202=1,AE202&gt;0,Z202&lt;&gt;""),IF(Z202&lt;='Parties'!$E$8,AE202,0),0)</f>
        <v/>
      </c>
      <c r="AG202">
        <f>IF(OR(AE202=0,Z202=""),0,MAX(0,'Parties'!$E$8-Z202))</f>
        <v/>
      </c>
      <c r="AH202">
        <f>IF(AND(P202="Creditor",X202=1,AG202&gt;0),AE202*((1+3*N('Parties'!$E$10)/12)^(AG202*12/365)-1),0)</f>
        <v/>
      </c>
      <c r="AI202">
        <f>IF(AND(C202&lt;&gt;"",C202='Ledger Account'!$D$4,B202&lt;&gt;"",B202&gt;='Ledger Account'!$D$5,B202&lt;='Ledger Account'!$D$6),1,0)</f>
        <v/>
      </c>
      <c r="AJ202">
        <f>IF(AI202=1,SUM(AI$7:AI202),"")</f>
        <v/>
      </c>
      <c r="AK202">
        <f>IF(OR(N202="",N202="OK"),0,1)</f>
        <v/>
      </c>
    </row>
    <row r="203">
      <c r="B203" s="24" t="n"/>
      <c r="C203" s="14" t="n"/>
      <c r="D203" s="14" t="n"/>
      <c r="E203" s="20" t="n"/>
      <c r="F203" s="24" t="n"/>
      <c r="G203" s="14" t="n"/>
      <c r="H203" s="22" t="n"/>
      <c r="I203" s="25">
        <f>IF(Q203="D",N(H203),0)</f>
        <v/>
      </c>
      <c r="J203" s="25">
        <f>IF(Q203="C",N(H203),0)</f>
        <v/>
      </c>
      <c r="K203" s="26">
        <f>IF(Z203="","",Z203)</f>
        <v/>
      </c>
      <c r="L203" s="27">
        <f>W203</f>
        <v/>
      </c>
      <c r="M203" s="28">
        <f>AA203</f>
        <v/>
      </c>
      <c r="N203" s="23">
        <f>IF(AND(B203="",C203="",D203="",N(H203)=0),"",IF(B203="","Enter the date",IF(C203="","Pick the party",IF(P203="?","Add this party on the Parties sheet first",IF(D203="","Pick the entry type",IF(Q203="?","Pick the entry type from the list",IF(N(H203)=0,"Enter the amount",IF(AND(R203&lt;&gt;"Any",R203&lt;&gt;P203),"Sales, receipts and credit notes are for debtors; purchases, payments and debit notes for creditors",IF(AND(F203&lt;&gt;"",D203&lt;&gt;"Purchase bill"),"The received-on date is only for purchase bills",IF(AND(P203="Creditor",X203=1,AA203&gt;0),"Past due to a micro or small supplier: interest runs under MSMED s.16, and if unpaid at year end it is not deductible that year, s.37(2)(g)",IF(AND(P203="Debtor",X203=1,AA203&gt;0),"Past due to you: as a micro or small supplier you can claim interest under MSMED s.16","OK")))))))))))</f>
        <v/>
      </c>
      <c r="P203">
        <f>IF(C203="","",IFERROR(VLOOKUP(C203,'Parties'!$B$13:$Q$112,2,FALSE),"?"))</f>
        <v/>
      </c>
      <c r="Q203">
        <f>IF(D203="","",IFERROR(VLOOKUP(D203,Lists!$A$2:$D$9,3,FALSE),"?"))</f>
        <v/>
      </c>
      <c r="R203">
        <f>IF(D203="","",IFERROR(VLOOKUP(D203,Lists!$A$2:$D$9,4,FALSE),"?"))</f>
        <v/>
      </c>
      <c r="S203">
        <f>IF(P203="Debtor",I203,IF(P203="Creditor",J203,0))</f>
        <v/>
      </c>
      <c r="T203">
        <f>IF(P203="Debtor",J203,IF(P203="Creditor",I203,0))</f>
        <v/>
      </c>
      <c r="U203">
        <f>IF(OR(S203=0,B203=""),0,IFERROR(VLOOKUP(C203,'Parties'!$B$13:$Q$112,13,FALSE),0)+SUMIFS($S$7:$S$506,$C$7:$C$506,C203,$B$7:$B$506,"&lt;"&amp;B203)+SUMIFS(S$7:S203,C$7:C203,C203,B$7:B203,B203))</f>
        <v/>
      </c>
      <c r="V203">
        <f>IF(S203=0,0,IFERROR(VLOOKUP(C203,'Parties'!$B$13:$Q$112,14,FALSE),0)+SUMIFS($T$7:$T$506,$C$7:$C$506,C203,$B$7:$B$506,"&lt;="&amp;'Outstanding'!$E$5))</f>
        <v/>
      </c>
      <c r="W203">
        <f>IF(OR('Outstanding'!$E$5="",S203=0,B203="",B203&gt;'Outstanding'!$E$5),0,MAX(0,MIN(S203,U203-V203)))</f>
        <v/>
      </c>
      <c r="X203">
        <f>IF(C203="",0,IFERROR(VLOOKUP(C203,'Parties'!$B$13:$Q$112,15,FALSE),0))</f>
        <v/>
      </c>
      <c r="Y203">
        <f>IF(C203="","",IFERROR(VLOOKUP(C203,'Parties'!$B$13:$Q$112,16,FALSE),0))</f>
        <v/>
      </c>
      <c r="Z203">
        <f>IF(OR(S203=0,B203="",Y203=""),"",IF(AND(F203&lt;&gt;"",D203="Purchase bill"),F203,B203)+Y203)</f>
        <v/>
      </c>
      <c r="AA203">
        <f>IF(OR(W203=0,Z203=""),0,MAX(0,'Outstanding'!$E$5-Z203))</f>
        <v/>
      </c>
      <c r="AB203">
        <f>IF(AND(X203=1,AA203&gt;0),W203*((1+3*N('Parties'!$E$10)/12)^(AA203*12/365)-1),0)</f>
        <v/>
      </c>
      <c r="AC203">
        <f>IF(W203=0,"",'Outstanding'!$E$5-B203)</f>
        <v/>
      </c>
      <c r="AD203">
        <f>IF(S203=0,0,IFERROR(VLOOKUP(C203,'Parties'!$B$13:$Q$112,14,FALSE),0)+SUMIFS($T$7:$T$506,$C$7:$C$506,C203,$B$7:$B$506,"&lt;="&amp;'Parties'!$E$8))</f>
        <v/>
      </c>
      <c r="AE203">
        <f>IF(OR('Parties'!$E$8="",S203=0,B203="",B203&gt;'Parties'!$E$8),0,MAX(0,MIN(S203,U203-AD203)))</f>
        <v/>
      </c>
      <c r="AF203">
        <f>IF(AND(P203="Creditor",X203=1,AE203&gt;0,Z203&lt;&gt;""),IF(Z203&lt;='Parties'!$E$8,AE203,0),0)</f>
        <v/>
      </c>
      <c r="AG203">
        <f>IF(OR(AE203=0,Z203=""),0,MAX(0,'Parties'!$E$8-Z203))</f>
        <v/>
      </c>
      <c r="AH203">
        <f>IF(AND(P203="Creditor",X203=1,AG203&gt;0),AE203*((1+3*N('Parties'!$E$10)/12)^(AG203*12/365)-1),0)</f>
        <v/>
      </c>
      <c r="AI203">
        <f>IF(AND(C203&lt;&gt;"",C203='Ledger Account'!$D$4,B203&lt;&gt;"",B203&gt;='Ledger Account'!$D$5,B203&lt;='Ledger Account'!$D$6),1,0)</f>
        <v/>
      </c>
      <c r="AJ203">
        <f>IF(AI203=1,SUM(AI$7:AI203),"")</f>
        <v/>
      </c>
      <c r="AK203">
        <f>IF(OR(N203="",N203="OK"),0,1)</f>
        <v/>
      </c>
    </row>
    <row r="204">
      <c r="B204" s="24" t="n"/>
      <c r="C204" s="14" t="n"/>
      <c r="D204" s="14" t="n"/>
      <c r="E204" s="20" t="n"/>
      <c r="F204" s="24" t="n"/>
      <c r="G204" s="14" t="n"/>
      <c r="H204" s="22" t="n"/>
      <c r="I204" s="25">
        <f>IF(Q204="D",N(H204),0)</f>
        <v/>
      </c>
      <c r="J204" s="25">
        <f>IF(Q204="C",N(H204),0)</f>
        <v/>
      </c>
      <c r="K204" s="26">
        <f>IF(Z204="","",Z204)</f>
        <v/>
      </c>
      <c r="L204" s="27">
        <f>W204</f>
        <v/>
      </c>
      <c r="M204" s="28">
        <f>AA204</f>
        <v/>
      </c>
      <c r="N204" s="23">
        <f>IF(AND(B204="",C204="",D204="",N(H204)=0),"",IF(B204="","Enter the date",IF(C204="","Pick the party",IF(P204="?","Add this party on the Parties sheet first",IF(D204="","Pick the entry type",IF(Q204="?","Pick the entry type from the list",IF(N(H204)=0,"Enter the amount",IF(AND(R204&lt;&gt;"Any",R204&lt;&gt;P204),"Sales, receipts and credit notes are for debtors; purchases, payments and debit notes for creditors",IF(AND(F204&lt;&gt;"",D204&lt;&gt;"Purchase bill"),"The received-on date is only for purchase bills",IF(AND(P204="Creditor",X204=1,AA204&gt;0),"Past due to a micro or small supplier: interest runs under MSMED s.16, and if unpaid at year end it is not deductible that year, s.37(2)(g)",IF(AND(P204="Debtor",X204=1,AA204&gt;0),"Past due to you: as a micro or small supplier you can claim interest under MSMED s.16","OK")))))))))))</f>
        <v/>
      </c>
      <c r="P204">
        <f>IF(C204="","",IFERROR(VLOOKUP(C204,'Parties'!$B$13:$Q$112,2,FALSE),"?"))</f>
        <v/>
      </c>
      <c r="Q204">
        <f>IF(D204="","",IFERROR(VLOOKUP(D204,Lists!$A$2:$D$9,3,FALSE),"?"))</f>
        <v/>
      </c>
      <c r="R204">
        <f>IF(D204="","",IFERROR(VLOOKUP(D204,Lists!$A$2:$D$9,4,FALSE),"?"))</f>
        <v/>
      </c>
      <c r="S204">
        <f>IF(P204="Debtor",I204,IF(P204="Creditor",J204,0))</f>
        <v/>
      </c>
      <c r="T204">
        <f>IF(P204="Debtor",J204,IF(P204="Creditor",I204,0))</f>
        <v/>
      </c>
      <c r="U204">
        <f>IF(OR(S204=0,B204=""),0,IFERROR(VLOOKUP(C204,'Parties'!$B$13:$Q$112,13,FALSE),0)+SUMIFS($S$7:$S$506,$C$7:$C$506,C204,$B$7:$B$506,"&lt;"&amp;B204)+SUMIFS(S$7:S204,C$7:C204,C204,B$7:B204,B204))</f>
        <v/>
      </c>
      <c r="V204">
        <f>IF(S204=0,0,IFERROR(VLOOKUP(C204,'Parties'!$B$13:$Q$112,14,FALSE),0)+SUMIFS($T$7:$T$506,$C$7:$C$506,C204,$B$7:$B$506,"&lt;="&amp;'Outstanding'!$E$5))</f>
        <v/>
      </c>
      <c r="W204">
        <f>IF(OR('Outstanding'!$E$5="",S204=0,B204="",B204&gt;'Outstanding'!$E$5),0,MAX(0,MIN(S204,U204-V204)))</f>
        <v/>
      </c>
      <c r="X204">
        <f>IF(C204="",0,IFERROR(VLOOKUP(C204,'Parties'!$B$13:$Q$112,15,FALSE),0))</f>
        <v/>
      </c>
      <c r="Y204">
        <f>IF(C204="","",IFERROR(VLOOKUP(C204,'Parties'!$B$13:$Q$112,16,FALSE),0))</f>
        <v/>
      </c>
      <c r="Z204">
        <f>IF(OR(S204=0,B204="",Y204=""),"",IF(AND(F204&lt;&gt;"",D204="Purchase bill"),F204,B204)+Y204)</f>
        <v/>
      </c>
      <c r="AA204">
        <f>IF(OR(W204=0,Z204=""),0,MAX(0,'Outstanding'!$E$5-Z204))</f>
        <v/>
      </c>
      <c r="AB204">
        <f>IF(AND(X204=1,AA204&gt;0),W204*((1+3*N('Parties'!$E$10)/12)^(AA204*12/365)-1),0)</f>
        <v/>
      </c>
      <c r="AC204">
        <f>IF(W204=0,"",'Outstanding'!$E$5-B204)</f>
        <v/>
      </c>
      <c r="AD204">
        <f>IF(S204=0,0,IFERROR(VLOOKUP(C204,'Parties'!$B$13:$Q$112,14,FALSE),0)+SUMIFS($T$7:$T$506,$C$7:$C$506,C204,$B$7:$B$506,"&lt;="&amp;'Parties'!$E$8))</f>
        <v/>
      </c>
      <c r="AE204">
        <f>IF(OR('Parties'!$E$8="",S204=0,B204="",B204&gt;'Parties'!$E$8),0,MAX(0,MIN(S204,U204-AD204)))</f>
        <v/>
      </c>
      <c r="AF204">
        <f>IF(AND(P204="Creditor",X204=1,AE204&gt;0,Z204&lt;&gt;""),IF(Z204&lt;='Parties'!$E$8,AE204,0),0)</f>
        <v/>
      </c>
      <c r="AG204">
        <f>IF(OR(AE204=0,Z204=""),0,MAX(0,'Parties'!$E$8-Z204))</f>
        <v/>
      </c>
      <c r="AH204">
        <f>IF(AND(P204="Creditor",X204=1,AG204&gt;0),AE204*((1+3*N('Parties'!$E$10)/12)^(AG204*12/365)-1),0)</f>
        <v/>
      </c>
      <c r="AI204">
        <f>IF(AND(C204&lt;&gt;"",C204='Ledger Account'!$D$4,B204&lt;&gt;"",B204&gt;='Ledger Account'!$D$5,B204&lt;='Ledger Account'!$D$6),1,0)</f>
        <v/>
      </c>
      <c r="AJ204">
        <f>IF(AI204=1,SUM(AI$7:AI204),"")</f>
        <v/>
      </c>
      <c r="AK204">
        <f>IF(OR(N204="",N204="OK"),0,1)</f>
        <v/>
      </c>
    </row>
    <row r="205">
      <c r="B205" s="24" t="n"/>
      <c r="C205" s="14" t="n"/>
      <c r="D205" s="14" t="n"/>
      <c r="E205" s="20" t="n"/>
      <c r="F205" s="24" t="n"/>
      <c r="G205" s="14" t="n"/>
      <c r="H205" s="22" t="n"/>
      <c r="I205" s="25">
        <f>IF(Q205="D",N(H205),0)</f>
        <v/>
      </c>
      <c r="J205" s="25">
        <f>IF(Q205="C",N(H205),0)</f>
        <v/>
      </c>
      <c r="K205" s="26">
        <f>IF(Z205="","",Z205)</f>
        <v/>
      </c>
      <c r="L205" s="27">
        <f>W205</f>
        <v/>
      </c>
      <c r="M205" s="28">
        <f>AA205</f>
        <v/>
      </c>
      <c r="N205" s="23">
        <f>IF(AND(B205="",C205="",D205="",N(H205)=0),"",IF(B205="","Enter the date",IF(C205="","Pick the party",IF(P205="?","Add this party on the Parties sheet first",IF(D205="","Pick the entry type",IF(Q205="?","Pick the entry type from the list",IF(N(H205)=0,"Enter the amount",IF(AND(R205&lt;&gt;"Any",R205&lt;&gt;P205),"Sales, receipts and credit notes are for debtors; purchases, payments and debit notes for creditors",IF(AND(F205&lt;&gt;"",D205&lt;&gt;"Purchase bill"),"The received-on date is only for purchase bills",IF(AND(P205="Creditor",X205=1,AA205&gt;0),"Past due to a micro or small supplier: interest runs under MSMED s.16, and if unpaid at year end it is not deductible that year, s.37(2)(g)",IF(AND(P205="Debtor",X205=1,AA205&gt;0),"Past due to you: as a micro or small supplier you can claim interest under MSMED s.16","OK")))))))))))</f>
        <v/>
      </c>
      <c r="P205">
        <f>IF(C205="","",IFERROR(VLOOKUP(C205,'Parties'!$B$13:$Q$112,2,FALSE),"?"))</f>
        <v/>
      </c>
      <c r="Q205">
        <f>IF(D205="","",IFERROR(VLOOKUP(D205,Lists!$A$2:$D$9,3,FALSE),"?"))</f>
        <v/>
      </c>
      <c r="R205">
        <f>IF(D205="","",IFERROR(VLOOKUP(D205,Lists!$A$2:$D$9,4,FALSE),"?"))</f>
        <v/>
      </c>
      <c r="S205">
        <f>IF(P205="Debtor",I205,IF(P205="Creditor",J205,0))</f>
        <v/>
      </c>
      <c r="T205">
        <f>IF(P205="Debtor",J205,IF(P205="Creditor",I205,0))</f>
        <v/>
      </c>
      <c r="U205">
        <f>IF(OR(S205=0,B205=""),0,IFERROR(VLOOKUP(C205,'Parties'!$B$13:$Q$112,13,FALSE),0)+SUMIFS($S$7:$S$506,$C$7:$C$506,C205,$B$7:$B$506,"&lt;"&amp;B205)+SUMIFS(S$7:S205,C$7:C205,C205,B$7:B205,B205))</f>
        <v/>
      </c>
      <c r="V205">
        <f>IF(S205=0,0,IFERROR(VLOOKUP(C205,'Parties'!$B$13:$Q$112,14,FALSE),0)+SUMIFS($T$7:$T$506,$C$7:$C$506,C205,$B$7:$B$506,"&lt;="&amp;'Outstanding'!$E$5))</f>
        <v/>
      </c>
      <c r="W205">
        <f>IF(OR('Outstanding'!$E$5="",S205=0,B205="",B205&gt;'Outstanding'!$E$5),0,MAX(0,MIN(S205,U205-V205)))</f>
        <v/>
      </c>
      <c r="X205">
        <f>IF(C205="",0,IFERROR(VLOOKUP(C205,'Parties'!$B$13:$Q$112,15,FALSE),0))</f>
        <v/>
      </c>
      <c r="Y205">
        <f>IF(C205="","",IFERROR(VLOOKUP(C205,'Parties'!$B$13:$Q$112,16,FALSE),0))</f>
        <v/>
      </c>
      <c r="Z205">
        <f>IF(OR(S205=0,B205="",Y205=""),"",IF(AND(F205&lt;&gt;"",D205="Purchase bill"),F205,B205)+Y205)</f>
        <v/>
      </c>
      <c r="AA205">
        <f>IF(OR(W205=0,Z205=""),0,MAX(0,'Outstanding'!$E$5-Z205))</f>
        <v/>
      </c>
      <c r="AB205">
        <f>IF(AND(X205=1,AA205&gt;0),W205*((1+3*N('Parties'!$E$10)/12)^(AA205*12/365)-1),0)</f>
        <v/>
      </c>
      <c r="AC205">
        <f>IF(W205=0,"",'Outstanding'!$E$5-B205)</f>
        <v/>
      </c>
      <c r="AD205">
        <f>IF(S205=0,0,IFERROR(VLOOKUP(C205,'Parties'!$B$13:$Q$112,14,FALSE),0)+SUMIFS($T$7:$T$506,$C$7:$C$506,C205,$B$7:$B$506,"&lt;="&amp;'Parties'!$E$8))</f>
        <v/>
      </c>
      <c r="AE205">
        <f>IF(OR('Parties'!$E$8="",S205=0,B205="",B205&gt;'Parties'!$E$8),0,MAX(0,MIN(S205,U205-AD205)))</f>
        <v/>
      </c>
      <c r="AF205">
        <f>IF(AND(P205="Creditor",X205=1,AE205&gt;0,Z205&lt;&gt;""),IF(Z205&lt;='Parties'!$E$8,AE205,0),0)</f>
        <v/>
      </c>
      <c r="AG205">
        <f>IF(OR(AE205=0,Z205=""),0,MAX(0,'Parties'!$E$8-Z205))</f>
        <v/>
      </c>
      <c r="AH205">
        <f>IF(AND(P205="Creditor",X205=1,AG205&gt;0),AE205*((1+3*N('Parties'!$E$10)/12)^(AG205*12/365)-1),0)</f>
        <v/>
      </c>
      <c r="AI205">
        <f>IF(AND(C205&lt;&gt;"",C205='Ledger Account'!$D$4,B205&lt;&gt;"",B205&gt;='Ledger Account'!$D$5,B205&lt;='Ledger Account'!$D$6),1,0)</f>
        <v/>
      </c>
      <c r="AJ205">
        <f>IF(AI205=1,SUM(AI$7:AI205),"")</f>
        <v/>
      </c>
      <c r="AK205">
        <f>IF(OR(N205="",N205="OK"),0,1)</f>
        <v/>
      </c>
    </row>
    <row r="206">
      <c r="B206" s="24" t="n"/>
      <c r="C206" s="14" t="n"/>
      <c r="D206" s="14" t="n"/>
      <c r="E206" s="20" t="n"/>
      <c r="F206" s="24" t="n"/>
      <c r="G206" s="14" t="n"/>
      <c r="H206" s="22" t="n"/>
      <c r="I206" s="25">
        <f>IF(Q206="D",N(H206),0)</f>
        <v/>
      </c>
      <c r="J206" s="25">
        <f>IF(Q206="C",N(H206),0)</f>
        <v/>
      </c>
      <c r="K206" s="26">
        <f>IF(Z206="","",Z206)</f>
        <v/>
      </c>
      <c r="L206" s="27">
        <f>W206</f>
        <v/>
      </c>
      <c r="M206" s="28">
        <f>AA206</f>
        <v/>
      </c>
      <c r="N206" s="23">
        <f>IF(AND(B206="",C206="",D206="",N(H206)=0),"",IF(B206="","Enter the date",IF(C206="","Pick the party",IF(P206="?","Add this party on the Parties sheet first",IF(D206="","Pick the entry type",IF(Q206="?","Pick the entry type from the list",IF(N(H206)=0,"Enter the amount",IF(AND(R206&lt;&gt;"Any",R206&lt;&gt;P206),"Sales, receipts and credit notes are for debtors; purchases, payments and debit notes for creditors",IF(AND(F206&lt;&gt;"",D206&lt;&gt;"Purchase bill"),"The received-on date is only for purchase bills",IF(AND(P206="Creditor",X206=1,AA206&gt;0),"Past due to a micro or small supplier: interest runs under MSMED s.16, and if unpaid at year end it is not deductible that year, s.37(2)(g)",IF(AND(P206="Debtor",X206=1,AA206&gt;0),"Past due to you: as a micro or small supplier you can claim interest under MSMED s.16","OK")))))))))))</f>
        <v/>
      </c>
      <c r="P206">
        <f>IF(C206="","",IFERROR(VLOOKUP(C206,'Parties'!$B$13:$Q$112,2,FALSE),"?"))</f>
        <v/>
      </c>
      <c r="Q206">
        <f>IF(D206="","",IFERROR(VLOOKUP(D206,Lists!$A$2:$D$9,3,FALSE),"?"))</f>
        <v/>
      </c>
      <c r="R206">
        <f>IF(D206="","",IFERROR(VLOOKUP(D206,Lists!$A$2:$D$9,4,FALSE),"?"))</f>
        <v/>
      </c>
      <c r="S206">
        <f>IF(P206="Debtor",I206,IF(P206="Creditor",J206,0))</f>
        <v/>
      </c>
      <c r="T206">
        <f>IF(P206="Debtor",J206,IF(P206="Creditor",I206,0))</f>
        <v/>
      </c>
      <c r="U206">
        <f>IF(OR(S206=0,B206=""),0,IFERROR(VLOOKUP(C206,'Parties'!$B$13:$Q$112,13,FALSE),0)+SUMIFS($S$7:$S$506,$C$7:$C$506,C206,$B$7:$B$506,"&lt;"&amp;B206)+SUMIFS(S$7:S206,C$7:C206,C206,B$7:B206,B206))</f>
        <v/>
      </c>
      <c r="V206">
        <f>IF(S206=0,0,IFERROR(VLOOKUP(C206,'Parties'!$B$13:$Q$112,14,FALSE),0)+SUMIFS($T$7:$T$506,$C$7:$C$506,C206,$B$7:$B$506,"&lt;="&amp;'Outstanding'!$E$5))</f>
        <v/>
      </c>
      <c r="W206">
        <f>IF(OR('Outstanding'!$E$5="",S206=0,B206="",B206&gt;'Outstanding'!$E$5),0,MAX(0,MIN(S206,U206-V206)))</f>
        <v/>
      </c>
      <c r="X206">
        <f>IF(C206="",0,IFERROR(VLOOKUP(C206,'Parties'!$B$13:$Q$112,15,FALSE),0))</f>
        <v/>
      </c>
      <c r="Y206">
        <f>IF(C206="","",IFERROR(VLOOKUP(C206,'Parties'!$B$13:$Q$112,16,FALSE),0))</f>
        <v/>
      </c>
      <c r="Z206">
        <f>IF(OR(S206=0,B206="",Y206=""),"",IF(AND(F206&lt;&gt;"",D206="Purchase bill"),F206,B206)+Y206)</f>
        <v/>
      </c>
      <c r="AA206">
        <f>IF(OR(W206=0,Z206=""),0,MAX(0,'Outstanding'!$E$5-Z206))</f>
        <v/>
      </c>
      <c r="AB206">
        <f>IF(AND(X206=1,AA206&gt;0),W206*((1+3*N('Parties'!$E$10)/12)^(AA206*12/365)-1),0)</f>
        <v/>
      </c>
      <c r="AC206">
        <f>IF(W206=0,"",'Outstanding'!$E$5-B206)</f>
        <v/>
      </c>
      <c r="AD206">
        <f>IF(S206=0,0,IFERROR(VLOOKUP(C206,'Parties'!$B$13:$Q$112,14,FALSE),0)+SUMIFS($T$7:$T$506,$C$7:$C$506,C206,$B$7:$B$506,"&lt;="&amp;'Parties'!$E$8))</f>
        <v/>
      </c>
      <c r="AE206">
        <f>IF(OR('Parties'!$E$8="",S206=0,B206="",B206&gt;'Parties'!$E$8),0,MAX(0,MIN(S206,U206-AD206)))</f>
        <v/>
      </c>
      <c r="AF206">
        <f>IF(AND(P206="Creditor",X206=1,AE206&gt;0,Z206&lt;&gt;""),IF(Z206&lt;='Parties'!$E$8,AE206,0),0)</f>
        <v/>
      </c>
      <c r="AG206">
        <f>IF(OR(AE206=0,Z206=""),0,MAX(0,'Parties'!$E$8-Z206))</f>
        <v/>
      </c>
      <c r="AH206">
        <f>IF(AND(P206="Creditor",X206=1,AG206&gt;0),AE206*((1+3*N('Parties'!$E$10)/12)^(AG206*12/365)-1),0)</f>
        <v/>
      </c>
      <c r="AI206">
        <f>IF(AND(C206&lt;&gt;"",C206='Ledger Account'!$D$4,B206&lt;&gt;"",B206&gt;='Ledger Account'!$D$5,B206&lt;='Ledger Account'!$D$6),1,0)</f>
        <v/>
      </c>
      <c r="AJ206">
        <f>IF(AI206=1,SUM(AI$7:AI206),"")</f>
        <v/>
      </c>
      <c r="AK206">
        <f>IF(OR(N206="",N206="OK"),0,1)</f>
        <v/>
      </c>
    </row>
    <row r="207">
      <c r="B207" s="24" t="n"/>
      <c r="C207" s="14" t="n"/>
      <c r="D207" s="14" t="n"/>
      <c r="E207" s="20" t="n"/>
      <c r="F207" s="24" t="n"/>
      <c r="G207" s="14" t="n"/>
      <c r="H207" s="22" t="n"/>
      <c r="I207" s="25">
        <f>IF(Q207="D",N(H207),0)</f>
        <v/>
      </c>
      <c r="J207" s="25">
        <f>IF(Q207="C",N(H207),0)</f>
        <v/>
      </c>
      <c r="K207" s="26">
        <f>IF(Z207="","",Z207)</f>
        <v/>
      </c>
      <c r="L207" s="27">
        <f>W207</f>
        <v/>
      </c>
      <c r="M207" s="28">
        <f>AA207</f>
        <v/>
      </c>
      <c r="N207" s="23">
        <f>IF(AND(B207="",C207="",D207="",N(H207)=0),"",IF(B207="","Enter the date",IF(C207="","Pick the party",IF(P207="?","Add this party on the Parties sheet first",IF(D207="","Pick the entry type",IF(Q207="?","Pick the entry type from the list",IF(N(H207)=0,"Enter the amount",IF(AND(R207&lt;&gt;"Any",R207&lt;&gt;P207),"Sales, receipts and credit notes are for debtors; purchases, payments and debit notes for creditors",IF(AND(F207&lt;&gt;"",D207&lt;&gt;"Purchase bill"),"The received-on date is only for purchase bills",IF(AND(P207="Creditor",X207=1,AA207&gt;0),"Past due to a micro or small supplier: interest runs under MSMED s.16, and if unpaid at year end it is not deductible that year, s.37(2)(g)",IF(AND(P207="Debtor",X207=1,AA207&gt;0),"Past due to you: as a micro or small supplier you can claim interest under MSMED s.16","OK")))))))))))</f>
        <v/>
      </c>
      <c r="P207">
        <f>IF(C207="","",IFERROR(VLOOKUP(C207,'Parties'!$B$13:$Q$112,2,FALSE),"?"))</f>
        <v/>
      </c>
      <c r="Q207">
        <f>IF(D207="","",IFERROR(VLOOKUP(D207,Lists!$A$2:$D$9,3,FALSE),"?"))</f>
        <v/>
      </c>
      <c r="R207">
        <f>IF(D207="","",IFERROR(VLOOKUP(D207,Lists!$A$2:$D$9,4,FALSE),"?"))</f>
        <v/>
      </c>
      <c r="S207">
        <f>IF(P207="Debtor",I207,IF(P207="Creditor",J207,0))</f>
        <v/>
      </c>
      <c r="T207">
        <f>IF(P207="Debtor",J207,IF(P207="Creditor",I207,0))</f>
        <v/>
      </c>
      <c r="U207">
        <f>IF(OR(S207=0,B207=""),0,IFERROR(VLOOKUP(C207,'Parties'!$B$13:$Q$112,13,FALSE),0)+SUMIFS($S$7:$S$506,$C$7:$C$506,C207,$B$7:$B$506,"&lt;"&amp;B207)+SUMIFS(S$7:S207,C$7:C207,C207,B$7:B207,B207))</f>
        <v/>
      </c>
      <c r="V207">
        <f>IF(S207=0,0,IFERROR(VLOOKUP(C207,'Parties'!$B$13:$Q$112,14,FALSE),0)+SUMIFS($T$7:$T$506,$C$7:$C$506,C207,$B$7:$B$506,"&lt;="&amp;'Outstanding'!$E$5))</f>
        <v/>
      </c>
      <c r="W207">
        <f>IF(OR('Outstanding'!$E$5="",S207=0,B207="",B207&gt;'Outstanding'!$E$5),0,MAX(0,MIN(S207,U207-V207)))</f>
        <v/>
      </c>
      <c r="X207">
        <f>IF(C207="",0,IFERROR(VLOOKUP(C207,'Parties'!$B$13:$Q$112,15,FALSE),0))</f>
        <v/>
      </c>
      <c r="Y207">
        <f>IF(C207="","",IFERROR(VLOOKUP(C207,'Parties'!$B$13:$Q$112,16,FALSE),0))</f>
        <v/>
      </c>
      <c r="Z207">
        <f>IF(OR(S207=0,B207="",Y207=""),"",IF(AND(F207&lt;&gt;"",D207="Purchase bill"),F207,B207)+Y207)</f>
        <v/>
      </c>
      <c r="AA207">
        <f>IF(OR(W207=0,Z207=""),0,MAX(0,'Outstanding'!$E$5-Z207))</f>
        <v/>
      </c>
      <c r="AB207">
        <f>IF(AND(X207=1,AA207&gt;0),W207*((1+3*N('Parties'!$E$10)/12)^(AA207*12/365)-1),0)</f>
        <v/>
      </c>
      <c r="AC207">
        <f>IF(W207=0,"",'Outstanding'!$E$5-B207)</f>
        <v/>
      </c>
      <c r="AD207">
        <f>IF(S207=0,0,IFERROR(VLOOKUP(C207,'Parties'!$B$13:$Q$112,14,FALSE),0)+SUMIFS($T$7:$T$506,$C$7:$C$506,C207,$B$7:$B$506,"&lt;="&amp;'Parties'!$E$8))</f>
        <v/>
      </c>
      <c r="AE207">
        <f>IF(OR('Parties'!$E$8="",S207=0,B207="",B207&gt;'Parties'!$E$8),0,MAX(0,MIN(S207,U207-AD207)))</f>
        <v/>
      </c>
      <c r="AF207">
        <f>IF(AND(P207="Creditor",X207=1,AE207&gt;0,Z207&lt;&gt;""),IF(Z207&lt;='Parties'!$E$8,AE207,0),0)</f>
        <v/>
      </c>
      <c r="AG207">
        <f>IF(OR(AE207=0,Z207=""),0,MAX(0,'Parties'!$E$8-Z207))</f>
        <v/>
      </c>
      <c r="AH207">
        <f>IF(AND(P207="Creditor",X207=1,AG207&gt;0),AE207*((1+3*N('Parties'!$E$10)/12)^(AG207*12/365)-1),0)</f>
        <v/>
      </c>
      <c r="AI207">
        <f>IF(AND(C207&lt;&gt;"",C207='Ledger Account'!$D$4,B207&lt;&gt;"",B207&gt;='Ledger Account'!$D$5,B207&lt;='Ledger Account'!$D$6),1,0)</f>
        <v/>
      </c>
      <c r="AJ207">
        <f>IF(AI207=1,SUM(AI$7:AI207),"")</f>
        <v/>
      </c>
      <c r="AK207">
        <f>IF(OR(N207="",N207="OK"),0,1)</f>
        <v/>
      </c>
    </row>
    <row r="208">
      <c r="B208" s="24" t="n"/>
      <c r="C208" s="14" t="n"/>
      <c r="D208" s="14" t="n"/>
      <c r="E208" s="20" t="n"/>
      <c r="F208" s="24" t="n"/>
      <c r="G208" s="14" t="n"/>
      <c r="H208" s="22" t="n"/>
      <c r="I208" s="25">
        <f>IF(Q208="D",N(H208),0)</f>
        <v/>
      </c>
      <c r="J208" s="25">
        <f>IF(Q208="C",N(H208),0)</f>
        <v/>
      </c>
      <c r="K208" s="26">
        <f>IF(Z208="","",Z208)</f>
        <v/>
      </c>
      <c r="L208" s="27">
        <f>W208</f>
        <v/>
      </c>
      <c r="M208" s="28">
        <f>AA208</f>
        <v/>
      </c>
      <c r="N208" s="23">
        <f>IF(AND(B208="",C208="",D208="",N(H208)=0),"",IF(B208="","Enter the date",IF(C208="","Pick the party",IF(P208="?","Add this party on the Parties sheet first",IF(D208="","Pick the entry type",IF(Q208="?","Pick the entry type from the list",IF(N(H208)=0,"Enter the amount",IF(AND(R208&lt;&gt;"Any",R208&lt;&gt;P208),"Sales, receipts and credit notes are for debtors; purchases, payments and debit notes for creditors",IF(AND(F208&lt;&gt;"",D208&lt;&gt;"Purchase bill"),"The received-on date is only for purchase bills",IF(AND(P208="Creditor",X208=1,AA208&gt;0),"Past due to a micro or small supplier: interest runs under MSMED s.16, and if unpaid at year end it is not deductible that year, s.37(2)(g)",IF(AND(P208="Debtor",X208=1,AA208&gt;0),"Past due to you: as a micro or small supplier you can claim interest under MSMED s.16","OK")))))))))))</f>
        <v/>
      </c>
      <c r="P208">
        <f>IF(C208="","",IFERROR(VLOOKUP(C208,'Parties'!$B$13:$Q$112,2,FALSE),"?"))</f>
        <v/>
      </c>
      <c r="Q208">
        <f>IF(D208="","",IFERROR(VLOOKUP(D208,Lists!$A$2:$D$9,3,FALSE),"?"))</f>
        <v/>
      </c>
      <c r="R208">
        <f>IF(D208="","",IFERROR(VLOOKUP(D208,Lists!$A$2:$D$9,4,FALSE),"?"))</f>
        <v/>
      </c>
      <c r="S208">
        <f>IF(P208="Debtor",I208,IF(P208="Creditor",J208,0))</f>
        <v/>
      </c>
      <c r="T208">
        <f>IF(P208="Debtor",J208,IF(P208="Creditor",I208,0))</f>
        <v/>
      </c>
      <c r="U208">
        <f>IF(OR(S208=0,B208=""),0,IFERROR(VLOOKUP(C208,'Parties'!$B$13:$Q$112,13,FALSE),0)+SUMIFS($S$7:$S$506,$C$7:$C$506,C208,$B$7:$B$506,"&lt;"&amp;B208)+SUMIFS(S$7:S208,C$7:C208,C208,B$7:B208,B208))</f>
        <v/>
      </c>
      <c r="V208">
        <f>IF(S208=0,0,IFERROR(VLOOKUP(C208,'Parties'!$B$13:$Q$112,14,FALSE),0)+SUMIFS($T$7:$T$506,$C$7:$C$506,C208,$B$7:$B$506,"&lt;="&amp;'Outstanding'!$E$5))</f>
        <v/>
      </c>
      <c r="W208">
        <f>IF(OR('Outstanding'!$E$5="",S208=0,B208="",B208&gt;'Outstanding'!$E$5),0,MAX(0,MIN(S208,U208-V208)))</f>
        <v/>
      </c>
      <c r="X208">
        <f>IF(C208="",0,IFERROR(VLOOKUP(C208,'Parties'!$B$13:$Q$112,15,FALSE),0))</f>
        <v/>
      </c>
      <c r="Y208">
        <f>IF(C208="","",IFERROR(VLOOKUP(C208,'Parties'!$B$13:$Q$112,16,FALSE),0))</f>
        <v/>
      </c>
      <c r="Z208">
        <f>IF(OR(S208=0,B208="",Y208=""),"",IF(AND(F208&lt;&gt;"",D208="Purchase bill"),F208,B208)+Y208)</f>
        <v/>
      </c>
      <c r="AA208">
        <f>IF(OR(W208=0,Z208=""),0,MAX(0,'Outstanding'!$E$5-Z208))</f>
        <v/>
      </c>
      <c r="AB208">
        <f>IF(AND(X208=1,AA208&gt;0),W208*((1+3*N('Parties'!$E$10)/12)^(AA208*12/365)-1),0)</f>
        <v/>
      </c>
      <c r="AC208">
        <f>IF(W208=0,"",'Outstanding'!$E$5-B208)</f>
        <v/>
      </c>
      <c r="AD208">
        <f>IF(S208=0,0,IFERROR(VLOOKUP(C208,'Parties'!$B$13:$Q$112,14,FALSE),0)+SUMIFS($T$7:$T$506,$C$7:$C$506,C208,$B$7:$B$506,"&lt;="&amp;'Parties'!$E$8))</f>
        <v/>
      </c>
      <c r="AE208">
        <f>IF(OR('Parties'!$E$8="",S208=0,B208="",B208&gt;'Parties'!$E$8),0,MAX(0,MIN(S208,U208-AD208)))</f>
        <v/>
      </c>
      <c r="AF208">
        <f>IF(AND(P208="Creditor",X208=1,AE208&gt;0,Z208&lt;&gt;""),IF(Z208&lt;='Parties'!$E$8,AE208,0),0)</f>
        <v/>
      </c>
      <c r="AG208">
        <f>IF(OR(AE208=0,Z208=""),0,MAX(0,'Parties'!$E$8-Z208))</f>
        <v/>
      </c>
      <c r="AH208">
        <f>IF(AND(P208="Creditor",X208=1,AG208&gt;0),AE208*((1+3*N('Parties'!$E$10)/12)^(AG208*12/365)-1),0)</f>
        <v/>
      </c>
      <c r="AI208">
        <f>IF(AND(C208&lt;&gt;"",C208='Ledger Account'!$D$4,B208&lt;&gt;"",B208&gt;='Ledger Account'!$D$5,B208&lt;='Ledger Account'!$D$6),1,0)</f>
        <v/>
      </c>
      <c r="AJ208">
        <f>IF(AI208=1,SUM(AI$7:AI208),"")</f>
        <v/>
      </c>
      <c r="AK208">
        <f>IF(OR(N208="",N208="OK"),0,1)</f>
        <v/>
      </c>
    </row>
    <row r="209">
      <c r="B209" s="24" t="n"/>
      <c r="C209" s="14" t="n"/>
      <c r="D209" s="14" t="n"/>
      <c r="E209" s="20" t="n"/>
      <c r="F209" s="24" t="n"/>
      <c r="G209" s="14" t="n"/>
      <c r="H209" s="22" t="n"/>
      <c r="I209" s="25">
        <f>IF(Q209="D",N(H209),0)</f>
        <v/>
      </c>
      <c r="J209" s="25">
        <f>IF(Q209="C",N(H209),0)</f>
        <v/>
      </c>
      <c r="K209" s="26">
        <f>IF(Z209="","",Z209)</f>
        <v/>
      </c>
      <c r="L209" s="27">
        <f>W209</f>
        <v/>
      </c>
      <c r="M209" s="28">
        <f>AA209</f>
        <v/>
      </c>
      <c r="N209" s="23">
        <f>IF(AND(B209="",C209="",D209="",N(H209)=0),"",IF(B209="","Enter the date",IF(C209="","Pick the party",IF(P209="?","Add this party on the Parties sheet first",IF(D209="","Pick the entry type",IF(Q209="?","Pick the entry type from the list",IF(N(H209)=0,"Enter the amount",IF(AND(R209&lt;&gt;"Any",R209&lt;&gt;P209),"Sales, receipts and credit notes are for debtors; purchases, payments and debit notes for creditors",IF(AND(F209&lt;&gt;"",D209&lt;&gt;"Purchase bill"),"The received-on date is only for purchase bills",IF(AND(P209="Creditor",X209=1,AA209&gt;0),"Past due to a micro or small supplier: interest runs under MSMED s.16, and if unpaid at year end it is not deductible that year, s.37(2)(g)",IF(AND(P209="Debtor",X209=1,AA209&gt;0),"Past due to you: as a micro or small supplier you can claim interest under MSMED s.16","OK")))))))))))</f>
        <v/>
      </c>
      <c r="P209">
        <f>IF(C209="","",IFERROR(VLOOKUP(C209,'Parties'!$B$13:$Q$112,2,FALSE),"?"))</f>
        <v/>
      </c>
      <c r="Q209">
        <f>IF(D209="","",IFERROR(VLOOKUP(D209,Lists!$A$2:$D$9,3,FALSE),"?"))</f>
        <v/>
      </c>
      <c r="R209">
        <f>IF(D209="","",IFERROR(VLOOKUP(D209,Lists!$A$2:$D$9,4,FALSE),"?"))</f>
        <v/>
      </c>
      <c r="S209">
        <f>IF(P209="Debtor",I209,IF(P209="Creditor",J209,0))</f>
        <v/>
      </c>
      <c r="T209">
        <f>IF(P209="Debtor",J209,IF(P209="Creditor",I209,0))</f>
        <v/>
      </c>
      <c r="U209">
        <f>IF(OR(S209=0,B209=""),0,IFERROR(VLOOKUP(C209,'Parties'!$B$13:$Q$112,13,FALSE),0)+SUMIFS($S$7:$S$506,$C$7:$C$506,C209,$B$7:$B$506,"&lt;"&amp;B209)+SUMIFS(S$7:S209,C$7:C209,C209,B$7:B209,B209))</f>
        <v/>
      </c>
      <c r="V209">
        <f>IF(S209=0,0,IFERROR(VLOOKUP(C209,'Parties'!$B$13:$Q$112,14,FALSE),0)+SUMIFS($T$7:$T$506,$C$7:$C$506,C209,$B$7:$B$506,"&lt;="&amp;'Outstanding'!$E$5))</f>
        <v/>
      </c>
      <c r="W209">
        <f>IF(OR('Outstanding'!$E$5="",S209=0,B209="",B209&gt;'Outstanding'!$E$5),0,MAX(0,MIN(S209,U209-V209)))</f>
        <v/>
      </c>
      <c r="X209">
        <f>IF(C209="",0,IFERROR(VLOOKUP(C209,'Parties'!$B$13:$Q$112,15,FALSE),0))</f>
        <v/>
      </c>
      <c r="Y209">
        <f>IF(C209="","",IFERROR(VLOOKUP(C209,'Parties'!$B$13:$Q$112,16,FALSE),0))</f>
        <v/>
      </c>
      <c r="Z209">
        <f>IF(OR(S209=0,B209="",Y209=""),"",IF(AND(F209&lt;&gt;"",D209="Purchase bill"),F209,B209)+Y209)</f>
        <v/>
      </c>
      <c r="AA209">
        <f>IF(OR(W209=0,Z209=""),0,MAX(0,'Outstanding'!$E$5-Z209))</f>
        <v/>
      </c>
      <c r="AB209">
        <f>IF(AND(X209=1,AA209&gt;0),W209*((1+3*N('Parties'!$E$10)/12)^(AA209*12/365)-1),0)</f>
        <v/>
      </c>
      <c r="AC209">
        <f>IF(W209=0,"",'Outstanding'!$E$5-B209)</f>
        <v/>
      </c>
      <c r="AD209">
        <f>IF(S209=0,0,IFERROR(VLOOKUP(C209,'Parties'!$B$13:$Q$112,14,FALSE),0)+SUMIFS($T$7:$T$506,$C$7:$C$506,C209,$B$7:$B$506,"&lt;="&amp;'Parties'!$E$8))</f>
        <v/>
      </c>
      <c r="AE209">
        <f>IF(OR('Parties'!$E$8="",S209=0,B209="",B209&gt;'Parties'!$E$8),0,MAX(0,MIN(S209,U209-AD209)))</f>
        <v/>
      </c>
      <c r="AF209">
        <f>IF(AND(P209="Creditor",X209=1,AE209&gt;0,Z209&lt;&gt;""),IF(Z209&lt;='Parties'!$E$8,AE209,0),0)</f>
        <v/>
      </c>
      <c r="AG209">
        <f>IF(OR(AE209=0,Z209=""),0,MAX(0,'Parties'!$E$8-Z209))</f>
        <v/>
      </c>
      <c r="AH209">
        <f>IF(AND(P209="Creditor",X209=1,AG209&gt;0),AE209*((1+3*N('Parties'!$E$10)/12)^(AG209*12/365)-1),0)</f>
        <v/>
      </c>
      <c r="AI209">
        <f>IF(AND(C209&lt;&gt;"",C209='Ledger Account'!$D$4,B209&lt;&gt;"",B209&gt;='Ledger Account'!$D$5,B209&lt;='Ledger Account'!$D$6),1,0)</f>
        <v/>
      </c>
      <c r="AJ209">
        <f>IF(AI209=1,SUM(AI$7:AI209),"")</f>
        <v/>
      </c>
      <c r="AK209">
        <f>IF(OR(N209="",N209="OK"),0,1)</f>
        <v/>
      </c>
    </row>
    <row r="210">
      <c r="B210" s="24" t="n"/>
      <c r="C210" s="14" t="n"/>
      <c r="D210" s="14" t="n"/>
      <c r="E210" s="20" t="n"/>
      <c r="F210" s="24" t="n"/>
      <c r="G210" s="14" t="n"/>
      <c r="H210" s="22" t="n"/>
      <c r="I210" s="25">
        <f>IF(Q210="D",N(H210),0)</f>
        <v/>
      </c>
      <c r="J210" s="25">
        <f>IF(Q210="C",N(H210),0)</f>
        <v/>
      </c>
      <c r="K210" s="26">
        <f>IF(Z210="","",Z210)</f>
        <v/>
      </c>
      <c r="L210" s="27">
        <f>W210</f>
        <v/>
      </c>
      <c r="M210" s="28">
        <f>AA210</f>
        <v/>
      </c>
      <c r="N210" s="23">
        <f>IF(AND(B210="",C210="",D210="",N(H210)=0),"",IF(B210="","Enter the date",IF(C210="","Pick the party",IF(P210="?","Add this party on the Parties sheet first",IF(D210="","Pick the entry type",IF(Q210="?","Pick the entry type from the list",IF(N(H210)=0,"Enter the amount",IF(AND(R210&lt;&gt;"Any",R210&lt;&gt;P210),"Sales, receipts and credit notes are for debtors; purchases, payments and debit notes for creditors",IF(AND(F210&lt;&gt;"",D210&lt;&gt;"Purchase bill"),"The received-on date is only for purchase bills",IF(AND(P210="Creditor",X210=1,AA210&gt;0),"Past due to a micro or small supplier: interest runs under MSMED s.16, and if unpaid at year end it is not deductible that year, s.37(2)(g)",IF(AND(P210="Debtor",X210=1,AA210&gt;0),"Past due to you: as a micro or small supplier you can claim interest under MSMED s.16","OK")))))))))))</f>
        <v/>
      </c>
      <c r="P210">
        <f>IF(C210="","",IFERROR(VLOOKUP(C210,'Parties'!$B$13:$Q$112,2,FALSE),"?"))</f>
        <v/>
      </c>
      <c r="Q210">
        <f>IF(D210="","",IFERROR(VLOOKUP(D210,Lists!$A$2:$D$9,3,FALSE),"?"))</f>
        <v/>
      </c>
      <c r="R210">
        <f>IF(D210="","",IFERROR(VLOOKUP(D210,Lists!$A$2:$D$9,4,FALSE),"?"))</f>
        <v/>
      </c>
      <c r="S210">
        <f>IF(P210="Debtor",I210,IF(P210="Creditor",J210,0))</f>
        <v/>
      </c>
      <c r="T210">
        <f>IF(P210="Debtor",J210,IF(P210="Creditor",I210,0))</f>
        <v/>
      </c>
      <c r="U210">
        <f>IF(OR(S210=0,B210=""),0,IFERROR(VLOOKUP(C210,'Parties'!$B$13:$Q$112,13,FALSE),0)+SUMIFS($S$7:$S$506,$C$7:$C$506,C210,$B$7:$B$506,"&lt;"&amp;B210)+SUMIFS(S$7:S210,C$7:C210,C210,B$7:B210,B210))</f>
        <v/>
      </c>
      <c r="V210">
        <f>IF(S210=0,0,IFERROR(VLOOKUP(C210,'Parties'!$B$13:$Q$112,14,FALSE),0)+SUMIFS($T$7:$T$506,$C$7:$C$506,C210,$B$7:$B$506,"&lt;="&amp;'Outstanding'!$E$5))</f>
        <v/>
      </c>
      <c r="W210">
        <f>IF(OR('Outstanding'!$E$5="",S210=0,B210="",B210&gt;'Outstanding'!$E$5),0,MAX(0,MIN(S210,U210-V210)))</f>
        <v/>
      </c>
      <c r="X210">
        <f>IF(C210="",0,IFERROR(VLOOKUP(C210,'Parties'!$B$13:$Q$112,15,FALSE),0))</f>
        <v/>
      </c>
      <c r="Y210">
        <f>IF(C210="","",IFERROR(VLOOKUP(C210,'Parties'!$B$13:$Q$112,16,FALSE),0))</f>
        <v/>
      </c>
      <c r="Z210">
        <f>IF(OR(S210=0,B210="",Y210=""),"",IF(AND(F210&lt;&gt;"",D210="Purchase bill"),F210,B210)+Y210)</f>
        <v/>
      </c>
      <c r="AA210">
        <f>IF(OR(W210=0,Z210=""),0,MAX(0,'Outstanding'!$E$5-Z210))</f>
        <v/>
      </c>
      <c r="AB210">
        <f>IF(AND(X210=1,AA210&gt;0),W210*((1+3*N('Parties'!$E$10)/12)^(AA210*12/365)-1),0)</f>
        <v/>
      </c>
      <c r="AC210">
        <f>IF(W210=0,"",'Outstanding'!$E$5-B210)</f>
        <v/>
      </c>
      <c r="AD210">
        <f>IF(S210=0,0,IFERROR(VLOOKUP(C210,'Parties'!$B$13:$Q$112,14,FALSE),0)+SUMIFS($T$7:$T$506,$C$7:$C$506,C210,$B$7:$B$506,"&lt;="&amp;'Parties'!$E$8))</f>
        <v/>
      </c>
      <c r="AE210">
        <f>IF(OR('Parties'!$E$8="",S210=0,B210="",B210&gt;'Parties'!$E$8),0,MAX(0,MIN(S210,U210-AD210)))</f>
        <v/>
      </c>
      <c r="AF210">
        <f>IF(AND(P210="Creditor",X210=1,AE210&gt;0,Z210&lt;&gt;""),IF(Z210&lt;='Parties'!$E$8,AE210,0),0)</f>
        <v/>
      </c>
      <c r="AG210">
        <f>IF(OR(AE210=0,Z210=""),0,MAX(0,'Parties'!$E$8-Z210))</f>
        <v/>
      </c>
      <c r="AH210">
        <f>IF(AND(P210="Creditor",X210=1,AG210&gt;0),AE210*((1+3*N('Parties'!$E$10)/12)^(AG210*12/365)-1),0)</f>
        <v/>
      </c>
      <c r="AI210">
        <f>IF(AND(C210&lt;&gt;"",C210='Ledger Account'!$D$4,B210&lt;&gt;"",B210&gt;='Ledger Account'!$D$5,B210&lt;='Ledger Account'!$D$6),1,0)</f>
        <v/>
      </c>
      <c r="AJ210">
        <f>IF(AI210=1,SUM(AI$7:AI210),"")</f>
        <v/>
      </c>
      <c r="AK210">
        <f>IF(OR(N210="",N210="OK"),0,1)</f>
        <v/>
      </c>
    </row>
    <row r="211">
      <c r="B211" s="24" t="n"/>
      <c r="C211" s="14" t="n"/>
      <c r="D211" s="14" t="n"/>
      <c r="E211" s="20" t="n"/>
      <c r="F211" s="24" t="n"/>
      <c r="G211" s="14" t="n"/>
      <c r="H211" s="22" t="n"/>
      <c r="I211" s="25">
        <f>IF(Q211="D",N(H211),0)</f>
        <v/>
      </c>
      <c r="J211" s="25">
        <f>IF(Q211="C",N(H211),0)</f>
        <v/>
      </c>
      <c r="K211" s="26">
        <f>IF(Z211="","",Z211)</f>
        <v/>
      </c>
      <c r="L211" s="27">
        <f>W211</f>
        <v/>
      </c>
      <c r="M211" s="28">
        <f>AA211</f>
        <v/>
      </c>
      <c r="N211" s="23">
        <f>IF(AND(B211="",C211="",D211="",N(H211)=0),"",IF(B211="","Enter the date",IF(C211="","Pick the party",IF(P211="?","Add this party on the Parties sheet first",IF(D211="","Pick the entry type",IF(Q211="?","Pick the entry type from the list",IF(N(H211)=0,"Enter the amount",IF(AND(R211&lt;&gt;"Any",R211&lt;&gt;P211),"Sales, receipts and credit notes are for debtors; purchases, payments and debit notes for creditors",IF(AND(F211&lt;&gt;"",D211&lt;&gt;"Purchase bill"),"The received-on date is only for purchase bills",IF(AND(P211="Creditor",X211=1,AA211&gt;0),"Past due to a micro or small supplier: interest runs under MSMED s.16, and if unpaid at year end it is not deductible that year, s.37(2)(g)",IF(AND(P211="Debtor",X211=1,AA211&gt;0),"Past due to you: as a micro or small supplier you can claim interest under MSMED s.16","OK")))))))))))</f>
        <v/>
      </c>
      <c r="P211">
        <f>IF(C211="","",IFERROR(VLOOKUP(C211,'Parties'!$B$13:$Q$112,2,FALSE),"?"))</f>
        <v/>
      </c>
      <c r="Q211">
        <f>IF(D211="","",IFERROR(VLOOKUP(D211,Lists!$A$2:$D$9,3,FALSE),"?"))</f>
        <v/>
      </c>
      <c r="R211">
        <f>IF(D211="","",IFERROR(VLOOKUP(D211,Lists!$A$2:$D$9,4,FALSE),"?"))</f>
        <v/>
      </c>
      <c r="S211">
        <f>IF(P211="Debtor",I211,IF(P211="Creditor",J211,0))</f>
        <v/>
      </c>
      <c r="T211">
        <f>IF(P211="Debtor",J211,IF(P211="Creditor",I211,0))</f>
        <v/>
      </c>
      <c r="U211">
        <f>IF(OR(S211=0,B211=""),0,IFERROR(VLOOKUP(C211,'Parties'!$B$13:$Q$112,13,FALSE),0)+SUMIFS($S$7:$S$506,$C$7:$C$506,C211,$B$7:$B$506,"&lt;"&amp;B211)+SUMIFS(S$7:S211,C$7:C211,C211,B$7:B211,B211))</f>
        <v/>
      </c>
      <c r="V211">
        <f>IF(S211=0,0,IFERROR(VLOOKUP(C211,'Parties'!$B$13:$Q$112,14,FALSE),0)+SUMIFS($T$7:$T$506,$C$7:$C$506,C211,$B$7:$B$506,"&lt;="&amp;'Outstanding'!$E$5))</f>
        <v/>
      </c>
      <c r="W211">
        <f>IF(OR('Outstanding'!$E$5="",S211=0,B211="",B211&gt;'Outstanding'!$E$5),0,MAX(0,MIN(S211,U211-V211)))</f>
        <v/>
      </c>
      <c r="X211">
        <f>IF(C211="",0,IFERROR(VLOOKUP(C211,'Parties'!$B$13:$Q$112,15,FALSE),0))</f>
        <v/>
      </c>
      <c r="Y211">
        <f>IF(C211="","",IFERROR(VLOOKUP(C211,'Parties'!$B$13:$Q$112,16,FALSE),0))</f>
        <v/>
      </c>
      <c r="Z211">
        <f>IF(OR(S211=0,B211="",Y211=""),"",IF(AND(F211&lt;&gt;"",D211="Purchase bill"),F211,B211)+Y211)</f>
        <v/>
      </c>
      <c r="AA211">
        <f>IF(OR(W211=0,Z211=""),0,MAX(0,'Outstanding'!$E$5-Z211))</f>
        <v/>
      </c>
      <c r="AB211">
        <f>IF(AND(X211=1,AA211&gt;0),W211*((1+3*N('Parties'!$E$10)/12)^(AA211*12/365)-1),0)</f>
        <v/>
      </c>
      <c r="AC211">
        <f>IF(W211=0,"",'Outstanding'!$E$5-B211)</f>
        <v/>
      </c>
      <c r="AD211">
        <f>IF(S211=0,0,IFERROR(VLOOKUP(C211,'Parties'!$B$13:$Q$112,14,FALSE),0)+SUMIFS($T$7:$T$506,$C$7:$C$506,C211,$B$7:$B$506,"&lt;="&amp;'Parties'!$E$8))</f>
        <v/>
      </c>
      <c r="AE211">
        <f>IF(OR('Parties'!$E$8="",S211=0,B211="",B211&gt;'Parties'!$E$8),0,MAX(0,MIN(S211,U211-AD211)))</f>
        <v/>
      </c>
      <c r="AF211">
        <f>IF(AND(P211="Creditor",X211=1,AE211&gt;0,Z211&lt;&gt;""),IF(Z211&lt;='Parties'!$E$8,AE211,0),0)</f>
        <v/>
      </c>
      <c r="AG211">
        <f>IF(OR(AE211=0,Z211=""),0,MAX(0,'Parties'!$E$8-Z211))</f>
        <v/>
      </c>
      <c r="AH211">
        <f>IF(AND(P211="Creditor",X211=1,AG211&gt;0),AE211*((1+3*N('Parties'!$E$10)/12)^(AG211*12/365)-1),0)</f>
        <v/>
      </c>
      <c r="AI211">
        <f>IF(AND(C211&lt;&gt;"",C211='Ledger Account'!$D$4,B211&lt;&gt;"",B211&gt;='Ledger Account'!$D$5,B211&lt;='Ledger Account'!$D$6),1,0)</f>
        <v/>
      </c>
      <c r="AJ211">
        <f>IF(AI211=1,SUM(AI$7:AI211),"")</f>
        <v/>
      </c>
      <c r="AK211">
        <f>IF(OR(N211="",N211="OK"),0,1)</f>
        <v/>
      </c>
    </row>
    <row r="212">
      <c r="B212" s="24" t="n"/>
      <c r="C212" s="14" t="n"/>
      <c r="D212" s="14" t="n"/>
      <c r="E212" s="20" t="n"/>
      <c r="F212" s="24" t="n"/>
      <c r="G212" s="14" t="n"/>
      <c r="H212" s="22" t="n"/>
      <c r="I212" s="25">
        <f>IF(Q212="D",N(H212),0)</f>
        <v/>
      </c>
      <c r="J212" s="25">
        <f>IF(Q212="C",N(H212),0)</f>
        <v/>
      </c>
      <c r="K212" s="26">
        <f>IF(Z212="","",Z212)</f>
        <v/>
      </c>
      <c r="L212" s="27">
        <f>W212</f>
        <v/>
      </c>
      <c r="M212" s="28">
        <f>AA212</f>
        <v/>
      </c>
      <c r="N212" s="23">
        <f>IF(AND(B212="",C212="",D212="",N(H212)=0),"",IF(B212="","Enter the date",IF(C212="","Pick the party",IF(P212="?","Add this party on the Parties sheet first",IF(D212="","Pick the entry type",IF(Q212="?","Pick the entry type from the list",IF(N(H212)=0,"Enter the amount",IF(AND(R212&lt;&gt;"Any",R212&lt;&gt;P212),"Sales, receipts and credit notes are for debtors; purchases, payments and debit notes for creditors",IF(AND(F212&lt;&gt;"",D212&lt;&gt;"Purchase bill"),"The received-on date is only for purchase bills",IF(AND(P212="Creditor",X212=1,AA212&gt;0),"Past due to a micro or small supplier: interest runs under MSMED s.16, and if unpaid at year end it is not deductible that year, s.37(2)(g)",IF(AND(P212="Debtor",X212=1,AA212&gt;0),"Past due to you: as a micro or small supplier you can claim interest under MSMED s.16","OK")))))))))))</f>
        <v/>
      </c>
      <c r="P212">
        <f>IF(C212="","",IFERROR(VLOOKUP(C212,'Parties'!$B$13:$Q$112,2,FALSE),"?"))</f>
        <v/>
      </c>
      <c r="Q212">
        <f>IF(D212="","",IFERROR(VLOOKUP(D212,Lists!$A$2:$D$9,3,FALSE),"?"))</f>
        <v/>
      </c>
      <c r="R212">
        <f>IF(D212="","",IFERROR(VLOOKUP(D212,Lists!$A$2:$D$9,4,FALSE),"?"))</f>
        <v/>
      </c>
      <c r="S212">
        <f>IF(P212="Debtor",I212,IF(P212="Creditor",J212,0))</f>
        <v/>
      </c>
      <c r="T212">
        <f>IF(P212="Debtor",J212,IF(P212="Creditor",I212,0))</f>
        <v/>
      </c>
      <c r="U212">
        <f>IF(OR(S212=0,B212=""),0,IFERROR(VLOOKUP(C212,'Parties'!$B$13:$Q$112,13,FALSE),0)+SUMIFS($S$7:$S$506,$C$7:$C$506,C212,$B$7:$B$506,"&lt;"&amp;B212)+SUMIFS(S$7:S212,C$7:C212,C212,B$7:B212,B212))</f>
        <v/>
      </c>
      <c r="V212">
        <f>IF(S212=0,0,IFERROR(VLOOKUP(C212,'Parties'!$B$13:$Q$112,14,FALSE),0)+SUMIFS($T$7:$T$506,$C$7:$C$506,C212,$B$7:$B$506,"&lt;="&amp;'Outstanding'!$E$5))</f>
        <v/>
      </c>
      <c r="W212">
        <f>IF(OR('Outstanding'!$E$5="",S212=0,B212="",B212&gt;'Outstanding'!$E$5),0,MAX(0,MIN(S212,U212-V212)))</f>
        <v/>
      </c>
      <c r="X212">
        <f>IF(C212="",0,IFERROR(VLOOKUP(C212,'Parties'!$B$13:$Q$112,15,FALSE),0))</f>
        <v/>
      </c>
      <c r="Y212">
        <f>IF(C212="","",IFERROR(VLOOKUP(C212,'Parties'!$B$13:$Q$112,16,FALSE),0))</f>
        <v/>
      </c>
      <c r="Z212">
        <f>IF(OR(S212=0,B212="",Y212=""),"",IF(AND(F212&lt;&gt;"",D212="Purchase bill"),F212,B212)+Y212)</f>
        <v/>
      </c>
      <c r="AA212">
        <f>IF(OR(W212=0,Z212=""),0,MAX(0,'Outstanding'!$E$5-Z212))</f>
        <v/>
      </c>
      <c r="AB212">
        <f>IF(AND(X212=1,AA212&gt;0),W212*((1+3*N('Parties'!$E$10)/12)^(AA212*12/365)-1),0)</f>
        <v/>
      </c>
      <c r="AC212">
        <f>IF(W212=0,"",'Outstanding'!$E$5-B212)</f>
        <v/>
      </c>
      <c r="AD212">
        <f>IF(S212=0,0,IFERROR(VLOOKUP(C212,'Parties'!$B$13:$Q$112,14,FALSE),0)+SUMIFS($T$7:$T$506,$C$7:$C$506,C212,$B$7:$B$506,"&lt;="&amp;'Parties'!$E$8))</f>
        <v/>
      </c>
      <c r="AE212">
        <f>IF(OR('Parties'!$E$8="",S212=0,B212="",B212&gt;'Parties'!$E$8),0,MAX(0,MIN(S212,U212-AD212)))</f>
        <v/>
      </c>
      <c r="AF212">
        <f>IF(AND(P212="Creditor",X212=1,AE212&gt;0,Z212&lt;&gt;""),IF(Z212&lt;='Parties'!$E$8,AE212,0),0)</f>
        <v/>
      </c>
      <c r="AG212">
        <f>IF(OR(AE212=0,Z212=""),0,MAX(0,'Parties'!$E$8-Z212))</f>
        <v/>
      </c>
      <c r="AH212">
        <f>IF(AND(P212="Creditor",X212=1,AG212&gt;0),AE212*((1+3*N('Parties'!$E$10)/12)^(AG212*12/365)-1),0)</f>
        <v/>
      </c>
      <c r="AI212">
        <f>IF(AND(C212&lt;&gt;"",C212='Ledger Account'!$D$4,B212&lt;&gt;"",B212&gt;='Ledger Account'!$D$5,B212&lt;='Ledger Account'!$D$6),1,0)</f>
        <v/>
      </c>
      <c r="AJ212">
        <f>IF(AI212=1,SUM(AI$7:AI212),"")</f>
        <v/>
      </c>
      <c r="AK212">
        <f>IF(OR(N212="",N212="OK"),0,1)</f>
        <v/>
      </c>
    </row>
    <row r="213">
      <c r="B213" s="24" t="n"/>
      <c r="C213" s="14" t="n"/>
      <c r="D213" s="14" t="n"/>
      <c r="E213" s="20" t="n"/>
      <c r="F213" s="24" t="n"/>
      <c r="G213" s="14" t="n"/>
      <c r="H213" s="22" t="n"/>
      <c r="I213" s="25">
        <f>IF(Q213="D",N(H213),0)</f>
        <v/>
      </c>
      <c r="J213" s="25">
        <f>IF(Q213="C",N(H213),0)</f>
        <v/>
      </c>
      <c r="K213" s="26">
        <f>IF(Z213="","",Z213)</f>
        <v/>
      </c>
      <c r="L213" s="27">
        <f>W213</f>
        <v/>
      </c>
      <c r="M213" s="28">
        <f>AA213</f>
        <v/>
      </c>
      <c r="N213" s="23">
        <f>IF(AND(B213="",C213="",D213="",N(H213)=0),"",IF(B213="","Enter the date",IF(C213="","Pick the party",IF(P213="?","Add this party on the Parties sheet first",IF(D213="","Pick the entry type",IF(Q213="?","Pick the entry type from the list",IF(N(H213)=0,"Enter the amount",IF(AND(R213&lt;&gt;"Any",R213&lt;&gt;P213),"Sales, receipts and credit notes are for debtors; purchases, payments and debit notes for creditors",IF(AND(F213&lt;&gt;"",D213&lt;&gt;"Purchase bill"),"The received-on date is only for purchase bills",IF(AND(P213="Creditor",X213=1,AA213&gt;0),"Past due to a micro or small supplier: interest runs under MSMED s.16, and if unpaid at year end it is not deductible that year, s.37(2)(g)",IF(AND(P213="Debtor",X213=1,AA213&gt;0),"Past due to you: as a micro or small supplier you can claim interest under MSMED s.16","OK")))))))))))</f>
        <v/>
      </c>
      <c r="P213">
        <f>IF(C213="","",IFERROR(VLOOKUP(C213,'Parties'!$B$13:$Q$112,2,FALSE),"?"))</f>
        <v/>
      </c>
      <c r="Q213">
        <f>IF(D213="","",IFERROR(VLOOKUP(D213,Lists!$A$2:$D$9,3,FALSE),"?"))</f>
        <v/>
      </c>
      <c r="R213">
        <f>IF(D213="","",IFERROR(VLOOKUP(D213,Lists!$A$2:$D$9,4,FALSE),"?"))</f>
        <v/>
      </c>
      <c r="S213">
        <f>IF(P213="Debtor",I213,IF(P213="Creditor",J213,0))</f>
        <v/>
      </c>
      <c r="T213">
        <f>IF(P213="Debtor",J213,IF(P213="Creditor",I213,0))</f>
        <v/>
      </c>
      <c r="U213">
        <f>IF(OR(S213=0,B213=""),0,IFERROR(VLOOKUP(C213,'Parties'!$B$13:$Q$112,13,FALSE),0)+SUMIFS($S$7:$S$506,$C$7:$C$506,C213,$B$7:$B$506,"&lt;"&amp;B213)+SUMIFS(S$7:S213,C$7:C213,C213,B$7:B213,B213))</f>
        <v/>
      </c>
      <c r="V213">
        <f>IF(S213=0,0,IFERROR(VLOOKUP(C213,'Parties'!$B$13:$Q$112,14,FALSE),0)+SUMIFS($T$7:$T$506,$C$7:$C$506,C213,$B$7:$B$506,"&lt;="&amp;'Outstanding'!$E$5))</f>
        <v/>
      </c>
      <c r="W213">
        <f>IF(OR('Outstanding'!$E$5="",S213=0,B213="",B213&gt;'Outstanding'!$E$5),0,MAX(0,MIN(S213,U213-V213)))</f>
        <v/>
      </c>
      <c r="X213">
        <f>IF(C213="",0,IFERROR(VLOOKUP(C213,'Parties'!$B$13:$Q$112,15,FALSE),0))</f>
        <v/>
      </c>
      <c r="Y213">
        <f>IF(C213="","",IFERROR(VLOOKUP(C213,'Parties'!$B$13:$Q$112,16,FALSE),0))</f>
        <v/>
      </c>
      <c r="Z213">
        <f>IF(OR(S213=0,B213="",Y213=""),"",IF(AND(F213&lt;&gt;"",D213="Purchase bill"),F213,B213)+Y213)</f>
        <v/>
      </c>
      <c r="AA213">
        <f>IF(OR(W213=0,Z213=""),0,MAX(0,'Outstanding'!$E$5-Z213))</f>
        <v/>
      </c>
      <c r="AB213">
        <f>IF(AND(X213=1,AA213&gt;0),W213*((1+3*N('Parties'!$E$10)/12)^(AA213*12/365)-1),0)</f>
        <v/>
      </c>
      <c r="AC213">
        <f>IF(W213=0,"",'Outstanding'!$E$5-B213)</f>
        <v/>
      </c>
      <c r="AD213">
        <f>IF(S213=0,0,IFERROR(VLOOKUP(C213,'Parties'!$B$13:$Q$112,14,FALSE),0)+SUMIFS($T$7:$T$506,$C$7:$C$506,C213,$B$7:$B$506,"&lt;="&amp;'Parties'!$E$8))</f>
        <v/>
      </c>
      <c r="AE213">
        <f>IF(OR('Parties'!$E$8="",S213=0,B213="",B213&gt;'Parties'!$E$8),0,MAX(0,MIN(S213,U213-AD213)))</f>
        <v/>
      </c>
      <c r="AF213">
        <f>IF(AND(P213="Creditor",X213=1,AE213&gt;0,Z213&lt;&gt;""),IF(Z213&lt;='Parties'!$E$8,AE213,0),0)</f>
        <v/>
      </c>
      <c r="AG213">
        <f>IF(OR(AE213=0,Z213=""),0,MAX(0,'Parties'!$E$8-Z213))</f>
        <v/>
      </c>
      <c r="AH213">
        <f>IF(AND(P213="Creditor",X213=1,AG213&gt;0),AE213*((1+3*N('Parties'!$E$10)/12)^(AG213*12/365)-1),0)</f>
        <v/>
      </c>
      <c r="AI213">
        <f>IF(AND(C213&lt;&gt;"",C213='Ledger Account'!$D$4,B213&lt;&gt;"",B213&gt;='Ledger Account'!$D$5,B213&lt;='Ledger Account'!$D$6),1,0)</f>
        <v/>
      </c>
      <c r="AJ213">
        <f>IF(AI213=1,SUM(AI$7:AI213),"")</f>
        <v/>
      </c>
      <c r="AK213">
        <f>IF(OR(N213="",N213="OK"),0,1)</f>
        <v/>
      </c>
    </row>
    <row r="214">
      <c r="B214" s="24" t="n"/>
      <c r="C214" s="14" t="n"/>
      <c r="D214" s="14" t="n"/>
      <c r="E214" s="20" t="n"/>
      <c r="F214" s="24" t="n"/>
      <c r="G214" s="14" t="n"/>
      <c r="H214" s="22" t="n"/>
      <c r="I214" s="25">
        <f>IF(Q214="D",N(H214),0)</f>
        <v/>
      </c>
      <c r="J214" s="25">
        <f>IF(Q214="C",N(H214),0)</f>
        <v/>
      </c>
      <c r="K214" s="26">
        <f>IF(Z214="","",Z214)</f>
        <v/>
      </c>
      <c r="L214" s="27">
        <f>W214</f>
        <v/>
      </c>
      <c r="M214" s="28">
        <f>AA214</f>
        <v/>
      </c>
      <c r="N214" s="23">
        <f>IF(AND(B214="",C214="",D214="",N(H214)=0),"",IF(B214="","Enter the date",IF(C214="","Pick the party",IF(P214="?","Add this party on the Parties sheet first",IF(D214="","Pick the entry type",IF(Q214="?","Pick the entry type from the list",IF(N(H214)=0,"Enter the amount",IF(AND(R214&lt;&gt;"Any",R214&lt;&gt;P214),"Sales, receipts and credit notes are for debtors; purchases, payments and debit notes for creditors",IF(AND(F214&lt;&gt;"",D214&lt;&gt;"Purchase bill"),"The received-on date is only for purchase bills",IF(AND(P214="Creditor",X214=1,AA214&gt;0),"Past due to a micro or small supplier: interest runs under MSMED s.16, and if unpaid at year end it is not deductible that year, s.37(2)(g)",IF(AND(P214="Debtor",X214=1,AA214&gt;0),"Past due to you: as a micro or small supplier you can claim interest under MSMED s.16","OK")))))))))))</f>
        <v/>
      </c>
      <c r="P214">
        <f>IF(C214="","",IFERROR(VLOOKUP(C214,'Parties'!$B$13:$Q$112,2,FALSE),"?"))</f>
        <v/>
      </c>
      <c r="Q214">
        <f>IF(D214="","",IFERROR(VLOOKUP(D214,Lists!$A$2:$D$9,3,FALSE),"?"))</f>
        <v/>
      </c>
      <c r="R214">
        <f>IF(D214="","",IFERROR(VLOOKUP(D214,Lists!$A$2:$D$9,4,FALSE),"?"))</f>
        <v/>
      </c>
      <c r="S214">
        <f>IF(P214="Debtor",I214,IF(P214="Creditor",J214,0))</f>
        <v/>
      </c>
      <c r="T214">
        <f>IF(P214="Debtor",J214,IF(P214="Creditor",I214,0))</f>
        <v/>
      </c>
      <c r="U214">
        <f>IF(OR(S214=0,B214=""),0,IFERROR(VLOOKUP(C214,'Parties'!$B$13:$Q$112,13,FALSE),0)+SUMIFS($S$7:$S$506,$C$7:$C$506,C214,$B$7:$B$506,"&lt;"&amp;B214)+SUMIFS(S$7:S214,C$7:C214,C214,B$7:B214,B214))</f>
        <v/>
      </c>
      <c r="V214">
        <f>IF(S214=0,0,IFERROR(VLOOKUP(C214,'Parties'!$B$13:$Q$112,14,FALSE),0)+SUMIFS($T$7:$T$506,$C$7:$C$506,C214,$B$7:$B$506,"&lt;="&amp;'Outstanding'!$E$5))</f>
        <v/>
      </c>
      <c r="W214">
        <f>IF(OR('Outstanding'!$E$5="",S214=0,B214="",B214&gt;'Outstanding'!$E$5),0,MAX(0,MIN(S214,U214-V214)))</f>
        <v/>
      </c>
      <c r="X214">
        <f>IF(C214="",0,IFERROR(VLOOKUP(C214,'Parties'!$B$13:$Q$112,15,FALSE),0))</f>
        <v/>
      </c>
      <c r="Y214">
        <f>IF(C214="","",IFERROR(VLOOKUP(C214,'Parties'!$B$13:$Q$112,16,FALSE),0))</f>
        <v/>
      </c>
      <c r="Z214">
        <f>IF(OR(S214=0,B214="",Y214=""),"",IF(AND(F214&lt;&gt;"",D214="Purchase bill"),F214,B214)+Y214)</f>
        <v/>
      </c>
      <c r="AA214">
        <f>IF(OR(W214=0,Z214=""),0,MAX(0,'Outstanding'!$E$5-Z214))</f>
        <v/>
      </c>
      <c r="AB214">
        <f>IF(AND(X214=1,AA214&gt;0),W214*((1+3*N('Parties'!$E$10)/12)^(AA214*12/365)-1),0)</f>
        <v/>
      </c>
      <c r="AC214">
        <f>IF(W214=0,"",'Outstanding'!$E$5-B214)</f>
        <v/>
      </c>
      <c r="AD214">
        <f>IF(S214=0,0,IFERROR(VLOOKUP(C214,'Parties'!$B$13:$Q$112,14,FALSE),0)+SUMIFS($T$7:$T$506,$C$7:$C$506,C214,$B$7:$B$506,"&lt;="&amp;'Parties'!$E$8))</f>
        <v/>
      </c>
      <c r="AE214">
        <f>IF(OR('Parties'!$E$8="",S214=0,B214="",B214&gt;'Parties'!$E$8),0,MAX(0,MIN(S214,U214-AD214)))</f>
        <v/>
      </c>
      <c r="AF214">
        <f>IF(AND(P214="Creditor",X214=1,AE214&gt;0,Z214&lt;&gt;""),IF(Z214&lt;='Parties'!$E$8,AE214,0),0)</f>
        <v/>
      </c>
      <c r="AG214">
        <f>IF(OR(AE214=0,Z214=""),0,MAX(0,'Parties'!$E$8-Z214))</f>
        <v/>
      </c>
      <c r="AH214">
        <f>IF(AND(P214="Creditor",X214=1,AG214&gt;0),AE214*((1+3*N('Parties'!$E$10)/12)^(AG214*12/365)-1),0)</f>
        <v/>
      </c>
      <c r="AI214">
        <f>IF(AND(C214&lt;&gt;"",C214='Ledger Account'!$D$4,B214&lt;&gt;"",B214&gt;='Ledger Account'!$D$5,B214&lt;='Ledger Account'!$D$6),1,0)</f>
        <v/>
      </c>
      <c r="AJ214">
        <f>IF(AI214=1,SUM(AI$7:AI214),"")</f>
        <v/>
      </c>
      <c r="AK214">
        <f>IF(OR(N214="",N214="OK"),0,1)</f>
        <v/>
      </c>
    </row>
    <row r="215">
      <c r="B215" s="24" t="n"/>
      <c r="C215" s="14" t="n"/>
      <c r="D215" s="14" t="n"/>
      <c r="E215" s="20" t="n"/>
      <c r="F215" s="24" t="n"/>
      <c r="G215" s="14" t="n"/>
      <c r="H215" s="22" t="n"/>
      <c r="I215" s="25">
        <f>IF(Q215="D",N(H215),0)</f>
        <v/>
      </c>
      <c r="J215" s="25">
        <f>IF(Q215="C",N(H215),0)</f>
        <v/>
      </c>
      <c r="K215" s="26">
        <f>IF(Z215="","",Z215)</f>
        <v/>
      </c>
      <c r="L215" s="27">
        <f>W215</f>
        <v/>
      </c>
      <c r="M215" s="28">
        <f>AA215</f>
        <v/>
      </c>
      <c r="N215" s="23">
        <f>IF(AND(B215="",C215="",D215="",N(H215)=0),"",IF(B215="","Enter the date",IF(C215="","Pick the party",IF(P215="?","Add this party on the Parties sheet first",IF(D215="","Pick the entry type",IF(Q215="?","Pick the entry type from the list",IF(N(H215)=0,"Enter the amount",IF(AND(R215&lt;&gt;"Any",R215&lt;&gt;P215),"Sales, receipts and credit notes are for debtors; purchases, payments and debit notes for creditors",IF(AND(F215&lt;&gt;"",D215&lt;&gt;"Purchase bill"),"The received-on date is only for purchase bills",IF(AND(P215="Creditor",X215=1,AA215&gt;0),"Past due to a micro or small supplier: interest runs under MSMED s.16, and if unpaid at year end it is not deductible that year, s.37(2)(g)",IF(AND(P215="Debtor",X215=1,AA215&gt;0),"Past due to you: as a micro or small supplier you can claim interest under MSMED s.16","OK")))))))))))</f>
        <v/>
      </c>
      <c r="P215">
        <f>IF(C215="","",IFERROR(VLOOKUP(C215,'Parties'!$B$13:$Q$112,2,FALSE),"?"))</f>
        <v/>
      </c>
      <c r="Q215">
        <f>IF(D215="","",IFERROR(VLOOKUP(D215,Lists!$A$2:$D$9,3,FALSE),"?"))</f>
        <v/>
      </c>
      <c r="R215">
        <f>IF(D215="","",IFERROR(VLOOKUP(D215,Lists!$A$2:$D$9,4,FALSE),"?"))</f>
        <v/>
      </c>
      <c r="S215">
        <f>IF(P215="Debtor",I215,IF(P215="Creditor",J215,0))</f>
        <v/>
      </c>
      <c r="T215">
        <f>IF(P215="Debtor",J215,IF(P215="Creditor",I215,0))</f>
        <v/>
      </c>
      <c r="U215">
        <f>IF(OR(S215=0,B215=""),0,IFERROR(VLOOKUP(C215,'Parties'!$B$13:$Q$112,13,FALSE),0)+SUMIFS($S$7:$S$506,$C$7:$C$506,C215,$B$7:$B$506,"&lt;"&amp;B215)+SUMIFS(S$7:S215,C$7:C215,C215,B$7:B215,B215))</f>
        <v/>
      </c>
      <c r="V215">
        <f>IF(S215=0,0,IFERROR(VLOOKUP(C215,'Parties'!$B$13:$Q$112,14,FALSE),0)+SUMIFS($T$7:$T$506,$C$7:$C$506,C215,$B$7:$B$506,"&lt;="&amp;'Outstanding'!$E$5))</f>
        <v/>
      </c>
      <c r="W215">
        <f>IF(OR('Outstanding'!$E$5="",S215=0,B215="",B215&gt;'Outstanding'!$E$5),0,MAX(0,MIN(S215,U215-V215)))</f>
        <v/>
      </c>
      <c r="X215">
        <f>IF(C215="",0,IFERROR(VLOOKUP(C215,'Parties'!$B$13:$Q$112,15,FALSE),0))</f>
        <v/>
      </c>
      <c r="Y215">
        <f>IF(C215="","",IFERROR(VLOOKUP(C215,'Parties'!$B$13:$Q$112,16,FALSE),0))</f>
        <v/>
      </c>
      <c r="Z215">
        <f>IF(OR(S215=0,B215="",Y215=""),"",IF(AND(F215&lt;&gt;"",D215="Purchase bill"),F215,B215)+Y215)</f>
        <v/>
      </c>
      <c r="AA215">
        <f>IF(OR(W215=0,Z215=""),0,MAX(0,'Outstanding'!$E$5-Z215))</f>
        <v/>
      </c>
      <c r="AB215">
        <f>IF(AND(X215=1,AA215&gt;0),W215*((1+3*N('Parties'!$E$10)/12)^(AA215*12/365)-1),0)</f>
        <v/>
      </c>
      <c r="AC215">
        <f>IF(W215=0,"",'Outstanding'!$E$5-B215)</f>
        <v/>
      </c>
      <c r="AD215">
        <f>IF(S215=0,0,IFERROR(VLOOKUP(C215,'Parties'!$B$13:$Q$112,14,FALSE),0)+SUMIFS($T$7:$T$506,$C$7:$C$506,C215,$B$7:$B$506,"&lt;="&amp;'Parties'!$E$8))</f>
        <v/>
      </c>
      <c r="AE215">
        <f>IF(OR('Parties'!$E$8="",S215=0,B215="",B215&gt;'Parties'!$E$8),0,MAX(0,MIN(S215,U215-AD215)))</f>
        <v/>
      </c>
      <c r="AF215">
        <f>IF(AND(P215="Creditor",X215=1,AE215&gt;0,Z215&lt;&gt;""),IF(Z215&lt;='Parties'!$E$8,AE215,0),0)</f>
        <v/>
      </c>
      <c r="AG215">
        <f>IF(OR(AE215=0,Z215=""),0,MAX(0,'Parties'!$E$8-Z215))</f>
        <v/>
      </c>
      <c r="AH215">
        <f>IF(AND(P215="Creditor",X215=1,AG215&gt;0),AE215*((1+3*N('Parties'!$E$10)/12)^(AG215*12/365)-1),0)</f>
        <v/>
      </c>
      <c r="AI215">
        <f>IF(AND(C215&lt;&gt;"",C215='Ledger Account'!$D$4,B215&lt;&gt;"",B215&gt;='Ledger Account'!$D$5,B215&lt;='Ledger Account'!$D$6),1,0)</f>
        <v/>
      </c>
      <c r="AJ215">
        <f>IF(AI215=1,SUM(AI$7:AI215),"")</f>
        <v/>
      </c>
      <c r="AK215">
        <f>IF(OR(N215="",N215="OK"),0,1)</f>
        <v/>
      </c>
    </row>
    <row r="216">
      <c r="B216" s="24" t="n"/>
      <c r="C216" s="14" t="n"/>
      <c r="D216" s="14" t="n"/>
      <c r="E216" s="20" t="n"/>
      <c r="F216" s="24" t="n"/>
      <c r="G216" s="14" t="n"/>
      <c r="H216" s="22" t="n"/>
      <c r="I216" s="25">
        <f>IF(Q216="D",N(H216),0)</f>
        <v/>
      </c>
      <c r="J216" s="25">
        <f>IF(Q216="C",N(H216),0)</f>
        <v/>
      </c>
      <c r="K216" s="26">
        <f>IF(Z216="","",Z216)</f>
        <v/>
      </c>
      <c r="L216" s="27">
        <f>W216</f>
        <v/>
      </c>
      <c r="M216" s="28">
        <f>AA216</f>
        <v/>
      </c>
      <c r="N216" s="23">
        <f>IF(AND(B216="",C216="",D216="",N(H216)=0),"",IF(B216="","Enter the date",IF(C216="","Pick the party",IF(P216="?","Add this party on the Parties sheet first",IF(D216="","Pick the entry type",IF(Q216="?","Pick the entry type from the list",IF(N(H216)=0,"Enter the amount",IF(AND(R216&lt;&gt;"Any",R216&lt;&gt;P216),"Sales, receipts and credit notes are for debtors; purchases, payments and debit notes for creditors",IF(AND(F216&lt;&gt;"",D216&lt;&gt;"Purchase bill"),"The received-on date is only for purchase bills",IF(AND(P216="Creditor",X216=1,AA216&gt;0),"Past due to a micro or small supplier: interest runs under MSMED s.16, and if unpaid at year end it is not deductible that year, s.37(2)(g)",IF(AND(P216="Debtor",X216=1,AA216&gt;0),"Past due to you: as a micro or small supplier you can claim interest under MSMED s.16","OK")))))))))))</f>
        <v/>
      </c>
      <c r="P216">
        <f>IF(C216="","",IFERROR(VLOOKUP(C216,'Parties'!$B$13:$Q$112,2,FALSE),"?"))</f>
        <v/>
      </c>
      <c r="Q216">
        <f>IF(D216="","",IFERROR(VLOOKUP(D216,Lists!$A$2:$D$9,3,FALSE),"?"))</f>
        <v/>
      </c>
      <c r="R216">
        <f>IF(D216="","",IFERROR(VLOOKUP(D216,Lists!$A$2:$D$9,4,FALSE),"?"))</f>
        <v/>
      </c>
      <c r="S216">
        <f>IF(P216="Debtor",I216,IF(P216="Creditor",J216,0))</f>
        <v/>
      </c>
      <c r="T216">
        <f>IF(P216="Debtor",J216,IF(P216="Creditor",I216,0))</f>
        <v/>
      </c>
      <c r="U216">
        <f>IF(OR(S216=0,B216=""),0,IFERROR(VLOOKUP(C216,'Parties'!$B$13:$Q$112,13,FALSE),0)+SUMIFS($S$7:$S$506,$C$7:$C$506,C216,$B$7:$B$506,"&lt;"&amp;B216)+SUMIFS(S$7:S216,C$7:C216,C216,B$7:B216,B216))</f>
        <v/>
      </c>
      <c r="V216">
        <f>IF(S216=0,0,IFERROR(VLOOKUP(C216,'Parties'!$B$13:$Q$112,14,FALSE),0)+SUMIFS($T$7:$T$506,$C$7:$C$506,C216,$B$7:$B$506,"&lt;="&amp;'Outstanding'!$E$5))</f>
        <v/>
      </c>
      <c r="W216">
        <f>IF(OR('Outstanding'!$E$5="",S216=0,B216="",B216&gt;'Outstanding'!$E$5),0,MAX(0,MIN(S216,U216-V216)))</f>
        <v/>
      </c>
      <c r="X216">
        <f>IF(C216="",0,IFERROR(VLOOKUP(C216,'Parties'!$B$13:$Q$112,15,FALSE),0))</f>
        <v/>
      </c>
      <c r="Y216">
        <f>IF(C216="","",IFERROR(VLOOKUP(C216,'Parties'!$B$13:$Q$112,16,FALSE),0))</f>
        <v/>
      </c>
      <c r="Z216">
        <f>IF(OR(S216=0,B216="",Y216=""),"",IF(AND(F216&lt;&gt;"",D216="Purchase bill"),F216,B216)+Y216)</f>
        <v/>
      </c>
      <c r="AA216">
        <f>IF(OR(W216=0,Z216=""),0,MAX(0,'Outstanding'!$E$5-Z216))</f>
        <v/>
      </c>
      <c r="AB216">
        <f>IF(AND(X216=1,AA216&gt;0),W216*((1+3*N('Parties'!$E$10)/12)^(AA216*12/365)-1),0)</f>
        <v/>
      </c>
      <c r="AC216">
        <f>IF(W216=0,"",'Outstanding'!$E$5-B216)</f>
        <v/>
      </c>
      <c r="AD216">
        <f>IF(S216=0,0,IFERROR(VLOOKUP(C216,'Parties'!$B$13:$Q$112,14,FALSE),0)+SUMIFS($T$7:$T$506,$C$7:$C$506,C216,$B$7:$B$506,"&lt;="&amp;'Parties'!$E$8))</f>
        <v/>
      </c>
      <c r="AE216">
        <f>IF(OR('Parties'!$E$8="",S216=0,B216="",B216&gt;'Parties'!$E$8),0,MAX(0,MIN(S216,U216-AD216)))</f>
        <v/>
      </c>
      <c r="AF216">
        <f>IF(AND(P216="Creditor",X216=1,AE216&gt;0,Z216&lt;&gt;""),IF(Z216&lt;='Parties'!$E$8,AE216,0),0)</f>
        <v/>
      </c>
      <c r="AG216">
        <f>IF(OR(AE216=0,Z216=""),0,MAX(0,'Parties'!$E$8-Z216))</f>
        <v/>
      </c>
      <c r="AH216">
        <f>IF(AND(P216="Creditor",X216=1,AG216&gt;0),AE216*((1+3*N('Parties'!$E$10)/12)^(AG216*12/365)-1),0)</f>
        <v/>
      </c>
      <c r="AI216">
        <f>IF(AND(C216&lt;&gt;"",C216='Ledger Account'!$D$4,B216&lt;&gt;"",B216&gt;='Ledger Account'!$D$5,B216&lt;='Ledger Account'!$D$6),1,0)</f>
        <v/>
      </c>
      <c r="AJ216">
        <f>IF(AI216=1,SUM(AI$7:AI216),"")</f>
        <v/>
      </c>
      <c r="AK216">
        <f>IF(OR(N216="",N216="OK"),0,1)</f>
        <v/>
      </c>
    </row>
    <row r="217">
      <c r="B217" s="24" t="n"/>
      <c r="C217" s="14" t="n"/>
      <c r="D217" s="14" t="n"/>
      <c r="E217" s="20" t="n"/>
      <c r="F217" s="24" t="n"/>
      <c r="G217" s="14" t="n"/>
      <c r="H217" s="22" t="n"/>
      <c r="I217" s="25">
        <f>IF(Q217="D",N(H217),0)</f>
        <v/>
      </c>
      <c r="J217" s="25">
        <f>IF(Q217="C",N(H217),0)</f>
        <v/>
      </c>
      <c r="K217" s="26">
        <f>IF(Z217="","",Z217)</f>
        <v/>
      </c>
      <c r="L217" s="27">
        <f>W217</f>
        <v/>
      </c>
      <c r="M217" s="28">
        <f>AA217</f>
        <v/>
      </c>
      <c r="N217" s="23">
        <f>IF(AND(B217="",C217="",D217="",N(H217)=0),"",IF(B217="","Enter the date",IF(C217="","Pick the party",IF(P217="?","Add this party on the Parties sheet first",IF(D217="","Pick the entry type",IF(Q217="?","Pick the entry type from the list",IF(N(H217)=0,"Enter the amount",IF(AND(R217&lt;&gt;"Any",R217&lt;&gt;P217),"Sales, receipts and credit notes are for debtors; purchases, payments and debit notes for creditors",IF(AND(F217&lt;&gt;"",D217&lt;&gt;"Purchase bill"),"The received-on date is only for purchase bills",IF(AND(P217="Creditor",X217=1,AA217&gt;0),"Past due to a micro or small supplier: interest runs under MSMED s.16, and if unpaid at year end it is not deductible that year, s.37(2)(g)",IF(AND(P217="Debtor",X217=1,AA217&gt;0),"Past due to you: as a micro or small supplier you can claim interest under MSMED s.16","OK")))))))))))</f>
        <v/>
      </c>
      <c r="P217">
        <f>IF(C217="","",IFERROR(VLOOKUP(C217,'Parties'!$B$13:$Q$112,2,FALSE),"?"))</f>
        <v/>
      </c>
      <c r="Q217">
        <f>IF(D217="","",IFERROR(VLOOKUP(D217,Lists!$A$2:$D$9,3,FALSE),"?"))</f>
        <v/>
      </c>
      <c r="R217">
        <f>IF(D217="","",IFERROR(VLOOKUP(D217,Lists!$A$2:$D$9,4,FALSE),"?"))</f>
        <v/>
      </c>
      <c r="S217">
        <f>IF(P217="Debtor",I217,IF(P217="Creditor",J217,0))</f>
        <v/>
      </c>
      <c r="T217">
        <f>IF(P217="Debtor",J217,IF(P217="Creditor",I217,0))</f>
        <v/>
      </c>
      <c r="U217">
        <f>IF(OR(S217=0,B217=""),0,IFERROR(VLOOKUP(C217,'Parties'!$B$13:$Q$112,13,FALSE),0)+SUMIFS($S$7:$S$506,$C$7:$C$506,C217,$B$7:$B$506,"&lt;"&amp;B217)+SUMIFS(S$7:S217,C$7:C217,C217,B$7:B217,B217))</f>
        <v/>
      </c>
      <c r="V217">
        <f>IF(S217=0,0,IFERROR(VLOOKUP(C217,'Parties'!$B$13:$Q$112,14,FALSE),0)+SUMIFS($T$7:$T$506,$C$7:$C$506,C217,$B$7:$B$506,"&lt;="&amp;'Outstanding'!$E$5))</f>
        <v/>
      </c>
      <c r="W217">
        <f>IF(OR('Outstanding'!$E$5="",S217=0,B217="",B217&gt;'Outstanding'!$E$5),0,MAX(0,MIN(S217,U217-V217)))</f>
        <v/>
      </c>
      <c r="X217">
        <f>IF(C217="",0,IFERROR(VLOOKUP(C217,'Parties'!$B$13:$Q$112,15,FALSE),0))</f>
        <v/>
      </c>
      <c r="Y217">
        <f>IF(C217="","",IFERROR(VLOOKUP(C217,'Parties'!$B$13:$Q$112,16,FALSE),0))</f>
        <v/>
      </c>
      <c r="Z217">
        <f>IF(OR(S217=0,B217="",Y217=""),"",IF(AND(F217&lt;&gt;"",D217="Purchase bill"),F217,B217)+Y217)</f>
        <v/>
      </c>
      <c r="AA217">
        <f>IF(OR(W217=0,Z217=""),0,MAX(0,'Outstanding'!$E$5-Z217))</f>
        <v/>
      </c>
      <c r="AB217">
        <f>IF(AND(X217=1,AA217&gt;0),W217*((1+3*N('Parties'!$E$10)/12)^(AA217*12/365)-1),0)</f>
        <v/>
      </c>
      <c r="AC217">
        <f>IF(W217=0,"",'Outstanding'!$E$5-B217)</f>
        <v/>
      </c>
      <c r="AD217">
        <f>IF(S217=0,0,IFERROR(VLOOKUP(C217,'Parties'!$B$13:$Q$112,14,FALSE),0)+SUMIFS($T$7:$T$506,$C$7:$C$506,C217,$B$7:$B$506,"&lt;="&amp;'Parties'!$E$8))</f>
        <v/>
      </c>
      <c r="AE217">
        <f>IF(OR('Parties'!$E$8="",S217=0,B217="",B217&gt;'Parties'!$E$8),0,MAX(0,MIN(S217,U217-AD217)))</f>
        <v/>
      </c>
      <c r="AF217">
        <f>IF(AND(P217="Creditor",X217=1,AE217&gt;0,Z217&lt;&gt;""),IF(Z217&lt;='Parties'!$E$8,AE217,0),0)</f>
        <v/>
      </c>
      <c r="AG217">
        <f>IF(OR(AE217=0,Z217=""),0,MAX(0,'Parties'!$E$8-Z217))</f>
        <v/>
      </c>
      <c r="AH217">
        <f>IF(AND(P217="Creditor",X217=1,AG217&gt;0),AE217*((1+3*N('Parties'!$E$10)/12)^(AG217*12/365)-1),0)</f>
        <v/>
      </c>
      <c r="AI217">
        <f>IF(AND(C217&lt;&gt;"",C217='Ledger Account'!$D$4,B217&lt;&gt;"",B217&gt;='Ledger Account'!$D$5,B217&lt;='Ledger Account'!$D$6),1,0)</f>
        <v/>
      </c>
      <c r="AJ217">
        <f>IF(AI217=1,SUM(AI$7:AI217),"")</f>
        <v/>
      </c>
      <c r="AK217">
        <f>IF(OR(N217="",N217="OK"),0,1)</f>
        <v/>
      </c>
    </row>
    <row r="218">
      <c r="B218" s="24" t="n"/>
      <c r="C218" s="14" t="n"/>
      <c r="D218" s="14" t="n"/>
      <c r="E218" s="20" t="n"/>
      <c r="F218" s="24" t="n"/>
      <c r="G218" s="14" t="n"/>
      <c r="H218" s="22" t="n"/>
      <c r="I218" s="25">
        <f>IF(Q218="D",N(H218),0)</f>
        <v/>
      </c>
      <c r="J218" s="25">
        <f>IF(Q218="C",N(H218),0)</f>
        <v/>
      </c>
      <c r="K218" s="26">
        <f>IF(Z218="","",Z218)</f>
        <v/>
      </c>
      <c r="L218" s="27">
        <f>W218</f>
        <v/>
      </c>
      <c r="M218" s="28">
        <f>AA218</f>
        <v/>
      </c>
      <c r="N218" s="23">
        <f>IF(AND(B218="",C218="",D218="",N(H218)=0),"",IF(B218="","Enter the date",IF(C218="","Pick the party",IF(P218="?","Add this party on the Parties sheet first",IF(D218="","Pick the entry type",IF(Q218="?","Pick the entry type from the list",IF(N(H218)=0,"Enter the amount",IF(AND(R218&lt;&gt;"Any",R218&lt;&gt;P218),"Sales, receipts and credit notes are for debtors; purchases, payments and debit notes for creditors",IF(AND(F218&lt;&gt;"",D218&lt;&gt;"Purchase bill"),"The received-on date is only for purchase bills",IF(AND(P218="Creditor",X218=1,AA218&gt;0),"Past due to a micro or small supplier: interest runs under MSMED s.16, and if unpaid at year end it is not deductible that year, s.37(2)(g)",IF(AND(P218="Debtor",X218=1,AA218&gt;0),"Past due to you: as a micro or small supplier you can claim interest under MSMED s.16","OK")))))))))))</f>
        <v/>
      </c>
      <c r="P218">
        <f>IF(C218="","",IFERROR(VLOOKUP(C218,'Parties'!$B$13:$Q$112,2,FALSE),"?"))</f>
        <v/>
      </c>
      <c r="Q218">
        <f>IF(D218="","",IFERROR(VLOOKUP(D218,Lists!$A$2:$D$9,3,FALSE),"?"))</f>
        <v/>
      </c>
      <c r="R218">
        <f>IF(D218="","",IFERROR(VLOOKUP(D218,Lists!$A$2:$D$9,4,FALSE),"?"))</f>
        <v/>
      </c>
      <c r="S218">
        <f>IF(P218="Debtor",I218,IF(P218="Creditor",J218,0))</f>
        <v/>
      </c>
      <c r="T218">
        <f>IF(P218="Debtor",J218,IF(P218="Creditor",I218,0))</f>
        <v/>
      </c>
      <c r="U218">
        <f>IF(OR(S218=0,B218=""),0,IFERROR(VLOOKUP(C218,'Parties'!$B$13:$Q$112,13,FALSE),0)+SUMIFS($S$7:$S$506,$C$7:$C$506,C218,$B$7:$B$506,"&lt;"&amp;B218)+SUMIFS(S$7:S218,C$7:C218,C218,B$7:B218,B218))</f>
        <v/>
      </c>
      <c r="V218">
        <f>IF(S218=0,0,IFERROR(VLOOKUP(C218,'Parties'!$B$13:$Q$112,14,FALSE),0)+SUMIFS($T$7:$T$506,$C$7:$C$506,C218,$B$7:$B$506,"&lt;="&amp;'Outstanding'!$E$5))</f>
        <v/>
      </c>
      <c r="W218">
        <f>IF(OR('Outstanding'!$E$5="",S218=0,B218="",B218&gt;'Outstanding'!$E$5),0,MAX(0,MIN(S218,U218-V218)))</f>
        <v/>
      </c>
      <c r="X218">
        <f>IF(C218="",0,IFERROR(VLOOKUP(C218,'Parties'!$B$13:$Q$112,15,FALSE),0))</f>
        <v/>
      </c>
      <c r="Y218">
        <f>IF(C218="","",IFERROR(VLOOKUP(C218,'Parties'!$B$13:$Q$112,16,FALSE),0))</f>
        <v/>
      </c>
      <c r="Z218">
        <f>IF(OR(S218=0,B218="",Y218=""),"",IF(AND(F218&lt;&gt;"",D218="Purchase bill"),F218,B218)+Y218)</f>
        <v/>
      </c>
      <c r="AA218">
        <f>IF(OR(W218=0,Z218=""),0,MAX(0,'Outstanding'!$E$5-Z218))</f>
        <v/>
      </c>
      <c r="AB218">
        <f>IF(AND(X218=1,AA218&gt;0),W218*((1+3*N('Parties'!$E$10)/12)^(AA218*12/365)-1),0)</f>
        <v/>
      </c>
      <c r="AC218">
        <f>IF(W218=0,"",'Outstanding'!$E$5-B218)</f>
        <v/>
      </c>
      <c r="AD218">
        <f>IF(S218=0,0,IFERROR(VLOOKUP(C218,'Parties'!$B$13:$Q$112,14,FALSE),0)+SUMIFS($T$7:$T$506,$C$7:$C$506,C218,$B$7:$B$506,"&lt;="&amp;'Parties'!$E$8))</f>
        <v/>
      </c>
      <c r="AE218">
        <f>IF(OR('Parties'!$E$8="",S218=0,B218="",B218&gt;'Parties'!$E$8),0,MAX(0,MIN(S218,U218-AD218)))</f>
        <v/>
      </c>
      <c r="AF218">
        <f>IF(AND(P218="Creditor",X218=1,AE218&gt;0,Z218&lt;&gt;""),IF(Z218&lt;='Parties'!$E$8,AE218,0),0)</f>
        <v/>
      </c>
      <c r="AG218">
        <f>IF(OR(AE218=0,Z218=""),0,MAX(0,'Parties'!$E$8-Z218))</f>
        <v/>
      </c>
      <c r="AH218">
        <f>IF(AND(P218="Creditor",X218=1,AG218&gt;0),AE218*((1+3*N('Parties'!$E$10)/12)^(AG218*12/365)-1),0)</f>
        <v/>
      </c>
      <c r="AI218">
        <f>IF(AND(C218&lt;&gt;"",C218='Ledger Account'!$D$4,B218&lt;&gt;"",B218&gt;='Ledger Account'!$D$5,B218&lt;='Ledger Account'!$D$6),1,0)</f>
        <v/>
      </c>
      <c r="AJ218">
        <f>IF(AI218=1,SUM(AI$7:AI218),"")</f>
        <v/>
      </c>
      <c r="AK218">
        <f>IF(OR(N218="",N218="OK"),0,1)</f>
        <v/>
      </c>
    </row>
    <row r="219">
      <c r="B219" s="24" t="n"/>
      <c r="C219" s="14" t="n"/>
      <c r="D219" s="14" t="n"/>
      <c r="E219" s="20" t="n"/>
      <c r="F219" s="24" t="n"/>
      <c r="G219" s="14" t="n"/>
      <c r="H219" s="22" t="n"/>
      <c r="I219" s="25">
        <f>IF(Q219="D",N(H219),0)</f>
        <v/>
      </c>
      <c r="J219" s="25">
        <f>IF(Q219="C",N(H219),0)</f>
        <v/>
      </c>
      <c r="K219" s="26">
        <f>IF(Z219="","",Z219)</f>
        <v/>
      </c>
      <c r="L219" s="27">
        <f>W219</f>
        <v/>
      </c>
      <c r="M219" s="28">
        <f>AA219</f>
        <v/>
      </c>
      <c r="N219" s="23">
        <f>IF(AND(B219="",C219="",D219="",N(H219)=0),"",IF(B219="","Enter the date",IF(C219="","Pick the party",IF(P219="?","Add this party on the Parties sheet first",IF(D219="","Pick the entry type",IF(Q219="?","Pick the entry type from the list",IF(N(H219)=0,"Enter the amount",IF(AND(R219&lt;&gt;"Any",R219&lt;&gt;P219),"Sales, receipts and credit notes are for debtors; purchases, payments and debit notes for creditors",IF(AND(F219&lt;&gt;"",D219&lt;&gt;"Purchase bill"),"The received-on date is only for purchase bills",IF(AND(P219="Creditor",X219=1,AA219&gt;0),"Past due to a micro or small supplier: interest runs under MSMED s.16, and if unpaid at year end it is not deductible that year, s.37(2)(g)",IF(AND(P219="Debtor",X219=1,AA219&gt;0),"Past due to you: as a micro or small supplier you can claim interest under MSMED s.16","OK")))))))))))</f>
        <v/>
      </c>
      <c r="P219">
        <f>IF(C219="","",IFERROR(VLOOKUP(C219,'Parties'!$B$13:$Q$112,2,FALSE),"?"))</f>
        <v/>
      </c>
      <c r="Q219">
        <f>IF(D219="","",IFERROR(VLOOKUP(D219,Lists!$A$2:$D$9,3,FALSE),"?"))</f>
        <v/>
      </c>
      <c r="R219">
        <f>IF(D219="","",IFERROR(VLOOKUP(D219,Lists!$A$2:$D$9,4,FALSE),"?"))</f>
        <v/>
      </c>
      <c r="S219">
        <f>IF(P219="Debtor",I219,IF(P219="Creditor",J219,0))</f>
        <v/>
      </c>
      <c r="T219">
        <f>IF(P219="Debtor",J219,IF(P219="Creditor",I219,0))</f>
        <v/>
      </c>
      <c r="U219">
        <f>IF(OR(S219=0,B219=""),0,IFERROR(VLOOKUP(C219,'Parties'!$B$13:$Q$112,13,FALSE),0)+SUMIFS($S$7:$S$506,$C$7:$C$506,C219,$B$7:$B$506,"&lt;"&amp;B219)+SUMIFS(S$7:S219,C$7:C219,C219,B$7:B219,B219))</f>
        <v/>
      </c>
      <c r="V219">
        <f>IF(S219=0,0,IFERROR(VLOOKUP(C219,'Parties'!$B$13:$Q$112,14,FALSE),0)+SUMIFS($T$7:$T$506,$C$7:$C$506,C219,$B$7:$B$506,"&lt;="&amp;'Outstanding'!$E$5))</f>
        <v/>
      </c>
      <c r="W219">
        <f>IF(OR('Outstanding'!$E$5="",S219=0,B219="",B219&gt;'Outstanding'!$E$5),0,MAX(0,MIN(S219,U219-V219)))</f>
        <v/>
      </c>
      <c r="X219">
        <f>IF(C219="",0,IFERROR(VLOOKUP(C219,'Parties'!$B$13:$Q$112,15,FALSE),0))</f>
        <v/>
      </c>
      <c r="Y219">
        <f>IF(C219="","",IFERROR(VLOOKUP(C219,'Parties'!$B$13:$Q$112,16,FALSE),0))</f>
        <v/>
      </c>
      <c r="Z219">
        <f>IF(OR(S219=0,B219="",Y219=""),"",IF(AND(F219&lt;&gt;"",D219="Purchase bill"),F219,B219)+Y219)</f>
        <v/>
      </c>
      <c r="AA219">
        <f>IF(OR(W219=0,Z219=""),0,MAX(0,'Outstanding'!$E$5-Z219))</f>
        <v/>
      </c>
      <c r="AB219">
        <f>IF(AND(X219=1,AA219&gt;0),W219*((1+3*N('Parties'!$E$10)/12)^(AA219*12/365)-1),0)</f>
        <v/>
      </c>
      <c r="AC219">
        <f>IF(W219=0,"",'Outstanding'!$E$5-B219)</f>
        <v/>
      </c>
      <c r="AD219">
        <f>IF(S219=0,0,IFERROR(VLOOKUP(C219,'Parties'!$B$13:$Q$112,14,FALSE),0)+SUMIFS($T$7:$T$506,$C$7:$C$506,C219,$B$7:$B$506,"&lt;="&amp;'Parties'!$E$8))</f>
        <v/>
      </c>
      <c r="AE219">
        <f>IF(OR('Parties'!$E$8="",S219=0,B219="",B219&gt;'Parties'!$E$8),0,MAX(0,MIN(S219,U219-AD219)))</f>
        <v/>
      </c>
      <c r="AF219">
        <f>IF(AND(P219="Creditor",X219=1,AE219&gt;0,Z219&lt;&gt;""),IF(Z219&lt;='Parties'!$E$8,AE219,0),0)</f>
        <v/>
      </c>
      <c r="AG219">
        <f>IF(OR(AE219=0,Z219=""),0,MAX(0,'Parties'!$E$8-Z219))</f>
        <v/>
      </c>
      <c r="AH219">
        <f>IF(AND(P219="Creditor",X219=1,AG219&gt;0),AE219*((1+3*N('Parties'!$E$10)/12)^(AG219*12/365)-1),0)</f>
        <v/>
      </c>
      <c r="AI219">
        <f>IF(AND(C219&lt;&gt;"",C219='Ledger Account'!$D$4,B219&lt;&gt;"",B219&gt;='Ledger Account'!$D$5,B219&lt;='Ledger Account'!$D$6),1,0)</f>
        <v/>
      </c>
      <c r="AJ219">
        <f>IF(AI219=1,SUM(AI$7:AI219),"")</f>
        <v/>
      </c>
      <c r="AK219">
        <f>IF(OR(N219="",N219="OK"),0,1)</f>
        <v/>
      </c>
    </row>
    <row r="220">
      <c r="B220" s="24" t="n"/>
      <c r="C220" s="14" t="n"/>
      <c r="D220" s="14" t="n"/>
      <c r="E220" s="20" t="n"/>
      <c r="F220" s="24" t="n"/>
      <c r="G220" s="14" t="n"/>
      <c r="H220" s="22" t="n"/>
      <c r="I220" s="25">
        <f>IF(Q220="D",N(H220),0)</f>
        <v/>
      </c>
      <c r="J220" s="25">
        <f>IF(Q220="C",N(H220),0)</f>
        <v/>
      </c>
      <c r="K220" s="26">
        <f>IF(Z220="","",Z220)</f>
        <v/>
      </c>
      <c r="L220" s="27">
        <f>W220</f>
        <v/>
      </c>
      <c r="M220" s="28">
        <f>AA220</f>
        <v/>
      </c>
      <c r="N220" s="23">
        <f>IF(AND(B220="",C220="",D220="",N(H220)=0),"",IF(B220="","Enter the date",IF(C220="","Pick the party",IF(P220="?","Add this party on the Parties sheet first",IF(D220="","Pick the entry type",IF(Q220="?","Pick the entry type from the list",IF(N(H220)=0,"Enter the amount",IF(AND(R220&lt;&gt;"Any",R220&lt;&gt;P220),"Sales, receipts and credit notes are for debtors; purchases, payments and debit notes for creditors",IF(AND(F220&lt;&gt;"",D220&lt;&gt;"Purchase bill"),"The received-on date is only for purchase bills",IF(AND(P220="Creditor",X220=1,AA220&gt;0),"Past due to a micro or small supplier: interest runs under MSMED s.16, and if unpaid at year end it is not deductible that year, s.37(2)(g)",IF(AND(P220="Debtor",X220=1,AA220&gt;0),"Past due to you: as a micro or small supplier you can claim interest under MSMED s.16","OK")))))))))))</f>
        <v/>
      </c>
      <c r="P220">
        <f>IF(C220="","",IFERROR(VLOOKUP(C220,'Parties'!$B$13:$Q$112,2,FALSE),"?"))</f>
        <v/>
      </c>
      <c r="Q220">
        <f>IF(D220="","",IFERROR(VLOOKUP(D220,Lists!$A$2:$D$9,3,FALSE),"?"))</f>
        <v/>
      </c>
      <c r="R220">
        <f>IF(D220="","",IFERROR(VLOOKUP(D220,Lists!$A$2:$D$9,4,FALSE),"?"))</f>
        <v/>
      </c>
      <c r="S220">
        <f>IF(P220="Debtor",I220,IF(P220="Creditor",J220,0))</f>
        <v/>
      </c>
      <c r="T220">
        <f>IF(P220="Debtor",J220,IF(P220="Creditor",I220,0))</f>
        <v/>
      </c>
      <c r="U220">
        <f>IF(OR(S220=0,B220=""),0,IFERROR(VLOOKUP(C220,'Parties'!$B$13:$Q$112,13,FALSE),0)+SUMIFS($S$7:$S$506,$C$7:$C$506,C220,$B$7:$B$506,"&lt;"&amp;B220)+SUMIFS(S$7:S220,C$7:C220,C220,B$7:B220,B220))</f>
        <v/>
      </c>
      <c r="V220">
        <f>IF(S220=0,0,IFERROR(VLOOKUP(C220,'Parties'!$B$13:$Q$112,14,FALSE),0)+SUMIFS($T$7:$T$506,$C$7:$C$506,C220,$B$7:$B$506,"&lt;="&amp;'Outstanding'!$E$5))</f>
        <v/>
      </c>
      <c r="W220">
        <f>IF(OR('Outstanding'!$E$5="",S220=0,B220="",B220&gt;'Outstanding'!$E$5),0,MAX(0,MIN(S220,U220-V220)))</f>
        <v/>
      </c>
      <c r="X220">
        <f>IF(C220="",0,IFERROR(VLOOKUP(C220,'Parties'!$B$13:$Q$112,15,FALSE),0))</f>
        <v/>
      </c>
      <c r="Y220">
        <f>IF(C220="","",IFERROR(VLOOKUP(C220,'Parties'!$B$13:$Q$112,16,FALSE),0))</f>
        <v/>
      </c>
      <c r="Z220">
        <f>IF(OR(S220=0,B220="",Y220=""),"",IF(AND(F220&lt;&gt;"",D220="Purchase bill"),F220,B220)+Y220)</f>
        <v/>
      </c>
      <c r="AA220">
        <f>IF(OR(W220=0,Z220=""),0,MAX(0,'Outstanding'!$E$5-Z220))</f>
        <v/>
      </c>
      <c r="AB220">
        <f>IF(AND(X220=1,AA220&gt;0),W220*((1+3*N('Parties'!$E$10)/12)^(AA220*12/365)-1),0)</f>
        <v/>
      </c>
      <c r="AC220">
        <f>IF(W220=0,"",'Outstanding'!$E$5-B220)</f>
        <v/>
      </c>
      <c r="AD220">
        <f>IF(S220=0,0,IFERROR(VLOOKUP(C220,'Parties'!$B$13:$Q$112,14,FALSE),0)+SUMIFS($T$7:$T$506,$C$7:$C$506,C220,$B$7:$B$506,"&lt;="&amp;'Parties'!$E$8))</f>
        <v/>
      </c>
      <c r="AE220">
        <f>IF(OR('Parties'!$E$8="",S220=0,B220="",B220&gt;'Parties'!$E$8),0,MAX(0,MIN(S220,U220-AD220)))</f>
        <v/>
      </c>
      <c r="AF220">
        <f>IF(AND(P220="Creditor",X220=1,AE220&gt;0,Z220&lt;&gt;""),IF(Z220&lt;='Parties'!$E$8,AE220,0),0)</f>
        <v/>
      </c>
      <c r="AG220">
        <f>IF(OR(AE220=0,Z220=""),0,MAX(0,'Parties'!$E$8-Z220))</f>
        <v/>
      </c>
      <c r="AH220">
        <f>IF(AND(P220="Creditor",X220=1,AG220&gt;0),AE220*((1+3*N('Parties'!$E$10)/12)^(AG220*12/365)-1),0)</f>
        <v/>
      </c>
      <c r="AI220">
        <f>IF(AND(C220&lt;&gt;"",C220='Ledger Account'!$D$4,B220&lt;&gt;"",B220&gt;='Ledger Account'!$D$5,B220&lt;='Ledger Account'!$D$6),1,0)</f>
        <v/>
      </c>
      <c r="AJ220">
        <f>IF(AI220=1,SUM(AI$7:AI220),"")</f>
        <v/>
      </c>
      <c r="AK220">
        <f>IF(OR(N220="",N220="OK"),0,1)</f>
        <v/>
      </c>
    </row>
    <row r="221">
      <c r="B221" s="24" t="n"/>
      <c r="C221" s="14" t="n"/>
      <c r="D221" s="14" t="n"/>
      <c r="E221" s="20" t="n"/>
      <c r="F221" s="24" t="n"/>
      <c r="G221" s="14" t="n"/>
      <c r="H221" s="22" t="n"/>
      <c r="I221" s="25">
        <f>IF(Q221="D",N(H221),0)</f>
        <v/>
      </c>
      <c r="J221" s="25">
        <f>IF(Q221="C",N(H221),0)</f>
        <v/>
      </c>
      <c r="K221" s="26">
        <f>IF(Z221="","",Z221)</f>
        <v/>
      </c>
      <c r="L221" s="27">
        <f>W221</f>
        <v/>
      </c>
      <c r="M221" s="28">
        <f>AA221</f>
        <v/>
      </c>
      <c r="N221" s="23">
        <f>IF(AND(B221="",C221="",D221="",N(H221)=0),"",IF(B221="","Enter the date",IF(C221="","Pick the party",IF(P221="?","Add this party on the Parties sheet first",IF(D221="","Pick the entry type",IF(Q221="?","Pick the entry type from the list",IF(N(H221)=0,"Enter the amount",IF(AND(R221&lt;&gt;"Any",R221&lt;&gt;P221),"Sales, receipts and credit notes are for debtors; purchases, payments and debit notes for creditors",IF(AND(F221&lt;&gt;"",D221&lt;&gt;"Purchase bill"),"The received-on date is only for purchase bills",IF(AND(P221="Creditor",X221=1,AA221&gt;0),"Past due to a micro or small supplier: interest runs under MSMED s.16, and if unpaid at year end it is not deductible that year, s.37(2)(g)",IF(AND(P221="Debtor",X221=1,AA221&gt;0),"Past due to you: as a micro or small supplier you can claim interest under MSMED s.16","OK")))))))))))</f>
        <v/>
      </c>
      <c r="P221">
        <f>IF(C221="","",IFERROR(VLOOKUP(C221,'Parties'!$B$13:$Q$112,2,FALSE),"?"))</f>
        <v/>
      </c>
      <c r="Q221">
        <f>IF(D221="","",IFERROR(VLOOKUP(D221,Lists!$A$2:$D$9,3,FALSE),"?"))</f>
        <v/>
      </c>
      <c r="R221">
        <f>IF(D221="","",IFERROR(VLOOKUP(D221,Lists!$A$2:$D$9,4,FALSE),"?"))</f>
        <v/>
      </c>
      <c r="S221">
        <f>IF(P221="Debtor",I221,IF(P221="Creditor",J221,0))</f>
        <v/>
      </c>
      <c r="T221">
        <f>IF(P221="Debtor",J221,IF(P221="Creditor",I221,0))</f>
        <v/>
      </c>
      <c r="U221">
        <f>IF(OR(S221=0,B221=""),0,IFERROR(VLOOKUP(C221,'Parties'!$B$13:$Q$112,13,FALSE),0)+SUMIFS($S$7:$S$506,$C$7:$C$506,C221,$B$7:$B$506,"&lt;"&amp;B221)+SUMIFS(S$7:S221,C$7:C221,C221,B$7:B221,B221))</f>
        <v/>
      </c>
      <c r="V221">
        <f>IF(S221=0,0,IFERROR(VLOOKUP(C221,'Parties'!$B$13:$Q$112,14,FALSE),0)+SUMIFS($T$7:$T$506,$C$7:$C$506,C221,$B$7:$B$506,"&lt;="&amp;'Outstanding'!$E$5))</f>
        <v/>
      </c>
      <c r="W221">
        <f>IF(OR('Outstanding'!$E$5="",S221=0,B221="",B221&gt;'Outstanding'!$E$5),0,MAX(0,MIN(S221,U221-V221)))</f>
        <v/>
      </c>
      <c r="X221">
        <f>IF(C221="",0,IFERROR(VLOOKUP(C221,'Parties'!$B$13:$Q$112,15,FALSE),0))</f>
        <v/>
      </c>
      <c r="Y221">
        <f>IF(C221="","",IFERROR(VLOOKUP(C221,'Parties'!$B$13:$Q$112,16,FALSE),0))</f>
        <v/>
      </c>
      <c r="Z221">
        <f>IF(OR(S221=0,B221="",Y221=""),"",IF(AND(F221&lt;&gt;"",D221="Purchase bill"),F221,B221)+Y221)</f>
        <v/>
      </c>
      <c r="AA221">
        <f>IF(OR(W221=0,Z221=""),0,MAX(0,'Outstanding'!$E$5-Z221))</f>
        <v/>
      </c>
      <c r="AB221">
        <f>IF(AND(X221=1,AA221&gt;0),W221*((1+3*N('Parties'!$E$10)/12)^(AA221*12/365)-1),0)</f>
        <v/>
      </c>
      <c r="AC221">
        <f>IF(W221=0,"",'Outstanding'!$E$5-B221)</f>
        <v/>
      </c>
      <c r="AD221">
        <f>IF(S221=0,0,IFERROR(VLOOKUP(C221,'Parties'!$B$13:$Q$112,14,FALSE),0)+SUMIFS($T$7:$T$506,$C$7:$C$506,C221,$B$7:$B$506,"&lt;="&amp;'Parties'!$E$8))</f>
        <v/>
      </c>
      <c r="AE221">
        <f>IF(OR('Parties'!$E$8="",S221=0,B221="",B221&gt;'Parties'!$E$8),0,MAX(0,MIN(S221,U221-AD221)))</f>
        <v/>
      </c>
      <c r="AF221">
        <f>IF(AND(P221="Creditor",X221=1,AE221&gt;0,Z221&lt;&gt;""),IF(Z221&lt;='Parties'!$E$8,AE221,0),0)</f>
        <v/>
      </c>
      <c r="AG221">
        <f>IF(OR(AE221=0,Z221=""),0,MAX(0,'Parties'!$E$8-Z221))</f>
        <v/>
      </c>
      <c r="AH221">
        <f>IF(AND(P221="Creditor",X221=1,AG221&gt;0),AE221*((1+3*N('Parties'!$E$10)/12)^(AG221*12/365)-1),0)</f>
        <v/>
      </c>
      <c r="AI221">
        <f>IF(AND(C221&lt;&gt;"",C221='Ledger Account'!$D$4,B221&lt;&gt;"",B221&gt;='Ledger Account'!$D$5,B221&lt;='Ledger Account'!$D$6),1,0)</f>
        <v/>
      </c>
      <c r="AJ221">
        <f>IF(AI221=1,SUM(AI$7:AI221),"")</f>
        <v/>
      </c>
      <c r="AK221">
        <f>IF(OR(N221="",N221="OK"),0,1)</f>
        <v/>
      </c>
    </row>
    <row r="222">
      <c r="B222" s="24" t="n"/>
      <c r="C222" s="14" t="n"/>
      <c r="D222" s="14" t="n"/>
      <c r="E222" s="20" t="n"/>
      <c r="F222" s="24" t="n"/>
      <c r="G222" s="14" t="n"/>
      <c r="H222" s="22" t="n"/>
      <c r="I222" s="25">
        <f>IF(Q222="D",N(H222),0)</f>
        <v/>
      </c>
      <c r="J222" s="25">
        <f>IF(Q222="C",N(H222),0)</f>
        <v/>
      </c>
      <c r="K222" s="26">
        <f>IF(Z222="","",Z222)</f>
        <v/>
      </c>
      <c r="L222" s="27">
        <f>W222</f>
        <v/>
      </c>
      <c r="M222" s="28">
        <f>AA222</f>
        <v/>
      </c>
      <c r="N222" s="23">
        <f>IF(AND(B222="",C222="",D222="",N(H222)=0),"",IF(B222="","Enter the date",IF(C222="","Pick the party",IF(P222="?","Add this party on the Parties sheet first",IF(D222="","Pick the entry type",IF(Q222="?","Pick the entry type from the list",IF(N(H222)=0,"Enter the amount",IF(AND(R222&lt;&gt;"Any",R222&lt;&gt;P222),"Sales, receipts and credit notes are for debtors; purchases, payments and debit notes for creditors",IF(AND(F222&lt;&gt;"",D222&lt;&gt;"Purchase bill"),"The received-on date is only for purchase bills",IF(AND(P222="Creditor",X222=1,AA222&gt;0),"Past due to a micro or small supplier: interest runs under MSMED s.16, and if unpaid at year end it is not deductible that year, s.37(2)(g)",IF(AND(P222="Debtor",X222=1,AA222&gt;0),"Past due to you: as a micro or small supplier you can claim interest under MSMED s.16","OK")))))))))))</f>
        <v/>
      </c>
      <c r="P222">
        <f>IF(C222="","",IFERROR(VLOOKUP(C222,'Parties'!$B$13:$Q$112,2,FALSE),"?"))</f>
        <v/>
      </c>
      <c r="Q222">
        <f>IF(D222="","",IFERROR(VLOOKUP(D222,Lists!$A$2:$D$9,3,FALSE),"?"))</f>
        <v/>
      </c>
      <c r="R222">
        <f>IF(D222="","",IFERROR(VLOOKUP(D222,Lists!$A$2:$D$9,4,FALSE),"?"))</f>
        <v/>
      </c>
      <c r="S222">
        <f>IF(P222="Debtor",I222,IF(P222="Creditor",J222,0))</f>
        <v/>
      </c>
      <c r="T222">
        <f>IF(P222="Debtor",J222,IF(P222="Creditor",I222,0))</f>
        <v/>
      </c>
      <c r="U222">
        <f>IF(OR(S222=0,B222=""),0,IFERROR(VLOOKUP(C222,'Parties'!$B$13:$Q$112,13,FALSE),0)+SUMIFS($S$7:$S$506,$C$7:$C$506,C222,$B$7:$B$506,"&lt;"&amp;B222)+SUMIFS(S$7:S222,C$7:C222,C222,B$7:B222,B222))</f>
        <v/>
      </c>
      <c r="V222">
        <f>IF(S222=0,0,IFERROR(VLOOKUP(C222,'Parties'!$B$13:$Q$112,14,FALSE),0)+SUMIFS($T$7:$T$506,$C$7:$C$506,C222,$B$7:$B$506,"&lt;="&amp;'Outstanding'!$E$5))</f>
        <v/>
      </c>
      <c r="W222">
        <f>IF(OR('Outstanding'!$E$5="",S222=0,B222="",B222&gt;'Outstanding'!$E$5),0,MAX(0,MIN(S222,U222-V222)))</f>
        <v/>
      </c>
      <c r="X222">
        <f>IF(C222="",0,IFERROR(VLOOKUP(C222,'Parties'!$B$13:$Q$112,15,FALSE),0))</f>
        <v/>
      </c>
      <c r="Y222">
        <f>IF(C222="","",IFERROR(VLOOKUP(C222,'Parties'!$B$13:$Q$112,16,FALSE),0))</f>
        <v/>
      </c>
      <c r="Z222">
        <f>IF(OR(S222=0,B222="",Y222=""),"",IF(AND(F222&lt;&gt;"",D222="Purchase bill"),F222,B222)+Y222)</f>
        <v/>
      </c>
      <c r="AA222">
        <f>IF(OR(W222=0,Z222=""),0,MAX(0,'Outstanding'!$E$5-Z222))</f>
        <v/>
      </c>
      <c r="AB222">
        <f>IF(AND(X222=1,AA222&gt;0),W222*((1+3*N('Parties'!$E$10)/12)^(AA222*12/365)-1),0)</f>
        <v/>
      </c>
      <c r="AC222">
        <f>IF(W222=0,"",'Outstanding'!$E$5-B222)</f>
        <v/>
      </c>
      <c r="AD222">
        <f>IF(S222=0,0,IFERROR(VLOOKUP(C222,'Parties'!$B$13:$Q$112,14,FALSE),0)+SUMIFS($T$7:$T$506,$C$7:$C$506,C222,$B$7:$B$506,"&lt;="&amp;'Parties'!$E$8))</f>
        <v/>
      </c>
      <c r="AE222">
        <f>IF(OR('Parties'!$E$8="",S222=0,B222="",B222&gt;'Parties'!$E$8),0,MAX(0,MIN(S222,U222-AD222)))</f>
        <v/>
      </c>
      <c r="AF222">
        <f>IF(AND(P222="Creditor",X222=1,AE222&gt;0,Z222&lt;&gt;""),IF(Z222&lt;='Parties'!$E$8,AE222,0),0)</f>
        <v/>
      </c>
      <c r="AG222">
        <f>IF(OR(AE222=0,Z222=""),0,MAX(0,'Parties'!$E$8-Z222))</f>
        <v/>
      </c>
      <c r="AH222">
        <f>IF(AND(P222="Creditor",X222=1,AG222&gt;0),AE222*((1+3*N('Parties'!$E$10)/12)^(AG222*12/365)-1),0)</f>
        <v/>
      </c>
      <c r="AI222">
        <f>IF(AND(C222&lt;&gt;"",C222='Ledger Account'!$D$4,B222&lt;&gt;"",B222&gt;='Ledger Account'!$D$5,B222&lt;='Ledger Account'!$D$6),1,0)</f>
        <v/>
      </c>
      <c r="AJ222">
        <f>IF(AI222=1,SUM(AI$7:AI222),"")</f>
        <v/>
      </c>
      <c r="AK222">
        <f>IF(OR(N222="",N222="OK"),0,1)</f>
        <v/>
      </c>
    </row>
    <row r="223">
      <c r="B223" s="24" t="n"/>
      <c r="C223" s="14" t="n"/>
      <c r="D223" s="14" t="n"/>
      <c r="E223" s="20" t="n"/>
      <c r="F223" s="24" t="n"/>
      <c r="G223" s="14" t="n"/>
      <c r="H223" s="22" t="n"/>
      <c r="I223" s="25">
        <f>IF(Q223="D",N(H223),0)</f>
        <v/>
      </c>
      <c r="J223" s="25">
        <f>IF(Q223="C",N(H223),0)</f>
        <v/>
      </c>
      <c r="K223" s="26">
        <f>IF(Z223="","",Z223)</f>
        <v/>
      </c>
      <c r="L223" s="27">
        <f>W223</f>
        <v/>
      </c>
      <c r="M223" s="28">
        <f>AA223</f>
        <v/>
      </c>
      <c r="N223" s="23">
        <f>IF(AND(B223="",C223="",D223="",N(H223)=0),"",IF(B223="","Enter the date",IF(C223="","Pick the party",IF(P223="?","Add this party on the Parties sheet first",IF(D223="","Pick the entry type",IF(Q223="?","Pick the entry type from the list",IF(N(H223)=0,"Enter the amount",IF(AND(R223&lt;&gt;"Any",R223&lt;&gt;P223),"Sales, receipts and credit notes are for debtors; purchases, payments and debit notes for creditors",IF(AND(F223&lt;&gt;"",D223&lt;&gt;"Purchase bill"),"The received-on date is only for purchase bills",IF(AND(P223="Creditor",X223=1,AA223&gt;0),"Past due to a micro or small supplier: interest runs under MSMED s.16, and if unpaid at year end it is not deductible that year, s.37(2)(g)",IF(AND(P223="Debtor",X223=1,AA223&gt;0),"Past due to you: as a micro or small supplier you can claim interest under MSMED s.16","OK")))))))))))</f>
        <v/>
      </c>
      <c r="P223">
        <f>IF(C223="","",IFERROR(VLOOKUP(C223,'Parties'!$B$13:$Q$112,2,FALSE),"?"))</f>
        <v/>
      </c>
      <c r="Q223">
        <f>IF(D223="","",IFERROR(VLOOKUP(D223,Lists!$A$2:$D$9,3,FALSE),"?"))</f>
        <v/>
      </c>
      <c r="R223">
        <f>IF(D223="","",IFERROR(VLOOKUP(D223,Lists!$A$2:$D$9,4,FALSE),"?"))</f>
        <v/>
      </c>
      <c r="S223">
        <f>IF(P223="Debtor",I223,IF(P223="Creditor",J223,0))</f>
        <v/>
      </c>
      <c r="T223">
        <f>IF(P223="Debtor",J223,IF(P223="Creditor",I223,0))</f>
        <v/>
      </c>
      <c r="U223">
        <f>IF(OR(S223=0,B223=""),0,IFERROR(VLOOKUP(C223,'Parties'!$B$13:$Q$112,13,FALSE),0)+SUMIFS($S$7:$S$506,$C$7:$C$506,C223,$B$7:$B$506,"&lt;"&amp;B223)+SUMIFS(S$7:S223,C$7:C223,C223,B$7:B223,B223))</f>
        <v/>
      </c>
      <c r="V223">
        <f>IF(S223=0,0,IFERROR(VLOOKUP(C223,'Parties'!$B$13:$Q$112,14,FALSE),0)+SUMIFS($T$7:$T$506,$C$7:$C$506,C223,$B$7:$B$506,"&lt;="&amp;'Outstanding'!$E$5))</f>
        <v/>
      </c>
      <c r="W223">
        <f>IF(OR('Outstanding'!$E$5="",S223=0,B223="",B223&gt;'Outstanding'!$E$5),0,MAX(0,MIN(S223,U223-V223)))</f>
        <v/>
      </c>
      <c r="X223">
        <f>IF(C223="",0,IFERROR(VLOOKUP(C223,'Parties'!$B$13:$Q$112,15,FALSE),0))</f>
        <v/>
      </c>
      <c r="Y223">
        <f>IF(C223="","",IFERROR(VLOOKUP(C223,'Parties'!$B$13:$Q$112,16,FALSE),0))</f>
        <v/>
      </c>
      <c r="Z223">
        <f>IF(OR(S223=0,B223="",Y223=""),"",IF(AND(F223&lt;&gt;"",D223="Purchase bill"),F223,B223)+Y223)</f>
        <v/>
      </c>
      <c r="AA223">
        <f>IF(OR(W223=0,Z223=""),0,MAX(0,'Outstanding'!$E$5-Z223))</f>
        <v/>
      </c>
      <c r="AB223">
        <f>IF(AND(X223=1,AA223&gt;0),W223*((1+3*N('Parties'!$E$10)/12)^(AA223*12/365)-1),0)</f>
        <v/>
      </c>
      <c r="AC223">
        <f>IF(W223=0,"",'Outstanding'!$E$5-B223)</f>
        <v/>
      </c>
      <c r="AD223">
        <f>IF(S223=0,0,IFERROR(VLOOKUP(C223,'Parties'!$B$13:$Q$112,14,FALSE),0)+SUMIFS($T$7:$T$506,$C$7:$C$506,C223,$B$7:$B$506,"&lt;="&amp;'Parties'!$E$8))</f>
        <v/>
      </c>
      <c r="AE223">
        <f>IF(OR('Parties'!$E$8="",S223=0,B223="",B223&gt;'Parties'!$E$8),0,MAX(0,MIN(S223,U223-AD223)))</f>
        <v/>
      </c>
      <c r="AF223">
        <f>IF(AND(P223="Creditor",X223=1,AE223&gt;0,Z223&lt;&gt;""),IF(Z223&lt;='Parties'!$E$8,AE223,0),0)</f>
        <v/>
      </c>
      <c r="AG223">
        <f>IF(OR(AE223=0,Z223=""),0,MAX(0,'Parties'!$E$8-Z223))</f>
        <v/>
      </c>
      <c r="AH223">
        <f>IF(AND(P223="Creditor",X223=1,AG223&gt;0),AE223*((1+3*N('Parties'!$E$10)/12)^(AG223*12/365)-1),0)</f>
        <v/>
      </c>
      <c r="AI223">
        <f>IF(AND(C223&lt;&gt;"",C223='Ledger Account'!$D$4,B223&lt;&gt;"",B223&gt;='Ledger Account'!$D$5,B223&lt;='Ledger Account'!$D$6),1,0)</f>
        <v/>
      </c>
      <c r="AJ223">
        <f>IF(AI223=1,SUM(AI$7:AI223),"")</f>
        <v/>
      </c>
      <c r="AK223">
        <f>IF(OR(N223="",N223="OK"),0,1)</f>
        <v/>
      </c>
    </row>
    <row r="224">
      <c r="B224" s="24" t="n"/>
      <c r="C224" s="14" t="n"/>
      <c r="D224" s="14" t="n"/>
      <c r="E224" s="20" t="n"/>
      <c r="F224" s="24" t="n"/>
      <c r="G224" s="14" t="n"/>
      <c r="H224" s="22" t="n"/>
      <c r="I224" s="25">
        <f>IF(Q224="D",N(H224),0)</f>
        <v/>
      </c>
      <c r="J224" s="25">
        <f>IF(Q224="C",N(H224),0)</f>
        <v/>
      </c>
      <c r="K224" s="26">
        <f>IF(Z224="","",Z224)</f>
        <v/>
      </c>
      <c r="L224" s="27">
        <f>W224</f>
        <v/>
      </c>
      <c r="M224" s="28">
        <f>AA224</f>
        <v/>
      </c>
      <c r="N224" s="23">
        <f>IF(AND(B224="",C224="",D224="",N(H224)=0),"",IF(B224="","Enter the date",IF(C224="","Pick the party",IF(P224="?","Add this party on the Parties sheet first",IF(D224="","Pick the entry type",IF(Q224="?","Pick the entry type from the list",IF(N(H224)=0,"Enter the amount",IF(AND(R224&lt;&gt;"Any",R224&lt;&gt;P224),"Sales, receipts and credit notes are for debtors; purchases, payments and debit notes for creditors",IF(AND(F224&lt;&gt;"",D224&lt;&gt;"Purchase bill"),"The received-on date is only for purchase bills",IF(AND(P224="Creditor",X224=1,AA224&gt;0),"Past due to a micro or small supplier: interest runs under MSMED s.16, and if unpaid at year end it is not deductible that year, s.37(2)(g)",IF(AND(P224="Debtor",X224=1,AA224&gt;0),"Past due to you: as a micro or small supplier you can claim interest under MSMED s.16","OK")))))))))))</f>
        <v/>
      </c>
      <c r="P224">
        <f>IF(C224="","",IFERROR(VLOOKUP(C224,'Parties'!$B$13:$Q$112,2,FALSE),"?"))</f>
        <v/>
      </c>
      <c r="Q224">
        <f>IF(D224="","",IFERROR(VLOOKUP(D224,Lists!$A$2:$D$9,3,FALSE),"?"))</f>
        <v/>
      </c>
      <c r="R224">
        <f>IF(D224="","",IFERROR(VLOOKUP(D224,Lists!$A$2:$D$9,4,FALSE),"?"))</f>
        <v/>
      </c>
      <c r="S224">
        <f>IF(P224="Debtor",I224,IF(P224="Creditor",J224,0))</f>
        <v/>
      </c>
      <c r="T224">
        <f>IF(P224="Debtor",J224,IF(P224="Creditor",I224,0))</f>
        <v/>
      </c>
      <c r="U224">
        <f>IF(OR(S224=0,B224=""),0,IFERROR(VLOOKUP(C224,'Parties'!$B$13:$Q$112,13,FALSE),0)+SUMIFS($S$7:$S$506,$C$7:$C$506,C224,$B$7:$B$506,"&lt;"&amp;B224)+SUMIFS(S$7:S224,C$7:C224,C224,B$7:B224,B224))</f>
        <v/>
      </c>
      <c r="V224">
        <f>IF(S224=0,0,IFERROR(VLOOKUP(C224,'Parties'!$B$13:$Q$112,14,FALSE),0)+SUMIFS($T$7:$T$506,$C$7:$C$506,C224,$B$7:$B$506,"&lt;="&amp;'Outstanding'!$E$5))</f>
        <v/>
      </c>
      <c r="W224">
        <f>IF(OR('Outstanding'!$E$5="",S224=0,B224="",B224&gt;'Outstanding'!$E$5),0,MAX(0,MIN(S224,U224-V224)))</f>
        <v/>
      </c>
      <c r="X224">
        <f>IF(C224="",0,IFERROR(VLOOKUP(C224,'Parties'!$B$13:$Q$112,15,FALSE),0))</f>
        <v/>
      </c>
      <c r="Y224">
        <f>IF(C224="","",IFERROR(VLOOKUP(C224,'Parties'!$B$13:$Q$112,16,FALSE),0))</f>
        <v/>
      </c>
      <c r="Z224">
        <f>IF(OR(S224=0,B224="",Y224=""),"",IF(AND(F224&lt;&gt;"",D224="Purchase bill"),F224,B224)+Y224)</f>
        <v/>
      </c>
      <c r="AA224">
        <f>IF(OR(W224=0,Z224=""),0,MAX(0,'Outstanding'!$E$5-Z224))</f>
        <v/>
      </c>
      <c r="AB224">
        <f>IF(AND(X224=1,AA224&gt;0),W224*((1+3*N('Parties'!$E$10)/12)^(AA224*12/365)-1),0)</f>
        <v/>
      </c>
      <c r="AC224">
        <f>IF(W224=0,"",'Outstanding'!$E$5-B224)</f>
        <v/>
      </c>
      <c r="AD224">
        <f>IF(S224=0,0,IFERROR(VLOOKUP(C224,'Parties'!$B$13:$Q$112,14,FALSE),0)+SUMIFS($T$7:$T$506,$C$7:$C$506,C224,$B$7:$B$506,"&lt;="&amp;'Parties'!$E$8))</f>
        <v/>
      </c>
      <c r="AE224">
        <f>IF(OR('Parties'!$E$8="",S224=0,B224="",B224&gt;'Parties'!$E$8),0,MAX(0,MIN(S224,U224-AD224)))</f>
        <v/>
      </c>
      <c r="AF224">
        <f>IF(AND(P224="Creditor",X224=1,AE224&gt;0,Z224&lt;&gt;""),IF(Z224&lt;='Parties'!$E$8,AE224,0),0)</f>
        <v/>
      </c>
      <c r="AG224">
        <f>IF(OR(AE224=0,Z224=""),0,MAX(0,'Parties'!$E$8-Z224))</f>
        <v/>
      </c>
      <c r="AH224">
        <f>IF(AND(P224="Creditor",X224=1,AG224&gt;0),AE224*((1+3*N('Parties'!$E$10)/12)^(AG224*12/365)-1),0)</f>
        <v/>
      </c>
      <c r="AI224">
        <f>IF(AND(C224&lt;&gt;"",C224='Ledger Account'!$D$4,B224&lt;&gt;"",B224&gt;='Ledger Account'!$D$5,B224&lt;='Ledger Account'!$D$6),1,0)</f>
        <v/>
      </c>
      <c r="AJ224">
        <f>IF(AI224=1,SUM(AI$7:AI224),"")</f>
        <v/>
      </c>
      <c r="AK224">
        <f>IF(OR(N224="",N224="OK"),0,1)</f>
        <v/>
      </c>
    </row>
    <row r="225">
      <c r="B225" s="24" t="n"/>
      <c r="C225" s="14" t="n"/>
      <c r="D225" s="14" t="n"/>
      <c r="E225" s="20" t="n"/>
      <c r="F225" s="24" t="n"/>
      <c r="G225" s="14" t="n"/>
      <c r="H225" s="22" t="n"/>
      <c r="I225" s="25">
        <f>IF(Q225="D",N(H225),0)</f>
        <v/>
      </c>
      <c r="J225" s="25">
        <f>IF(Q225="C",N(H225),0)</f>
        <v/>
      </c>
      <c r="K225" s="26">
        <f>IF(Z225="","",Z225)</f>
        <v/>
      </c>
      <c r="L225" s="27">
        <f>W225</f>
        <v/>
      </c>
      <c r="M225" s="28">
        <f>AA225</f>
        <v/>
      </c>
      <c r="N225" s="23">
        <f>IF(AND(B225="",C225="",D225="",N(H225)=0),"",IF(B225="","Enter the date",IF(C225="","Pick the party",IF(P225="?","Add this party on the Parties sheet first",IF(D225="","Pick the entry type",IF(Q225="?","Pick the entry type from the list",IF(N(H225)=0,"Enter the amount",IF(AND(R225&lt;&gt;"Any",R225&lt;&gt;P225),"Sales, receipts and credit notes are for debtors; purchases, payments and debit notes for creditors",IF(AND(F225&lt;&gt;"",D225&lt;&gt;"Purchase bill"),"The received-on date is only for purchase bills",IF(AND(P225="Creditor",X225=1,AA225&gt;0),"Past due to a micro or small supplier: interest runs under MSMED s.16, and if unpaid at year end it is not deductible that year, s.37(2)(g)",IF(AND(P225="Debtor",X225=1,AA225&gt;0),"Past due to you: as a micro or small supplier you can claim interest under MSMED s.16","OK")))))))))))</f>
        <v/>
      </c>
      <c r="P225">
        <f>IF(C225="","",IFERROR(VLOOKUP(C225,'Parties'!$B$13:$Q$112,2,FALSE),"?"))</f>
        <v/>
      </c>
      <c r="Q225">
        <f>IF(D225="","",IFERROR(VLOOKUP(D225,Lists!$A$2:$D$9,3,FALSE),"?"))</f>
        <v/>
      </c>
      <c r="R225">
        <f>IF(D225="","",IFERROR(VLOOKUP(D225,Lists!$A$2:$D$9,4,FALSE),"?"))</f>
        <v/>
      </c>
      <c r="S225">
        <f>IF(P225="Debtor",I225,IF(P225="Creditor",J225,0))</f>
        <v/>
      </c>
      <c r="T225">
        <f>IF(P225="Debtor",J225,IF(P225="Creditor",I225,0))</f>
        <v/>
      </c>
      <c r="U225">
        <f>IF(OR(S225=0,B225=""),0,IFERROR(VLOOKUP(C225,'Parties'!$B$13:$Q$112,13,FALSE),0)+SUMIFS($S$7:$S$506,$C$7:$C$506,C225,$B$7:$B$506,"&lt;"&amp;B225)+SUMIFS(S$7:S225,C$7:C225,C225,B$7:B225,B225))</f>
        <v/>
      </c>
      <c r="V225">
        <f>IF(S225=0,0,IFERROR(VLOOKUP(C225,'Parties'!$B$13:$Q$112,14,FALSE),0)+SUMIFS($T$7:$T$506,$C$7:$C$506,C225,$B$7:$B$506,"&lt;="&amp;'Outstanding'!$E$5))</f>
        <v/>
      </c>
      <c r="W225">
        <f>IF(OR('Outstanding'!$E$5="",S225=0,B225="",B225&gt;'Outstanding'!$E$5),0,MAX(0,MIN(S225,U225-V225)))</f>
        <v/>
      </c>
      <c r="X225">
        <f>IF(C225="",0,IFERROR(VLOOKUP(C225,'Parties'!$B$13:$Q$112,15,FALSE),0))</f>
        <v/>
      </c>
      <c r="Y225">
        <f>IF(C225="","",IFERROR(VLOOKUP(C225,'Parties'!$B$13:$Q$112,16,FALSE),0))</f>
        <v/>
      </c>
      <c r="Z225">
        <f>IF(OR(S225=0,B225="",Y225=""),"",IF(AND(F225&lt;&gt;"",D225="Purchase bill"),F225,B225)+Y225)</f>
        <v/>
      </c>
      <c r="AA225">
        <f>IF(OR(W225=0,Z225=""),0,MAX(0,'Outstanding'!$E$5-Z225))</f>
        <v/>
      </c>
      <c r="AB225">
        <f>IF(AND(X225=1,AA225&gt;0),W225*((1+3*N('Parties'!$E$10)/12)^(AA225*12/365)-1),0)</f>
        <v/>
      </c>
      <c r="AC225">
        <f>IF(W225=0,"",'Outstanding'!$E$5-B225)</f>
        <v/>
      </c>
      <c r="AD225">
        <f>IF(S225=0,0,IFERROR(VLOOKUP(C225,'Parties'!$B$13:$Q$112,14,FALSE),0)+SUMIFS($T$7:$T$506,$C$7:$C$506,C225,$B$7:$B$506,"&lt;="&amp;'Parties'!$E$8))</f>
        <v/>
      </c>
      <c r="AE225">
        <f>IF(OR('Parties'!$E$8="",S225=0,B225="",B225&gt;'Parties'!$E$8),0,MAX(0,MIN(S225,U225-AD225)))</f>
        <v/>
      </c>
      <c r="AF225">
        <f>IF(AND(P225="Creditor",X225=1,AE225&gt;0,Z225&lt;&gt;""),IF(Z225&lt;='Parties'!$E$8,AE225,0),0)</f>
        <v/>
      </c>
      <c r="AG225">
        <f>IF(OR(AE225=0,Z225=""),0,MAX(0,'Parties'!$E$8-Z225))</f>
        <v/>
      </c>
      <c r="AH225">
        <f>IF(AND(P225="Creditor",X225=1,AG225&gt;0),AE225*((1+3*N('Parties'!$E$10)/12)^(AG225*12/365)-1),0)</f>
        <v/>
      </c>
      <c r="AI225">
        <f>IF(AND(C225&lt;&gt;"",C225='Ledger Account'!$D$4,B225&lt;&gt;"",B225&gt;='Ledger Account'!$D$5,B225&lt;='Ledger Account'!$D$6),1,0)</f>
        <v/>
      </c>
      <c r="AJ225">
        <f>IF(AI225=1,SUM(AI$7:AI225),"")</f>
        <v/>
      </c>
      <c r="AK225">
        <f>IF(OR(N225="",N225="OK"),0,1)</f>
        <v/>
      </c>
    </row>
    <row r="226">
      <c r="B226" s="24" t="n"/>
      <c r="C226" s="14" t="n"/>
      <c r="D226" s="14" t="n"/>
      <c r="E226" s="20" t="n"/>
      <c r="F226" s="24" t="n"/>
      <c r="G226" s="14" t="n"/>
      <c r="H226" s="22" t="n"/>
      <c r="I226" s="25">
        <f>IF(Q226="D",N(H226),0)</f>
        <v/>
      </c>
      <c r="J226" s="25">
        <f>IF(Q226="C",N(H226),0)</f>
        <v/>
      </c>
      <c r="K226" s="26">
        <f>IF(Z226="","",Z226)</f>
        <v/>
      </c>
      <c r="L226" s="27">
        <f>W226</f>
        <v/>
      </c>
      <c r="M226" s="28">
        <f>AA226</f>
        <v/>
      </c>
      <c r="N226" s="23">
        <f>IF(AND(B226="",C226="",D226="",N(H226)=0),"",IF(B226="","Enter the date",IF(C226="","Pick the party",IF(P226="?","Add this party on the Parties sheet first",IF(D226="","Pick the entry type",IF(Q226="?","Pick the entry type from the list",IF(N(H226)=0,"Enter the amount",IF(AND(R226&lt;&gt;"Any",R226&lt;&gt;P226),"Sales, receipts and credit notes are for debtors; purchases, payments and debit notes for creditors",IF(AND(F226&lt;&gt;"",D226&lt;&gt;"Purchase bill"),"The received-on date is only for purchase bills",IF(AND(P226="Creditor",X226=1,AA226&gt;0),"Past due to a micro or small supplier: interest runs under MSMED s.16, and if unpaid at year end it is not deductible that year, s.37(2)(g)",IF(AND(P226="Debtor",X226=1,AA226&gt;0),"Past due to you: as a micro or small supplier you can claim interest under MSMED s.16","OK")))))))))))</f>
        <v/>
      </c>
      <c r="P226">
        <f>IF(C226="","",IFERROR(VLOOKUP(C226,'Parties'!$B$13:$Q$112,2,FALSE),"?"))</f>
        <v/>
      </c>
      <c r="Q226">
        <f>IF(D226="","",IFERROR(VLOOKUP(D226,Lists!$A$2:$D$9,3,FALSE),"?"))</f>
        <v/>
      </c>
      <c r="R226">
        <f>IF(D226="","",IFERROR(VLOOKUP(D226,Lists!$A$2:$D$9,4,FALSE),"?"))</f>
        <v/>
      </c>
      <c r="S226">
        <f>IF(P226="Debtor",I226,IF(P226="Creditor",J226,0))</f>
        <v/>
      </c>
      <c r="T226">
        <f>IF(P226="Debtor",J226,IF(P226="Creditor",I226,0))</f>
        <v/>
      </c>
      <c r="U226">
        <f>IF(OR(S226=0,B226=""),0,IFERROR(VLOOKUP(C226,'Parties'!$B$13:$Q$112,13,FALSE),0)+SUMIFS($S$7:$S$506,$C$7:$C$506,C226,$B$7:$B$506,"&lt;"&amp;B226)+SUMIFS(S$7:S226,C$7:C226,C226,B$7:B226,B226))</f>
        <v/>
      </c>
      <c r="V226">
        <f>IF(S226=0,0,IFERROR(VLOOKUP(C226,'Parties'!$B$13:$Q$112,14,FALSE),0)+SUMIFS($T$7:$T$506,$C$7:$C$506,C226,$B$7:$B$506,"&lt;="&amp;'Outstanding'!$E$5))</f>
        <v/>
      </c>
      <c r="W226">
        <f>IF(OR('Outstanding'!$E$5="",S226=0,B226="",B226&gt;'Outstanding'!$E$5),0,MAX(0,MIN(S226,U226-V226)))</f>
        <v/>
      </c>
      <c r="X226">
        <f>IF(C226="",0,IFERROR(VLOOKUP(C226,'Parties'!$B$13:$Q$112,15,FALSE),0))</f>
        <v/>
      </c>
      <c r="Y226">
        <f>IF(C226="","",IFERROR(VLOOKUP(C226,'Parties'!$B$13:$Q$112,16,FALSE),0))</f>
        <v/>
      </c>
      <c r="Z226">
        <f>IF(OR(S226=0,B226="",Y226=""),"",IF(AND(F226&lt;&gt;"",D226="Purchase bill"),F226,B226)+Y226)</f>
        <v/>
      </c>
      <c r="AA226">
        <f>IF(OR(W226=0,Z226=""),0,MAX(0,'Outstanding'!$E$5-Z226))</f>
        <v/>
      </c>
      <c r="AB226">
        <f>IF(AND(X226=1,AA226&gt;0),W226*((1+3*N('Parties'!$E$10)/12)^(AA226*12/365)-1),0)</f>
        <v/>
      </c>
      <c r="AC226">
        <f>IF(W226=0,"",'Outstanding'!$E$5-B226)</f>
        <v/>
      </c>
      <c r="AD226">
        <f>IF(S226=0,0,IFERROR(VLOOKUP(C226,'Parties'!$B$13:$Q$112,14,FALSE),0)+SUMIFS($T$7:$T$506,$C$7:$C$506,C226,$B$7:$B$506,"&lt;="&amp;'Parties'!$E$8))</f>
        <v/>
      </c>
      <c r="AE226">
        <f>IF(OR('Parties'!$E$8="",S226=0,B226="",B226&gt;'Parties'!$E$8),0,MAX(0,MIN(S226,U226-AD226)))</f>
        <v/>
      </c>
      <c r="AF226">
        <f>IF(AND(P226="Creditor",X226=1,AE226&gt;0,Z226&lt;&gt;""),IF(Z226&lt;='Parties'!$E$8,AE226,0),0)</f>
        <v/>
      </c>
      <c r="AG226">
        <f>IF(OR(AE226=0,Z226=""),0,MAX(0,'Parties'!$E$8-Z226))</f>
        <v/>
      </c>
      <c r="AH226">
        <f>IF(AND(P226="Creditor",X226=1,AG226&gt;0),AE226*((1+3*N('Parties'!$E$10)/12)^(AG226*12/365)-1),0)</f>
        <v/>
      </c>
      <c r="AI226">
        <f>IF(AND(C226&lt;&gt;"",C226='Ledger Account'!$D$4,B226&lt;&gt;"",B226&gt;='Ledger Account'!$D$5,B226&lt;='Ledger Account'!$D$6),1,0)</f>
        <v/>
      </c>
      <c r="AJ226">
        <f>IF(AI226=1,SUM(AI$7:AI226),"")</f>
        <v/>
      </c>
      <c r="AK226">
        <f>IF(OR(N226="",N226="OK"),0,1)</f>
        <v/>
      </c>
    </row>
    <row r="227">
      <c r="B227" s="24" t="n"/>
      <c r="C227" s="14" t="n"/>
      <c r="D227" s="14" t="n"/>
      <c r="E227" s="20" t="n"/>
      <c r="F227" s="24" t="n"/>
      <c r="G227" s="14" t="n"/>
      <c r="H227" s="22" t="n"/>
      <c r="I227" s="25">
        <f>IF(Q227="D",N(H227),0)</f>
        <v/>
      </c>
      <c r="J227" s="25">
        <f>IF(Q227="C",N(H227),0)</f>
        <v/>
      </c>
      <c r="K227" s="26">
        <f>IF(Z227="","",Z227)</f>
        <v/>
      </c>
      <c r="L227" s="27">
        <f>W227</f>
        <v/>
      </c>
      <c r="M227" s="28">
        <f>AA227</f>
        <v/>
      </c>
      <c r="N227" s="23">
        <f>IF(AND(B227="",C227="",D227="",N(H227)=0),"",IF(B227="","Enter the date",IF(C227="","Pick the party",IF(P227="?","Add this party on the Parties sheet first",IF(D227="","Pick the entry type",IF(Q227="?","Pick the entry type from the list",IF(N(H227)=0,"Enter the amount",IF(AND(R227&lt;&gt;"Any",R227&lt;&gt;P227),"Sales, receipts and credit notes are for debtors; purchases, payments and debit notes for creditors",IF(AND(F227&lt;&gt;"",D227&lt;&gt;"Purchase bill"),"The received-on date is only for purchase bills",IF(AND(P227="Creditor",X227=1,AA227&gt;0),"Past due to a micro or small supplier: interest runs under MSMED s.16, and if unpaid at year end it is not deductible that year, s.37(2)(g)",IF(AND(P227="Debtor",X227=1,AA227&gt;0),"Past due to you: as a micro or small supplier you can claim interest under MSMED s.16","OK")))))))))))</f>
        <v/>
      </c>
      <c r="P227">
        <f>IF(C227="","",IFERROR(VLOOKUP(C227,'Parties'!$B$13:$Q$112,2,FALSE),"?"))</f>
        <v/>
      </c>
      <c r="Q227">
        <f>IF(D227="","",IFERROR(VLOOKUP(D227,Lists!$A$2:$D$9,3,FALSE),"?"))</f>
        <v/>
      </c>
      <c r="R227">
        <f>IF(D227="","",IFERROR(VLOOKUP(D227,Lists!$A$2:$D$9,4,FALSE),"?"))</f>
        <v/>
      </c>
      <c r="S227">
        <f>IF(P227="Debtor",I227,IF(P227="Creditor",J227,0))</f>
        <v/>
      </c>
      <c r="T227">
        <f>IF(P227="Debtor",J227,IF(P227="Creditor",I227,0))</f>
        <v/>
      </c>
      <c r="U227">
        <f>IF(OR(S227=0,B227=""),0,IFERROR(VLOOKUP(C227,'Parties'!$B$13:$Q$112,13,FALSE),0)+SUMIFS($S$7:$S$506,$C$7:$C$506,C227,$B$7:$B$506,"&lt;"&amp;B227)+SUMIFS(S$7:S227,C$7:C227,C227,B$7:B227,B227))</f>
        <v/>
      </c>
      <c r="V227">
        <f>IF(S227=0,0,IFERROR(VLOOKUP(C227,'Parties'!$B$13:$Q$112,14,FALSE),0)+SUMIFS($T$7:$T$506,$C$7:$C$506,C227,$B$7:$B$506,"&lt;="&amp;'Outstanding'!$E$5))</f>
        <v/>
      </c>
      <c r="W227">
        <f>IF(OR('Outstanding'!$E$5="",S227=0,B227="",B227&gt;'Outstanding'!$E$5),0,MAX(0,MIN(S227,U227-V227)))</f>
        <v/>
      </c>
      <c r="X227">
        <f>IF(C227="",0,IFERROR(VLOOKUP(C227,'Parties'!$B$13:$Q$112,15,FALSE),0))</f>
        <v/>
      </c>
      <c r="Y227">
        <f>IF(C227="","",IFERROR(VLOOKUP(C227,'Parties'!$B$13:$Q$112,16,FALSE),0))</f>
        <v/>
      </c>
      <c r="Z227">
        <f>IF(OR(S227=0,B227="",Y227=""),"",IF(AND(F227&lt;&gt;"",D227="Purchase bill"),F227,B227)+Y227)</f>
        <v/>
      </c>
      <c r="AA227">
        <f>IF(OR(W227=0,Z227=""),0,MAX(0,'Outstanding'!$E$5-Z227))</f>
        <v/>
      </c>
      <c r="AB227">
        <f>IF(AND(X227=1,AA227&gt;0),W227*((1+3*N('Parties'!$E$10)/12)^(AA227*12/365)-1),0)</f>
        <v/>
      </c>
      <c r="AC227">
        <f>IF(W227=0,"",'Outstanding'!$E$5-B227)</f>
        <v/>
      </c>
      <c r="AD227">
        <f>IF(S227=0,0,IFERROR(VLOOKUP(C227,'Parties'!$B$13:$Q$112,14,FALSE),0)+SUMIFS($T$7:$T$506,$C$7:$C$506,C227,$B$7:$B$506,"&lt;="&amp;'Parties'!$E$8))</f>
        <v/>
      </c>
      <c r="AE227">
        <f>IF(OR('Parties'!$E$8="",S227=0,B227="",B227&gt;'Parties'!$E$8),0,MAX(0,MIN(S227,U227-AD227)))</f>
        <v/>
      </c>
      <c r="AF227">
        <f>IF(AND(P227="Creditor",X227=1,AE227&gt;0,Z227&lt;&gt;""),IF(Z227&lt;='Parties'!$E$8,AE227,0),0)</f>
        <v/>
      </c>
      <c r="AG227">
        <f>IF(OR(AE227=0,Z227=""),0,MAX(0,'Parties'!$E$8-Z227))</f>
        <v/>
      </c>
      <c r="AH227">
        <f>IF(AND(P227="Creditor",X227=1,AG227&gt;0),AE227*((1+3*N('Parties'!$E$10)/12)^(AG227*12/365)-1),0)</f>
        <v/>
      </c>
      <c r="AI227">
        <f>IF(AND(C227&lt;&gt;"",C227='Ledger Account'!$D$4,B227&lt;&gt;"",B227&gt;='Ledger Account'!$D$5,B227&lt;='Ledger Account'!$D$6),1,0)</f>
        <v/>
      </c>
      <c r="AJ227">
        <f>IF(AI227=1,SUM(AI$7:AI227),"")</f>
        <v/>
      </c>
      <c r="AK227">
        <f>IF(OR(N227="",N227="OK"),0,1)</f>
        <v/>
      </c>
    </row>
    <row r="228">
      <c r="B228" s="24" t="n"/>
      <c r="C228" s="14" t="n"/>
      <c r="D228" s="14" t="n"/>
      <c r="E228" s="20" t="n"/>
      <c r="F228" s="24" t="n"/>
      <c r="G228" s="14" t="n"/>
      <c r="H228" s="22" t="n"/>
      <c r="I228" s="25">
        <f>IF(Q228="D",N(H228),0)</f>
        <v/>
      </c>
      <c r="J228" s="25">
        <f>IF(Q228="C",N(H228),0)</f>
        <v/>
      </c>
      <c r="K228" s="26">
        <f>IF(Z228="","",Z228)</f>
        <v/>
      </c>
      <c r="L228" s="27">
        <f>W228</f>
        <v/>
      </c>
      <c r="M228" s="28">
        <f>AA228</f>
        <v/>
      </c>
      <c r="N228" s="23">
        <f>IF(AND(B228="",C228="",D228="",N(H228)=0),"",IF(B228="","Enter the date",IF(C228="","Pick the party",IF(P228="?","Add this party on the Parties sheet first",IF(D228="","Pick the entry type",IF(Q228="?","Pick the entry type from the list",IF(N(H228)=0,"Enter the amount",IF(AND(R228&lt;&gt;"Any",R228&lt;&gt;P228),"Sales, receipts and credit notes are for debtors; purchases, payments and debit notes for creditors",IF(AND(F228&lt;&gt;"",D228&lt;&gt;"Purchase bill"),"The received-on date is only for purchase bills",IF(AND(P228="Creditor",X228=1,AA228&gt;0),"Past due to a micro or small supplier: interest runs under MSMED s.16, and if unpaid at year end it is not deductible that year, s.37(2)(g)",IF(AND(P228="Debtor",X228=1,AA228&gt;0),"Past due to you: as a micro or small supplier you can claim interest under MSMED s.16","OK")))))))))))</f>
        <v/>
      </c>
      <c r="P228">
        <f>IF(C228="","",IFERROR(VLOOKUP(C228,'Parties'!$B$13:$Q$112,2,FALSE),"?"))</f>
        <v/>
      </c>
      <c r="Q228">
        <f>IF(D228="","",IFERROR(VLOOKUP(D228,Lists!$A$2:$D$9,3,FALSE),"?"))</f>
        <v/>
      </c>
      <c r="R228">
        <f>IF(D228="","",IFERROR(VLOOKUP(D228,Lists!$A$2:$D$9,4,FALSE),"?"))</f>
        <v/>
      </c>
      <c r="S228">
        <f>IF(P228="Debtor",I228,IF(P228="Creditor",J228,0))</f>
        <v/>
      </c>
      <c r="T228">
        <f>IF(P228="Debtor",J228,IF(P228="Creditor",I228,0))</f>
        <v/>
      </c>
      <c r="U228">
        <f>IF(OR(S228=0,B228=""),0,IFERROR(VLOOKUP(C228,'Parties'!$B$13:$Q$112,13,FALSE),0)+SUMIFS($S$7:$S$506,$C$7:$C$506,C228,$B$7:$B$506,"&lt;"&amp;B228)+SUMIFS(S$7:S228,C$7:C228,C228,B$7:B228,B228))</f>
        <v/>
      </c>
      <c r="V228">
        <f>IF(S228=0,0,IFERROR(VLOOKUP(C228,'Parties'!$B$13:$Q$112,14,FALSE),0)+SUMIFS($T$7:$T$506,$C$7:$C$506,C228,$B$7:$B$506,"&lt;="&amp;'Outstanding'!$E$5))</f>
        <v/>
      </c>
      <c r="W228">
        <f>IF(OR('Outstanding'!$E$5="",S228=0,B228="",B228&gt;'Outstanding'!$E$5),0,MAX(0,MIN(S228,U228-V228)))</f>
        <v/>
      </c>
      <c r="X228">
        <f>IF(C228="",0,IFERROR(VLOOKUP(C228,'Parties'!$B$13:$Q$112,15,FALSE),0))</f>
        <v/>
      </c>
      <c r="Y228">
        <f>IF(C228="","",IFERROR(VLOOKUP(C228,'Parties'!$B$13:$Q$112,16,FALSE),0))</f>
        <v/>
      </c>
      <c r="Z228">
        <f>IF(OR(S228=0,B228="",Y228=""),"",IF(AND(F228&lt;&gt;"",D228="Purchase bill"),F228,B228)+Y228)</f>
        <v/>
      </c>
      <c r="AA228">
        <f>IF(OR(W228=0,Z228=""),0,MAX(0,'Outstanding'!$E$5-Z228))</f>
        <v/>
      </c>
      <c r="AB228">
        <f>IF(AND(X228=1,AA228&gt;0),W228*((1+3*N('Parties'!$E$10)/12)^(AA228*12/365)-1),0)</f>
        <v/>
      </c>
      <c r="AC228">
        <f>IF(W228=0,"",'Outstanding'!$E$5-B228)</f>
        <v/>
      </c>
      <c r="AD228">
        <f>IF(S228=0,0,IFERROR(VLOOKUP(C228,'Parties'!$B$13:$Q$112,14,FALSE),0)+SUMIFS($T$7:$T$506,$C$7:$C$506,C228,$B$7:$B$506,"&lt;="&amp;'Parties'!$E$8))</f>
        <v/>
      </c>
      <c r="AE228">
        <f>IF(OR('Parties'!$E$8="",S228=0,B228="",B228&gt;'Parties'!$E$8),0,MAX(0,MIN(S228,U228-AD228)))</f>
        <v/>
      </c>
      <c r="AF228">
        <f>IF(AND(P228="Creditor",X228=1,AE228&gt;0,Z228&lt;&gt;""),IF(Z228&lt;='Parties'!$E$8,AE228,0),0)</f>
        <v/>
      </c>
      <c r="AG228">
        <f>IF(OR(AE228=0,Z228=""),0,MAX(0,'Parties'!$E$8-Z228))</f>
        <v/>
      </c>
      <c r="AH228">
        <f>IF(AND(P228="Creditor",X228=1,AG228&gt;0),AE228*((1+3*N('Parties'!$E$10)/12)^(AG228*12/365)-1),0)</f>
        <v/>
      </c>
      <c r="AI228">
        <f>IF(AND(C228&lt;&gt;"",C228='Ledger Account'!$D$4,B228&lt;&gt;"",B228&gt;='Ledger Account'!$D$5,B228&lt;='Ledger Account'!$D$6),1,0)</f>
        <v/>
      </c>
      <c r="AJ228">
        <f>IF(AI228=1,SUM(AI$7:AI228),"")</f>
        <v/>
      </c>
      <c r="AK228">
        <f>IF(OR(N228="",N228="OK"),0,1)</f>
        <v/>
      </c>
    </row>
    <row r="229">
      <c r="B229" s="24" t="n"/>
      <c r="C229" s="14" t="n"/>
      <c r="D229" s="14" t="n"/>
      <c r="E229" s="20" t="n"/>
      <c r="F229" s="24" t="n"/>
      <c r="G229" s="14" t="n"/>
      <c r="H229" s="22" t="n"/>
      <c r="I229" s="25">
        <f>IF(Q229="D",N(H229),0)</f>
        <v/>
      </c>
      <c r="J229" s="25">
        <f>IF(Q229="C",N(H229),0)</f>
        <v/>
      </c>
      <c r="K229" s="26">
        <f>IF(Z229="","",Z229)</f>
        <v/>
      </c>
      <c r="L229" s="27">
        <f>W229</f>
        <v/>
      </c>
      <c r="M229" s="28">
        <f>AA229</f>
        <v/>
      </c>
      <c r="N229" s="23">
        <f>IF(AND(B229="",C229="",D229="",N(H229)=0),"",IF(B229="","Enter the date",IF(C229="","Pick the party",IF(P229="?","Add this party on the Parties sheet first",IF(D229="","Pick the entry type",IF(Q229="?","Pick the entry type from the list",IF(N(H229)=0,"Enter the amount",IF(AND(R229&lt;&gt;"Any",R229&lt;&gt;P229),"Sales, receipts and credit notes are for debtors; purchases, payments and debit notes for creditors",IF(AND(F229&lt;&gt;"",D229&lt;&gt;"Purchase bill"),"The received-on date is only for purchase bills",IF(AND(P229="Creditor",X229=1,AA229&gt;0),"Past due to a micro or small supplier: interest runs under MSMED s.16, and if unpaid at year end it is not deductible that year, s.37(2)(g)",IF(AND(P229="Debtor",X229=1,AA229&gt;0),"Past due to you: as a micro or small supplier you can claim interest under MSMED s.16","OK")))))))))))</f>
        <v/>
      </c>
      <c r="P229">
        <f>IF(C229="","",IFERROR(VLOOKUP(C229,'Parties'!$B$13:$Q$112,2,FALSE),"?"))</f>
        <v/>
      </c>
      <c r="Q229">
        <f>IF(D229="","",IFERROR(VLOOKUP(D229,Lists!$A$2:$D$9,3,FALSE),"?"))</f>
        <v/>
      </c>
      <c r="R229">
        <f>IF(D229="","",IFERROR(VLOOKUP(D229,Lists!$A$2:$D$9,4,FALSE),"?"))</f>
        <v/>
      </c>
      <c r="S229">
        <f>IF(P229="Debtor",I229,IF(P229="Creditor",J229,0))</f>
        <v/>
      </c>
      <c r="T229">
        <f>IF(P229="Debtor",J229,IF(P229="Creditor",I229,0))</f>
        <v/>
      </c>
      <c r="U229">
        <f>IF(OR(S229=0,B229=""),0,IFERROR(VLOOKUP(C229,'Parties'!$B$13:$Q$112,13,FALSE),0)+SUMIFS($S$7:$S$506,$C$7:$C$506,C229,$B$7:$B$506,"&lt;"&amp;B229)+SUMIFS(S$7:S229,C$7:C229,C229,B$7:B229,B229))</f>
        <v/>
      </c>
      <c r="V229">
        <f>IF(S229=0,0,IFERROR(VLOOKUP(C229,'Parties'!$B$13:$Q$112,14,FALSE),0)+SUMIFS($T$7:$T$506,$C$7:$C$506,C229,$B$7:$B$506,"&lt;="&amp;'Outstanding'!$E$5))</f>
        <v/>
      </c>
      <c r="W229">
        <f>IF(OR('Outstanding'!$E$5="",S229=0,B229="",B229&gt;'Outstanding'!$E$5),0,MAX(0,MIN(S229,U229-V229)))</f>
        <v/>
      </c>
      <c r="X229">
        <f>IF(C229="",0,IFERROR(VLOOKUP(C229,'Parties'!$B$13:$Q$112,15,FALSE),0))</f>
        <v/>
      </c>
      <c r="Y229">
        <f>IF(C229="","",IFERROR(VLOOKUP(C229,'Parties'!$B$13:$Q$112,16,FALSE),0))</f>
        <v/>
      </c>
      <c r="Z229">
        <f>IF(OR(S229=0,B229="",Y229=""),"",IF(AND(F229&lt;&gt;"",D229="Purchase bill"),F229,B229)+Y229)</f>
        <v/>
      </c>
      <c r="AA229">
        <f>IF(OR(W229=0,Z229=""),0,MAX(0,'Outstanding'!$E$5-Z229))</f>
        <v/>
      </c>
      <c r="AB229">
        <f>IF(AND(X229=1,AA229&gt;0),W229*((1+3*N('Parties'!$E$10)/12)^(AA229*12/365)-1),0)</f>
        <v/>
      </c>
      <c r="AC229">
        <f>IF(W229=0,"",'Outstanding'!$E$5-B229)</f>
        <v/>
      </c>
      <c r="AD229">
        <f>IF(S229=0,0,IFERROR(VLOOKUP(C229,'Parties'!$B$13:$Q$112,14,FALSE),0)+SUMIFS($T$7:$T$506,$C$7:$C$506,C229,$B$7:$B$506,"&lt;="&amp;'Parties'!$E$8))</f>
        <v/>
      </c>
      <c r="AE229">
        <f>IF(OR('Parties'!$E$8="",S229=0,B229="",B229&gt;'Parties'!$E$8),0,MAX(0,MIN(S229,U229-AD229)))</f>
        <v/>
      </c>
      <c r="AF229">
        <f>IF(AND(P229="Creditor",X229=1,AE229&gt;0,Z229&lt;&gt;""),IF(Z229&lt;='Parties'!$E$8,AE229,0),0)</f>
        <v/>
      </c>
      <c r="AG229">
        <f>IF(OR(AE229=0,Z229=""),0,MAX(0,'Parties'!$E$8-Z229))</f>
        <v/>
      </c>
      <c r="AH229">
        <f>IF(AND(P229="Creditor",X229=1,AG229&gt;0),AE229*((1+3*N('Parties'!$E$10)/12)^(AG229*12/365)-1),0)</f>
        <v/>
      </c>
      <c r="AI229">
        <f>IF(AND(C229&lt;&gt;"",C229='Ledger Account'!$D$4,B229&lt;&gt;"",B229&gt;='Ledger Account'!$D$5,B229&lt;='Ledger Account'!$D$6),1,0)</f>
        <v/>
      </c>
      <c r="AJ229">
        <f>IF(AI229=1,SUM(AI$7:AI229),"")</f>
        <v/>
      </c>
      <c r="AK229">
        <f>IF(OR(N229="",N229="OK"),0,1)</f>
        <v/>
      </c>
    </row>
    <row r="230">
      <c r="B230" s="24" t="n"/>
      <c r="C230" s="14" t="n"/>
      <c r="D230" s="14" t="n"/>
      <c r="E230" s="20" t="n"/>
      <c r="F230" s="24" t="n"/>
      <c r="G230" s="14" t="n"/>
      <c r="H230" s="22" t="n"/>
      <c r="I230" s="25">
        <f>IF(Q230="D",N(H230),0)</f>
        <v/>
      </c>
      <c r="J230" s="25">
        <f>IF(Q230="C",N(H230),0)</f>
        <v/>
      </c>
      <c r="K230" s="26">
        <f>IF(Z230="","",Z230)</f>
        <v/>
      </c>
      <c r="L230" s="27">
        <f>W230</f>
        <v/>
      </c>
      <c r="M230" s="28">
        <f>AA230</f>
        <v/>
      </c>
      <c r="N230" s="23">
        <f>IF(AND(B230="",C230="",D230="",N(H230)=0),"",IF(B230="","Enter the date",IF(C230="","Pick the party",IF(P230="?","Add this party on the Parties sheet first",IF(D230="","Pick the entry type",IF(Q230="?","Pick the entry type from the list",IF(N(H230)=0,"Enter the amount",IF(AND(R230&lt;&gt;"Any",R230&lt;&gt;P230),"Sales, receipts and credit notes are for debtors; purchases, payments and debit notes for creditors",IF(AND(F230&lt;&gt;"",D230&lt;&gt;"Purchase bill"),"The received-on date is only for purchase bills",IF(AND(P230="Creditor",X230=1,AA230&gt;0),"Past due to a micro or small supplier: interest runs under MSMED s.16, and if unpaid at year end it is not deductible that year, s.37(2)(g)",IF(AND(P230="Debtor",X230=1,AA230&gt;0),"Past due to you: as a micro or small supplier you can claim interest under MSMED s.16","OK")))))))))))</f>
        <v/>
      </c>
      <c r="P230">
        <f>IF(C230="","",IFERROR(VLOOKUP(C230,'Parties'!$B$13:$Q$112,2,FALSE),"?"))</f>
        <v/>
      </c>
      <c r="Q230">
        <f>IF(D230="","",IFERROR(VLOOKUP(D230,Lists!$A$2:$D$9,3,FALSE),"?"))</f>
        <v/>
      </c>
      <c r="R230">
        <f>IF(D230="","",IFERROR(VLOOKUP(D230,Lists!$A$2:$D$9,4,FALSE),"?"))</f>
        <v/>
      </c>
      <c r="S230">
        <f>IF(P230="Debtor",I230,IF(P230="Creditor",J230,0))</f>
        <v/>
      </c>
      <c r="T230">
        <f>IF(P230="Debtor",J230,IF(P230="Creditor",I230,0))</f>
        <v/>
      </c>
      <c r="U230">
        <f>IF(OR(S230=0,B230=""),0,IFERROR(VLOOKUP(C230,'Parties'!$B$13:$Q$112,13,FALSE),0)+SUMIFS($S$7:$S$506,$C$7:$C$506,C230,$B$7:$B$506,"&lt;"&amp;B230)+SUMIFS(S$7:S230,C$7:C230,C230,B$7:B230,B230))</f>
        <v/>
      </c>
      <c r="V230">
        <f>IF(S230=0,0,IFERROR(VLOOKUP(C230,'Parties'!$B$13:$Q$112,14,FALSE),0)+SUMIFS($T$7:$T$506,$C$7:$C$506,C230,$B$7:$B$506,"&lt;="&amp;'Outstanding'!$E$5))</f>
        <v/>
      </c>
      <c r="W230">
        <f>IF(OR('Outstanding'!$E$5="",S230=0,B230="",B230&gt;'Outstanding'!$E$5),0,MAX(0,MIN(S230,U230-V230)))</f>
        <v/>
      </c>
      <c r="X230">
        <f>IF(C230="",0,IFERROR(VLOOKUP(C230,'Parties'!$B$13:$Q$112,15,FALSE),0))</f>
        <v/>
      </c>
      <c r="Y230">
        <f>IF(C230="","",IFERROR(VLOOKUP(C230,'Parties'!$B$13:$Q$112,16,FALSE),0))</f>
        <v/>
      </c>
      <c r="Z230">
        <f>IF(OR(S230=0,B230="",Y230=""),"",IF(AND(F230&lt;&gt;"",D230="Purchase bill"),F230,B230)+Y230)</f>
        <v/>
      </c>
      <c r="AA230">
        <f>IF(OR(W230=0,Z230=""),0,MAX(0,'Outstanding'!$E$5-Z230))</f>
        <v/>
      </c>
      <c r="AB230">
        <f>IF(AND(X230=1,AA230&gt;0),W230*((1+3*N('Parties'!$E$10)/12)^(AA230*12/365)-1),0)</f>
        <v/>
      </c>
      <c r="AC230">
        <f>IF(W230=0,"",'Outstanding'!$E$5-B230)</f>
        <v/>
      </c>
      <c r="AD230">
        <f>IF(S230=0,0,IFERROR(VLOOKUP(C230,'Parties'!$B$13:$Q$112,14,FALSE),0)+SUMIFS($T$7:$T$506,$C$7:$C$506,C230,$B$7:$B$506,"&lt;="&amp;'Parties'!$E$8))</f>
        <v/>
      </c>
      <c r="AE230">
        <f>IF(OR('Parties'!$E$8="",S230=0,B230="",B230&gt;'Parties'!$E$8),0,MAX(0,MIN(S230,U230-AD230)))</f>
        <v/>
      </c>
      <c r="AF230">
        <f>IF(AND(P230="Creditor",X230=1,AE230&gt;0,Z230&lt;&gt;""),IF(Z230&lt;='Parties'!$E$8,AE230,0),0)</f>
        <v/>
      </c>
      <c r="AG230">
        <f>IF(OR(AE230=0,Z230=""),0,MAX(0,'Parties'!$E$8-Z230))</f>
        <v/>
      </c>
      <c r="AH230">
        <f>IF(AND(P230="Creditor",X230=1,AG230&gt;0),AE230*((1+3*N('Parties'!$E$10)/12)^(AG230*12/365)-1),0)</f>
        <v/>
      </c>
      <c r="AI230">
        <f>IF(AND(C230&lt;&gt;"",C230='Ledger Account'!$D$4,B230&lt;&gt;"",B230&gt;='Ledger Account'!$D$5,B230&lt;='Ledger Account'!$D$6),1,0)</f>
        <v/>
      </c>
      <c r="AJ230">
        <f>IF(AI230=1,SUM(AI$7:AI230),"")</f>
        <v/>
      </c>
      <c r="AK230">
        <f>IF(OR(N230="",N230="OK"),0,1)</f>
        <v/>
      </c>
    </row>
    <row r="231">
      <c r="B231" s="24" t="n"/>
      <c r="C231" s="14" t="n"/>
      <c r="D231" s="14" t="n"/>
      <c r="E231" s="20" t="n"/>
      <c r="F231" s="24" t="n"/>
      <c r="G231" s="14" t="n"/>
      <c r="H231" s="22" t="n"/>
      <c r="I231" s="25">
        <f>IF(Q231="D",N(H231),0)</f>
        <v/>
      </c>
      <c r="J231" s="25">
        <f>IF(Q231="C",N(H231),0)</f>
        <v/>
      </c>
      <c r="K231" s="26">
        <f>IF(Z231="","",Z231)</f>
        <v/>
      </c>
      <c r="L231" s="27">
        <f>W231</f>
        <v/>
      </c>
      <c r="M231" s="28">
        <f>AA231</f>
        <v/>
      </c>
      <c r="N231" s="23">
        <f>IF(AND(B231="",C231="",D231="",N(H231)=0),"",IF(B231="","Enter the date",IF(C231="","Pick the party",IF(P231="?","Add this party on the Parties sheet first",IF(D231="","Pick the entry type",IF(Q231="?","Pick the entry type from the list",IF(N(H231)=0,"Enter the amount",IF(AND(R231&lt;&gt;"Any",R231&lt;&gt;P231),"Sales, receipts and credit notes are for debtors; purchases, payments and debit notes for creditors",IF(AND(F231&lt;&gt;"",D231&lt;&gt;"Purchase bill"),"The received-on date is only for purchase bills",IF(AND(P231="Creditor",X231=1,AA231&gt;0),"Past due to a micro or small supplier: interest runs under MSMED s.16, and if unpaid at year end it is not deductible that year, s.37(2)(g)",IF(AND(P231="Debtor",X231=1,AA231&gt;0),"Past due to you: as a micro or small supplier you can claim interest under MSMED s.16","OK")))))))))))</f>
        <v/>
      </c>
      <c r="P231">
        <f>IF(C231="","",IFERROR(VLOOKUP(C231,'Parties'!$B$13:$Q$112,2,FALSE),"?"))</f>
        <v/>
      </c>
      <c r="Q231">
        <f>IF(D231="","",IFERROR(VLOOKUP(D231,Lists!$A$2:$D$9,3,FALSE),"?"))</f>
        <v/>
      </c>
      <c r="R231">
        <f>IF(D231="","",IFERROR(VLOOKUP(D231,Lists!$A$2:$D$9,4,FALSE),"?"))</f>
        <v/>
      </c>
      <c r="S231">
        <f>IF(P231="Debtor",I231,IF(P231="Creditor",J231,0))</f>
        <v/>
      </c>
      <c r="T231">
        <f>IF(P231="Debtor",J231,IF(P231="Creditor",I231,0))</f>
        <v/>
      </c>
      <c r="U231">
        <f>IF(OR(S231=0,B231=""),0,IFERROR(VLOOKUP(C231,'Parties'!$B$13:$Q$112,13,FALSE),0)+SUMIFS($S$7:$S$506,$C$7:$C$506,C231,$B$7:$B$506,"&lt;"&amp;B231)+SUMIFS(S$7:S231,C$7:C231,C231,B$7:B231,B231))</f>
        <v/>
      </c>
      <c r="V231">
        <f>IF(S231=0,0,IFERROR(VLOOKUP(C231,'Parties'!$B$13:$Q$112,14,FALSE),0)+SUMIFS($T$7:$T$506,$C$7:$C$506,C231,$B$7:$B$506,"&lt;="&amp;'Outstanding'!$E$5))</f>
        <v/>
      </c>
      <c r="W231">
        <f>IF(OR('Outstanding'!$E$5="",S231=0,B231="",B231&gt;'Outstanding'!$E$5),0,MAX(0,MIN(S231,U231-V231)))</f>
        <v/>
      </c>
      <c r="X231">
        <f>IF(C231="",0,IFERROR(VLOOKUP(C231,'Parties'!$B$13:$Q$112,15,FALSE),0))</f>
        <v/>
      </c>
      <c r="Y231">
        <f>IF(C231="","",IFERROR(VLOOKUP(C231,'Parties'!$B$13:$Q$112,16,FALSE),0))</f>
        <v/>
      </c>
      <c r="Z231">
        <f>IF(OR(S231=0,B231="",Y231=""),"",IF(AND(F231&lt;&gt;"",D231="Purchase bill"),F231,B231)+Y231)</f>
        <v/>
      </c>
      <c r="AA231">
        <f>IF(OR(W231=0,Z231=""),0,MAX(0,'Outstanding'!$E$5-Z231))</f>
        <v/>
      </c>
      <c r="AB231">
        <f>IF(AND(X231=1,AA231&gt;0),W231*((1+3*N('Parties'!$E$10)/12)^(AA231*12/365)-1),0)</f>
        <v/>
      </c>
      <c r="AC231">
        <f>IF(W231=0,"",'Outstanding'!$E$5-B231)</f>
        <v/>
      </c>
      <c r="AD231">
        <f>IF(S231=0,0,IFERROR(VLOOKUP(C231,'Parties'!$B$13:$Q$112,14,FALSE),0)+SUMIFS($T$7:$T$506,$C$7:$C$506,C231,$B$7:$B$506,"&lt;="&amp;'Parties'!$E$8))</f>
        <v/>
      </c>
      <c r="AE231">
        <f>IF(OR('Parties'!$E$8="",S231=0,B231="",B231&gt;'Parties'!$E$8),0,MAX(0,MIN(S231,U231-AD231)))</f>
        <v/>
      </c>
      <c r="AF231">
        <f>IF(AND(P231="Creditor",X231=1,AE231&gt;0,Z231&lt;&gt;""),IF(Z231&lt;='Parties'!$E$8,AE231,0),0)</f>
        <v/>
      </c>
      <c r="AG231">
        <f>IF(OR(AE231=0,Z231=""),0,MAX(0,'Parties'!$E$8-Z231))</f>
        <v/>
      </c>
      <c r="AH231">
        <f>IF(AND(P231="Creditor",X231=1,AG231&gt;0),AE231*((1+3*N('Parties'!$E$10)/12)^(AG231*12/365)-1),0)</f>
        <v/>
      </c>
      <c r="AI231">
        <f>IF(AND(C231&lt;&gt;"",C231='Ledger Account'!$D$4,B231&lt;&gt;"",B231&gt;='Ledger Account'!$D$5,B231&lt;='Ledger Account'!$D$6),1,0)</f>
        <v/>
      </c>
      <c r="AJ231">
        <f>IF(AI231=1,SUM(AI$7:AI231),"")</f>
        <v/>
      </c>
      <c r="AK231">
        <f>IF(OR(N231="",N231="OK"),0,1)</f>
        <v/>
      </c>
    </row>
    <row r="232">
      <c r="B232" s="24" t="n"/>
      <c r="C232" s="14" t="n"/>
      <c r="D232" s="14" t="n"/>
      <c r="E232" s="20" t="n"/>
      <c r="F232" s="24" t="n"/>
      <c r="G232" s="14" t="n"/>
      <c r="H232" s="22" t="n"/>
      <c r="I232" s="25">
        <f>IF(Q232="D",N(H232),0)</f>
        <v/>
      </c>
      <c r="J232" s="25">
        <f>IF(Q232="C",N(H232),0)</f>
        <v/>
      </c>
      <c r="K232" s="26">
        <f>IF(Z232="","",Z232)</f>
        <v/>
      </c>
      <c r="L232" s="27">
        <f>W232</f>
        <v/>
      </c>
      <c r="M232" s="28">
        <f>AA232</f>
        <v/>
      </c>
      <c r="N232" s="23">
        <f>IF(AND(B232="",C232="",D232="",N(H232)=0),"",IF(B232="","Enter the date",IF(C232="","Pick the party",IF(P232="?","Add this party on the Parties sheet first",IF(D232="","Pick the entry type",IF(Q232="?","Pick the entry type from the list",IF(N(H232)=0,"Enter the amount",IF(AND(R232&lt;&gt;"Any",R232&lt;&gt;P232),"Sales, receipts and credit notes are for debtors; purchases, payments and debit notes for creditors",IF(AND(F232&lt;&gt;"",D232&lt;&gt;"Purchase bill"),"The received-on date is only for purchase bills",IF(AND(P232="Creditor",X232=1,AA232&gt;0),"Past due to a micro or small supplier: interest runs under MSMED s.16, and if unpaid at year end it is not deductible that year, s.37(2)(g)",IF(AND(P232="Debtor",X232=1,AA232&gt;0),"Past due to you: as a micro or small supplier you can claim interest under MSMED s.16","OK")))))))))))</f>
        <v/>
      </c>
      <c r="P232">
        <f>IF(C232="","",IFERROR(VLOOKUP(C232,'Parties'!$B$13:$Q$112,2,FALSE),"?"))</f>
        <v/>
      </c>
      <c r="Q232">
        <f>IF(D232="","",IFERROR(VLOOKUP(D232,Lists!$A$2:$D$9,3,FALSE),"?"))</f>
        <v/>
      </c>
      <c r="R232">
        <f>IF(D232="","",IFERROR(VLOOKUP(D232,Lists!$A$2:$D$9,4,FALSE),"?"))</f>
        <v/>
      </c>
      <c r="S232">
        <f>IF(P232="Debtor",I232,IF(P232="Creditor",J232,0))</f>
        <v/>
      </c>
      <c r="T232">
        <f>IF(P232="Debtor",J232,IF(P232="Creditor",I232,0))</f>
        <v/>
      </c>
      <c r="U232">
        <f>IF(OR(S232=0,B232=""),0,IFERROR(VLOOKUP(C232,'Parties'!$B$13:$Q$112,13,FALSE),0)+SUMIFS($S$7:$S$506,$C$7:$C$506,C232,$B$7:$B$506,"&lt;"&amp;B232)+SUMIFS(S$7:S232,C$7:C232,C232,B$7:B232,B232))</f>
        <v/>
      </c>
      <c r="V232">
        <f>IF(S232=0,0,IFERROR(VLOOKUP(C232,'Parties'!$B$13:$Q$112,14,FALSE),0)+SUMIFS($T$7:$T$506,$C$7:$C$506,C232,$B$7:$B$506,"&lt;="&amp;'Outstanding'!$E$5))</f>
        <v/>
      </c>
      <c r="W232">
        <f>IF(OR('Outstanding'!$E$5="",S232=0,B232="",B232&gt;'Outstanding'!$E$5),0,MAX(0,MIN(S232,U232-V232)))</f>
        <v/>
      </c>
      <c r="X232">
        <f>IF(C232="",0,IFERROR(VLOOKUP(C232,'Parties'!$B$13:$Q$112,15,FALSE),0))</f>
        <v/>
      </c>
      <c r="Y232">
        <f>IF(C232="","",IFERROR(VLOOKUP(C232,'Parties'!$B$13:$Q$112,16,FALSE),0))</f>
        <v/>
      </c>
      <c r="Z232">
        <f>IF(OR(S232=0,B232="",Y232=""),"",IF(AND(F232&lt;&gt;"",D232="Purchase bill"),F232,B232)+Y232)</f>
        <v/>
      </c>
      <c r="AA232">
        <f>IF(OR(W232=0,Z232=""),0,MAX(0,'Outstanding'!$E$5-Z232))</f>
        <v/>
      </c>
      <c r="AB232">
        <f>IF(AND(X232=1,AA232&gt;0),W232*((1+3*N('Parties'!$E$10)/12)^(AA232*12/365)-1),0)</f>
        <v/>
      </c>
      <c r="AC232">
        <f>IF(W232=0,"",'Outstanding'!$E$5-B232)</f>
        <v/>
      </c>
      <c r="AD232">
        <f>IF(S232=0,0,IFERROR(VLOOKUP(C232,'Parties'!$B$13:$Q$112,14,FALSE),0)+SUMIFS($T$7:$T$506,$C$7:$C$506,C232,$B$7:$B$506,"&lt;="&amp;'Parties'!$E$8))</f>
        <v/>
      </c>
      <c r="AE232">
        <f>IF(OR('Parties'!$E$8="",S232=0,B232="",B232&gt;'Parties'!$E$8),0,MAX(0,MIN(S232,U232-AD232)))</f>
        <v/>
      </c>
      <c r="AF232">
        <f>IF(AND(P232="Creditor",X232=1,AE232&gt;0,Z232&lt;&gt;""),IF(Z232&lt;='Parties'!$E$8,AE232,0),0)</f>
        <v/>
      </c>
      <c r="AG232">
        <f>IF(OR(AE232=0,Z232=""),0,MAX(0,'Parties'!$E$8-Z232))</f>
        <v/>
      </c>
      <c r="AH232">
        <f>IF(AND(P232="Creditor",X232=1,AG232&gt;0),AE232*((1+3*N('Parties'!$E$10)/12)^(AG232*12/365)-1),0)</f>
        <v/>
      </c>
      <c r="AI232">
        <f>IF(AND(C232&lt;&gt;"",C232='Ledger Account'!$D$4,B232&lt;&gt;"",B232&gt;='Ledger Account'!$D$5,B232&lt;='Ledger Account'!$D$6),1,0)</f>
        <v/>
      </c>
      <c r="AJ232">
        <f>IF(AI232=1,SUM(AI$7:AI232),"")</f>
        <v/>
      </c>
      <c r="AK232">
        <f>IF(OR(N232="",N232="OK"),0,1)</f>
        <v/>
      </c>
    </row>
    <row r="233">
      <c r="B233" s="24" t="n"/>
      <c r="C233" s="14" t="n"/>
      <c r="D233" s="14" t="n"/>
      <c r="E233" s="20" t="n"/>
      <c r="F233" s="24" t="n"/>
      <c r="G233" s="14" t="n"/>
      <c r="H233" s="22" t="n"/>
      <c r="I233" s="25">
        <f>IF(Q233="D",N(H233),0)</f>
        <v/>
      </c>
      <c r="J233" s="25">
        <f>IF(Q233="C",N(H233),0)</f>
        <v/>
      </c>
      <c r="K233" s="26">
        <f>IF(Z233="","",Z233)</f>
        <v/>
      </c>
      <c r="L233" s="27">
        <f>W233</f>
        <v/>
      </c>
      <c r="M233" s="28">
        <f>AA233</f>
        <v/>
      </c>
      <c r="N233" s="23">
        <f>IF(AND(B233="",C233="",D233="",N(H233)=0),"",IF(B233="","Enter the date",IF(C233="","Pick the party",IF(P233="?","Add this party on the Parties sheet first",IF(D233="","Pick the entry type",IF(Q233="?","Pick the entry type from the list",IF(N(H233)=0,"Enter the amount",IF(AND(R233&lt;&gt;"Any",R233&lt;&gt;P233),"Sales, receipts and credit notes are for debtors; purchases, payments and debit notes for creditors",IF(AND(F233&lt;&gt;"",D233&lt;&gt;"Purchase bill"),"The received-on date is only for purchase bills",IF(AND(P233="Creditor",X233=1,AA233&gt;0),"Past due to a micro or small supplier: interest runs under MSMED s.16, and if unpaid at year end it is not deductible that year, s.37(2)(g)",IF(AND(P233="Debtor",X233=1,AA233&gt;0),"Past due to you: as a micro or small supplier you can claim interest under MSMED s.16","OK")))))))))))</f>
        <v/>
      </c>
      <c r="P233">
        <f>IF(C233="","",IFERROR(VLOOKUP(C233,'Parties'!$B$13:$Q$112,2,FALSE),"?"))</f>
        <v/>
      </c>
      <c r="Q233">
        <f>IF(D233="","",IFERROR(VLOOKUP(D233,Lists!$A$2:$D$9,3,FALSE),"?"))</f>
        <v/>
      </c>
      <c r="R233">
        <f>IF(D233="","",IFERROR(VLOOKUP(D233,Lists!$A$2:$D$9,4,FALSE),"?"))</f>
        <v/>
      </c>
      <c r="S233">
        <f>IF(P233="Debtor",I233,IF(P233="Creditor",J233,0))</f>
        <v/>
      </c>
      <c r="T233">
        <f>IF(P233="Debtor",J233,IF(P233="Creditor",I233,0))</f>
        <v/>
      </c>
      <c r="U233">
        <f>IF(OR(S233=0,B233=""),0,IFERROR(VLOOKUP(C233,'Parties'!$B$13:$Q$112,13,FALSE),0)+SUMIFS($S$7:$S$506,$C$7:$C$506,C233,$B$7:$B$506,"&lt;"&amp;B233)+SUMIFS(S$7:S233,C$7:C233,C233,B$7:B233,B233))</f>
        <v/>
      </c>
      <c r="V233">
        <f>IF(S233=0,0,IFERROR(VLOOKUP(C233,'Parties'!$B$13:$Q$112,14,FALSE),0)+SUMIFS($T$7:$T$506,$C$7:$C$506,C233,$B$7:$B$506,"&lt;="&amp;'Outstanding'!$E$5))</f>
        <v/>
      </c>
      <c r="W233">
        <f>IF(OR('Outstanding'!$E$5="",S233=0,B233="",B233&gt;'Outstanding'!$E$5),0,MAX(0,MIN(S233,U233-V233)))</f>
        <v/>
      </c>
      <c r="X233">
        <f>IF(C233="",0,IFERROR(VLOOKUP(C233,'Parties'!$B$13:$Q$112,15,FALSE),0))</f>
        <v/>
      </c>
      <c r="Y233">
        <f>IF(C233="","",IFERROR(VLOOKUP(C233,'Parties'!$B$13:$Q$112,16,FALSE),0))</f>
        <v/>
      </c>
      <c r="Z233">
        <f>IF(OR(S233=0,B233="",Y233=""),"",IF(AND(F233&lt;&gt;"",D233="Purchase bill"),F233,B233)+Y233)</f>
        <v/>
      </c>
      <c r="AA233">
        <f>IF(OR(W233=0,Z233=""),0,MAX(0,'Outstanding'!$E$5-Z233))</f>
        <v/>
      </c>
      <c r="AB233">
        <f>IF(AND(X233=1,AA233&gt;0),W233*((1+3*N('Parties'!$E$10)/12)^(AA233*12/365)-1),0)</f>
        <v/>
      </c>
      <c r="AC233">
        <f>IF(W233=0,"",'Outstanding'!$E$5-B233)</f>
        <v/>
      </c>
      <c r="AD233">
        <f>IF(S233=0,0,IFERROR(VLOOKUP(C233,'Parties'!$B$13:$Q$112,14,FALSE),0)+SUMIFS($T$7:$T$506,$C$7:$C$506,C233,$B$7:$B$506,"&lt;="&amp;'Parties'!$E$8))</f>
        <v/>
      </c>
      <c r="AE233">
        <f>IF(OR('Parties'!$E$8="",S233=0,B233="",B233&gt;'Parties'!$E$8),0,MAX(0,MIN(S233,U233-AD233)))</f>
        <v/>
      </c>
      <c r="AF233">
        <f>IF(AND(P233="Creditor",X233=1,AE233&gt;0,Z233&lt;&gt;""),IF(Z233&lt;='Parties'!$E$8,AE233,0),0)</f>
        <v/>
      </c>
      <c r="AG233">
        <f>IF(OR(AE233=0,Z233=""),0,MAX(0,'Parties'!$E$8-Z233))</f>
        <v/>
      </c>
      <c r="AH233">
        <f>IF(AND(P233="Creditor",X233=1,AG233&gt;0),AE233*((1+3*N('Parties'!$E$10)/12)^(AG233*12/365)-1),0)</f>
        <v/>
      </c>
      <c r="AI233">
        <f>IF(AND(C233&lt;&gt;"",C233='Ledger Account'!$D$4,B233&lt;&gt;"",B233&gt;='Ledger Account'!$D$5,B233&lt;='Ledger Account'!$D$6),1,0)</f>
        <v/>
      </c>
      <c r="AJ233">
        <f>IF(AI233=1,SUM(AI$7:AI233),"")</f>
        <v/>
      </c>
      <c r="AK233">
        <f>IF(OR(N233="",N233="OK"),0,1)</f>
        <v/>
      </c>
    </row>
    <row r="234">
      <c r="B234" s="24" t="n"/>
      <c r="C234" s="14" t="n"/>
      <c r="D234" s="14" t="n"/>
      <c r="E234" s="20" t="n"/>
      <c r="F234" s="24" t="n"/>
      <c r="G234" s="14" t="n"/>
      <c r="H234" s="22" t="n"/>
      <c r="I234" s="25">
        <f>IF(Q234="D",N(H234),0)</f>
        <v/>
      </c>
      <c r="J234" s="25">
        <f>IF(Q234="C",N(H234),0)</f>
        <v/>
      </c>
      <c r="K234" s="26">
        <f>IF(Z234="","",Z234)</f>
        <v/>
      </c>
      <c r="L234" s="27">
        <f>W234</f>
        <v/>
      </c>
      <c r="M234" s="28">
        <f>AA234</f>
        <v/>
      </c>
      <c r="N234" s="23">
        <f>IF(AND(B234="",C234="",D234="",N(H234)=0),"",IF(B234="","Enter the date",IF(C234="","Pick the party",IF(P234="?","Add this party on the Parties sheet first",IF(D234="","Pick the entry type",IF(Q234="?","Pick the entry type from the list",IF(N(H234)=0,"Enter the amount",IF(AND(R234&lt;&gt;"Any",R234&lt;&gt;P234),"Sales, receipts and credit notes are for debtors; purchases, payments and debit notes for creditors",IF(AND(F234&lt;&gt;"",D234&lt;&gt;"Purchase bill"),"The received-on date is only for purchase bills",IF(AND(P234="Creditor",X234=1,AA234&gt;0),"Past due to a micro or small supplier: interest runs under MSMED s.16, and if unpaid at year end it is not deductible that year, s.37(2)(g)",IF(AND(P234="Debtor",X234=1,AA234&gt;0),"Past due to you: as a micro or small supplier you can claim interest under MSMED s.16","OK")))))))))))</f>
        <v/>
      </c>
      <c r="P234">
        <f>IF(C234="","",IFERROR(VLOOKUP(C234,'Parties'!$B$13:$Q$112,2,FALSE),"?"))</f>
        <v/>
      </c>
      <c r="Q234">
        <f>IF(D234="","",IFERROR(VLOOKUP(D234,Lists!$A$2:$D$9,3,FALSE),"?"))</f>
        <v/>
      </c>
      <c r="R234">
        <f>IF(D234="","",IFERROR(VLOOKUP(D234,Lists!$A$2:$D$9,4,FALSE),"?"))</f>
        <v/>
      </c>
      <c r="S234">
        <f>IF(P234="Debtor",I234,IF(P234="Creditor",J234,0))</f>
        <v/>
      </c>
      <c r="T234">
        <f>IF(P234="Debtor",J234,IF(P234="Creditor",I234,0))</f>
        <v/>
      </c>
      <c r="U234">
        <f>IF(OR(S234=0,B234=""),0,IFERROR(VLOOKUP(C234,'Parties'!$B$13:$Q$112,13,FALSE),0)+SUMIFS($S$7:$S$506,$C$7:$C$506,C234,$B$7:$B$506,"&lt;"&amp;B234)+SUMIFS(S$7:S234,C$7:C234,C234,B$7:B234,B234))</f>
        <v/>
      </c>
      <c r="V234">
        <f>IF(S234=0,0,IFERROR(VLOOKUP(C234,'Parties'!$B$13:$Q$112,14,FALSE),0)+SUMIFS($T$7:$T$506,$C$7:$C$506,C234,$B$7:$B$506,"&lt;="&amp;'Outstanding'!$E$5))</f>
        <v/>
      </c>
      <c r="W234">
        <f>IF(OR('Outstanding'!$E$5="",S234=0,B234="",B234&gt;'Outstanding'!$E$5),0,MAX(0,MIN(S234,U234-V234)))</f>
        <v/>
      </c>
      <c r="X234">
        <f>IF(C234="",0,IFERROR(VLOOKUP(C234,'Parties'!$B$13:$Q$112,15,FALSE),0))</f>
        <v/>
      </c>
      <c r="Y234">
        <f>IF(C234="","",IFERROR(VLOOKUP(C234,'Parties'!$B$13:$Q$112,16,FALSE),0))</f>
        <v/>
      </c>
      <c r="Z234">
        <f>IF(OR(S234=0,B234="",Y234=""),"",IF(AND(F234&lt;&gt;"",D234="Purchase bill"),F234,B234)+Y234)</f>
        <v/>
      </c>
      <c r="AA234">
        <f>IF(OR(W234=0,Z234=""),0,MAX(0,'Outstanding'!$E$5-Z234))</f>
        <v/>
      </c>
      <c r="AB234">
        <f>IF(AND(X234=1,AA234&gt;0),W234*((1+3*N('Parties'!$E$10)/12)^(AA234*12/365)-1),0)</f>
        <v/>
      </c>
      <c r="AC234">
        <f>IF(W234=0,"",'Outstanding'!$E$5-B234)</f>
        <v/>
      </c>
      <c r="AD234">
        <f>IF(S234=0,0,IFERROR(VLOOKUP(C234,'Parties'!$B$13:$Q$112,14,FALSE),0)+SUMIFS($T$7:$T$506,$C$7:$C$506,C234,$B$7:$B$506,"&lt;="&amp;'Parties'!$E$8))</f>
        <v/>
      </c>
      <c r="AE234">
        <f>IF(OR('Parties'!$E$8="",S234=0,B234="",B234&gt;'Parties'!$E$8),0,MAX(0,MIN(S234,U234-AD234)))</f>
        <v/>
      </c>
      <c r="AF234">
        <f>IF(AND(P234="Creditor",X234=1,AE234&gt;0,Z234&lt;&gt;""),IF(Z234&lt;='Parties'!$E$8,AE234,0),0)</f>
        <v/>
      </c>
      <c r="AG234">
        <f>IF(OR(AE234=0,Z234=""),0,MAX(0,'Parties'!$E$8-Z234))</f>
        <v/>
      </c>
      <c r="AH234">
        <f>IF(AND(P234="Creditor",X234=1,AG234&gt;0),AE234*((1+3*N('Parties'!$E$10)/12)^(AG234*12/365)-1),0)</f>
        <v/>
      </c>
      <c r="AI234">
        <f>IF(AND(C234&lt;&gt;"",C234='Ledger Account'!$D$4,B234&lt;&gt;"",B234&gt;='Ledger Account'!$D$5,B234&lt;='Ledger Account'!$D$6),1,0)</f>
        <v/>
      </c>
      <c r="AJ234">
        <f>IF(AI234=1,SUM(AI$7:AI234),"")</f>
        <v/>
      </c>
      <c r="AK234">
        <f>IF(OR(N234="",N234="OK"),0,1)</f>
        <v/>
      </c>
    </row>
    <row r="235">
      <c r="B235" s="24" t="n"/>
      <c r="C235" s="14" t="n"/>
      <c r="D235" s="14" t="n"/>
      <c r="E235" s="20" t="n"/>
      <c r="F235" s="24" t="n"/>
      <c r="G235" s="14" t="n"/>
      <c r="H235" s="22" t="n"/>
      <c r="I235" s="25">
        <f>IF(Q235="D",N(H235),0)</f>
        <v/>
      </c>
      <c r="J235" s="25">
        <f>IF(Q235="C",N(H235),0)</f>
        <v/>
      </c>
      <c r="K235" s="26">
        <f>IF(Z235="","",Z235)</f>
        <v/>
      </c>
      <c r="L235" s="27">
        <f>W235</f>
        <v/>
      </c>
      <c r="M235" s="28">
        <f>AA235</f>
        <v/>
      </c>
      <c r="N235" s="23">
        <f>IF(AND(B235="",C235="",D235="",N(H235)=0),"",IF(B235="","Enter the date",IF(C235="","Pick the party",IF(P235="?","Add this party on the Parties sheet first",IF(D235="","Pick the entry type",IF(Q235="?","Pick the entry type from the list",IF(N(H235)=0,"Enter the amount",IF(AND(R235&lt;&gt;"Any",R235&lt;&gt;P235),"Sales, receipts and credit notes are for debtors; purchases, payments and debit notes for creditors",IF(AND(F235&lt;&gt;"",D235&lt;&gt;"Purchase bill"),"The received-on date is only for purchase bills",IF(AND(P235="Creditor",X235=1,AA235&gt;0),"Past due to a micro or small supplier: interest runs under MSMED s.16, and if unpaid at year end it is not deductible that year, s.37(2)(g)",IF(AND(P235="Debtor",X235=1,AA235&gt;0),"Past due to you: as a micro or small supplier you can claim interest under MSMED s.16","OK")))))))))))</f>
        <v/>
      </c>
      <c r="P235">
        <f>IF(C235="","",IFERROR(VLOOKUP(C235,'Parties'!$B$13:$Q$112,2,FALSE),"?"))</f>
        <v/>
      </c>
      <c r="Q235">
        <f>IF(D235="","",IFERROR(VLOOKUP(D235,Lists!$A$2:$D$9,3,FALSE),"?"))</f>
        <v/>
      </c>
      <c r="R235">
        <f>IF(D235="","",IFERROR(VLOOKUP(D235,Lists!$A$2:$D$9,4,FALSE),"?"))</f>
        <v/>
      </c>
      <c r="S235">
        <f>IF(P235="Debtor",I235,IF(P235="Creditor",J235,0))</f>
        <v/>
      </c>
      <c r="T235">
        <f>IF(P235="Debtor",J235,IF(P235="Creditor",I235,0))</f>
        <v/>
      </c>
      <c r="U235">
        <f>IF(OR(S235=0,B235=""),0,IFERROR(VLOOKUP(C235,'Parties'!$B$13:$Q$112,13,FALSE),0)+SUMIFS($S$7:$S$506,$C$7:$C$506,C235,$B$7:$B$506,"&lt;"&amp;B235)+SUMIFS(S$7:S235,C$7:C235,C235,B$7:B235,B235))</f>
        <v/>
      </c>
      <c r="V235">
        <f>IF(S235=0,0,IFERROR(VLOOKUP(C235,'Parties'!$B$13:$Q$112,14,FALSE),0)+SUMIFS($T$7:$T$506,$C$7:$C$506,C235,$B$7:$B$506,"&lt;="&amp;'Outstanding'!$E$5))</f>
        <v/>
      </c>
      <c r="W235">
        <f>IF(OR('Outstanding'!$E$5="",S235=0,B235="",B235&gt;'Outstanding'!$E$5),0,MAX(0,MIN(S235,U235-V235)))</f>
        <v/>
      </c>
      <c r="X235">
        <f>IF(C235="",0,IFERROR(VLOOKUP(C235,'Parties'!$B$13:$Q$112,15,FALSE),0))</f>
        <v/>
      </c>
      <c r="Y235">
        <f>IF(C235="","",IFERROR(VLOOKUP(C235,'Parties'!$B$13:$Q$112,16,FALSE),0))</f>
        <v/>
      </c>
      <c r="Z235">
        <f>IF(OR(S235=0,B235="",Y235=""),"",IF(AND(F235&lt;&gt;"",D235="Purchase bill"),F235,B235)+Y235)</f>
        <v/>
      </c>
      <c r="AA235">
        <f>IF(OR(W235=0,Z235=""),0,MAX(0,'Outstanding'!$E$5-Z235))</f>
        <v/>
      </c>
      <c r="AB235">
        <f>IF(AND(X235=1,AA235&gt;0),W235*((1+3*N('Parties'!$E$10)/12)^(AA235*12/365)-1),0)</f>
        <v/>
      </c>
      <c r="AC235">
        <f>IF(W235=0,"",'Outstanding'!$E$5-B235)</f>
        <v/>
      </c>
      <c r="AD235">
        <f>IF(S235=0,0,IFERROR(VLOOKUP(C235,'Parties'!$B$13:$Q$112,14,FALSE),0)+SUMIFS($T$7:$T$506,$C$7:$C$506,C235,$B$7:$B$506,"&lt;="&amp;'Parties'!$E$8))</f>
        <v/>
      </c>
      <c r="AE235">
        <f>IF(OR('Parties'!$E$8="",S235=0,B235="",B235&gt;'Parties'!$E$8),0,MAX(0,MIN(S235,U235-AD235)))</f>
        <v/>
      </c>
      <c r="AF235">
        <f>IF(AND(P235="Creditor",X235=1,AE235&gt;0,Z235&lt;&gt;""),IF(Z235&lt;='Parties'!$E$8,AE235,0),0)</f>
        <v/>
      </c>
      <c r="AG235">
        <f>IF(OR(AE235=0,Z235=""),0,MAX(0,'Parties'!$E$8-Z235))</f>
        <v/>
      </c>
      <c r="AH235">
        <f>IF(AND(P235="Creditor",X235=1,AG235&gt;0),AE235*((1+3*N('Parties'!$E$10)/12)^(AG235*12/365)-1),0)</f>
        <v/>
      </c>
      <c r="AI235">
        <f>IF(AND(C235&lt;&gt;"",C235='Ledger Account'!$D$4,B235&lt;&gt;"",B235&gt;='Ledger Account'!$D$5,B235&lt;='Ledger Account'!$D$6),1,0)</f>
        <v/>
      </c>
      <c r="AJ235">
        <f>IF(AI235=1,SUM(AI$7:AI235),"")</f>
        <v/>
      </c>
      <c r="AK235">
        <f>IF(OR(N235="",N235="OK"),0,1)</f>
        <v/>
      </c>
    </row>
    <row r="236">
      <c r="B236" s="24" t="n"/>
      <c r="C236" s="14" t="n"/>
      <c r="D236" s="14" t="n"/>
      <c r="E236" s="20" t="n"/>
      <c r="F236" s="24" t="n"/>
      <c r="G236" s="14" t="n"/>
      <c r="H236" s="22" t="n"/>
      <c r="I236" s="25">
        <f>IF(Q236="D",N(H236),0)</f>
        <v/>
      </c>
      <c r="J236" s="25">
        <f>IF(Q236="C",N(H236),0)</f>
        <v/>
      </c>
      <c r="K236" s="26">
        <f>IF(Z236="","",Z236)</f>
        <v/>
      </c>
      <c r="L236" s="27">
        <f>W236</f>
        <v/>
      </c>
      <c r="M236" s="28">
        <f>AA236</f>
        <v/>
      </c>
      <c r="N236" s="23">
        <f>IF(AND(B236="",C236="",D236="",N(H236)=0),"",IF(B236="","Enter the date",IF(C236="","Pick the party",IF(P236="?","Add this party on the Parties sheet first",IF(D236="","Pick the entry type",IF(Q236="?","Pick the entry type from the list",IF(N(H236)=0,"Enter the amount",IF(AND(R236&lt;&gt;"Any",R236&lt;&gt;P236),"Sales, receipts and credit notes are for debtors; purchases, payments and debit notes for creditors",IF(AND(F236&lt;&gt;"",D236&lt;&gt;"Purchase bill"),"The received-on date is only for purchase bills",IF(AND(P236="Creditor",X236=1,AA236&gt;0),"Past due to a micro or small supplier: interest runs under MSMED s.16, and if unpaid at year end it is not deductible that year, s.37(2)(g)",IF(AND(P236="Debtor",X236=1,AA236&gt;0),"Past due to you: as a micro or small supplier you can claim interest under MSMED s.16","OK")))))))))))</f>
        <v/>
      </c>
      <c r="P236">
        <f>IF(C236="","",IFERROR(VLOOKUP(C236,'Parties'!$B$13:$Q$112,2,FALSE),"?"))</f>
        <v/>
      </c>
      <c r="Q236">
        <f>IF(D236="","",IFERROR(VLOOKUP(D236,Lists!$A$2:$D$9,3,FALSE),"?"))</f>
        <v/>
      </c>
      <c r="R236">
        <f>IF(D236="","",IFERROR(VLOOKUP(D236,Lists!$A$2:$D$9,4,FALSE),"?"))</f>
        <v/>
      </c>
      <c r="S236">
        <f>IF(P236="Debtor",I236,IF(P236="Creditor",J236,0))</f>
        <v/>
      </c>
      <c r="T236">
        <f>IF(P236="Debtor",J236,IF(P236="Creditor",I236,0))</f>
        <v/>
      </c>
      <c r="U236">
        <f>IF(OR(S236=0,B236=""),0,IFERROR(VLOOKUP(C236,'Parties'!$B$13:$Q$112,13,FALSE),0)+SUMIFS($S$7:$S$506,$C$7:$C$506,C236,$B$7:$B$506,"&lt;"&amp;B236)+SUMIFS(S$7:S236,C$7:C236,C236,B$7:B236,B236))</f>
        <v/>
      </c>
      <c r="V236">
        <f>IF(S236=0,0,IFERROR(VLOOKUP(C236,'Parties'!$B$13:$Q$112,14,FALSE),0)+SUMIFS($T$7:$T$506,$C$7:$C$506,C236,$B$7:$B$506,"&lt;="&amp;'Outstanding'!$E$5))</f>
        <v/>
      </c>
      <c r="W236">
        <f>IF(OR('Outstanding'!$E$5="",S236=0,B236="",B236&gt;'Outstanding'!$E$5),0,MAX(0,MIN(S236,U236-V236)))</f>
        <v/>
      </c>
      <c r="X236">
        <f>IF(C236="",0,IFERROR(VLOOKUP(C236,'Parties'!$B$13:$Q$112,15,FALSE),0))</f>
        <v/>
      </c>
      <c r="Y236">
        <f>IF(C236="","",IFERROR(VLOOKUP(C236,'Parties'!$B$13:$Q$112,16,FALSE),0))</f>
        <v/>
      </c>
      <c r="Z236">
        <f>IF(OR(S236=0,B236="",Y236=""),"",IF(AND(F236&lt;&gt;"",D236="Purchase bill"),F236,B236)+Y236)</f>
        <v/>
      </c>
      <c r="AA236">
        <f>IF(OR(W236=0,Z236=""),0,MAX(0,'Outstanding'!$E$5-Z236))</f>
        <v/>
      </c>
      <c r="AB236">
        <f>IF(AND(X236=1,AA236&gt;0),W236*((1+3*N('Parties'!$E$10)/12)^(AA236*12/365)-1),0)</f>
        <v/>
      </c>
      <c r="AC236">
        <f>IF(W236=0,"",'Outstanding'!$E$5-B236)</f>
        <v/>
      </c>
      <c r="AD236">
        <f>IF(S236=0,0,IFERROR(VLOOKUP(C236,'Parties'!$B$13:$Q$112,14,FALSE),0)+SUMIFS($T$7:$T$506,$C$7:$C$506,C236,$B$7:$B$506,"&lt;="&amp;'Parties'!$E$8))</f>
        <v/>
      </c>
      <c r="AE236">
        <f>IF(OR('Parties'!$E$8="",S236=0,B236="",B236&gt;'Parties'!$E$8),0,MAX(0,MIN(S236,U236-AD236)))</f>
        <v/>
      </c>
      <c r="AF236">
        <f>IF(AND(P236="Creditor",X236=1,AE236&gt;0,Z236&lt;&gt;""),IF(Z236&lt;='Parties'!$E$8,AE236,0),0)</f>
        <v/>
      </c>
      <c r="AG236">
        <f>IF(OR(AE236=0,Z236=""),0,MAX(0,'Parties'!$E$8-Z236))</f>
        <v/>
      </c>
      <c r="AH236">
        <f>IF(AND(P236="Creditor",X236=1,AG236&gt;0),AE236*((1+3*N('Parties'!$E$10)/12)^(AG236*12/365)-1),0)</f>
        <v/>
      </c>
      <c r="AI236">
        <f>IF(AND(C236&lt;&gt;"",C236='Ledger Account'!$D$4,B236&lt;&gt;"",B236&gt;='Ledger Account'!$D$5,B236&lt;='Ledger Account'!$D$6),1,0)</f>
        <v/>
      </c>
      <c r="AJ236">
        <f>IF(AI236=1,SUM(AI$7:AI236),"")</f>
        <v/>
      </c>
      <c r="AK236">
        <f>IF(OR(N236="",N236="OK"),0,1)</f>
        <v/>
      </c>
    </row>
    <row r="237">
      <c r="B237" s="24" t="n"/>
      <c r="C237" s="14" t="n"/>
      <c r="D237" s="14" t="n"/>
      <c r="E237" s="20" t="n"/>
      <c r="F237" s="24" t="n"/>
      <c r="G237" s="14" t="n"/>
      <c r="H237" s="22" t="n"/>
      <c r="I237" s="25">
        <f>IF(Q237="D",N(H237),0)</f>
        <v/>
      </c>
      <c r="J237" s="25">
        <f>IF(Q237="C",N(H237),0)</f>
        <v/>
      </c>
      <c r="K237" s="26">
        <f>IF(Z237="","",Z237)</f>
        <v/>
      </c>
      <c r="L237" s="27">
        <f>W237</f>
        <v/>
      </c>
      <c r="M237" s="28">
        <f>AA237</f>
        <v/>
      </c>
      <c r="N237" s="23">
        <f>IF(AND(B237="",C237="",D237="",N(H237)=0),"",IF(B237="","Enter the date",IF(C237="","Pick the party",IF(P237="?","Add this party on the Parties sheet first",IF(D237="","Pick the entry type",IF(Q237="?","Pick the entry type from the list",IF(N(H237)=0,"Enter the amount",IF(AND(R237&lt;&gt;"Any",R237&lt;&gt;P237),"Sales, receipts and credit notes are for debtors; purchases, payments and debit notes for creditors",IF(AND(F237&lt;&gt;"",D237&lt;&gt;"Purchase bill"),"The received-on date is only for purchase bills",IF(AND(P237="Creditor",X237=1,AA237&gt;0),"Past due to a micro or small supplier: interest runs under MSMED s.16, and if unpaid at year end it is not deductible that year, s.37(2)(g)",IF(AND(P237="Debtor",X237=1,AA237&gt;0),"Past due to you: as a micro or small supplier you can claim interest under MSMED s.16","OK")))))))))))</f>
        <v/>
      </c>
      <c r="P237">
        <f>IF(C237="","",IFERROR(VLOOKUP(C237,'Parties'!$B$13:$Q$112,2,FALSE),"?"))</f>
        <v/>
      </c>
      <c r="Q237">
        <f>IF(D237="","",IFERROR(VLOOKUP(D237,Lists!$A$2:$D$9,3,FALSE),"?"))</f>
        <v/>
      </c>
      <c r="R237">
        <f>IF(D237="","",IFERROR(VLOOKUP(D237,Lists!$A$2:$D$9,4,FALSE),"?"))</f>
        <v/>
      </c>
      <c r="S237">
        <f>IF(P237="Debtor",I237,IF(P237="Creditor",J237,0))</f>
        <v/>
      </c>
      <c r="T237">
        <f>IF(P237="Debtor",J237,IF(P237="Creditor",I237,0))</f>
        <v/>
      </c>
      <c r="U237">
        <f>IF(OR(S237=0,B237=""),0,IFERROR(VLOOKUP(C237,'Parties'!$B$13:$Q$112,13,FALSE),0)+SUMIFS($S$7:$S$506,$C$7:$C$506,C237,$B$7:$B$506,"&lt;"&amp;B237)+SUMIFS(S$7:S237,C$7:C237,C237,B$7:B237,B237))</f>
        <v/>
      </c>
      <c r="V237">
        <f>IF(S237=0,0,IFERROR(VLOOKUP(C237,'Parties'!$B$13:$Q$112,14,FALSE),0)+SUMIFS($T$7:$T$506,$C$7:$C$506,C237,$B$7:$B$506,"&lt;="&amp;'Outstanding'!$E$5))</f>
        <v/>
      </c>
      <c r="W237">
        <f>IF(OR('Outstanding'!$E$5="",S237=0,B237="",B237&gt;'Outstanding'!$E$5),0,MAX(0,MIN(S237,U237-V237)))</f>
        <v/>
      </c>
      <c r="X237">
        <f>IF(C237="",0,IFERROR(VLOOKUP(C237,'Parties'!$B$13:$Q$112,15,FALSE),0))</f>
        <v/>
      </c>
      <c r="Y237">
        <f>IF(C237="","",IFERROR(VLOOKUP(C237,'Parties'!$B$13:$Q$112,16,FALSE),0))</f>
        <v/>
      </c>
      <c r="Z237">
        <f>IF(OR(S237=0,B237="",Y237=""),"",IF(AND(F237&lt;&gt;"",D237="Purchase bill"),F237,B237)+Y237)</f>
        <v/>
      </c>
      <c r="AA237">
        <f>IF(OR(W237=0,Z237=""),0,MAX(0,'Outstanding'!$E$5-Z237))</f>
        <v/>
      </c>
      <c r="AB237">
        <f>IF(AND(X237=1,AA237&gt;0),W237*((1+3*N('Parties'!$E$10)/12)^(AA237*12/365)-1),0)</f>
        <v/>
      </c>
      <c r="AC237">
        <f>IF(W237=0,"",'Outstanding'!$E$5-B237)</f>
        <v/>
      </c>
      <c r="AD237">
        <f>IF(S237=0,0,IFERROR(VLOOKUP(C237,'Parties'!$B$13:$Q$112,14,FALSE),0)+SUMIFS($T$7:$T$506,$C$7:$C$506,C237,$B$7:$B$506,"&lt;="&amp;'Parties'!$E$8))</f>
        <v/>
      </c>
      <c r="AE237">
        <f>IF(OR('Parties'!$E$8="",S237=0,B237="",B237&gt;'Parties'!$E$8),0,MAX(0,MIN(S237,U237-AD237)))</f>
        <v/>
      </c>
      <c r="AF237">
        <f>IF(AND(P237="Creditor",X237=1,AE237&gt;0,Z237&lt;&gt;""),IF(Z237&lt;='Parties'!$E$8,AE237,0),0)</f>
        <v/>
      </c>
      <c r="AG237">
        <f>IF(OR(AE237=0,Z237=""),0,MAX(0,'Parties'!$E$8-Z237))</f>
        <v/>
      </c>
      <c r="AH237">
        <f>IF(AND(P237="Creditor",X237=1,AG237&gt;0),AE237*((1+3*N('Parties'!$E$10)/12)^(AG237*12/365)-1),0)</f>
        <v/>
      </c>
      <c r="AI237">
        <f>IF(AND(C237&lt;&gt;"",C237='Ledger Account'!$D$4,B237&lt;&gt;"",B237&gt;='Ledger Account'!$D$5,B237&lt;='Ledger Account'!$D$6),1,0)</f>
        <v/>
      </c>
      <c r="AJ237">
        <f>IF(AI237=1,SUM(AI$7:AI237),"")</f>
        <v/>
      </c>
      <c r="AK237">
        <f>IF(OR(N237="",N237="OK"),0,1)</f>
        <v/>
      </c>
    </row>
    <row r="238">
      <c r="B238" s="24" t="n"/>
      <c r="C238" s="14" t="n"/>
      <c r="D238" s="14" t="n"/>
      <c r="E238" s="20" t="n"/>
      <c r="F238" s="24" t="n"/>
      <c r="G238" s="14" t="n"/>
      <c r="H238" s="22" t="n"/>
      <c r="I238" s="25">
        <f>IF(Q238="D",N(H238),0)</f>
        <v/>
      </c>
      <c r="J238" s="25">
        <f>IF(Q238="C",N(H238),0)</f>
        <v/>
      </c>
      <c r="K238" s="26">
        <f>IF(Z238="","",Z238)</f>
        <v/>
      </c>
      <c r="L238" s="27">
        <f>W238</f>
        <v/>
      </c>
      <c r="M238" s="28">
        <f>AA238</f>
        <v/>
      </c>
      <c r="N238" s="23">
        <f>IF(AND(B238="",C238="",D238="",N(H238)=0),"",IF(B238="","Enter the date",IF(C238="","Pick the party",IF(P238="?","Add this party on the Parties sheet first",IF(D238="","Pick the entry type",IF(Q238="?","Pick the entry type from the list",IF(N(H238)=0,"Enter the amount",IF(AND(R238&lt;&gt;"Any",R238&lt;&gt;P238),"Sales, receipts and credit notes are for debtors; purchases, payments and debit notes for creditors",IF(AND(F238&lt;&gt;"",D238&lt;&gt;"Purchase bill"),"The received-on date is only for purchase bills",IF(AND(P238="Creditor",X238=1,AA238&gt;0),"Past due to a micro or small supplier: interest runs under MSMED s.16, and if unpaid at year end it is not deductible that year, s.37(2)(g)",IF(AND(P238="Debtor",X238=1,AA238&gt;0),"Past due to you: as a micro or small supplier you can claim interest under MSMED s.16","OK")))))))))))</f>
        <v/>
      </c>
      <c r="P238">
        <f>IF(C238="","",IFERROR(VLOOKUP(C238,'Parties'!$B$13:$Q$112,2,FALSE),"?"))</f>
        <v/>
      </c>
      <c r="Q238">
        <f>IF(D238="","",IFERROR(VLOOKUP(D238,Lists!$A$2:$D$9,3,FALSE),"?"))</f>
        <v/>
      </c>
      <c r="R238">
        <f>IF(D238="","",IFERROR(VLOOKUP(D238,Lists!$A$2:$D$9,4,FALSE),"?"))</f>
        <v/>
      </c>
      <c r="S238">
        <f>IF(P238="Debtor",I238,IF(P238="Creditor",J238,0))</f>
        <v/>
      </c>
      <c r="T238">
        <f>IF(P238="Debtor",J238,IF(P238="Creditor",I238,0))</f>
        <v/>
      </c>
      <c r="U238">
        <f>IF(OR(S238=0,B238=""),0,IFERROR(VLOOKUP(C238,'Parties'!$B$13:$Q$112,13,FALSE),0)+SUMIFS($S$7:$S$506,$C$7:$C$506,C238,$B$7:$B$506,"&lt;"&amp;B238)+SUMIFS(S$7:S238,C$7:C238,C238,B$7:B238,B238))</f>
        <v/>
      </c>
      <c r="V238">
        <f>IF(S238=0,0,IFERROR(VLOOKUP(C238,'Parties'!$B$13:$Q$112,14,FALSE),0)+SUMIFS($T$7:$T$506,$C$7:$C$506,C238,$B$7:$B$506,"&lt;="&amp;'Outstanding'!$E$5))</f>
        <v/>
      </c>
      <c r="W238">
        <f>IF(OR('Outstanding'!$E$5="",S238=0,B238="",B238&gt;'Outstanding'!$E$5),0,MAX(0,MIN(S238,U238-V238)))</f>
        <v/>
      </c>
      <c r="X238">
        <f>IF(C238="",0,IFERROR(VLOOKUP(C238,'Parties'!$B$13:$Q$112,15,FALSE),0))</f>
        <v/>
      </c>
      <c r="Y238">
        <f>IF(C238="","",IFERROR(VLOOKUP(C238,'Parties'!$B$13:$Q$112,16,FALSE),0))</f>
        <v/>
      </c>
      <c r="Z238">
        <f>IF(OR(S238=0,B238="",Y238=""),"",IF(AND(F238&lt;&gt;"",D238="Purchase bill"),F238,B238)+Y238)</f>
        <v/>
      </c>
      <c r="AA238">
        <f>IF(OR(W238=0,Z238=""),0,MAX(0,'Outstanding'!$E$5-Z238))</f>
        <v/>
      </c>
      <c r="AB238">
        <f>IF(AND(X238=1,AA238&gt;0),W238*((1+3*N('Parties'!$E$10)/12)^(AA238*12/365)-1),0)</f>
        <v/>
      </c>
      <c r="AC238">
        <f>IF(W238=0,"",'Outstanding'!$E$5-B238)</f>
        <v/>
      </c>
      <c r="AD238">
        <f>IF(S238=0,0,IFERROR(VLOOKUP(C238,'Parties'!$B$13:$Q$112,14,FALSE),0)+SUMIFS($T$7:$T$506,$C$7:$C$506,C238,$B$7:$B$506,"&lt;="&amp;'Parties'!$E$8))</f>
        <v/>
      </c>
      <c r="AE238">
        <f>IF(OR('Parties'!$E$8="",S238=0,B238="",B238&gt;'Parties'!$E$8),0,MAX(0,MIN(S238,U238-AD238)))</f>
        <v/>
      </c>
      <c r="AF238">
        <f>IF(AND(P238="Creditor",X238=1,AE238&gt;0,Z238&lt;&gt;""),IF(Z238&lt;='Parties'!$E$8,AE238,0),0)</f>
        <v/>
      </c>
      <c r="AG238">
        <f>IF(OR(AE238=0,Z238=""),0,MAX(0,'Parties'!$E$8-Z238))</f>
        <v/>
      </c>
      <c r="AH238">
        <f>IF(AND(P238="Creditor",X238=1,AG238&gt;0),AE238*((1+3*N('Parties'!$E$10)/12)^(AG238*12/365)-1),0)</f>
        <v/>
      </c>
      <c r="AI238">
        <f>IF(AND(C238&lt;&gt;"",C238='Ledger Account'!$D$4,B238&lt;&gt;"",B238&gt;='Ledger Account'!$D$5,B238&lt;='Ledger Account'!$D$6),1,0)</f>
        <v/>
      </c>
      <c r="AJ238">
        <f>IF(AI238=1,SUM(AI$7:AI238),"")</f>
        <v/>
      </c>
      <c r="AK238">
        <f>IF(OR(N238="",N238="OK"),0,1)</f>
        <v/>
      </c>
    </row>
    <row r="239">
      <c r="B239" s="24" t="n"/>
      <c r="C239" s="14" t="n"/>
      <c r="D239" s="14" t="n"/>
      <c r="E239" s="20" t="n"/>
      <c r="F239" s="24" t="n"/>
      <c r="G239" s="14" t="n"/>
      <c r="H239" s="22" t="n"/>
      <c r="I239" s="25">
        <f>IF(Q239="D",N(H239),0)</f>
        <v/>
      </c>
      <c r="J239" s="25">
        <f>IF(Q239="C",N(H239),0)</f>
        <v/>
      </c>
      <c r="K239" s="26">
        <f>IF(Z239="","",Z239)</f>
        <v/>
      </c>
      <c r="L239" s="27">
        <f>W239</f>
        <v/>
      </c>
      <c r="M239" s="28">
        <f>AA239</f>
        <v/>
      </c>
      <c r="N239" s="23">
        <f>IF(AND(B239="",C239="",D239="",N(H239)=0),"",IF(B239="","Enter the date",IF(C239="","Pick the party",IF(P239="?","Add this party on the Parties sheet first",IF(D239="","Pick the entry type",IF(Q239="?","Pick the entry type from the list",IF(N(H239)=0,"Enter the amount",IF(AND(R239&lt;&gt;"Any",R239&lt;&gt;P239),"Sales, receipts and credit notes are for debtors; purchases, payments and debit notes for creditors",IF(AND(F239&lt;&gt;"",D239&lt;&gt;"Purchase bill"),"The received-on date is only for purchase bills",IF(AND(P239="Creditor",X239=1,AA239&gt;0),"Past due to a micro or small supplier: interest runs under MSMED s.16, and if unpaid at year end it is not deductible that year, s.37(2)(g)",IF(AND(P239="Debtor",X239=1,AA239&gt;0),"Past due to you: as a micro or small supplier you can claim interest under MSMED s.16","OK")))))))))))</f>
        <v/>
      </c>
      <c r="P239">
        <f>IF(C239="","",IFERROR(VLOOKUP(C239,'Parties'!$B$13:$Q$112,2,FALSE),"?"))</f>
        <v/>
      </c>
      <c r="Q239">
        <f>IF(D239="","",IFERROR(VLOOKUP(D239,Lists!$A$2:$D$9,3,FALSE),"?"))</f>
        <v/>
      </c>
      <c r="R239">
        <f>IF(D239="","",IFERROR(VLOOKUP(D239,Lists!$A$2:$D$9,4,FALSE),"?"))</f>
        <v/>
      </c>
      <c r="S239">
        <f>IF(P239="Debtor",I239,IF(P239="Creditor",J239,0))</f>
        <v/>
      </c>
      <c r="T239">
        <f>IF(P239="Debtor",J239,IF(P239="Creditor",I239,0))</f>
        <v/>
      </c>
      <c r="U239">
        <f>IF(OR(S239=0,B239=""),0,IFERROR(VLOOKUP(C239,'Parties'!$B$13:$Q$112,13,FALSE),0)+SUMIFS($S$7:$S$506,$C$7:$C$506,C239,$B$7:$B$506,"&lt;"&amp;B239)+SUMIFS(S$7:S239,C$7:C239,C239,B$7:B239,B239))</f>
        <v/>
      </c>
      <c r="V239">
        <f>IF(S239=0,0,IFERROR(VLOOKUP(C239,'Parties'!$B$13:$Q$112,14,FALSE),0)+SUMIFS($T$7:$T$506,$C$7:$C$506,C239,$B$7:$B$506,"&lt;="&amp;'Outstanding'!$E$5))</f>
        <v/>
      </c>
      <c r="W239">
        <f>IF(OR('Outstanding'!$E$5="",S239=0,B239="",B239&gt;'Outstanding'!$E$5),0,MAX(0,MIN(S239,U239-V239)))</f>
        <v/>
      </c>
      <c r="X239">
        <f>IF(C239="",0,IFERROR(VLOOKUP(C239,'Parties'!$B$13:$Q$112,15,FALSE),0))</f>
        <v/>
      </c>
      <c r="Y239">
        <f>IF(C239="","",IFERROR(VLOOKUP(C239,'Parties'!$B$13:$Q$112,16,FALSE),0))</f>
        <v/>
      </c>
      <c r="Z239">
        <f>IF(OR(S239=0,B239="",Y239=""),"",IF(AND(F239&lt;&gt;"",D239="Purchase bill"),F239,B239)+Y239)</f>
        <v/>
      </c>
      <c r="AA239">
        <f>IF(OR(W239=0,Z239=""),0,MAX(0,'Outstanding'!$E$5-Z239))</f>
        <v/>
      </c>
      <c r="AB239">
        <f>IF(AND(X239=1,AA239&gt;0),W239*((1+3*N('Parties'!$E$10)/12)^(AA239*12/365)-1),0)</f>
        <v/>
      </c>
      <c r="AC239">
        <f>IF(W239=0,"",'Outstanding'!$E$5-B239)</f>
        <v/>
      </c>
      <c r="AD239">
        <f>IF(S239=0,0,IFERROR(VLOOKUP(C239,'Parties'!$B$13:$Q$112,14,FALSE),0)+SUMIFS($T$7:$T$506,$C$7:$C$506,C239,$B$7:$B$506,"&lt;="&amp;'Parties'!$E$8))</f>
        <v/>
      </c>
      <c r="AE239">
        <f>IF(OR('Parties'!$E$8="",S239=0,B239="",B239&gt;'Parties'!$E$8),0,MAX(0,MIN(S239,U239-AD239)))</f>
        <v/>
      </c>
      <c r="AF239">
        <f>IF(AND(P239="Creditor",X239=1,AE239&gt;0,Z239&lt;&gt;""),IF(Z239&lt;='Parties'!$E$8,AE239,0),0)</f>
        <v/>
      </c>
      <c r="AG239">
        <f>IF(OR(AE239=0,Z239=""),0,MAX(0,'Parties'!$E$8-Z239))</f>
        <v/>
      </c>
      <c r="AH239">
        <f>IF(AND(P239="Creditor",X239=1,AG239&gt;0),AE239*((1+3*N('Parties'!$E$10)/12)^(AG239*12/365)-1),0)</f>
        <v/>
      </c>
      <c r="AI239">
        <f>IF(AND(C239&lt;&gt;"",C239='Ledger Account'!$D$4,B239&lt;&gt;"",B239&gt;='Ledger Account'!$D$5,B239&lt;='Ledger Account'!$D$6),1,0)</f>
        <v/>
      </c>
      <c r="AJ239">
        <f>IF(AI239=1,SUM(AI$7:AI239),"")</f>
        <v/>
      </c>
      <c r="AK239">
        <f>IF(OR(N239="",N239="OK"),0,1)</f>
        <v/>
      </c>
    </row>
    <row r="240">
      <c r="B240" s="24" t="n"/>
      <c r="C240" s="14" t="n"/>
      <c r="D240" s="14" t="n"/>
      <c r="E240" s="20" t="n"/>
      <c r="F240" s="24" t="n"/>
      <c r="G240" s="14" t="n"/>
      <c r="H240" s="22" t="n"/>
      <c r="I240" s="25">
        <f>IF(Q240="D",N(H240),0)</f>
        <v/>
      </c>
      <c r="J240" s="25">
        <f>IF(Q240="C",N(H240),0)</f>
        <v/>
      </c>
      <c r="K240" s="26">
        <f>IF(Z240="","",Z240)</f>
        <v/>
      </c>
      <c r="L240" s="27">
        <f>W240</f>
        <v/>
      </c>
      <c r="M240" s="28">
        <f>AA240</f>
        <v/>
      </c>
      <c r="N240" s="23">
        <f>IF(AND(B240="",C240="",D240="",N(H240)=0),"",IF(B240="","Enter the date",IF(C240="","Pick the party",IF(P240="?","Add this party on the Parties sheet first",IF(D240="","Pick the entry type",IF(Q240="?","Pick the entry type from the list",IF(N(H240)=0,"Enter the amount",IF(AND(R240&lt;&gt;"Any",R240&lt;&gt;P240),"Sales, receipts and credit notes are for debtors; purchases, payments and debit notes for creditors",IF(AND(F240&lt;&gt;"",D240&lt;&gt;"Purchase bill"),"The received-on date is only for purchase bills",IF(AND(P240="Creditor",X240=1,AA240&gt;0),"Past due to a micro or small supplier: interest runs under MSMED s.16, and if unpaid at year end it is not deductible that year, s.37(2)(g)",IF(AND(P240="Debtor",X240=1,AA240&gt;0),"Past due to you: as a micro or small supplier you can claim interest under MSMED s.16","OK")))))))))))</f>
        <v/>
      </c>
      <c r="P240">
        <f>IF(C240="","",IFERROR(VLOOKUP(C240,'Parties'!$B$13:$Q$112,2,FALSE),"?"))</f>
        <v/>
      </c>
      <c r="Q240">
        <f>IF(D240="","",IFERROR(VLOOKUP(D240,Lists!$A$2:$D$9,3,FALSE),"?"))</f>
        <v/>
      </c>
      <c r="R240">
        <f>IF(D240="","",IFERROR(VLOOKUP(D240,Lists!$A$2:$D$9,4,FALSE),"?"))</f>
        <v/>
      </c>
      <c r="S240">
        <f>IF(P240="Debtor",I240,IF(P240="Creditor",J240,0))</f>
        <v/>
      </c>
      <c r="T240">
        <f>IF(P240="Debtor",J240,IF(P240="Creditor",I240,0))</f>
        <v/>
      </c>
      <c r="U240">
        <f>IF(OR(S240=0,B240=""),0,IFERROR(VLOOKUP(C240,'Parties'!$B$13:$Q$112,13,FALSE),0)+SUMIFS($S$7:$S$506,$C$7:$C$506,C240,$B$7:$B$506,"&lt;"&amp;B240)+SUMIFS(S$7:S240,C$7:C240,C240,B$7:B240,B240))</f>
        <v/>
      </c>
      <c r="V240">
        <f>IF(S240=0,0,IFERROR(VLOOKUP(C240,'Parties'!$B$13:$Q$112,14,FALSE),0)+SUMIFS($T$7:$T$506,$C$7:$C$506,C240,$B$7:$B$506,"&lt;="&amp;'Outstanding'!$E$5))</f>
        <v/>
      </c>
      <c r="W240">
        <f>IF(OR('Outstanding'!$E$5="",S240=0,B240="",B240&gt;'Outstanding'!$E$5),0,MAX(0,MIN(S240,U240-V240)))</f>
        <v/>
      </c>
      <c r="X240">
        <f>IF(C240="",0,IFERROR(VLOOKUP(C240,'Parties'!$B$13:$Q$112,15,FALSE),0))</f>
        <v/>
      </c>
      <c r="Y240">
        <f>IF(C240="","",IFERROR(VLOOKUP(C240,'Parties'!$B$13:$Q$112,16,FALSE),0))</f>
        <v/>
      </c>
      <c r="Z240">
        <f>IF(OR(S240=0,B240="",Y240=""),"",IF(AND(F240&lt;&gt;"",D240="Purchase bill"),F240,B240)+Y240)</f>
        <v/>
      </c>
      <c r="AA240">
        <f>IF(OR(W240=0,Z240=""),0,MAX(0,'Outstanding'!$E$5-Z240))</f>
        <v/>
      </c>
      <c r="AB240">
        <f>IF(AND(X240=1,AA240&gt;0),W240*((1+3*N('Parties'!$E$10)/12)^(AA240*12/365)-1),0)</f>
        <v/>
      </c>
      <c r="AC240">
        <f>IF(W240=0,"",'Outstanding'!$E$5-B240)</f>
        <v/>
      </c>
      <c r="AD240">
        <f>IF(S240=0,0,IFERROR(VLOOKUP(C240,'Parties'!$B$13:$Q$112,14,FALSE),0)+SUMIFS($T$7:$T$506,$C$7:$C$506,C240,$B$7:$B$506,"&lt;="&amp;'Parties'!$E$8))</f>
        <v/>
      </c>
      <c r="AE240">
        <f>IF(OR('Parties'!$E$8="",S240=0,B240="",B240&gt;'Parties'!$E$8),0,MAX(0,MIN(S240,U240-AD240)))</f>
        <v/>
      </c>
      <c r="AF240">
        <f>IF(AND(P240="Creditor",X240=1,AE240&gt;0,Z240&lt;&gt;""),IF(Z240&lt;='Parties'!$E$8,AE240,0),0)</f>
        <v/>
      </c>
      <c r="AG240">
        <f>IF(OR(AE240=0,Z240=""),0,MAX(0,'Parties'!$E$8-Z240))</f>
        <v/>
      </c>
      <c r="AH240">
        <f>IF(AND(P240="Creditor",X240=1,AG240&gt;0),AE240*((1+3*N('Parties'!$E$10)/12)^(AG240*12/365)-1),0)</f>
        <v/>
      </c>
      <c r="AI240">
        <f>IF(AND(C240&lt;&gt;"",C240='Ledger Account'!$D$4,B240&lt;&gt;"",B240&gt;='Ledger Account'!$D$5,B240&lt;='Ledger Account'!$D$6),1,0)</f>
        <v/>
      </c>
      <c r="AJ240">
        <f>IF(AI240=1,SUM(AI$7:AI240),"")</f>
        <v/>
      </c>
      <c r="AK240">
        <f>IF(OR(N240="",N240="OK"),0,1)</f>
        <v/>
      </c>
    </row>
    <row r="241">
      <c r="B241" s="24" t="n"/>
      <c r="C241" s="14" t="n"/>
      <c r="D241" s="14" t="n"/>
      <c r="E241" s="20" t="n"/>
      <c r="F241" s="24" t="n"/>
      <c r="G241" s="14" t="n"/>
      <c r="H241" s="22" t="n"/>
      <c r="I241" s="25">
        <f>IF(Q241="D",N(H241),0)</f>
        <v/>
      </c>
      <c r="J241" s="25">
        <f>IF(Q241="C",N(H241),0)</f>
        <v/>
      </c>
      <c r="K241" s="26">
        <f>IF(Z241="","",Z241)</f>
        <v/>
      </c>
      <c r="L241" s="27">
        <f>W241</f>
        <v/>
      </c>
      <c r="M241" s="28">
        <f>AA241</f>
        <v/>
      </c>
      <c r="N241" s="23">
        <f>IF(AND(B241="",C241="",D241="",N(H241)=0),"",IF(B241="","Enter the date",IF(C241="","Pick the party",IF(P241="?","Add this party on the Parties sheet first",IF(D241="","Pick the entry type",IF(Q241="?","Pick the entry type from the list",IF(N(H241)=0,"Enter the amount",IF(AND(R241&lt;&gt;"Any",R241&lt;&gt;P241),"Sales, receipts and credit notes are for debtors; purchases, payments and debit notes for creditors",IF(AND(F241&lt;&gt;"",D241&lt;&gt;"Purchase bill"),"The received-on date is only for purchase bills",IF(AND(P241="Creditor",X241=1,AA241&gt;0),"Past due to a micro or small supplier: interest runs under MSMED s.16, and if unpaid at year end it is not deductible that year, s.37(2)(g)",IF(AND(P241="Debtor",X241=1,AA241&gt;0),"Past due to you: as a micro or small supplier you can claim interest under MSMED s.16","OK")))))))))))</f>
        <v/>
      </c>
      <c r="P241">
        <f>IF(C241="","",IFERROR(VLOOKUP(C241,'Parties'!$B$13:$Q$112,2,FALSE),"?"))</f>
        <v/>
      </c>
      <c r="Q241">
        <f>IF(D241="","",IFERROR(VLOOKUP(D241,Lists!$A$2:$D$9,3,FALSE),"?"))</f>
        <v/>
      </c>
      <c r="R241">
        <f>IF(D241="","",IFERROR(VLOOKUP(D241,Lists!$A$2:$D$9,4,FALSE),"?"))</f>
        <v/>
      </c>
      <c r="S241">
        <f>IF(P241="Debtor",I241,IF(P241="Creditor",J241,0))</f>
        <v/>
      </c>
      <c r="T241">
        <f>IF(P241="Debtor",J241,IF(P241="Creditor",I241,0))</f>
        <v/>
      </c>
      <c r="U241">
        <f>IF(OR(S241=0,B241=""),0,IFERROR(VLOOKUP(C241,'Parties'!$B$13:$Q$112,13,FALSE),0)+SUMIFS($S$7:$S$506,$C$7:$C$506,C241,$B$7:$B$506,"&lt;"&amp;B241)+SUMIFS(S$7:S241,C$7:C241,C241,B$7:B241,B241))</f>
        <v/>
      </c>
      <c r="V241">
        <f>IF(S241=0,0,IFERROR(VLOOKUP(C241,'Parties'!$B$13:$Q$112,14,FALSE),0)+SUMIFS($T$7:$T$506,$C$7:$C$506,C241,$B$7:$B$506,"&lt;="&amp;'Outstanding'!$E$5))</f>
        <v/>
      </c>
      <c r="W241">
        <f>IF(OR('Outstanding'!$E$5="",S241=0,B241="",B241&gt;'Outstanding'!$E$5),0,MAX(0,MIN(S241,U241-V241)))</f>
        <v/>
      </c>
      <c r="X241">
        <f>IF(C241="",0,IFERROR(VLOOKUP(C241,'Parties'!$B$13:$Q$112,15,FALSE),0))</f>
        <v/>
      </c>
      <c r="Y241">
        <f>IF(C241="","",IFERROR(VLOOKUP(C241,'Parties'!$B$13:$Q$112,16,FALSE),0))</f>
        <v/>
      </c>
      <c r="Z241">
        <f>IF(OR(S241=0,B241="",Y241=""),"",IF(AND(F241&lt;&gt;"",D241="Purchase bill"),F241,B241)+Y241)</f>
        <v/>
      </c>
      <c r="AA241">
        <f>IF(OR(W241=0,Z241=""),0,MAX(0,'Outstanding'!$E$5-Z241))</f>
        <v/>
      </c>
      <c r="AB241">
        <f>IF(AND(X241=1,AA241&gt;0),W241*((1+3*N('Parties'!$E$10)/12)^(AA241*12/365)-1),0)</f>
        <v/>
      </c>
      <c r="AC241">
        <f>IF(W241=0,"",'Outstanding'!$E$5-B241)</f>
        <v/>
      </c>
      <c r="AD241">
        <f>IF(S241=0,0,IFERROR(VLOOKUP(C241,'Parties'!$B$13:$Q$112,14,FALSE),0)+SUMIFS($T$7:$T$506,$C$7:$C$506,C241,$B$7:$B$506,"&lt;="&amp;'Parties'!$E$8))</f>
        <v/>
      </c>
      <c r="AE241">
        <f>IF(OR('Parties'!$E$8="",S241=0,B241="",B241&gt;'Parties'!$E$8),0,MAX(0,MIN(S241,U241-AD241)))</f>
        <v/>
      </c>
      <c r="AF241">
        <f>IF(AND(P241="Creditor",X241=1,AE241&gt;0,Z241&lt;&gt;""),IF(Z241&lt;='Parties'!$E$8,AE241,0),0)</f>
        <v/>
      </c>
      <c r="AG241">
        <f>IF(OR(AE241=0,Z241=""),0,MAX(0,'Parties'!$E$8-Z241))</f>
        <v/>
      </c>
      <c r="AH241">
        <f>IF(AND(P241="Creditor",X241=1,AG241&gt;0),AE241*((1+3*N('Parties'!$E$10)/12)^(AG241*12/365)-1),0)</f>
        <v/>
      </c>
      <c r="AI241">
        <f>IF(AND(C241&lt;&gt;"",C241='Ledger Account'!$D$4,B241&lt;&gt;"",B241&gt;='Ledger Account'!$D$5,B241&lt;='Ledger Account'!$D$6),1,0)</f>
        <v/>
      </c>
      <c r="AJ241">
        <f>IF(AI241=1,SUM(AI$7:AI241),"")</f>
        <v/>
      </c>
      <c r="AK241">
        <f>IF(OR(N241="",N241="OK"),0,1)</f>
        <v/>
      </c>
    </row>
    <row r="242">
      <c r="B242" s="24" t="n"/>
      <c r="C242" s="14" t="n"/>
      <c r="D242" s="14" t="n"/>
      <c r="E242" s="20" t="n"/>
      <c r="F242" s="24" t="n"/>
      <c r="G242" s="14" t="n"/>
      <c r="H242" s="22" t="n"/>
      <c r="I242" s="25">
        <f>IF(Q242="D",N(H242),0)</f>
        <v/>
      </c>
      <c r="J242" s="25">
        <f>IF(Q242="C",N(H242),0)</f>
        <v/>
      </c>
      <c r="K242" s="26">
        <f>IF(Z242="","",Z242)</f>
        <v/>
      </c>
      <c r="L242" s="27">
        <f>W242</f>
        <v/>
      </c>
      <c r="M242" s="28">
        <f>AA242</f>
        <v/>
      </c>
      <c r="N242" s="23">
        <f>IF(AND(B242="",C242="",D242="",N(H242)=0),"",IF(B242="","Enter the date",IF(C242="","Pick the party",IF(P242="?","Add this party on the Parties sheet first",IF(D242="","Pick the entry type",IF(Q242="?","Pick the entry type from the list",IF(N(H242)=0,"Enter the amount",IF(AND(R242&lt;&gt;"Any",R242&lt;&gt;P242),"Sales, receipts and credit notes are for debtors; purchases, payments and debit notes for creditors",IF(AND(F242&lt;&gt;"",D242&lt;&gt;"Purchase bill"),"The received-on date is only for purchase bills",IF(AND(P242="Creditor",X242=1,AA242&gt;0),"Past due to a micro or small supplier: interest runs under MSMED s.16, and if unpaid at year end it is not deductible that year, s.37(2)(g)",IF(AND(P242="Debtor",X242=1,AA242&gt;0),"Past due to you: as a micro or small supplier you can claim interest under MSMED s.16","OK")))))))))))</f>
        <v/>
      </c>
      <c r="P242">
        <f>IF(C242="","",IFERROR(VLOOKUP(C242,'Parties'!$B$13:$Q$112,2,FALSE),"?"))</f>
        <v/>
      </c>
      <c r="Q242">
        <f>IF(D242="","",IFERROR(VLOOKUP(D242,Lists!$A$2:$D$9,3,FALSE),"?"))</f>
        <v/>
      </c>
      <c r="R242">
        <f>IF(D242="","",IFERROR(VLOOKUP(D242,Lists!$A$2:$D$9,4,FALSE),"?"))</f>
        <v/>
      </c>
      <c r="S242">
        <f>IF(P242="Debtor",I242,IF(P242="Creditor",J242,0))</f>
        <v/>
      </c>
      <c r="T242">
        <f>IF(P242="Debtor",J242,IF(P242="Creditor",I242,0))</f>
        <v/>
      </c>
      <c r="U242">
        <f>IF(OR(S242=0,B242=""),0,IFERROR(VLOOKUP(C242,'Parties'!$B$13:$Q$112,13,FALSE),0)+SUMIFS($S$7:$S$506,$C$7:$C$506,C242,$B$7:$B$506,"&lt;"&amp;B242)+SUMIFS(S$7:S242,C$7:C242,C242,B$7:B242,B242))</f>
        <v/>
      </c>
      <c r="V242">
        <f>IF(S242=0,0,IFERROR(VLOOKUP(C242,'Parties'!$B$13:$Q$112,14,FALSE),0)+SUMIFS($T$7:$T$506,$C$7:$C$506,C242,$B$7:$B$506,"&lt;="&amp;'Outstanding'!$E$5))</f>
        <v/>
      </c>
      <c r="W242">
        <f>IF(OR('Outstanding'!$E$5="",S242=0,B242="",B242&gt;'Outstanding'!$E$5),0,MAX(0,MIN(S242,U242-V242)))</f>
        <v/>
      </c>
      <c r="X242">
        <f>IF(C242="",0,IFERROR(VLOOKUP(C242,'Parties'!$B$13:$Q$112,15,FALSE),0))</f>
        <v/>
      </c>
      <c r="Y242">
        <f>IF(C242="","",IFERROR(VLOOKUP(C242,'Parties'!$B$13:$Q$112,16,FALSE),0))</f>
        <v/>
      </c>
      <c r="Z242">
        <f>IF(OR(S242=0,B242="",Y242=""),"",IF(AND(F242&lt;&gt;"",D242="Purchase bill"),F242,B242)+Y242)</f>
        <v/>
      </c>
      <c r="AA242">
        <f>IF(OR(W242=0,Z242=""),0,MAX(0,'Outstanding'!$E$5-Z242))</f>
        <v/>
      </c>
      <c r="AB242">
        <f>IF(AND(X242=1,AA242&gt;0),W242*((1+3*N('Parties'!$E$10)/12)^(AA242*12/365)-1),0)</f>
        <v/>
      </c>
      <c r="AC242">
        <f>IF(W242=0,"",'Outstanding'!$E$5-B242)</f>
        <v/>
      </c>
      <c r="AD242">
        <f>IF(S242=0,0,IFERROR(VLOOKUP(C242,'Parties'!$B$13:$Q$112,14,FALSE),0)+SUMIFS($T$7:$T$506,$C$7:$C$506,C242,$B$7:$B$506,"&lt;="&amp;'Parties'!$E$8))</f>
        <v/>
      </c>
      <c r="AE242">
        <f>IF(OR('Parties'!$E$8="",S242=0,B242="",B242&gt;'Parties'!$E$8),0,MAX(0,MIN(S242,U242-AD242)))</f>
        <v/>
      </c>
      <c r="AF242">
        <f>IF(AND(P242="Creditor",X242=1,AE242&gt;0,Z242&lt;&gt;""),IF(Z242&lt;='Parties'!$E$8,AE242,0),0)</f>
        <v/>
      </c>
      <c r="AG242">
        <f>IF(OR(AE242=0,Z242=""),0,MAX(0,'Parties'!$E$8-Z242))</f>
        <v/>
      </c>
      <c r="AH242">
        <f>IF(AND(P242="Creditor",X242=1,AG242&gt;0),AE242*((1+3*N('Parties'!$E$10)/12)^(AG242*12/365)-1),0)</f>
        <v/>
      </c>
      <c r="AI242">
        <f>IF(AND(C242&lt;&gt;"",C242='Ledger Account'!$D$4,B242&lt;&gt;"",B242&gt;='Ledger Account'!$D$5,B242&lt;='Ledger Account'!$D$6),1,0)</f>
        <v/>
      </c>
      <c r="AJ242">
        <f>IF(AI242=1,SUM(AI$7:AI242),"")</f>
        <v/>
      </c>
      <c r="AK242">
        <f>IF(OR(N242="",N242="OK"),0,1)</f>
        <v/>
      </c>
    </row>
    <row r="243">
      <c r="B243" s="24" t="n"/>
      <c r="C243" s="14" t="n"/>
      <c r="D243" s="14" t="n"/>
      <c r="E243" s="20" t="n"/>
      <c r="F243" s="24" t="n"/>
      <c r="G243" s="14" t="n"/>
      <c r="H243" s="22" t="n"/>
      <c r="I243" s="25">
        <f>IF(Q243="D",N(H243),0)</f>
        <v/>
      </c>
      <c r="J243" s="25">
        <f>IF(Q243="C",N(H243),0)</f>
        <v/>
      </c>
      <c r="K243" s="26">
        <f>IF(Z243="","",Z243)</f>
        <v/>
      </c>
      <c r="L243" s="27">
        <f>W243</f>
        <v/>
      </c>
      <c r="M243" s="28">
        <f>AA243</f>
        <v/>
      </c>
      <c r="N243" s="23">
        <f>IF(AND(B243="",C243="",D243="",N(H243)=0),"",IF(B243="","Enter the date",IF(C243="","Pick the party",IF(P243="?","Add this party on the Parties sheet first",IF(D243="","Pick the entry type",IF(Q243="?","Pick the entry type from the list",IF(N(H243)=0,"Enter the amount",IF(AND(R243&lt;&gt;"Any",R243&lt;&gt;P243),"Sales, receipts and credit notes are for debtors; purchases, payments and debit notes for creditors",IF(AND(F243&lt;&gt;"",D243&lt;&gt;"Purchase bill"),"The received-on date is only for purchase bills",IF(AND(P243="Creditor",X243=1,AA243&gt;0),"Past due to a micro or small supplier: interest runs under MSMED s.16, and if unpaid at year end it is not deductible that year, s.37(2)(g)",IF(AND(P243="Debtor",X243=1,AA243&gt;0),"Past due to you: as a micro or small supplier you can claim interest under MSMED s.16","OK")))))))))))</f>
        <v/>
      </c>
      <c r="P243">
        <f>IF(C243="","",IFERROR(VLOOKUP(C243,'Parties'!$B$13:$Q$112,2,FALSE),"?"))</f>
        <v/>
      </c>
      <c r="Q243">
        <f>IF(D243="","",IFERROR(VLOOKUP(D243,Lists!$A$2:$D$9,3,FALSE),"?"))</f>
        <v/>
      </c>
      <c r="R243">
        <f>IF(D243="","",IFERROR(VLOOKUP(D243,Lists!$A$2:$D$9,4,FALSE),"?"))</f>
        <v/>
      </c>
      <c r="S243">
        <f>IF(P243="Debtor",I243,IF(P243="Creditor",J243,0))</f>
        <v/>
      </c>
      <c r="T243">
        <f>IF(P243="Debtor",J243,IF(P243="Creditor",I243,0))</f>
        <v/>
      </c>
      <c r="U243">
        <f>IF(OR(S243=0,B243=""),0,IFERROR(VLOOKUP(C243,'Parties'!$B$13:$Q$112,13,FALSE),0)+SUMIFS($S$7:$S$506,$C$7:$C$506,C243,$B$7:$B$506,"&lt;"&amp;B243)+SUMIFS(S$7:S243,C$7:C243,C243,B$7:B243,B243))</f>
        <v/>
      </c>
      <c r="V243">
        <f>IF(S243=0,0,IFERROR(VLOOKUP(C243,'Parties'!$B$13:$Q$112,14,FALSE),0)+SUMIFS($T$7:$T$506,$C$7:$C$506,C243,$B$7:$B$506,"&lt;="&amp;'Outstanding'!$E$5))</f>
        <v/>
      </c>
      <c r="W243">
        <f>IF(OR('Outstanding'!$E$5="",S243=0,B243="",B243&gt;'Outstanding'!$E$5),0,MAX(0,MIN(S243,U243-V243)))</f>
        <v/>
      </c>
      <c r="X243">
        <f>IF(C243="",0,IFERROR(VLOOKUP(C243,'Parties'!$B$13:$Q$112,15,FALSE),0))</f>
        <v/>
      </c>
      <c r="Y243">
        <f>IF(C243="","",IFERROR(VLOOKUP(C243,'Parties'!$B$13:$Q$112,16,FALSE),0))</f>
        <v/>
      </c>
      <c r="Z243">
        <f>IF(OR(S243=0,B243="",Y243=""),"",IF(AND(F243&lt;&gt;"",D243="Purchase bill"),F243,B243)+Y243)</f>
        <v/>
      </c>
      <c r="AA243">
        <f>IF(OR(W243=0,Z243=""),0,MAX(0,'Outstanding'!$E$5-Z243))</f>
        <v/>
      </c>
      <c r="AB243">
        <f>IF(AND(X243=1,AA243&gt;0),W243*((1+3*N('Parties'!$E$10)/12)^(AA243*12/365)-1),0)</f>
        <v/>
      </c>
      <c r="AC243">
        <f>IF(W243=0,"",'Outstanding'!$E$5-B243)</f>
        <v/>
      </c>
      <c r="AD243">
        <f>IF(S243=0,0,IFERROR(VLOOKUP(C243,'Parties'!$B$13:$Q$112,14,FALSE),0)+SUMIFS($T$7:$T$506,$C$7:$C$506,C243,$B$7:$B$506,"&lt;="&amp;'Parties'!$E$8))</f>
        <v/>
      </c>
      <c r="AE243">
        <f>IF(OR('Parties'!$E$8="",S243=0,B243="",B243&gt;'Parties'!$E$8),0,MAX(0,MIN(S243,U243-AD243)))</f>
        <v/>
      </c>
      <c r="AF243">
        <f>IF(AND(P243="Creditor",X243=1,AE243&gt;0,Z243&lt;&gt;""),IF(Z243&lt;='Parties'!$E$8,AE243,0),0)</f>
        <v/>
      </c>
      <c r="AG243">
        <f>IF(OR(AE243=0,Z243=""),0,MAX(0,'Parties'!$E$8-Z243))</f>
        <v/>
      </c>
      <c r="AH243">
        <f>IF(AND(P243="Creditor",X243=1,AG243&gt;0),AE243*((1+3*N('Parties'!$E$10)/12)^(AG243*12/365)-1),0)</f>
        <v/>
      </c>
      <c r="AI243">
        <f>IF(AND(C243&lt;&gt;"",C243='Ledger Account'!$D$4,B243&lt;&gt;"",B243&gt;='Ledger Account'!$D$5,B243&lt;='Ledger Account'!$D$6),1,0)</f>
        <v/>
      </c>
      <c r="AJ243">
        <f>IF(AI243=1,SUM(AI$7:AI243),"")</f>
        <v/>
      </c>
      <c r="AK243">
        <f>IF(OR(N243="",N243="OK"),0,1)</f>
        <v/>
      </c>
    </row>
    <row r="244">
      <c r="B244" s="24" t="n"/>
      <c r="C244" s="14" t="n"/>
      <c r="D244" s="14" t="n"/>
      <c r="E244" s="20" t="n"/>
      <c r="F244" s="24" t="n"/>
      <c r="G244" s="14" t="n"/>
      <c r="H244" s="22" t="n"/>
      <c r="I244" s="25">
        <f>IF(Q244="D",N(H244),0)</f>
        <v/>
      </c>
      <c r="J244" s="25">
        <f>IF(Q244="C",N(H244),0)</f>
        <v/>
      </c>
      <c r="K244" s="26">
        <f>IF(Z244="","",Z244)</f>
        <v/>
      </c>
      <c r="L244" s="27">
        <f>W244</f>
        <v/>
      </c>
      <c r="M244" s="28">
        <f>AA244</f>
        <v/>
      </c>
      <c r="N244" s="23">
        <f>IF(AND(B244="",C244="",D244="",N(H244)=0),"",IF(B244="","Enter the date",IF(C244="","Pick the party",IF(P244="?","Add this party on the Parties sheet first",IF(D244="","Pick the entry type",IF(Q244="?","Pick the entry type from the list",IF(N(H244)=0,"Enter the amount",IF(AND(R244&lt;&gt;"Any",R244&lt;&gt;P244),"Sales, receipts and credit notes are for debtors; purchases, payments and debit notes for creditors",IF(AND(F244&lt;&gt;"",D244&lt;&gt;"Purchase bill"),"The received-on date is only for purchase bills",IF(AND(P244="Creditor",X244=1,AA244&gt;0),"Past due to a micro or small supplier: interest runs under MSMED s.16, and if unpaid at year end it is not deductible that year, s.37(2)(g)",IF(AND(P244="Debtor",X244=1,AA244&gt;0),"Past due to you: as a micro or small supplier you can claim interest under MSMED s.16","OK")))))))))))</f>
        <v/>
      </c>
      <c r="P244">
        <f>IF(C244="","",IFERROR(VLOOKUP(C244,'Parties'!$B$13:$Q$112,2,FALSE),"?"))</f>
        <v/>
      </c>
      <c r="Q244">
        <f>IF(D244="","",IFERROR(VLOOKUP(D244,Lists!$A$2:$D$9,3,FALSE),"?"))</f>
        <v/>
      </c>
      <c r="R244">
        <f>IF(D244="","",IFERROR(VLOOKUP(D244,Lists!$A$2:$D$9,4,FALSE),"?"))</f>
        <v/>
      </c>
      <c r="S244">
        <f>IF(P244="Debtor",I244,IF(P244="Creditor",J244,0))</f>
        <v/>
      </c>
      <c r="T244">
        <f>IF(P244="Debtor",J244,IF(P244="Creditor",I244,0))</f>
        <v/>
      </c>
      <c r="U244">
        <f>IF(OR(S244=0,B244=""),0,IFERROR(VLOOKUP(C244,'Parties'!$B$13:$Q$112,13,FALSE),0)+SUMIFS($S$7:$S$506,$C$7:$C$506,C244,$B$7:$B$506,"&lt;"&amp;B244)+SUMIFS(S$7:S244,C$7:C244,C244,B$7:B244,B244))</f>
        <v/>
      </c>
      <c r="V244">
        <f>IF(S244=0,0,IFERROR(VLOOKUP(C244,'Parties'!$B$13:$Q$112,14,FALSE),0)+SUMIFS($T$7:$T$506,$C$7:$C$506,C244,$B$7:$B$506,"&lt;="&amp;'Outstanding'!$E$5))</f>
        <v/>
      </c>
      <c r="W244">
        <f>IF(OR('Outstanding'!$E$5="",S244=0,B244="",B244&gt;'Outstanding'!$E$5),0,MAX(0,MIN(S244,U244-V244)))</f>
        <v/>
      </c>
      <c r="X244">
        <f>IF(C244="",0,IFERROR(VLOOKUP(C244,'Parties'!$B$13:$Q$112,15,FALSE),0))</f>
        <v/>
      </c>
      <c r="Y244">
        <f>IF(C244="","",IFERROR(VLOOKUP(C244,'Parties'!$B$13:$Q$112,16,FALSE),0))</f>
        <v/>
      </c>
      <c r="Z244">
        <f>IF(OR(S244=0,B244="",Y244=""),"",IF(AND(F244&lt;&gt;"",D244="Purchase bill"),F244,B244)+Y244)</f>
        <v/>
      </c>
      <c r="AA244">
        <f>IF(OR(W244=0,Z244=""),0,MAX(0,'Outstanding'!$E$5-Z244))</f>
        <v/>
      </c>
      <c r="AB244">
        <f>IF(AND(X244=1,AA244&gt;0),W244*((1+3*N('Parties'!$E$10)/12)^(AA244*12/365)-1),0)</f>
        <v/>
      </c>
      <c r="AC244">
        <f>IF(W244=0,"",'Outstanding'!$E$5-B244)</f>
        <v/>
      </c>
      <c r="AD244">
        <f>IF(S244=0,0,IFERROR(VLOOKUP(C244,'Parties'!$B$13:$Q$112,14,FALSE),0)+SUMIFS($T$7:$T$506,$C$7:$C$506,C244,$B$7:$B$506,"&lt;="&amp;'Parties'!$E$8))</f>
        <v/>
      </c>
      <c r="AE244">
        <f>IF(OR('Parties'!$E$8="",S244=0,B244="",B244&gt;'Parties'!$E$8),0,MAX(0,MIN(S244,U244-AD244)))</f>
        <v/>
      </c>
      <c r="AF244">
        <f>IF(AND(P244="Creditor",X244=1,AE244&gt;0,Z244&lt;&gt;""),IF(Z244&lt;='Parties'!$E$8,AE244,0),0)</f>
        <v/>
      </c>
      <c r="AG244">
        <f>IF(OR(AE244=0,Z244=""),0,MAX(0,'Parties'!$E$8-Z244))</f>
        <v/>
      </c>
      <c r="AH244">
        <f>IF(AND(P244="Creditor",X244=1,AG244&gt;0),AE244*((1+3*N('Parties'!$E$10)/12)^(AG244*12/365)-1),0)</f>
        <v/>
      </c>
      <c r="AI244">
        <f>IF(AND(C244&lt;&gt;"",C244='Ledger Account'!$D$4,B244&lt;&gt;"",B244&gt;='Ledger Account'!$D$5,B244&lt;='Ledger Account'!$D$6),1,0)</f>
        <v/>
      </c>
      <c r="AJ244">
        <f>IF(AI244=1,SUM(AI$7:AI244),"")</f>
        <v/>
      </c>
      <c r="AK244">
        <f>IF(OR(N244="",N244="OK"),0,1)</f>
        <v/>
      </c>
    </row>
    <row r="245">
      <c r="B245" s="24" t="n"/>
      <c r="C245" s="14" t="n"/>
      <c r="D245" s="14" t="n"/>
      <c r="E245" s="20" t="n"/>
      <c r="F245" s="24" t="n"/>
      <c r="G245" s="14" t="n"/>
      <c r="H245" s="22" t="n"/>
      <c r="I245" s="25">
        <f>IF(Q245="D",N(H245),0)</f>
        <v/>
      </c>
      <c r="J245" s="25">
        <f>IF(Q245="C",N(H245),0)</f>
        <v/>
      </c>
      <c r="K245" s="26">
        <f>IF(Z245="","",Z245)</f>
        <v/>
      </c>
      <c r="L245" s="27">
        <f>W245</f>
        <v/>
      </c>
      <c r="M245" s="28">
        <f>AA245</f>
        <v/>
      </c>
      <c r="N245" s="23">
        <f>IF(AND(B245="",C245="",D245="",N(H245)=0),"",IF(B245="","Enter the date",IF(C245="","Pick the party",IF(P245="?","Add this party on the Parties sheet first",IF(D245="","Pick the entry type",IF(Q245="?","Pick the entry type from the list",IF(N(H245)=0,"Enter the amount",IF(AND(R245&lt;&gt;"Any",R245&lt;&gt;P245),"Sales, receipts and credit notes are for debtors; purchases, payments and debit notes for creditors",IF(AND(F245&lt;&gt;"",D245&lt;&gt;"Purchase bill"),"The received-on date is only for purchase bills",IF(AND(P245="Creditor",X245=1,AA245&gt;0),"Past due to a micro or small supplier: interest runs under MSMED s.16, and if unpaid at year end it is not deductible that year, s.37(2)(g)",IF(AND(P245="Debtor",X245=1,AA245&gt;0),"Past due to you: as a micro or small supplier you can claim interest under MSMED s.16","OK")))))))))))</f>
        <v/>
      </c>
      <c r="P245">
        <f>IF(C245="","",IFERROR(VLOOKUP(C245,'Parties'!$B$13:$Q$112,2,FALSE),"?"))</f>
        <v/>
      </c>
      <c r="Q245">
        <f>IF(D245="","",IFERROR(VLOOKUP(D245,Lists!$A$2:$D$9,3,FALSE),"?"))</f>
        <v/>
      </c>
      <c r="R245">
        <f>IF(D245="","",IFERROR(VLOOKUP(D245,Lists!$A$2:$D$9,4,FALSE),"?"))</f>
        <v/>
      </c>
      <c r="S245">
        <f>IF(P245="Debtor",I245,IF(P245="Creditor",J245,0))</f>
        <v/>
      </c>
      <c r="T245">
        <f>IF(P245="Debtor",J245,IF(P245="Creditor",I245,0))</f>
        <v/>
      </c>
      <c r="U245">
        <f>IF(OR(S245=0,B245=""),0,IFERROR(VLOOKUP(C245,'Parties'!$B$13:$Q$112,13,FALSE),0)+SUMIFS($S$7:$S$506,$C$7:$C$506,C245,$B$7:$B$506,"&lt;"&amp;B245)+SUMIFS(S$7:S245,C$7:C245,C245,B$7:B245,B245))</f>
        <v/>
      </c>
      <c r="V245">
        <f>IF(S245=0,0,IFERROR(VLOOKUP(C245,'Parties'!$B$13:$Q$112,14,FALSE),0)+SUMIFS($T$7:$T$506,$C$7:$C$506,C245,$B$7:$B$506,"&lt;="&amp;'Outstanding'!$E$5))</f>
        <v/>
      </c>
      <c r="W245">
        <f>IF(OR('Outstanding'!$E$5="",S245=0,B245="",B245&gt;'Outstanding'!$E$5),0,MAX(0,MIN(S245,U245-V245)))</f>
        <v/>
      </c>
      <c r="X245">
        <f>IF(C245="",0,IFERROR(VLOOKUP(C245,'Parties'!$B$13:$Q$112,15,FALSE),0))</f>
        <v/>
      </c>
      <c r="Y245">
        <f>IF(C245="","",IFERROR(VLOOKUP(C245,'Parties'!$B$13:$Q$112,16,FALSE),0))</f>
        <v/>
      </c>
      <c r="Z245">
        <f>IF(OR(S245=0,B245="",Y245=""),"",IF(AND(F245&lt;&gt;"",D245="Purchase bill"),F245,B245)+Y245)</f>
        <v/>
      </c>
      <c r="AA245">
        <f>IF(OR(W245=0,Z245=""),0,MAX(0,'Outstanding'!$E$5-Z245))</f>
        <v/>
      </c>
      <c r="AB245">
        <f>IF(AND(X245=1,AA245&gt;0),W245*((1+3*N('Parties'!$E$10)/12)^(AA245*12/365)-1),0)</f>
        <v/>
      </c>
      <c r="AC245">
        <f>IF(W245=0,"",'Outstanding'!$E$5-B245)</f>
        <v/>
      </c>
      <c r="AD245">
        <f>IF(S245=0,0,IFERROR(VLOOKUP(C245,'Parties'!$B$13:$Q$112,14,FALSE),0)+SUMIFS($T$7:$T$506,$C$7:$C$506,C245,$B$7:$B$506,"&lt;="&amp;'Parties'!$E$8))</f>
        <v/>
      </c>
      <c r="AE245">
        <f>IF(OR('Parties'!$E$8="",S245=0,B245="",B245&gt;'Parties'!$E$8),0,MAX(0,MIN(S245,U245-AD245)))</f>
        <v/>
      </c>
      <c r="AF245">
        <f>IF(AND(P245="Creditor",X245=1,AE245&gt;0,Z245&lt;&gt;""),IF(Z245&lt;='Parties'!$E$8,AE245,0),0)</f>
        <v/>
      </c>
      <c r="AG245">
        <f>IF(OR(AE245=0,Z245=""),0,MAX(0,'Parties'!$E$8-Z245))</f>
        <v/>
      </c>
      <c r="AH245">
        <f>IF(AND(P245="Creditor",X245=1,AG245&gt;0),AE245*((1+3*N('Parties'!$E$10)/12)^(AG245*12/365)-1),0)</f>
        <v/>
      </c>
      <c r="AI245">
        <f>IF(AND(C245&lt;&gt;"",C245='Ledger Account'!$D$4,B245&lt;&gt;"",B245&gt;='Ledger Account'!$D$5,B245&lt;='Ledger Account'!$D$6),1,0)</f>
        <v/>
      </c>
      <c r="AJ245">
        <f>IF(AI245=1,SUM(AI$7:AI245),"")</f>
        <v/>
      </c>
      <c r="AK245">
        <f>IF(OR(N245="",N245="OK"),0,1)</f>
        <v/>
      </c>
    </row>
    <row r="246">
      <c r="B246" s="24" t="n"/>
      <c r="C246" s="14" t="n"/>
      <c r="D246" s="14" t="n"/>
      <c r="E246" s="20" t="n"/>
      <c r="F246" s="24" t="n"/>
      <c r="G246" s="14" t="n"/>
      <c r="H246" s="22" t="n"/>
      <c r="I246" s="25">
        <f>IF(Q246="D",N(H246),0)</f>
        <v/>
      </c>
      <c r="J246" s="25">
        <f>IF(Q246="C",N(H246),0)</f>
        <v/>
      </c>
      <c r="K246" s="26">
        <f>IF(Z246="","",Z246)</f>
        <v/>
      </c>
      <c r="L246" s="27">
        <f>W246</f>
        <v/>
      </c>
      <c r="M246" s="28">
        <f>AA246</f>
        <v/>
      </c>
      <c r="N246" s="23">
        <f>IF(AND(B246="",C246="",D246="",N(H246)=0),"",IF(B246="","Enter the date",IF(C246="","Pick the party",IF(P246="?","Add this party on the Parties sheet first",IF(D246="","Pick the entry type",IF(Q246="?","Pick the entry type from the list",IF(N(H246)=0,"Enter the amount",IF(AND(R246&lt;&gt;"Any",R246&lt;&gt;P246),"Sales, receipts and credit notes are for debtors; purchases, payments and debit notes for creditors",IF(AND(F246&lt;&gt;"",D246&lt;&gt;"Purchase bill"),"The received-on date is only for purchase bills",IF(AND(P246="Creditor",X246=1,AA246&gt;0),"Past due to a micro or small supplier: interest runs under MSMED s.16, and if unpaid at year end it is not deductible that year, s.37(2)(g)",IF(AND(P246="Debtor",X246=1,AA246&gt;0),"Past due to you: as a micro or small supplier you can claim interest under MSMED s.16","OK")))))))))))</f>
        <v/>
      </c>
      <c r="P246">
        <f>IF(C246="","",IFERROR(VLOOKUP(C246,'Parties'!$B$13:$Q$112,2,FALSE),"?"))</f>
        <v/>
      </c>
      <c r="Q246">
        <f>IF(D246="","",IFERROR(VLOOKUP(D246,Lists!$A$2:$D$9,3,FALSE),"?"))</f>
        <v/>
      </c>
      <c r="R246">
        <f>IF(D246="","",IFERROR(VLOOKUP(D246,Lists!$A$2:$D$9,4,FALSE),"?"))</f>
        <v/>
      </c>
      <c r="S246">
        <f>IF(P246="Debtor",I246,IF(P246="Creditor",J246,0))</f>
        <v/>
      </c>
      <c r="T246">
        <f>IF(P246="Debtor",J246,IF(P246="Creditor",I246,0))</f>
        <v/>
      </c>
      <c r="U246">
        <f>IF(OR(S246=0,B246=""),0,IFERROR(VLOOKUP(C246,'Parties'!$B$13:$Q$112,13,FALSE),0)+SUMIFS($S$7:$S$506,$C$7:$C$506,C246,$B$7:$B$506,"&lt;"&amp;B246)+SUMIFS(S$7:S246,C$7:C246,C246,B$7:B246,B246))</f>
        <v/>
      </c>
      <c r="V246">
        <f>IF(S246=0,0,IFERROR(VLOOKUP(C246,'Parties'!$B$13:$Q$112,14,FALSE),0)+SUMIFS($T$7:$T$506,$C$7:$C$506,C246,$B$7:$B$506,"&lt;="&amp;'Outstanding'!$E$5))</f>
        <v/>
      </c>
      <c r="W246">
        <f>IF(OR('Outstanding'!$E$5="",S246=0,B246="",B246&gt;'Outstanding'!$E$5),0,MAX(0,MIN(S246,U246-V246)))</f>
        <v/>
      </c>
      <c r="X246">
        <f>IF(C246="",0,IFERROR(VLOOKUP(C246,'Parties'!$B$13:$Q$112,15,FALSE),0))</f>
        <v/>
      </c>
      <c r="Y246">
        <f>IF(C246="","",IFERROR(VLOOKUP(C246,'Parties'!$B$13:$Q$112,16,FALSE),0))</f>
        <v/>
      </c>
      <c r="Z246">
        <f>IF(OR(S246=0,B246="",Y246=""),"",IF(AND(F246&lt;&gt;"",D246="Purchase bill"),F246,B246)+Y246)</f>
        <v/>
      </c>
      <c r="AA246">
        <f>IF(OR(W246=0,Z246=""),0,MAX(0,'Outstanding'!$E$5-Z246))</f>
        <v/>
      </c>
      <c r="AB246">
        <f>IF(AND(X246=1,AA246&gt;0),W246*((1+3*N('Parties'!$E$10)/12)^(AA246*12/365)-1),0)</f>
        <v/>
      </c>
      <c r="AC246">
        <f>IF(W246=0,"",'Outstanding'!$E$5-B246)</f>
        <v/>
      </c>
      <c r="AD246">
        <f>IF(S246=0,0,IFERROR(VLOOKUP(C246,'Parties'!$B$13:$Q$112,14,FALSE),0)+SUMIFS($T$7:$T$506,$C$7:$C$506,C246,$B$7:$B$506,"&lt;="&amp;'Parties'!$E$8))</f>
        <v/>
      </c>
      <c r="AE246">
        <f>IF(OR('Parties'!$E$8="",S246=0,B246="",B246&gt;'Parties'!$E$8),0,MAX(0,MIN(S246,U246-AD246)))</f>
        <v/>
      </c>
      <c r="AF246">
        <f>IF(AND(P246="Creditor",X246=1,AE246&gt;0,Z246&lt;&gt;""),IF(Z246&lt;='Parties'!$E$8,AE246,0),0)</f>
        <v/>
      </c>
      <c r="AG246">
        <f>IF(OR(AE246=0,Z246=""),0,MAX(0,'Parties'!$E$8-Z246))</f>
        <v/>
      </c>
      <c r="AH246">
        <f>IF(AND(P246="Creditor",X246=1,AG246&gt;0),AE246*((1+3*N('Parties'!$E$10)/12)^(AG246*12/365)-1),0)</f>
        <v/>
      </c>
      <c r="AI246">
        <f>IF(AND(C246&lt;&gt;"",C246='Ledger Account'!$D$4,B246&lt;&gt;"",B246&gt;='Ledger Account'!$D$5,B246&lt;='Ledger Account'!$D$6),1,0)</f>
        <v/>
      </c>
      <c r="AJ246">
        <f>IF(AI246=1,SUM(AI$7:AI246),"")</f>
        <v/>
      </c>
      <c r="AK246">
        <f>IF(OR(N246="",N246="OK"),0,1)</f>
        <v/>
      </c>
    </row>
    <row r="247">
      <c r="B247" s="24" t="n"/>
      <c r="C247" s="14" t="n"/>
      <c r="D247" s="14" t="n"/>
      <c r="E247" s="20" t="n"/>
      <c r="F247" s="24" t="n"/>
      <c r="G247" s="14" t="n"/>
      <c r="H247" s="22" t="n"/>
      <c r="I247" s="25">
        <f>IF(Q247="D",N(H247),0)</f>
        <v/>
      </c>
      <c r="J247" s="25">
        <f>IF(Q247="C",N(H247),0)</f>
        <v/>
      </c>
      <c r="K247" s="26">
        <f>IF(Z247="","",Z247)</f>
        <v/>
      </c>
      <c r="L247" s="27">
        <f>W247</f>
        <v/>
      </c>
      <c r="M247" s="28">
        <f>AA247</f>
        <v/>
      </c>
      <c r="N247" s="23">
        <f>IF(AND(B247="",C247="",D247="",N(H247)=0),"",IF(B247="","Enter the date",IF(C247="","Pick the party",IF(P247="?","Add this party on the Parties sheet first",IF(D247="","Pick the entry type",IF(Q247="?","Pick the entry type from the list",IF(N(H247)=0,"Enter the amount",IF(AND(R247&lt;&gt;"Any",R247&lt;&gt;P247),"Sales, receipts and credit notes are for debtors; purchases, payments and debit notes for creditors",IF(AND(F247&lt;&gt;"",D247&lt;&gt;"Purchase bill"),"The received-on date is only for purchase bills",IF(AND(P247="Creditor",X247=1,AA247&gt;0),"Past due to a micro or small supplier: interest runs under MSMED s.16, and if unpaid at year end it is not deductible that year, s.37(2)(g)",IF(AND(P247="Debtor",X247=1,AA247&gt;0),"Past due to you: as a micro or small supplier you can claim interest under MSMED s.16","OK")))))))))))</f>
        <v/>
      </c>
      <c r="P247">
        <f>IF(C247="","",IFERROR(VLOOKUP(C247,'Parties'!$B$13:$Q$112,2,FALSE),"?"))</f>
        <v/>
      </c>
      <c r="Q247">
        <f>IF(D247="","",IFERROR(VLOOKUP(D247,Lists!$A$2:$D$9,3,FALSE),"?"))</f>
        <v/>
      </c>
      <c r="R247">
        <f>IF(D247="","",IFERROR(VLOOKUP(D247,Lists!$A$2:$D$9,4,FALSE),"?"))</f>
        <v/>
      </c>
      <c r="S247">
        <f>IF(P247="Debtor",I247,IF(P247="Creditor",J247,0))</f>
        <v/>
      </c>
      <c r="T247">
        <f>IF(P247="Debtor",J247,IF(P247="Creditor",I247,0))</f>
        <v/>
      </c>
      <c r="U247">
        <f>IF(OR(S247=0,B247=""),0,IFERROR(VLOOKUP(C247,'Parties'!$B$13:$Q$112,13,FALSE),0)+SUMIFS($S$7:$S$506,$C$7:$C$506,C247,$B$7:$B$506,"&lt;"&amp;B247)+SUMIFS(S$7:S247,C$7:C247,C247,B$7:B247,B247))</f>
        <v/>
      </c>
      <c r="V247">
        <f>IF(S247=0,0,IFERROR(VLOOKUP(C247,'Parties'!$B$13:$Q$112,14,FALSE),0)+SUMIFS($T$7:$T$506,$C$7:$C$506,C247,$B$7:$B$506,"&lt;="&amp;'Outstanding'!$E$5))</f>
        <v/>
      </c>
      <c r="W247">
        <f>IF(OR('Outstanding'!$E$5="",S247=0,B247="",B247&gt;'Outstanding'!$E$5),0,MAX(0,MIN(S247,U247-V247)))</f>
        <v/>
      </c>
      <c r="X247">
        <f>IF(C247="",0,IFERROR(VLOOKUP(C247,'Parties'!$B$13:$Q$112,15,FALSE),0))</f>
        <v/>
      </c>
      <c r="Y247">
        <f>IF(C247="","",IFERROR(VLOOKUP(C247,'Parties'!$B$13:$Q$112,16,FALSE),0))</f>
        <v/>
      </c>
      <c r="Z247">
        <f>IF(OR(S247=0,B247="",Y247=""),"",IF(AND(F247&lt;&gt;"",D247="Purchase bill"),F247,B247)+Y247)</f>
        <v/>
      </c>
      <c r="AA247">
        <f>IF(OR(W247=0,Z247=""),0,MAX(0,'Outstanding'!$E$5-Z247))</f>
        <v/>
      </c>
      <c r="AB247">
        <f>IF(AND(X247=1,AA247&gt;0),W247*((1+3*N('Parties'!$E$10)/12)^(AA247*12/365)-1),0)</f>
        <v/>
      </c>
      <c r="AC247">
        <f>IF(W247=0,"",'Outstanding'!$E$5-B247)</f>
        <v/>
      </c>
      <c r="AD247">
        <f>IF(S247=0,0,IFERROR(VLOOKUP(C247,'Parties'!$B$13:$Q$112,14,FALSE),0)+SUMIFS($T$7:$T$506,$C$7:$C$506,C247,$B$7:$B$506,"&lt;="&amp;'Parties'!$E$8))</f>
        <v/>
      </c>
      <c r="AE247">
        <f>IF(OR('Parties'!$E$8="",S247=0,B247="",B247&gt;'Parties'!$E$8),0,MAX(0,MIN(S247,U247-AD247)))</f>
        <v/>
      </c>
      <c r="AF247">
        <f>IF(AND(P247="Creditor",X247=1,AE247&gt;0,Z247&lt;&gt;""),IF(Z247&lt;='Parties'!$E$8,AE247,0),0)</f>
        <v/>
      </c>
      <c r="AG247">
        <f>IF(OR(AE247=0,Z247=""),0,MAX(0,'Parties'!$E$8-Z247))</f>
        <v/>
      </c>
      <c r="AH247">
        <f>IF(AND(P247="Creditor",X247=1,AG247&gt;0),AE247*((1+3*N('Parties'!$E$10)/12)^(AG247*12/365)-1),0)</f>
        <v/>
      </c>
      <c r="AI247">
        <f>IF(AND(C247&lt;&gt;"",C247='Ledger Account'!$D$4,B247&lt;&gt;"",B247&gt;='Ledger Account'!$D$5,B247&lt;='Ledger Account'!$D$6),1,0)</f>
        <v/>
      </c>
      <c r="AJ247">
        <f>IF(AI247=1,SUM(AI$7:AI247),"")</f>
        <v/>
      </c>
      <c r="AK247">
        <f>IF(OR(N247="",N247="OK"),0,1)</f>
        <v/>
      </c>
    </row>
    <row r="248">
      <c r="B248" s="24" t="n"/>
      <c r="C248" s="14" t="n"/>
      <c r="D248" s="14" t="n"/>
      <c r="E248" s="20" t="n"/>
      <c r="F248" s="24" t="n"/>
      <c r="G248" s="14" t="n"/>
      <c r="H248" s="22" t="n"/>
      <c r="I248" s="25">
        <f>IF(Q248="D",N(H248),0)</f>
        <v/>
      </c>
      <c r="J248" s="25">
        <f>IF(Q248="C",N(H248),0)</f>
        <v/>
      </c>
      <c r="K248" s="26">
        <f>IF(Z248="","",Z248)</f>
        <v/>
      </c>
      <c r="L248" s="27">
        <f>W248</f>
        <v/>
      </c>
      <c r="M248" s="28">
        <f>AA248</f>
        <v/>
      </c>
      <c r="N248" s="23">
        <f>IF(AND(B248="",C248="",D248="",N(H248)=0),"",IF(B248="","Enter the date",IF(C248="","Pick the party",IF(P248="?","Add this party on the Parties sheet first",IF(D248="","Pick the entry type",IF(Q248="?","Pick the entry type from the list",IF(N(H248)=0,"Enter the amount",IF(AND(R248&lt;&gt;"Any",R248&lt;&gt;P248),"Sales, receipts and credit notes are for debtors; purchases, payments and debit notes for creditors",IF(AND(F248&lt;&gt;"",D248&lt;&gt;"Purchase bill"),"The received-on date is only for purchase bills",IF(AND(P248="Creditor",X248=1,AA248&gt;0),"Past due to a micro or small supplier: interest runs under MSMED s.16, and if unpaid at year end it is not deductible that year, s.37(2)(g)",IF(AND(P248="Debtor",X248=1,AA248&gt;0),"Past due to you: as a micro or small supplier you can claim interest under MSMED s.16","OK")))))))))))</f>
        <v/>
      </c>
      <c r="P248">
        <f>IF(C248="","",IFERROR(VLOOKUP(C248,'Parties'!$B$13:$Q$112,2,FALSE),"?"))</f>
        <v/>
      </c>
      <c r="Q248">
        <f>IF(D248="","",IFERROR(VLOOKUP(D248,Lists!$A$2:$D$9,3,FALSE),"?"))</f>
        <v/>
      </c>
      <c r="R248">
        <f>IF(D248="","",IFERROR(VLOOKUP(D248,Lists!$A$2:$D$9,4,FALSE),"?"))</f>
        <v/>
      </c>
      <c r="S248">
        <f>IF(P248="Debtor",I248,IF(P248="Creditor",J248,0))</f>
        <v/>
      </c>
      <c r="T248">
        <f>IF(P248="Debtor",J248,IF(P248="Creditor",I248,0))</f>
        <v/>
      </c>
      <c r="U248">
        <f>IF(OR(S248=0,B248=""),0,IFERROR(VLOOKUP(C248,'Parties'!$B$13:$Q$112,13,FALSE),0)+SUMIFS($S$7:$S$506,$C$7:$C$506,C248,$B$7:$B$506,"&lt;"&amp;B248)+SUMIFS(S$7:S248,C$7:C248,C248,B$7:B248,B248))</f>
        <v/>
      </c>
      <c r="V248">
        <f>IF(S248=0,0,IFERROR(VLOOKUP(C248,'Parties'!$B$13:$Q$112,14,FALSE),0)+SUMIFS($T$7:$T$506,$C$7:$C$506,C248,$B$7:$B$506,"&lt;="&amp;'Outstanding'!$E$5))</f>
        <v/>
      </c>
      <c r="W248">
        <f>IF(OR('Outstanding'!$E$5="",S248=0,B248="",B248&gt;'Outstanding'!$E$5),0,MAX(0,MIN(S248,U248-V248)))</f>
        <v/>
      </c>
      <c r="X248">
        <f>IF(C248="",0,IFERROR(VLOOKUP(C248,'Parties'!$B$13:$Q$112,15,FALSE),0))</f>
        <v/>
      </c>
      <c r="Y248">
        <f>IF(C248="","",IFERROR(VLOOKUP(C248,'Parties'!$B$13:$Q$112,16,FALSE),0))</f>
        <v/>
      </c>
      <c r="Z248">
        <f>IF(OR(S248=0,B248="",Y248=""),"",IF(AND(F248&lt;&gt;"",D248="Purchase bill"),F248,B248)+Y248)</f>
        <v/>
      </c>
      <c r="AA248">
        <f>IF(OR(W248=0,Z248=""),0,MAX(0,'Outstanding'!$E$5-Z248))</f>
        <v/>
      </c>
      <c r="AB248">
        <f>IF(AND(X248=1,AA248&gt;0),W248*((1+3*N('Parties'!$E$10)/12)^(AA248*12/365)-1),0)</f>
        <v/>
      </c>
      <c r="AC248">
        <f>IF(W248=0,"",'Outstanding'!$E$5-B248)</f>
        <v/>
      </c>
      <c r="AD248">
        <f>IF(S248=0,0,IFERROR(VLOOKUP(C248,'Parties'!$B$13:$Q$112,14,FALSE),0)+SUMIFS($T$7:$T$506,$C$7:$C$506,C248,$B$7:$B$506,"&lt;="&amp;'Parties'!$E$8))</f>
        <v/>
      </c>
      <c r="AE248">
        <f>IF(OR('Parties'!$E$8="",S248=0,B248="",B248&gt;'Parties'!$E$8),0,MAX(0,MIN(S248,U248-AD248)))</f>
        <v/>
      </c>
      <c r="AF248">
        <f>IF(AND(P248="Creditor",X248=1,AE248&gt;0,Z248&lt;&gt;""),IF(Z248&lt;='Parties'!$E$8,AE248,0),0)</f>
        <v/>
      </c>
      <c r="AG248">
        <f>IF(OR(AE248=0,Z248=""),0,MAX(0,'Parties'!$E$8-Z248))</f>
        <v/>
      </c>
      <c r="AH248">
        <f>IF(AND(P248="Creditor",X248=1,AG248&gt;0),AE248*((1+3*N('Parties'!$E$10)/12)^(AG248*12/365)-1),0)</f>
        <v/>
      </c>
      <c r="AI248">
        <f>IF(AND(C248&lt;&gt;"",C248='Ledger Account'!$D$4,B248&lt;&gt;"",B248&gt;='Ledger Account'!$D$5,B248&lt;='Ledger Account'!$D$6),1,0)</f>
        <v/>
      </c>
      <c r="AJ248">
        <f>IF(AI248=1,SUM(AI$7:AI248),"")</f>
        <v/>
      </c>
      <c r="AK248">
        <f>IF(OR(N248="",N248="OK"),0,1)</f>
        <v/>
      </c>
    </row>
    <row r="249">
      <c r="B249" s="24" t="n"/>
      <c r="C249" s="14" t="n"/>
      <c r="D249" s="14" t="n"/>
      <c r="E249" s="20" t="n"/>
      <c r="F249" s="24" t="n"/>
      <c r="G249" s="14" t="n"/>
      <c r="H249" s="22" t="n"/>
      <c r="I249" s="25">
        <f>IF(Q249="D",N(H249),0)</f>
        <v/>
      </c>
      <c r="J249" s="25">
        <f>IF(Q249="C",N(H249),0)</f>
        <v/>
      </c>
      <c r="K249" s="26">
        <f>IF(Z249="","",Z249)</f>
        <v/>
      </c>
      <c r="L249" s="27">
        <f>W249</f>
        <v/>
      </c>
      <c r="M249" s="28">
        <f>AA249</f>
        <v/>
      </c>
      <c r="N249" s="23">
        <f>IF(AND(B249="",C249="",D249="",N(H249)=0),"",IF(B249="","Enter the date",IF(C249="","Pick the party",IF(P249="?","Add this party on the Parties sheet first",IF(D249="","Pick the entry type",IF(Q249="?","Pick the entry type from the list",IF(N(H249)=0,"Enter the amount",IF(AND(R249&lt;&gt;"Any",R249&lt;&gt;P249),"Sales, receipts and credit notes are for debtors; purchases, payments and debit notes for creditors",IF(AND(F249&lt;&gt;"",D249&lt;&gt;"Purchase bill"),"The received-on date is only for purchase bills",IF(AND(P249="Creditor",X249=1,AA249&gt;0),"Past due to a micro or small supplier: interest runs under MSMED s.16, and if unpaid at year end it is not deductible that year, s.37(2)(g)",IF(AND(P249="Debtor",X249=1,AA249&gt;0),"Past due to you: as a micro or small supplier you can claim interest under MSMED s.16","OK")))))))))))</f>
        <v/>
      </c>
      <c r="P249">
        <f>IF(C249="","",IFERROR(VLOOKUP(C249,'Parties'!$B$13:$Q$112,2,FALSE),"?"))</f>
        <v/>
      </c>
      <c r="Q249">
        <f>IF(D249="","",IFERROR(VLOOKUP(D249,Lists!$A$2:$D$9,3,FALSE),"?"))</f>
        <v/>
      </c>
      <c r="R249">
        <f>IF(D249="","",IFERROR(VLOOKUP(D249,Lists!$A$2:$D$9,4,FALSE),"?"))</f>
        <v/>
      </c>
      <c r="S249">
        <f>IF(P249="Debtor",I249,IF(P249="Creditor",J249,0))</f>
        <v/>
      </c>
      <c r="T249">
        <f>IF(P249="Debtor",J249,IF(P249="Creditor",I249,0))</f>
        <v/>
      </c>
      <c r="U249">
        <f>IF(OR(S249=0,B249=""),0,IFERROR(VLOOKUP(C249,'Parties'!$B$13:$Q$112,13,FALSE),0)+SUMIFS($S$7:$S$506,$C$7:$C$506,C249,$B$7:$B$506,"&lt;"&amp;B249)+SUMIFS(S$7:S249,C$7:C249,C249,B$7:B249,B249))</f>
        <v/>
      </c>
      <c r="V249">
        <f>IF(S249=0,0,IFERROR(VLOOKUP(C249,'Parties'!$B$13:$Q$112,14,FALSE),0)+SUMIFS($T$7:$T$506,$C$7:$C$506,C249,$B$7:$B$506,"&lt;="&amp;'Outstanding'!$E$5))</f>
        <v/>
      </c>
      <c r="W249">
        <f>IF(OR('Outstanding'!$E$5="",S249=0,B249="",B249&gt;'Outstanding'!$E$5),0,MAX(0,MIN(S249,U249-V249)))</f>
        <v/>
      </c>
      <c r="X249">
        <f>IF(C249="",0,IFERROR(VLOOKUP(C249,'Parties'!$B$13:$Q$112,15,FALSE),0))</f>
        <v/>
      </c>
      <c r="Y249">
        <f>IF(C249="","",IFERROR(VLOOKUP(C249,'Parties'!$B$13:$Q$112,16,FALSE),0))</f>
        <v/>
      </c>
      <c r="Z249">
        <f>IF(OR(S249=0,B249="",Y249=""),"",IF(AND(F249&lt;&gt;"",D249="Purchase bill"),F249,B249)+Y249)</f>
        <v/>
      </c>
      <c r="AA249">
        <f>IF(OR(W249=0,Z249=""),0,MAX(0,'Outstanding'!$E$5-Z249))</f>
        <v/>
      </c>
      <c r="AB249">
        <f>IF(AND(X249=1,AA249&gt;0),W249*((1+3*N('Parties'!$E$10)/12)^(AA249*12/365)-1),0)</f>
        <v/>
      </c>
      <c r="AC249">
        <f>IF(W249=0,"",'Outstanding'!$E$5-B249)</f>
        <v/>
      </c>
      <c r="AD249">
        <f>IF(S249=0,0,IFERROR(VLOOKUP(C249,'Parties'!$B$13:$Q$112,14,FALSE),0)+SUMIFS($T$7:$T$506,$C$7:$C$506,C249,$B$7:$B$506,"&lt;="&amp;'Parties'!$E$8))</f>
        <v/>
      </c>
      <c r="AE249">
        <f>IF(OR('Parties'!$E$8="",S249=0,B249="",B249&gt;'Parties'!$E$8),0,MAX(0,MIN(S249,U249-AD249)))</f>
        <v/>
      </c>
      <c r="AF249">
        <f>IF(AND(P249="Creditor",X249=1,AE249&gt;0,Z249&lt;&gt;""),IF(Z249&lt;='Parties'!$E$8,AE249,0),0)</f>
        <v/>
      </c>
      <c r="AG249">
        <f>IF(OR(AE249=0,Z249=""),0,MAX(0,'Parties'!$E$8-Z249))</f>
        <v/>
      </c>
      <c r="AH249">
        <f>IF(AND(P249="Creditor",X249=1,AG249&gt;0),AE249*((1+3*N('Parties'!$E$10)/12)^(AG249*12/365)-1),0)</f>
        <v/>
      </c>
      <c r="AI249">
        <f>IF(AND(C249&lt;&gt;"",C249='Ledger Account'!$D$4,B249&lt;&gt;"",B249&gt;='Ledger Account'!$D$5,B249&lt;='Ledger Account'!$D$6),1,0)</f>
        <v/>
      </c>
      <c r="AJ249">
        <f>IF(AI249=1,SUM(AI$7:AI249),"")</f>
        <v/>
      </c>
      <c r="AK249">
        <f>IF(OR(N249="",N249="OK"),0,1)</f>
        <v/>
      </c>
    </row>
    <row r="250">
      <c r="B250" s="24" t="n"/>
      <c r="C250" s="14" t="n"/>
      <c r="D250" s="14" t="n"/>
      <c r="E250" s="20" t="n"/>
      <c r="F250" s="24" t="n"/>
      <c r="G250" s="14" t="n"/>
      <c r="H250" s="22" t="n"/>
      <c r="I250" s="25">
        <f>IF(Q250="D",N(H250),0)</f>
        <v/>
      </c>
      <c r="J250" s="25">
        <f>IF(Q250="C",N(H250),0)</f>
        <v/>
      </c>
      <c r="K250" s="26">
        <f>IF(Z250="","",Z250)</f>
        <v/>
      </c>
      <c r="L250" s="27">
        <f>W250</f>
        <v/>
      </c>
      <c r="M250" s="28">
        <f>AA250</f>
        <v/>
      </c>
      <c r="N250" s="23">
        <f>IF(AND(B250="",C250="",D250="",N(H250)=0),"",IF(B250="","Enter the date",IF(C250="","Pick the party",IF(P250="?","Add this party on the Parties sheet first",IF(D250="","Pick the entry type",IF(Q250="?","Pick the entry type from the list",IF(N(H250)=0,"Enter the amount",IF(AND(R250&lt;&gt;"Any",R250&lt;&gt;P250),"Sales, receipts and credit notes are for debtors; purchases, payments and debit notes for creditors",IF(AND(F250&lt;&gt;"",D250&lt;&gt;"Purchase bill"),"The received-on date is only for purchase bills",IF(AND(P250="Creditor",X250=1,AA250&gt;0),"Past due to a micro or small supplier: interest runs under MSMED s.16, and if unpaid at year end it is not deductible that year, s.37(2)(g)",IF(AND(P250="Debtor",X250=1,AA250&gt;0),"Past due to you: as a micro or small supplier you can claim interest under MSMED s.16","OK")))))))))))</f>
        <v/>
      </c>
      <c r="P250">
        <f>IF(C250="","",IFERROR(VLOOKUP(C250,'Parties'!$B$13:$Q$112,2,FALSE),"?"))</f>
        <v/>
      </c>
      <c r="Q250">
        <f>IF(D250="","",IFERROR(VLOOKUP(D250,Lists!$A$2:$D$9,3,FALSE),"?"))</f>
        <v/>
      </c>
      <c r="R250">
        <f>IF(D250="","",IFERROR(VLOOKUP(D250,Lists!$A$2:$D$9,4,FALSE),"?"))</f>
        <v/>
      </c>
      <c r="S250">
        <f>IF(P250="Debtor",I250,IF(P250="Creditor",J250,0))</f>
        <v/>
      </c>
      <c r="T250">
        <f>IF(P250="Debtor",J250,IF(P250="Creditor",I250,0))</f>
        <v/>
      </c>
      <c r="U250">
        <f>IF(OR(S250=0,B250=""),0,IFERROR(VLOOKUP(C250,'Parties'!$B$13:$Q$112,13,FALSE),0)+SUMIFS($S$7:$S$506,$C$7:$C$506,C250,$B$7:$B$506,"&lt;"&amp;B250)+SUMIFS(S$7:S250,C$7:C250,C250,B$7:B250,B250))</f>
        <v/>
      </c>
      <c r="V250">
        <f>IF(S250=0,0,IFERROR(VLOOKUP(C250,'Parties'!$B$13:$Q$112,14,FALSE),0)+SUMIFS($T$7:$T$506,$C$7:$C$506,C250,$B$7:$B$506,"&lt;="&amp;'Outstanding'!$E$5))</f>
        <v/>
      </c>
      <c r="W250">
        <f>IF(OR('Outstanding'!$E$5="",S250=0,B250="",B250&gt;'Outstanding'!$E$5),0,MAX(0,MIN(S250,U250-V250)))</f>
        <v/>
      </c>
      <c r="X250">
        <f>IF(C250="",0,IFERROR(VLOOKUP(C250,'Parties'!$B$13:$Q$112,15,FALSE),0))</f>
        <v/>
      </c>
      <c r="Y250">
        <f>IF(C250="","",IFERROR(VLOOKUP(C250,'Parties'!$B$13:$Q$112,16,FALSE),0))</f>
        <v/>
      </c>
      <c r="Z250">
        <f>IF(OR(S250=0,B250="",Y250=""),"",IF(AND(F250&lt;&gt;"",D250="Purchase bill"),F250,B250)+Y250)</f>
        <v/>
      </c>
      <c r="AA250">
        <f>IF(OR(W250=0,Z250=""),0,MAX(0,'Outstanding'!$E$5-Z250))</f>
        <v/>
      </c>
      <c r="AB250">
        <f>IF(AND(X250=1,AA250&gt;0),W250*((1+3*N('Parties'!$E$10)/12)^(AA250*12/365)-1),0)</f>
        <v/>
      </c>
      <c r="AC250">
        <f>IF(W250=0,"",'Outstanding'!$E$5-B250)</f>
        <v/>
      </c>
      <c r="AD250">
        <f>IF(S250=0,0,IFERROR(VLOOKUP(C250,'Parties'!$B$13:$Q$112,14,FALSE),0)+SUMIFS($T$7:$T$506,$C$7:$C$506,C250,$B$7:$B$506,"&lt;="&amp;'Parties'!$E$8))</f>
        <v/>
      </c>
      <c r="AE250">
        <f>IF(OR('Parties'!$E$8="",S250=0,B250="",B250&gt;'Parties'!$E$8),0,MAX(0,MIN(S250,U250-AD250)))</f>
        <v/>
      </c>
      <c r="AF250">
        <f>IF(AND(P250="Creditor",X250=1,AE250&gt;0,Z250&lt;&gt;""),IF(Z250&lt;='Parties'!$E$8,AE250,0),0)</f>
        <v/>
      </c>
      <c r="AG250">
        <f>IF(OR(AE250=0,Z250=""),0,MAX(0,'Parties'!$E$8-Z250))</f>
        <v/>
      </c>
      <c r="AH250">
        <f>IF(AND(P250="Creditor",X250=1,AG250&gt;0),AE250*((1+3*N('Parties'!$E$10)/12)^(AG250*12/365)-1),0)</f>
        <v/>
      </c>
      <c r="AI250">
        <f>IF(AND(C250&lt;&gt;"",C250='Ledger Account'!$D$4,B250&lt;&gt;"",B250&gt;='Ledger Account'!$D$5,B250&lt;='Ledger Account'!$D$6),1,0)</f>
        <v/>
      </c>
      <c r="AJ250">
        <f>IF(AI250=1,SUM(AI$7:AI250),"")</f>
        <v/>
      </c>
      <c r="AK250">
        <f>IF(OR(N250="",N250="OK"),0,1)</f>
        <v/>
      </c>
    </row>
    <row r="251">
      <c r="B251" s="24" t="n"/>
      <c r="C251" s="14" t="n"/>
      <c r="D251" s="14" t="n"/>
      <c r="E251" s="20" t="n"/>
      <c r="F251" s="24" t="n"/>
      <c r="G251" s="14" t="n"/>
      <c r="H251" s="22" t="n"/>
      <c r="I251" s="25">
        <f>IF(Q251="D",N(H251),0)</f>
        <v/>
      </c>
      <c r="J251" s="25">
        <f>IF(Q251="C",N(H251),0)</f>
        <v/>
      </c>
      <c r="K251" s="26">
        <f>IF(Z251="","",Z251)</f>
        <v/>
      </c>
      <c r="L251" s="27">
        <f>W251</f>
        <v/>
      </c>
      <c r="M251" s="28">
        <f>AA251</f>
        <v/>
      </c>
      <c r="N251" s="23">
        <f>IF(AND(B251="",C251="",D251="",N(H251)=0),"",IF(B251="","Enter the date",IF(C251="","Pick the party",IF(P251="?","Add this party on the Parties sheet first",IF(D251="","Pick the entry type",IF(Q251="?","Pick the entry type from the list",IF(N(H251)=0,"Enter the amount",IF(AND(R251&lt;&gt;"Any",R251&lt;&gt;P251),"Sales, receipts and credit notes are for debtors; purchases, payments and debit notes for creditors",IF(AND(F251&lt;&gt;"",D251&lt;&gt;"Purchase bill"),"The received-on date is only for purchase bills",IF(AND(P251="Creditor",X251=1,AA251&gt;0),"Past due to a micro or small supplier: interest runs under MSMED s.16, and if unpaid at year end it is not deductible that year, s.37(2)(g)",IF(AND(P251="Debtor",X251=1,AA251&gt;0),"Past due to you: as a micro or small supplier you can claim interest under MSMED s.16","OK")))))))))))</f>
        <v/>
      </c>
      <c r="P251">
        <f>IF(C251="","",IFERROR(VLOOKUP(C251,'Parties'!$B$13:$Q$112,2,FALSE),"?"))</f>
        <v/>
      </c>
      <c r="Q251">
        <f>IF(D251="","",IFERROR(VLOOKUP(D251,Lists!$A$2:$D$9,3,FALSE),"?"))</f>
        <v/>
      </c>
      <c r="R251">
        <f>IF(D251="","",IFERROR(VLOOKUP(D251,Lists!$A$2:$D$9,4,FALSE),"?"))</f>
        <v/>
      </c>
      <c r="S251">
        <f>IF(P251="Debtor",I251,IF(P251="Creditor",J251,0))</f>
        <v/>
      </c>
      <c r="T251">
        <f>IF(P251="Debtor",J251,IF(P251="Creditor",I251,0))</f>
        <v/>
      </c>
      <c r="U251">
        <f>IF(OR(S251=0,B251=""),0,IFERROR(VLOOKUP(C251,'Parties'!$B$13:$Q$112,13,FALSE),0)+SUMIFS($S$7:$S$506,$C$7:$C$506,C251,$B$7:$B$506,"&lt;"&amp;B251)+SUMIFS(S$7:S251,C$7:C251,C251,B$7:B251,B251))</f>
        <v/>
      </c>
      <c r="V251">
        <f>IF(S251=0,0,IFERROR(VLOOKUP(C251,'Parties'!$B$13:$Q$112,14,FALSE),0)+SUMIFS($T$7:$T$506,$C$7:$C$506,C251,$B$7:$B$506,"&lt;="&amp;'Outstanding'!$E$5))</f>
        <v/>
      </c>
      <c r="W251">
        <f>IF(OR('Outstanding'!$E$5="",S251=0,B251="",B251&gt;'Outstanding'!$E$5),0,MAX(0,MIN(S251,U251-V251)))</f>
        <v/>
      </c>
      <c r="X251">
        <f>IF(C251="",0,IFERROR(VLOOKUP(C251,'Parties'!$B$13:$Q$112,15,FALSE),0))</f>
        <v/>
      </c>
      <c r="Y251">
        <f>IF(C251="","",IFERROR(VLOOKUP(C251,'Parties'!$B$13:$Q$112,16,FALSE),0))</f>
        <v/>
      </c>
      <c r="Z251">
        <f>IF(OR(S251=0,B251="",Y251=""),"",IF(AND(F251&lt;&gt;"",D251="Purchase bill"),F251,B251)+Y251)</f>
        <v/>
      </c>
      <c r="AA251">
        <f>IF(OR(W251=0,Z251=""),0,MAX(0,'Outstanding'!$E$5-Z251))</f>
        <v/>
      </c>
      <c r="AB251">
        <f>IF(AND(X251=1,AA251&gt;0),W251*((1+3*N('Parties'!$E$10)/12)^(AA251*12/365)-1),0)</f>
        <v/>
      </c>
      <c r="AC251">
        <f>IF(W251=0,"",'Outstanding'!$E$5-B251)</f>
        <v/>
      </c>
      <c r="AD251">
        <f>IF(S251=0,0,IFERROR(VLOOKUP(C251,'Parties'!$B$13:$Q$112,14,FALSE),0)+SUMIFS($T$7:$T$506,$C$7:$C$506,C251,$B$7:$B$506,"&lt;="&amp;'Parties'!$E$8))</f>
        <v/>
      </c>
      <c r="AE251">
        <f>IF(OR('Parties'!$E$8="",S251=0,B251="",B251&gt;'Parties'!$E$8),0,MAX(0,MIN(S251,U251-AD251)))</f>
        <v/>
      </c>
      <c r="AF251">
        <f>IF(AND(P251="Creditor",X251=1,AE251&gt;0,Z251&lt;&gt;""),IF(Z251&lt;='Parties'!$E$8,AE251,0),0)</f>
        <v/>
      </c>
      <c r="AG251">
        <f>IF(OR(AE251=0,Z251=""),0,MAX(0,'Parties'!$E$8-Z251))</f>
        <v/>
      </c>
      <c r="AH251">
        <f>IF(AND(P251="Creditor",X251=1,AG251&gt;0),AE251*((1+3*N('Parties'!$E$10)/12)^(AG251*12/365)-1),0)</f>
        <v/>
      </c>
      <c r="AI251">
        <f>IF(AND(C251&lt;&gt;"",C251='Ledger Account'!$D$4,B251&lt;&gt;"",B251&gt;='Ledger Account'!$D$5,B251&lt;='Ledger Account'!$D$6),1,0)</f>
        <v/>
      </c>
      <c r="AJ251">
        <f>IF(AI251=1,SUM(AI$7:AI251),"")</f>
        <v/>
      </c>
      <c r="AK251">
        <f>IF(OR(N251="",N251="OK"),0,1)</f>
        <v/>
      </c>
    </row>
    <row r="252">
      <c r="B252" s="24" t="n"/>
      <c r="C252" s="14" t="n"/>
      <c r="D252" s="14" t="n"/>
      <c r="E252" s="20" t="n"/>
      <c r="F252" s="24" t="n"/>
      <c r="G252" s="14" t="n"/>
      <c r="H252" s="22" t="n"/>
      <c r="I252" s="25">
        <f>IF(Q252="D",N(H252),0)</f>
        <v/>
      </c>
      <c r="J252" s="25">
        <f>IF(Q252="C",N(H252),0)</f>
        <v/>
      </c>
      <c r="K252" s="26">
        <f>IF(Z252="","",Z252)</f>
        <v/>
      </c>
      <c r="L252" s="27">
        <f>W252</f>
        <v/>
      </c>
      <c r="M252" s="28">
        <f>AA252</f>
        <v/>
      </c>
      <c r="N252" s="23">
        <f>IF(AND(B252="",C252="",D252="",N(H252)=0),"",IF(B252="","Enter the date",IF(C252="","Pick the party",IF(P252="?","Add this party on the Parties sheet first",IF(D252="","Pick the entry type",IF(Q252="?","Pick the entry type from the list",IF(N(H252)=0,"Enter the amount",IF(AND(R252&lt;&gt;"Any",R252&lt;&gt;P252),"Sales, receipts and credit notes are for debtors; purchases, payments and debit notes for creditors",IF(AND(F252&lt;&gt;"",D252&lt;&gt;"Purchase bill"),"The received-on date is only for purchase bills",IF(AND(P252="Creditor",X252=1,AA252&gt;0),"Past due to a micro or small supplier: interest runs under MSMED s.16, and if unpaid at year end it is not deductible that year, s.37(2)(g)",IF(AND(P252="Debtor",X252=1,AA252&gt;0),"Past due to you: as a micro or small supplier you can claim interest under MSMED s.16","OK")))))))))))</f>
        <v/>
      </c>
      <c r="P252">
        <f>IF(C252="","",IFERROR(VLOOKUP(C252,'Parties'!$B$13:$Q$112,2,FALSE),"?"))</f>
        <v/>
      </c>
      <c r="Q252">
        <f>IF(D252="","",IFERROR(VLOOKUP(D252,Lists!$A$2:$D$9,3,FALSE),"?"))</f>
        <v/>
      </c>
      <c r="R252">
        <f>IF(D252="","",IFERROR(VLOOKUP(D252,Lists!$A$2:$D$9,4,FALSE),"?"))</f>
        <v/>
      </c>
      <c r="S252">
        <f>IF(P252="Debtor",I252,IF(P252="Creditor",J252,0))</f>
        <v/>
      </c>
      <c r="T252">
        <f>IF(P252="Debtor",J252,IF(P252="Creditor",I252,0))</f>
        <v/>
      </c>
      <c r="U252">
        <f>IF(OR(S252=0,B252=""),0,IFERROR(VLOOKUP(C252,'Parties'!$B$13:$Q$112,13,FALSE),0)+SUMIFS($S$7:$S$506,$C$7:$C$506,C252,$B$7:$B$506,"&lt;"&amp;B252)+SUMIFS(S$7:S252,C$7:C252,C252,B$7:B252,B252))</f>
        <v/>
      </c>
      <c r="V252">
        <f>IF(S252=0,0,IFERROR(VLOOKUP(C252,'Parties'!$B$13:$Q$112,14,FALSE),0)+SUMIFS($T$7:$T$506,$C$7:$C$506,C252,$B$7:$B$506,"&lt;="&amp;'Outstanding'!$E$5))</f>
        <v/>
      </c>
      <c r="W252">
        <f>IF(OR('Outstanding'!$E$5="",S252=0,B252="",B252&gt;'Outstanding'!$E$5),0,MAX(0,MIN(S252,U252-V252)))</f>
        <v/>
      </c>
      <c r="X252">
        <f>IF(C252="",0,IFERROR(VLOOKUP(C252,'Parties'!$B$13:$Q$112,15,FALSE),0))</f>
        <v/>
      </c>
      <c r="Y252">
        <f>IF(C252="","",IFERROR(VLOOKUP(C252,'Parties'!$B$13:$Q$112,16,FALSE),0))</f>
        <v/>
      </c>
      <c r="Z252">
        <f>IF(OR(S252=0,B252="",Y252=""),"",IF(AND(F252&lt;&gt;"",D252="Purchase bill"),F252,B252)+Y252)</f>
        <v/>
      </c>
      <c r="AA252">
        <f>IF(OR(W252=0,Z252=""),0,MAX(0,'Outstanding'!$E$5-Z252))</f>
        <v/>
      </c>
      <c r="AB252">
        <f>IF(AND(X252=1,AA252&gt;0),W252*((1+3*N('Parties'!$E$10)/12)^(AA252*12/365)-1),0)</f>
        <v/>
      </c>
      <c r="AC252">
        <f>IF(W252=0,"",'Outstanding'!$E$5-B252)</f>
        <v/>
      </c>
      <c r="AD252">
        <f>IF(S252=0,0,IFERROR(VLOOKUP(C252,'Parties'!$B$13:$Q$112,14,FALSE),0)+SUMIFS($T$7:$T$506,$C$7:$C$506,C252,$B$7:$B$506,"&lt;="&amp;'Parties'!$E$8))</f>
        <v/>
      </c>
      <c r="AE252">
        <f>IF(OR('Parties'!$E$8="",S252=0,B252="",B252&gt;'Parties'!$E$8),0,MAX(0,MIN(S252,U252-AD252)))</f>
        <v/>
      </c>
      <c r="AF252">
        <f>IF(AND(P252="Creditor",X252=1,AE252&gt;0,Z252&lt;&gt;""),IF(Z252&lt;='Parties'!$E$8,AE252,0),0)</f>
        <v/>
      </c>
      <c r="AG252">
        <f>IF(OR(AE252=0,Z252=""),0,MAX(0,'Parties'!$E$8-Z252))</f>
        <v/>
      </c>
      <c r="AH252">
        <f>IF(AND(P252="Creditor",X252=1,AG252&gt;0),AE252*((1+3*N('Parties'!$E$10)/12)^(AG252*12/365)-1),0)</f>
        <v/>
      </c>
      <c r="AI252">
        <f>IF(AND(C252&lt;&gt;"",C252='Ledger Account'!$D$4,B252&lt;&gt;"",B252&gt;='Ledger Account'!$D$5,B252&lt;='Ledger Account'!$D$6),1,0)</f>
        <v/>
      </c>
      <c r="AJ252">
        <f>IF(AI252=1,SUM(AI$7:AI252),"")</f>
        <v/>
      </c>
      <c r="AK252">
        <f>IF(OR(N252="",N252="OK"),0,1)</f>
        <v/>
      </c>
    </row>
    <row r="253">
      <c r="B253" s="24" t="n"/>
      <c r="C253" s="14" t="n"/>
      <c r="D253" s="14" t="n"/>
      <c r="E253" s="20" t="n"/>
      <c r="F253" s="24" t="n"/>
      <c r="G253" s="14" t="n"/>
      <c r="H253" s="22" t="n"/>
      <c r="I253" s="25">
        <f>IF(Q253="D",N(H253),0)</f>
        <v/>
      </c>
      <c r="J253" s="25">
        <f>IF(Q253="C",N(H253),0)</f>
        <v/>
      </c>
      <c r="K253" s="26">
        <f>IF(Z253="","",Z253)</f>
        <v/>
      </c>
      <c r="L253" s="27">
        <f>W253</f>
        <v/>
      </c>
      <c r="M253" s="28">
        <f>AA253</f>
        <v/>
      </c>
      <c r="N253" s="23">
        <f>IF(AND(B253="",C253="",D253="",N(H253)=0),"",IF(B253="","Enter the date",IF(C253="","Pick the party",IF(P253="?","Add this party on the Parties sheet first",IF(D253="","Pick the entry type",IF(Q253="?","Pick the entry type from the list",IF(N(H253)=0,"Enter the amount",IF(AND(R253&lt;&gt;"Any",R253&lt;&gt;P253),"Sales, receipts and credit notes are for debtors; purchases, payments and debit notes for creditors",IF(AND(F253&lt;&gt;"",D253&lt;&gt;"Purchase bill"),"The received-on date is only for purchase bills",IF(AND(P253="Creditor",X253=1,AA253&gt;0),"Past due to a micro or small supplier: interest runs under MSMED s.16, and if unpaid at year end it is not deductible that year, s.37(2)(g)",IF(AND(P253="Debtor",X253=1,AA253&gt;0),"Past due to you: as a micro or small supplier you can claim interest under MSMED s.16","OK")))))))))))</f>
        <v/>
      </c>
      <c r="P253">
        <f>IF(C253="","",IFERROR(VLOOKUP(C253,'Parties'!$B$13:$Q$112,2,FALSE),"?"))</f>
        <v/>
      </c>
      <c r="Q253">
        <f>IF(D253="","",IFERROR(VLOOKUP(D253,Lists!$A$2:$D$9,3,FALSE),"?"))</f>
        <v/>
      </c>
      <c r="R253">
        <f>IF(D253="","",IFERROR(VLOOKUP(D253,Lists!$A$2:$D$9,4,FALSE),"?"))</f>
        <v/>
      </c>
      <c r="S253">
        <f>IF(P253="Debtor",I253,IF(P253="Creditor",J253,0))</f>
        <v/>
      </c>
      <c r="T253">
        <f>IF(P253="Debtor",J253,IF(P253="Creditor",I253,0))</f>
        <v/>
      </c>
      <c r="U253">
        <f>IF(OR(S253=0,B253=""),0,IFERROR(VLOOKUP(C253,'Parties'!$B$13:$Q$112,13,FALSE),0)+SUMIFS($S$7:$S$506,$C$7:$C$506,C253,$B$7:$B$506,"&lt;"&amp;B253)+SUMIFS(S$7:S253,C$7:C253,C253,B$7:B253,B253))</f>
        <v/>
      </c>
      <c r="V253">
        <f>IF(S253=0,0,IFERROR(VLOOKUP(C253,'Parties'!$B$13:$Q$112,14,FALSE),0)+SUMIFS($T$7:$T$506,$C$7:$C$506,C253,$B$7:$B$506,"&lt;="&amp;'Outstanding'!$E$5))</f>
        <v/>
      </c>
      <c r="W253">
        <f>IF(OR('Outstanding'!$E$5="",S253=0,B253="",B253&gt;'Outstanding'!$E$5),0,MAX(0,MIN(S253,U253-V253)))</f>
        <v/>
      </c>
      <c r="X253">
        <f>IF(C253="",0,IFERROR(VLOOKUP(C253,'Parties'!$B$13:$Q$112,15,FALSE),0))</f>
        <v/>
      </c>
      <c r="Y253">
        <f>IF(C253="","",IFERROR(VLOOKUP(C253,'Parties'!$B$13:$Q$112,16,FALSE),0))</f>
        <v/>
      </c>
      <c r="Z253">
        <f>IF(OR(S253=0,B253="",Y253=""),"",IF(AND(F253&lt;&gt;"",D253="Purchase bill"),F253,B253)+Y253)</f>
        <v/>
      </c>
      <c r="AA253">
        <f>IF(OR(W253=0,Z253=""),0,MAX(0,'Outstanding'!$E$5-Z253))</f>
        <v/>
      </c>
      <c r="AB253">
        <f>IF(AND(X253=1,AA253&gt;0),W253*((1+3*N('Parties'!$E$10)/12)^(AA253*12/365)-1),0)</f>
        <v/>
      </c>
      <c r="AC253">
        <f>IF(W253=0,"",'Outstanding'!$E$5-B253)</f>
        <v/>
      </c>
      <c r="AD253">
        <f>IF(S253=0,0,IFERROR(VLOOKUP(C253,'Parties'!$B$13:$Q$112,14,FALSE),0)+SUMIFS($T$7:$T$506,$C$7:$C$506,C253,$B$7:$B$506,"&lt;="&amp;'Parties'!$E$8))</f>
        <v/>
      </c>
      <c r="AE253">
        <f>IF(OR('Parties'!$E$8="",S253=0,B253="",B253&gt;'Parties'!$E$8),0,MAX(0,MIN(S253,U253-AD253)))</f>
        <v/>
      </c>
      <c r="AF253">
        <f>IF(AND(P253="Creditor",X253=1,AE253&gt;0,Z253&lt;&gt;""),IF(Z253&lt;='Parties'!$E$8,AE253,0),0)</f>
        <v/>
      </c>
      <c r="AG253">
        <f>IF(OR(AE253=0,Z253=""),0,MAX(0,'Parties'!$E$8-Z253))</f>
        <v/>
      </c>
      <c r="AH253">
        <f>IF(AND(P253="Creditor",X253=1,AG253&gt;0),AE253*((1+3*N('Parties'!$E$10)/12)^(AG253*12/365)-1),0)</f>
        <v/>
      </c>
      <c r="AI253">
        <f>IF(AND(C253&lt;&gt;"",C253='Ledger Account'!$D$4,B253&lt;&gt;"",B253&gt;='Ledger Account'!$D$5,B253&lt;='Ledger Account'!$D$6),1,0)</f>
        <v/>
      </c>
      <c r="AJ253">
        <f>IF(AI253=1,SUM(AI$7:AI253),"")</f>
        <v/>
      </c>
      <c r="AK253">
        <f>IF(OR(N253="",N253="OK"),0,1)</f>
        <v/>
      </c>
    </row>
    <row r="254">
      <c r="B254" s="24" t="n"/>
      <c r="C254" s="14" t="n"/>
      <c r="D254" s="14" t="n"/>
      <c r="E254" s="20" t="n"/>
      <c r="F254" s="24" t="n"/>
      <c r="G254" s="14" t="n"/>
      <c r="H254" s="22" t="n"/>
      <c r="I254" s="25">
        <f>IF(Q254="D",N(H254),0)</f>
        <v/>
      </c>
      <c r="J254" s="25">
        <f>IF(Q254="C",N(H254),0)</f>
        <v/>
      </c>
      <c r="K254" s="26">
        <f>IF(Z254="","",Z254)</f>
        <v/>
      </c>
      <c r="L254" s="27">
        <f>W254</f>
        <v/>
      </c>
      <c r="M254" s="28">
        <f>AA254</f>
        <v/>
      </c>
      <c r="N254" s="23">
        <f>IF(AND(B254="",C254="",D254="",N(H254)=0),"",IF(B254="","Enter the date",IF(C254="","Pick the party",IF(P254="?","Add this party on the Parties sheet first",IF(D254="","Pick the entry type",IF(Q254="?","Pick the entry type from the list",IF(N(H254)=0,"Enter the amount",IF(AND(R254&lt;&gt;"Any",R254&lt;&gt;P254),"Sales, receipts and credit notes are for debtors; purchases, payments and debit notes for creditors",IF(AND(F254&lt;&gt;"",D254&lt;&gt;"Purchase bill"),"The received-on date is only for purchase bills",IF(AND(P254="Creditor",X254=1,AA254&gt;0),"Past due to a micro or small supplier: interest runs under MSMED s.16, and if unpaid at year end it is not deductible that year, s.37(2)(g)",IF(AND(P254="Debtor",X254=1,AA254&gt;0),"Past due to you: as a micro or small supplier you can claim interest under MSMED s.16","OK")))))))))))</f>
        <v/>
      </c>
      <c r="P254">
        <f>IF(C254="","",IFERROR(VLOOKUP(C254,'Parties'!$B$13:$Q$112,2,FALSE),"?"))</f>
        <v/>
      </c>
      <c r="Q254">
        <f>IF(D254="","",IFERROR(VLOOKUP(D254,Lists!$A$2:$D$9,3,FALSE),"?"))</f>
        <v/>
      </c>
      <c r="R254">
        <f>IF(D254="","",IFERROR(VLOOKUP(D254,Lists!$A$2:$D$9,4,FALSE),"?"))</f>
        <v/>
      </c>
      <c r="S254">
        <f>IF(P254="Debtor",I254,IF(P254="Creditor",J254,0))</f>
        <v/>
      </c>
      <c r="T254">
        <f>IF(P254="Debtor",J254,IF(P254="Creditor",I254,0))</f>
        <v/>
      </c>
      <c r="U254">
        <f>IF(OR(S254=0,B254=""),0,IFERROR(VLOOKUP(C254,'Parties'!$B$13:$Q$112,13,FALSE),0)+SUMIFS($S$7:$S$506,$C$7:$C$506,C254,$B$7:$B$506,"&lt;"&amp;B254)+SUMIFS(S$7:S254,C$7:C254,C254,B$7:B254,B254))</f>
        <v/>
      </c>
      <c r="V254">
        <f>IF(S254=0,0,IFERROR(VLOOKUP(C254,'Parties'!$B$13:$Q$112,14,FALSE),0)+SUMIFS($T$7:$T$506,$C$7:$C$506,C254,$B$7:$B$506,"&lt;="&amp;'Outstanding'!$E$5))</f>
        <v/>
      </c>
      <c r="W254">
        <f>IF(OR('Outstanding'!$E$5="",S254=0,B254="",B254&gt;'Outstanding'!$E$5),0,MAX(0,MIN(S254,U254-V254)))</f>
        <v/>
      </c>
      <c r="X254">
        <f>IF(C254="",0,IFERROR(VLOOKUP(C254,'Parties'!$B$13:$Q$112,15,FALSE),0))</f>
        <v/>
      </c>
      <c r="Y254">
        <f>IF(C254="","",IFERROR(VLOOKUP(C254,'Parties'!$B$13:$Q$112,16,FALSE),0))</f>
        <v/>
      </c>
      <c r="Z254">
        <f>IF(OR(S254=0,B254="",Y254=""),"",IF(AND(F254&lt;&gt;"",D254="Purchase bill"),F254,B254)+Y254)</f>
        <v/>
      </c>
      <c r="AA254">
        <f>IF(OR(W254=0,Z254=""),0,MAX(0,'Outstanding'!$E$5-Z254))</f>
        <v/>
      </c>
      <c r="AB254">
        <f>IF(AND(X254=1,AA254&gt;0),W254*((1+3*N('Parties'!$E$10)/12)^(AA254*12/365)-1),0)</f>
        <v/>
      </c>
      <c r="AC254">
        <f>IF(W254=0,"",'Outstanding'!$E$5-B254)</f>
        <v/>
      </c>
      <c r="AD254">
        <f>IF(S254=0,0,IFERROR(VLOOKUP(C254,'Parties'!$B$13:$Q$112,14,FALSE),0)+SUMIFS($T$7:$T$506,$C$7:$C$506,C254,$B$7:$B$506,"&lt;="&amp;'Parties'!$E$8))</f>
        <v/>
      </c>
      <c r="AE254">
        <f>IF(OR('Parties'!$E$8="",S254=0,B254="",B254&gt;'Parties'!$E$8),0,MAX(0,MIN(S254,U254-AD254)))</f>
        <v/>
      </c>
      <c r="AF254">
        <f>IF(AND(P254="Creditor",X254=1,AE254&gt;0,Z254&lt;&gt;""),IF(Z254&lt;='Parties'!$E$8,AE254,0),0)</f>
        <v/>
      </c>
      <c r="AG254">
        <f>IF(OR(AE254=0,Z254=""),0,MAX(0,'Parties'!$E$8-Z254))</f>
        <v/>
      </c>
      <c r="AH254">
        <f>IF(AND(P254="Creditor",X254=1,AG254&gt;0),AE254*((1+3*N('Parties'!$E$10)/12)^(AG254*12/365)-1),0)</f>
        <v/>
      </c>
      <c r="AI254">
        <f>IF(AND(C254&lt;&gt;"",C254='Ledger Account'!$D$4,B254&lt;&gt;"",B254&gt;='Ledger Account'!$D$5,B254&lt;='Ledger Account'!$D$6),1,0)</f>
        <v/>
      </c>
      <c r="AJ254">
        <f>IF(AI254=1,SUM(AI$7:AI254),"")</f>
        <v/>
      </c>
      <c r="AK254">
        <f>IF(OR(N254="",N254="OK"),0,1)</f>
        <v/>
      </c>
    </row>
    <row r="255">
      <c r="B255" s="24" t="n"/>
      <c r="C255" s="14" t="n"/>
      <c r="D255" s="14" t="n"/>
      <c r="E255" s="20" t="n"/>
      <c r="F255" s="24" t="n"/>
      <c r="G255" s="14" t="n"/>
      <c r="H255" s="22" t="n"/>
      <c r="I255" s="25">
        <f>IF(Q255="D",N(H255),0)</f>
        <v/>
      </c>
      <c r="J255" s="25">
        <f>IF(Q255="C",N(H255),0)</f>
        <v/>
      </c>
      <c r="K255" s="26">
        <f>IF(Z255="","",Z255)</f>
        <v/>
      </c>
      <c r="L255" s="27">
        <f>W255</f>
        <v/>
      </c>
      <c r="M255" s="28">
        <f>AA255</f>
        <v/>
      </c>
      <c r="N255" s="23">
        <f>IF(AND(B255="",C255="",D255="",N(H255)=0),"",IF(B255="","Enter the date",IF(C255="","Pick the party",IF(P255="?","Add this party on the Parties sheet first",IF(D255="","Pick the entry type",IF(Q255="?","Pick the entry type from the list",IF(N(H255)=0,"Enter the amount",IF(AND(R255&lt;&gt;"Any",R255&lt;&gt;P255),"Sales, receipts and credit notes are for debtors; purchases, payments and debit notes for creditors",IF(AND(F255&lt;&gt;"",D255&lt;&gt;"Purchase bill"),"The received-on date is only for purchase bills",IF(AND(P255="Creditor",X255=1,AA255&gt;0),"Past due to a micro or small supplier: interest runs under MSMED s.16, and if unpaid at year end it is not deductible that year, s.37(2)(g)",IF(AND(P255="Debtor",X255=1,AA255&gt;0),"Past due to you: as a micro or small supplier you can claim interest under MSMED s.16","OK")))))))))))</f>
        <v/>
      </c>
      <c r="P255">
        <f>IF(C255="","",IFERROR(VLOOKUP(C255,'Parties'!$B$13:$Q$112,2,FALSE),"?"))</f>
        <v/>
      </c>
      <c r="Q255">
        <f>IF(D255="","",IFERROR(VLOOKUP(D255,Lists!$A$2:$D$9,3,FALSE),"?"))</f>
        <v/>
      </c>
      <c r="R255">
        <f>IF(D255="","",IFERROR(VLOOKUP(D255,Lists!$A$2:$D$9,4,FALSE),"?"))</f>
        <v/>
      </c>
      <c r="S255">
        <f>IF(P255="Debtor",I255,IF(P255="Creditor",J255,0))</f>
        <v/>
      </c>
      <c r="T255">
        <f>IF(P255="Debtor",J255,IF(P255="Creditor",I255,0))</f>
        <v/>
      </c>
      <c r="U255">
        <f>IF(OR(S255=0,B255=""),0,IFERROR(VLOOKUP(C255,'Parties'!$B$13:$Q$112,13,FALSE),0)+SUMIFS($S$7:$S$506,$C$7:$C$506,C255,$B$7:$B$506,"&lt;"&amp;B255)+SUMIFS(S$7:S255,C$7:C255,C255,B$7:B255,B255))</f>
        <v/>
      </c>
      <c r="V255">
        <f>IF(S255=0,0,IFERROR(VLOOKUP(C255,'Parties'!$B$13:$Q$112,14,FALSE),0)+SUMIFS($T$7:$T$506,$C$7:$C$506,C255,$B$7:$B$506,"&lt;="&amp;'Outstanding'!$E$5))</f>
        <v/>
      </c>
      <c r="W255">
        <f>IF(OR('Outstanding'!$E$5="",S255=0,B255="",B255&gt;'Outstanding'!$E$5),0,MAX(0,MIN(S255,U255-V255)))</f>
        <v/>
      </c>
      <c r="X255">
        <f>IF(C255="",0,IFERROR(VLOOKUP(C255,'Parties'!$B$13:$Q$112,15,FALSE),0))</f>
        <v/>
      </c>
      <c r="Y255">
        <f>IF(C255="","",IFERROR(VLOOKUP(C255,'Parties'!$B$13:$Q$112,16,FALSE),0))</f>
        <v/>
      </c>
      <c r="Z255">
        <f>IF(OR(S255=0,B255="",Y255=""),"",IF(AND(F255&lt;&gt;"",D255="Purchase bill"),F255,B255)+Y255)</f>
        <v/>
      </c>
      <c r="AA255">
        <f>IF(OR(W255=0,Z255=""),0,MAX(0,'Outstanding'!$E$5-Z255))</f>
        <v/>
      </c>
      <c r="AB255">
        <f>IF(AND(X255=1,AA255&gt;0),W255*((1+3*N('Parties'!$E$10)/12)^(AA255*12/365)-1),0)</f>
        <v/>
      </c>
      <c r="AC255">
        <f>IF(W255=0,"",'Outstanding'!$E$5-B255)</f>
        <v/>
      </c>
      <c r="AD255">
        <f>IF(S255=0,0,IFERROR(VLOOKUP(C255,'Parties'!$B$13:$Q$112,14,FALSE),0)+SUMIFS($T$7:$T$506,$C$7:$C$506,C255,$B$7:$B$506,"&lt;="&amp;'Parties'!$E$8))</f>
        <v/>
      </c>
      <c r="AE255">
        <f>IF(OR('Parties'!$E$8="",S255=0,B255="",B255&gt;'Parties'!$E$8),0,MAX(0,MIN(S255,U255-AD255)))</f>
        <v/>
      </c>
      <c r="AF255">
        <f>IF(AND(P255="Creditor",X255=1,AE255&gt;0,Z255&lt;&gt;""),IF(Z255&lt;='Parties'!$E$8,AE255,0),0)</f>
        <v/>
      </c>
      <c r="AG255">
        <f>IF(OR(AE255=0,Z255=""),0,MAX(0,'Parties'!$E$8-Z255))</f>
        <v/>
      </c>
      <c r="AH255">
        <f>IF(AND(P255="Creditor",X255=1,AG255&gt;0),AE255*((1+3*N('Parties'!$E$10)/12)^(AG255*12/365)-1),0)</f>
        <v/>
      </c>
      <c r="AI255">
        <f>IF(AND(C255&lt;&gt;"",C255='Ledger Account'!$D$4,B255&lt;&gt;"",B255&gt;='Ledger Account'!$D$5,B255&lt;='Ledger Account'!$D$6),1,0)</f>
        <v/>
      </c>
      <c r="AJ255">
        <f>IF(AI255=1,SUM(AI$7:AI255),"")</f>
        <v/>
      </c>
      <c r="AK255">
        <f>IF(OR(N255="",N255="OK"),0,1)</f>
        <v/>
      </c>
    </row>
    <row r="256">
      <c r="B256" s="24" t="n"/>
      <c r="C256" s="14" t="n"/>
      <c r="D256" s="14" t="n"/>
      <c r="E256" s="20" t="n"/>
      <c r="F256" s="24" t="n"/>
      <c r="G256" s="14" t="n"/>
      <c r="H256" s="22" t="n"/>
      <c r="I256" s="25">
        <f>IF(Q256="D",N(H256),0)</f>
        <v/>
      </c>
      <c r="J256" s="25">
        <f>IF(Q256="C",N(H256),0)</f>
        <v/>
      </c>
      <c r="K256" s="26">
        <f>IF(Z256="","",Z256)</f>
        <v/>
      </c>
      <c r="L256" s="27">
        <f>W256</f>
        <v/>
      </c>
      <c r="M256" s="28">
        <f>AA256</f>
        <v/>
      </c>
      <c r="N256" s="23">
        <f>IF(AND(B256="",C256="",D256="",N(H256)=0),"",IF(B256="","Enter the date",IF(C256="","Pick the party",IF(P256="?","Add this party on the Parties sheet first",IF(D256="","Pick the entry type",IF(Q256="?","Pick the entry type from the list",IF(N(H256)=0,"Enter the amount",IF(AND(R256&lt;&gt;"Any",R256&lt;&gt;P256),"Sales, receipts and credit notes are for debtors; purchases, payments and debit notes for creditors",IF(AND(F256&lt;&gt;"",D256&lt;&gt;"Purchase bill"),"The received-on date is only for purchase bills",IF(AND(P256="Creditor",X256=1,AA256&gt;0),"Past due to a micro or small supplier: interest runs under MSMED s.16, and if unpaid at year end it is not deductible that year, s.37(2)(g)",IF(AND(P256="Debtor",X256=1,AA256&gt;0),"Past due to you: as a micro or small supplier you can claim interest under MSMED s.16","OK")))))))))))</f>
        <v/>
      </c>
      <c r="P256">
        <f>IF(C256="","",IFERROR(VLOOKUP(C256,'Parties'!$B$13:$Q$112,2,FALSE),"?"))</f>
        <v/>
      </c>
      <c r="Q256">
        <f>IF(D256="","",IFERROR(VLOOKUP(D256,Lists!$A$2:$D$9,3,FALSE),"?"))</f>
        <v/>
      </c>
      <c r="R256">
        <f>IF(D256="","",IFERROR(VLOOKUP(D256,Lists!$A$2:$D$9,4,FALSE),"?"))</f>
        <v/>
      </c>
      <c r="S256">
        <f>IF(P256="Debtor",I256,IF(P256="Creditor",J256,0))</f>
        <v/>
      </c>
      <c r="T256">
        <f>IF(P256="Debtor",J256,IF(P256="Creditor",I256,0))</f>
        <v/>
      </c>
      <c r="U256">
        <f>IF(OR(S256=0,B256=""),0,IFERROR(VLOOKUP(C256,'Parties'!$B$13:$Q$112,13,FALSE),0)+SUMIFS($S$7:$S$506,$C$7:$C$506,C256,$B$7:$B$506,"&lt;"&amp;B256)+SUMIFS(S$7:S256,C$7:C256,C256,B$7:B256,B256))</f>
        <v/>
      </c>
      <c r="V256">
        <f>IF(S256=0,0,IFERROR(VLOOKUP(C256,'Parties'!$B$13:$Q$112,14,FALSE),0)+SUMIFS($T$7:$T$506,$C$7:$C$506,C256,$B$7:$B$506,"&lt;="&amp;'Outstanding'!$E$5))</f>
        <v/>
      </c>
      <c r="W256">
        <f>IF(OR('Outstanding'!$E$5="",S256=0,B256="",B256&gt;'Outstanding'!$E$5),0,MAX(0,MIN(S256,U256-V256)))</f>
        <v/>
      </c>
      <c r="X256">
        <f>IF(C256="",0,IFERROR(VLOOKUP(C256,'Parties'!$B$13:$Q$112,15,FALSE),0))</f>
        <v/>
      </c>
      <c r="Y256">
        <f>IF(C256="","",IFERROR(VLOOKUP(C256,'Parties'!$B$13:$Q$112,16,FALSE),0))</f>
        <v/>
      </c>
      <c r="Z256">
        <f>IF(OR(S256=0,B256="",Y256=""),"",IF(AND(F256&lt;&gt;"",D256="Purchase bill"),F256,B256)+Y256)</f>
        <v/>
      </c>
      <c r="AA256">
        <f>IF(OR(W256=0,Z256=""),0,MAX(0,'Outstanding'!$E$5-Z256))</f>
        <v/>
      </c>
      <c r="AB256">
        <f>IF(AND(X256=1,AA256&gt;0),W256*((1+3*N('Parties'!$E$10)/12)^(AA256*12/365)-1),0)</f>
        <v/>
      </c>
      <c r="AC256">
        <f>IF(W256=0,"",'Outstanding'!$E$5-B256)</f>
        <v/>
      </c>
      <c r="AD256">
        <f>IF(S256=0,0,IFERROR(VLOOKUP(C256,'Parties'!$B$13:$Q$112,14,FALSE),0)+SUMIFS($T$7:$T$506,$C$7:$C$506,C256,$B$7:$B$506,"&lt;="&amp;'Parties'!$E$8))</f>
        <v/>
      </c>
      <c r="AE256">
        <f>IF(OR('Parties'!$E$8="",S256=0,B256="",B256&gt;'Parties'!$E$8),0,MAX(0,MIN(S256,U256-AD256)))</f>
        <v/>
      </c>
      <c r="AF256">
        <f>IF(AND(P256="Creditor",X256=1,AE256&gt;0,Z256&lt;&gt;""),IF(Z256&lt;='Parties'!$E$8,AE256,0),0)</f>
        <v/>
      </c>
      <c r="AG256">
        <f>IF(OR(AE256=0,Z256=""),0,MAX(0,'Parties'!$E$8-Z256))</f>
        <v/>
      </c>
      <c r="AH256">
        <f>IF(AND(P256="Creditor",X256=1,AG256&gt;0),AE256*((1+3*N('Parties'!$E$10)/12)^(AG256*12/365)-1),0)</f>
        <v/>
      </c>
      <c r="AI256">
        <f>IF(AND(C256&lt;&gt;"",C256='Ledger Account'!$D$4,B256&lt;&gt;"",B256&gt;='Ledger Account'!$D$5,B256&lt;='Ledger Account'!$D$6),1,0)</f>
        <v/>
      </c>
      <c r="AJ256">
        <f>IF(AI256=1,SUM(AI$7:AI256),"")</f>
        <v/>
      </c>
      <c r="AK256">
        <f>IF(OR(N256="",N256="OK"),0,1)</f>
        <v/>
      </c>
    </row>
    <row r="257">
      <c r="B257" s="24" t="n"/>
      <c r="C257" s="14" t="n"/>
      <c r="D257" s="14" t="n"/>
      <c r="E257" s="20" t="n"/>
      <c r="F257" s="24" t="n"/>
      <c r="G257" s="14" t="n"/>
      <c r="H257" s="22" t="n"/>
      <c r="I257" s="25">
        <f>IF(Q257="D",N(H257),0)</f>
        <v/>
      </c>
      <c r="J257" s="25">
        <f>IF(Q257="C",N(H257),0)</f>
        <v/>
      </c>
      <c r="K257" s="26">
        <f>IF(Z257="","",Z257)</f>
        <v/>
      </c>
      <c r="L257" s="27">
        <f>W257</f>
        <v/>
      </c>
      <c r="M257" s="28">
        <f>AA257</f>
        <v/>
      </c>
      <c r="N257" s="23">
        <f>IF(AND(B257="",C257="",D257="",N(H257)=0),"",IF(B257="","Enter the date",IF(C257="","Pick the party",IF(P257="?","Add this party on the Parties sheet first",IF(D257="","Pick the entry type",IF(Q257="?","Pick the entry type from the list",IF(N(H257)=0,"Enter the amount",IF(AND(R257&lt;&gt;"Any",R257&lt;&gt;P257),"Sales, receipts and credit notes are for debtors; purchases, payments and debit notes for creditors",IF(AND(F257&lt;&gt;"",D257&lt;&gt;"Purchase bill"),"The received-on date is only for purchase bills",IF(AND(P257="Creditor",X257=1,AA257&gt;0),"Past due to a micro or small supplier: interest runs under MSMED s.16, and if unpaid at year end it is not deductible that year, s.37(2)(g)",IF(AND(P257="Debtor",X257=1,AA257&gt;0),"Past due to you: as a micro or small supplier you can claim interest under MSMED s.16","OK")))))))))))</f>
        <v/>
      </c>
      <c r="P257">
        <f>IF(C257="","",IFERROR(VLOOKUP(C257,'Parties'!$B$13:$Q$112,2,FALSE),"?"))</f>
        <v/>
      </c>
      <c r="Q257">
        <f>IF(D257="","",IFERROR(VLOOKUP(D257,Lists!$A$2:$D$9,3,FALSE),"?"))</f>
        <v/>
      </c>
      <c r="R257">
        <f>IF(D257="","",IFERROR(VLOOKUP(D257,Lists!$A$2:$D$9,4,FALSE),"?"))</f>
        <v/>
      </c>
      <c r="S257">
        <f>IF(P257="Debtor",I257,IF(P257="Creditor",J257,0))</f>
        <v/>
      </c>
      <c r="T257">
        <f>IF(P257="Debtor",J257,IF(P257="Creditor",I257,0))</f>
        <v/>
      </c>
      <c r="U257">
        <f>IF(OR(S257=0,B257=""),0,IFERROR(VLOOKUP(C257,'Parties'!$B$13:$Q$112,13,FALSE),0)+SUMIFS($S$7:$S$506,$C$7:$C$506,C257,$B$7:$B$506,"&lt;"&amp;B257)+SUMIFS(S$7:S257,C$7:C257,C257,B$7:B257,B257))</f>
        <v/>
      </c>
      <c r="V257">
        <f>IF(S257=0,0,IFERROR(VLOOKUP(C257,'Parties'!$B$13:$Q$112,14,FALSE),0)+SUMIFS($T$7:$T$506,$C$7:$C$506,C257,$B$7:$B$506,"&lt;="&amp;'Outstanding'!$E$5))</f>
        <v/>
      </c>
      <c r="W257">
        <f>IF(OR('Outstanding'!$E$5="",S257=0,B257="",B257&gt;'Outstanding'!$E$5),0,MAX(0,MIN(S257,U257-V257)))</f>
        <v/>
      </c>
      <c r="X257">
        <f>IF(C257="",0,IFERROR(VLOOKUP(C257,'Parties'!$B$13:$Q$112,15,FALSE),0))</f>
        <v/>
      </c>
      <c r="Y257">
        <f>IF(C257="","",IFERROR(VLOOKUP(C257,'Parties'!$B$13:$Q$112,16,FALSE),0))</f>
        <v/>
      </c>
      <c r="Z257">
        <f>IF(OR(S257=0,B257="",Y257=""),"",IF(AND(F257&lt;&gt;"",D257="Purchase bill"),F257,B257)+Y257)</f>
        <v/>
      </c>
      <c r="AA257">
        <f>IF(OR(W257=0,Z257=""),0,MAX(0,'Outstanding'!$E$5-Z257))</f>
        <v/>
      </c>
      <c r="AB257">
        <f>IF(AND(X257=1,AA257&gt;0),W257*((1+3*N('Parties'!$E$10)/12)^(AA257*12/365)-1),0)</f>
        <v/>
      </c>
      <c r="AC257">
        <f>IF(W257=0,"",'Outstanding'!$E$5-B257)</f>
        <v/>
      </c>
      <c r="AD257">
        <f>IF(S257=0,0,IFERROR(VLOOKUP(C257,'Parties'!$B$13:$Q$112,14,FALSE),0)+SUMIFS($T$7:$T$506,$C$7:$C$506,C257,$B$7:$B$506,"&lt;="&amp;'Parties'!$E$8))</f>
        <v/>
      </c>
      <c r="AE257">
        <f>IF(OR('Parties'!$E$8="",S257=0,B257="",B257&gt;'Parties'!$E$8),0,MAX(0,MIN(S257,U257-AD257)))</f>
        <v/>
      </c>
      <c r="AF257">
        <f>IF(AND(P257="Creditor",X257=1,AE257&gt;0,Z257&lt;&gt;""),IF(Z257&lt;='Parties'!$E$8,AE257,0),0)</f>
        <v/>
      </c>
      <c r="AG257">
        <f>IF(OR(AE257=0,Z257=""),0,MAX(0,'Parties'!$E$8-Z257))</f>
        <v/>
      </c>
      <c r="AH257">
        <f>IF(AND(P257="Creditor",X257=1,AG257&gt;0),AE257*((1+3*N('Parties'!$E$10)/12)^(AG257*12/365)-1),0)</f>
        <v/>
      </c>
      <c r="AI257">
        <f>IF(AND(C257&lt;&gt;"",C257='Ledger Account'!$D$4,B257&lt;&gt;"",B257&gt;='Ledger Account'!$D$5,B257&lt;='Ledger Account'!$D$6),1,0)</f>
        <v/>
      </c>
      <c r="AJ257">
        <f>IF(AI257=1,SUM(AI$7:AI257),"")</f>
        <v/>
      </c>
      <c r="AK257">
        <f>IF(OR(N257="",N257="OK"),0,1)</f>
        <v/>
      </c>
    </row>
    <row r="258">
      <c r="B258" s="24" t="n"/>
      <c r="C258" s="14" t="n"/>
      <c r="D258" s="14" t="n"/>
      <c r="E258" s="20" t="n"/>
      <c r="F258" s="24" t="n"/>
      <c r="G258" s="14" t="n"/>
      <c r="H258" s="22" t="n"/>
      <c r="I258" s="25">
        <f>IF(Q258="D",N(H258),0)</f>
        <v/>
      </c>
      <c r="J258" s="25">
        <f>IF(Q258="C",N(H258),0)</f>
        <v/>
      </c>
      <c r="K258" s="26">
        <f>IF(Z258="","",Z258)</f>
        <v/>
      </c>
      <c r="L258" s="27">
        <f>W258</f>
        <v/>
      </c>
      <c r="M258" s="28">
        <f>AA258</f>
        <v/>
      </c>
      <c r="N258" s="23">
        <f>IF(AND(B258="",C258="",D258="",N(H258)=0),"",IF(B258="","Enter the date",IF(C258="","Pick the party",IF(P258="?","Add this party on the Parties sheet first",IF(D258="","Pick the entry type",IF(Q258="?","Pick the entry type from the list",IF(N(H258)=0,"Enter the amount",IF(AND(R258&lt;&gt;"Any",R258&lt;&gt;P258),"Sales, receipts and credit notes are for debtors; purchases, payments and debit notes for creditors",IF(AND(F258&lt;&gt;"",D258&lt;&gt;"Purchase bill"),"The received-on date is only for purchase bills",IF(AND(P258="Creditor",X258=1,AA258&gt;0),"Past due to a micro or small supplier: interest runs under MSMED s.16, and if unpaid at year end it is not deductible that year, s.37(2)(g)",IF(AND(P258="Debtor",X258=1,AA258&gt;0),"Past due to you: as a micro or small supplier you can claim interest under MSMED s.16","OK")))))))))))</f>
        <v/>
      </c>
      <c r="P258">
        <f>IF(C258="","",IFERROR(VLOOKUP(C258,'Parties'!$B$13:$Q$112,2,FALSE),"?"))</f>
        <v/>
      </c>
      <c r="Q258">
        <f>IF(D258="","",IFERROR(VLOOKUP(D258,Lists!$A$2:$D$9,3,FALSE),"?"))</f>
        <v/>
      </c>
      <c r="R258">
        <f>IF(D258="","",IFERROR(VLOOKUP(D258,Lists!$A$2:$D$9,4,FALSE),"?"))</f>
        <v/>
      </c>
      <c r="S258">
        <f>IF(P258="Debtor",I258,IF(P258="Creditor",J258,0))</f>
        <v/>
      </c>
      <c r="T258">
        <f>IF(P258="Debtor",J258,IF(P258="Creditor",I258,0))</f>
        <v/>
      </c>
      <c r="U258">
        <f>IF(OR(S258=0,B258=""),0,IFERROR(VLOOKUP(C258,'Parties'!$B$13:$Q$112,13,FALSE),0)+SUMIFS($S$7:$S$506,$C$7:$C$506,C258,$B$7:$B$506,"&lt;"&amp;B258)+SUMIFS(S$7:S258,C$7:C258,C258,B$7:B258,B258))</f>
        <v/>
      </c>
      <c r="V258">
        <f>IF(S258=0,0,IFERROR(VLOOKUP(C258,'Parties'!$B$13:$Q$112,14,FALSE),0)+SUMIFS($T$7:$T$506,$C$7:$C$506,C258,$B$7:$B$506,"&lt;="&amp;'Outstanding'!$E$5))</f>
        <v/>
      </c>
      <c r="W258">
        <f>IF(OR('Outstanding'!$E$5="",S258=0,B258="",B258&gt;'Outstanding'!$E$5),0,MAX(0,MIN(S258,U258-V258)))</f>
        <v/>
      </c>
      <c r="X258">
        <f>IF(C258="",0,IFERROR(VLOOKUP(C258,'Parties'!$B$13:$Q$112,15,FALSE),0))</f>
        <v/>
      </c>
      <c r="Y258">
        <f>IF(C258="","",IFERROR(VLOOKUP(C258,'Parties'!$B$13:$Q$112,16,FALSE),0))</f>
        <v/>
      </c>
      <c r="Z258">
        <f>IF(OR(S258=0,B258="",Y258=""),"",IF(AND(F258&lt;&gt;"",D258="Purchase bill"),F258,B258)+Y258)</f>
        <v/>
      </c>
      <c r="AA258">
        <f>IF(OR(W258=0,Z258=""),0,MAX(0,'Outstanding'!$E$5-Z258))</f>
        <v/>
      </c>
      <c r="AB258">
        <f>IF(AND(X258=1,AA258&gt;0),W258*((1+3*N('Parties'!$E$10)/12)^(AA258*12/365)-1),0)</f>
        <v/>
      </c>
      <c r="AC258">
        <f>IF(W258=0,"",'Outstanding'!$E$5-B258)</f>
        <v/>
      </c>
      <c r="AD258">
        <f>IF(S258=0,0,IFERROR(VLOOKUP(C258,'Parties'!$B$13:$Q$112,14,FALSE),0)+SUMIFS($T$7:$T$506,$C$7:$C$506,C258,$B$7:$B$506,"&lt;="&amp;'Parties'!$E$8))</f>
        <v/>
      </c>
      <c r="AE258">
        <f>IF(OR('Parties'!$E$8="",S258=0,B258="",B258&gt;'Parties'!$E$8),0,MAX(0,MIN(S258,U258-AD258)))</f>
        <v/>
      </c>
      <c r="AF258">
        <f>IF(AND(P258="Creditor",X258=1,AE258&gt;0,Z258&lt;&gt;""),IF(Z258&lt;='Parties'!$E$8,AE258,0),0)</f>
        <v/>
      </c>
      <c r="AG258">
        <f>IF(OR(AE258=0,Z258=""),0,MAX(0,'Parties'!$E$8-Z258))</f>
        <v/>
      </c>
      <c r="AH258">
        <f>IF(AND(P258="Creditor",X258=1,AG258&gt;0),AE258*((1+3*N('Parties'!$E$10)/12)^(AG258*12/365)-1),0)</f>
        <v/>
      </c>
      <c r="AI258">
        <f>IF(AND(C258&lt;&gt;"",C258='Ledger Account'!$D$4,B258&lt;&gt;"",B258&gt;='Ledger Account'!$D$5,B258&lt;='Ledger Account'!$D$6),1,0)</f>
        <v/>
      </c>
      <c r="AJ258">
        <f>IF(AI258=1,SUM(AI$7:AI258),"")</f>
        <v/>
      </c>
      <c r="AK258">
        <f>IF(OR(N258="",N258="OK"),0,1)</f>
        <v/>
      </c>
    </row>
    <row r="259">
      <c r="B259" s="24" t="n"/>
      <c r="C259" s="14" t="n"/>
      <c r="D259" s="14" t="n"/>
      <c r="E259" s="20" t="n"/>
      <c r="F259" s="24" t="n"/>
      <c r="G259" s="14" t="n"/>
      <c r="H259" s="22" t="n"/>
      <c r="I259" s="25">
        <f>IF(Q259="D",N(H259),0)</f>
        <v/>
      </c>
      <c r="J259" s="25">
        <f>IF(Q259="C",N(H259),0)</f>
        <v/>
      </c>
      <c r="K259" s="26">
        <f>IF(Z259="","",Z259)</f>
        <v/>
      </c>
      <c r="L259" s="27">
        <f>W259</f>
        <v/>
      </c>
      <c r="M259" s="28">
        <f>AA259</f>
        <v/>
      </c>
      <c r="N259" s="23">
        <f>IF(AND(B259="",C259="",D259="",N(H259)=0),"",IF(B259="","Enter the date",IF(C259="","Pick the party",IF(P259="?","Add this party on the Parties sheet first",IF(D259="","Pick the entry type",IF(Q259="?","Pick the entry type from the list",IF(N(H259)=0,"Enter the amount",IF(AND(R259&lt;&gt;"Any",R259&lt;&gt;P259),"Sales, receipts and credit notes are for debtors; purchases, payments and debit notes for creditors",IF(AND(F259&lt;&gt;"",D259&lt;&gt;"Purchase bill"),"The received-on date is only for purchase bills",IF(AND(P259="Creditor",X259=1,AA259&gt;0),"Past due to a micro or small supplier: interest runs under MSMED s.16, and if unpaid at year end it is not deductible that year, s.37(2)(g)",IF(AND(P259="Debtor",X259=1,AA259&gt;0),"Past due to you: as a micro or small supplier you can claim interest under MSMED s.16","OK")))))))))))</f>
        <v/>
      </c>
      <c r="P259">
        <f>IF(C259="","",IFERROR(VLOOKUP(C259,'Parties'!$B$13:$Q$112,2,FALSE),"?"))</f>
        <v/>
      </c>
      <c r="Q259">
        <f>IF(D259="","",IFERROR(VLOOKUP(D259,Lists!$A$2:$D$9,3,FALSE),"?"))</f>
        <v/>
      </c>
      <c r="R259">
        <f>IF(D259="","",IFERROR(VLOOKUP(D259,Lists!$A$2:$D$9,4,FALSE),"?"))</f>
        <v/>
      </c>
      <c r="S259">
        <f>IF(P259="Debtor",I259,IF(P259="Creditor",J259,0))</f>
        <v/>
      </c>
      <c r="T259">
        <f>IF(P259="Debtor",J259,IF(P259="Creditor",I259,0))</f>
        <v/>
      </c>
      <c r="U259">
        <f>IF(OR(S259=0,B259=""),0,IFERROR(VLOOKUP(C259,'Parties'!$B$13:$Q$112,13,FALSE),0)+SUMIFS($S$7:$S$506,$C$7:$C$506,C259,$B$7:$B$506,"&lt;"&amp;B259)+SUMIFS(S$7:S259,C$7:C259,C259,B$7:B259,B259))</f>
        <v/>
      </c>
      <c r="V259">
        <f>IF(S259=0,0,IFERROR(VLOOKUP(C259,'Parties'!$B$13:$Q$112,14,FALSE),0)+SUMIFS($T$7:$T$506,$C$7:$C$506,C259,$B$7:$B$506,"&lt;="&amp;'Outstanding'!$E$5))</f>
        <v/>
      </c>
      <c r="W259">
        <f>IF(OR('Outstanding'!$E$5="",S259=0,B259="",B259&gt;'Outstanding'!$E$5),0,MAX(0,MIN(S259,U259-V259)))</f>
        <v/>
      </c>
      <c r="X259">
        <f>IF(C259="",0,IFERROR(VLOOKUP(C259,'Parties'!$B$13:$Q$112,15,FALSE),0))</f>
        <v/>
      </c>
      <c r="Y259">
        <f>IF(C259="","",IFERROR(VLOOKUP(C259,'Parties'!$B$13:$Q$112,16,FALSE),0))</f>
        <v/>
      </c>
      <c r="Z259">
        <f>IF(OR(S259=0,B259="",Y259=""),"",IF(AND(F259&lt;&gt;"",D259="Purchase bill"),F259,B259)+Y259)</f>
        <v/>
      </c>
      <c r="AA259">
        <f>IF(OR(W259=0,Z259=""),0,MAX(0,'Outstanding'!$E$5-Z259))</f>
        <v/>
      </c>
      <c r="AB259">
        <f>IF(AND(X259=1,AA259&gt;0),W259*((1+3*N('Parties'!$E$10)/12)^(AA259*12/365)-1),0)</f>
        <v/>
      </c>
      <c r="AC259">
        <f>IF(W259=0,"",'Outstanding'!$E$5-B259)</f>
        <v/>
      </c>
      <c r="AD259">
        <f>IF(S259=0,0,IFERROR(VLOOKUP(C259,'Parties'!$B$13:$Q$112,14,FALSE),0)+SUMIFS($T$7:$T$506,$C$7:$C$506,C259,$B$7:$B$506,"&lt;="&amp;'Parties'!$E$8))</f>
        <v/>
      </c>
      <c r="AE259">
        <f>IF(OR('Parties'!$E$8="",S259=0,B259="",B259&gt;'Parties'!$E$8),0,MAX(0,MIN(S259,U259-AD259)))</f>
        <v/>
      </c>
      <c r="AF259">
        <f>IF(AND(P259="Creditor",X259=1,AE259&gt;0,Z259&lt;&gt;""),IF(Z259&lt;='Parties'!$E$8,AE259,0),0)</f>
        <v/>
      </c>
      <c r="AG259">
        <f>IF(OR(AE259=0,Z259=""),0,MAX(0,'Parties'!$E$8-Z259))</f>
        <v/>
      </c>
      <c r="AH259">
        <f>IF(AND(P259="Creditor",X259=1,AG259&gt;0),AE259*((1+3*N('Parties'!$E$10)/12)^(AG259*12/365)-1),0)</f>
        <v/>
      </c>
      <c r="AI259">
        <f>IF(AND(C259&lt;&gt;"",C259='Ledger Account'!$D$4,B259&lt;&gt;"",B259&gt;='Ledger Account'!$D$5,B259&lt;='Ledger Account'!$D$6),1,0)</f>
        <v/>
      </c>
      <c r="AJ259">
        <f>IF(AI259=1,SUM(AI$7:AI259),"")</f>
        <v/>
      </c>
      <c r="AK259">
        <f>IF(OR(N259="",N259="OK"),0,1)</f>
        <v/>
      </c>
    </row>
    <row r="260">
      <c r="B260" s="24" t="n"/>
      <c r="C260" s="14" t="n"/>
      <c r="D260" s="14" t="n"/>
      <c r="E260" s="20" t="n"/>
      <c r="F260" s="24" t="n"/>
      <c r="G260" s="14" t="n"/>
      <c r="H260" s="22" t="n"/>
      <c r="I260" s="25">
        <f>IF(Q260="D",N(H260),0)</f>
        <v/>
      </c>
      <c r="J260" s="25">
        <f>IF(Q260="C",N(H260),0)</f>
        <v/>
      </c>
      <c r="K260" s="26">
        <f>IF(Z260="","",Z260)</f>
        <v/>
      </c>
      <c r="L260" s="27">
        <f>W260</f>
        <v/>
      </c>
      <c r="M260" s="28">
        <f>AA260</f>
        <v/>
      </c>
      <c r="N260" s="23">
        <f>IF(AND(B260="",C260="",D260="",N(H260)=0),"",IF(B260="","Enter the date",IF(C260="","Pick the party",IF(P260="?","Add this party on the Parties sheet first",IF(D260="","Pick the entry type",IF(Q260="?","Pick the entry type from the list",IF(N(H260)=0,"Enter the amount",IF(AND(R260&lt;&gt;"Any",R260&lt;&gt;P260),"Sales, receipts and credit notes are for debtors; purchases, payments and debit notes for creditors",IF(AND(F260&lt;&gt;"",D260&lt;&gt;"Purchase bill"),"The received-on date is only for purchase bills",IF(AND(P260="Creditor",X260=1,AA260&gt;0),"Past due to a micro or small supplier: interest runs under MSMED s.16, and if unpaid at year end it is not deductible that year, s.37(2)(g)",IF(AND(P260="Debtor",X260=1,AA260&gt;0),"Past due to you: as a micro or small supplier you can claim interest under MSMED s.16","OK")))))))))))</f>
        <v/>
      </c>
      <c r="P260">
        <f>IF(C260="","",IFERROR(VLOOKUP(C260,'Parties'!$B$13:$Q$112,2,FALSE),"?"))</f>
        <v/>
      </c>
      <c r="Q260">
        <f>IF(D260="","",IFERROR(VLOOKUP(D260,Lists!$A$2:$D$9,3,FALSE),"?"))</f>
        <v/>
      </c>
      <c r="R260">
        <f>IF(D260="","",IFERROR(VLOOKUP(D260,Lists!$A$2:$D$9,4,FALSE),"?"))</f>
        <v/>
      </c>
      <c r="S260">
        <f>IF(P260="Debtor",I260,IF(P260="Creditor",J260,0))</f>
        <v/>
      </c>
      <c r="T260">
        <f>IF(P260="Debtor",J260,IF(P260="Creditor",I260,0))</f>
        <v/>
      </c>
      <c r="U260">
        <f>IF(OR(S260=0,B260=""),0,IFERROR(VLOOKUP(C260,'Parties'!$B$13:$Q$112,13,FALSE),0)+SUMIFS($S$7:$S$506,$C$7:$C$506,C260,$B$7:$B$506,"&lt;"&amp;B260)+SUMIFS(S$7:S260,C$7:C260,C260,B$7:B260,B260))</f>
        <v/>
      </c>
      <c r="V260">
        <f>IF(S260=0,0,IFERROR(VLOOKUP(C260,'Parties'!$B$13:$Q$112,14,FALSE),0)+SUMIFS($T$7:$T$506,$C$7:$C$506,C260,$B$7:$B$506,"&lt;="&amp;'Outstanding'!$E$5))</f>
        <v/>
      </c>
      <c r="W260">
        <f>IF(OR('Outstanding'!$E$5="",S260=0,B260="",B260&gt;'Outstanding'!$E$5),0,MAX(0,MIN(S260,U260-V260)))</f>
        <v/>
      </c>
      <c r="X260">
        <f>IF(C260="",0,IFERROR(VLOOKUP(C260,'Parties'!$B$13:$Q$112,15,FALSE),0))</f>
        <v/>
      </c>
      <c r="Y260">
        <f>IF(C260="","",IFERROR(VLOOKUP(C260,'Parties'!$B$13:$Q$112,16,FALSE),0))</f>
        <v/>
      </c>
      <c r="Z260">
        <f>IF(OR(S260=0,B260="",Y260=""),"",IF(AND(F260&lt;&gt;"",D260="Purchase bill"),F260,B260)+Y260)</f>
        <v/>
      </c>
      <c r="AA260">
        <f>IF(OR(W260=0,Z260=""),0,MAX(0,'Outstanding'!$E$5-Z260))</f>
        <v/>
      </c>
      <c r="AB260">
        <f>IF(AND(X260=1,AA260&gt;0),W260*((1+3*N('Parties'!$E$10)/12)^(AA260*12/365)-1),0)</f>
        <v/>
      </c>
      <c r="AC260">
        <f>IF(W260=0,"",'Outstanding'!$E$5-B260)</f>
        <v/>
      </c>
      <c r="AD260">
        <f>IF(S260=0,0,IFERROR(VLOOKUP(C260,'Parties'!$B$13:$Q$112,14,FALSE),0)+SUMIFS($T$7:$T$506,$C$7:$C$506,C260,$B$7:$B$506,"&lt;="&amp;'Parties'!$E$8))</f>
        <v/>
      </c>
      <c r="AE260">
        <f>IF(OR('Parties'!$E$8="",S260=0,B260="",B260&gt;'Parties'!$E$8),0,MAX(0,MIN(S260,U260-AD260)))</f>
        <v/>
      </c>
      <c r="AF260">
        <f>IF(AND(P260="Creditor",X260=1,AE260&gt;0,Z260&lt;&gt;""),IF(Z260&lt;='Parties'!$E$8,AE260,0),0)</f>
        <v/>
      </c>
      <c r="AG260">
        <f>IF(OR(AE260=0,Z260=""),0,MAX(0,'Parties'!$E$8-Z260))</f>
        <v/>
      </c>
      <c r="AH260">
        <f>IF(AND(P260="Creditor",X260=1,AG260&gt;0),AE260*((1+3*N('Parties'!$E$10)/12)^(AG260*12/365)-1),0)</f>
        <v/>
      </c>
      <c r="AI260">
        <f>IF(AND(C260&lt;&gt;"",C260='Ledger Account'!$D$4,B260&lt;&gt;"",B260&gt;='Ledger Account'!$D$5,B260&lt;='Ledger Account'!$D$6),1,0)</f>
        <v/>
      </c>
      <c r="AJ260">
        <f>IF(AI260=1,SUM(AI$7:AI260),"")</f>
        <v/>
      </c>
      <c r="AK260">
        <f>IF(OR(N260="",N260="OK"),0,1)</f>
        <v/>
      </c>
    </row>
    <row r="261">
      <c r="B261" s="24" t="n"/>
      <c r="C261" s="14" t="n"/>
      <c r="D261" s="14" t="n"/>
      <c r="E261" s="20" t="n"/>
      <c r="F261" s="24" t="n"/>
      <c r="G261" s="14" t="n"/>
      <c r="H261" s="22" t="n"/>
      <c r="I261" s="25">
        <f>IF(Q261="D",N(H261),0)</f>
        <v/>
      </c>
      <c r="J261" s="25">
        <f>IF(Q261="C",N(H261),0)</f>
        <v/>
      </c>
      <c r="K261" s="26">
        <f>IF(Z261="","",Z261)</f>
        <v/>
      </c>
      <c r="L261" s="27">
        <f>W261</f>
        <v/>
      </c>
      <c r="M261" s="28">
        <f>AA261</f>
        <v/>
      </c>
      <c r="N261" s="23">
        <f>IF(AND(B261="",C261="",D261="",N(H261)=0),"",IF(B261="","Enter the date",IF(C261="","Pick the party",IF(P261="?","Add this party on the Parties sheet first",IF(D261="","Pick the entry type",IF(Q261="?","Pick the entry type from the list",IF(N(H261)=0,"Enter the amount",IF(AND(R261&lt;&gt;"Any",R261&lt;&gt;P261),"Sales, receipts and credit notes are for debtors; purchases, payments and debit notes for creditors",IF(AND(F261&lt;&gt;"",D261&lt;&gt;"Purchase bill"),"The received-on date is only for purchase bills",IF(AND(P261="Creditor",X261=1,AA261&gt;0),"Past due to a micro or small supplier: interest runs under MSMED s.16, and if unpaid at year end it is not deductible that year, s.37(2)(g)",IF(AND(P261="Debtor",X261=1,AA261&gt;0),"Past due to you: as a micro or small supplier you can claim interest under MSMED s.16","OK")))))))))))</f>
        <v/>
      </c>
      <c r="P261">
        <f>IF(C261="","",IFERROR(VLOOKUP(C261,'Parties'!$B$13:$Q$112,2,FALSE),"?"))</f>
        <v/>
      </c>
      <c r="Q261">
        <f>IF(D261="","",IFERROR(VLOOKUP(D261,Lists!$A$2:$D$9,3,FALSE),"?"))</f>
        <v/>
      </c>
      <c r="R261">
        <f>IF(D261="","",IFERROR(VLOOKUP(D261,Lists!$A$2:$D$9,4,FALSE),"?"))</f>
        <v/>
      </c>
      <c r="S261">
        <f>IF(P261="Debtor",I261,IF(P261="Creditor",J261,0))</f>
        <v/>
      </c>
      <c r="T261">
        <f>IF(P261="Debtor",J261,IF(P261="Creditor",I261,0))</f>
        <v/>
      </c>
      <c r="U261">
        <f>IF(OR(S261=0,B261=""),0,IFERROR(VLOOKUP(C261,'Parties'!$B$13:$Q$112,13,FALSE),0)+SUMIFS($S$7:$S$506,$C$7:$C$506,C261,$B$7:$B$506,"&lt;"&amp;B261)+SUMIFS(S$7:S261,C$7:C261,C261,B$7:B261,B261))</f>
        <v/>
      </c>
      <c r="V261">
        <f>IF(S261=0,0,IFERROR(VLOOKUP(C261,'Parties'!$B$13:$Q$112,14,FALSE),0)+SUMIFS($T$7:$T$506,$C$7:$C$506,C261,$B$7:$B$506,"&lt;="&amp;'Outstanding'!$E$5))</f>
        <v/>
      </c>
      <c r="W261">
        <f>IF(OR('Outstanding'!$E$5="",S261=0,B261="",B261&gt;'Outstanding'!$E$5),0,MAX(0,MIN(S261,U261-V261)))</f>
        <v/>
      </c>
      <c r="X261">
        <f>IF(C261="",0,IFERROR(VLOOKUP(C261,'Parties'!$B$13:$Q$112,15,FALSE),0))</f>
        <v/>
      </c>
      <c r="Y261">
        <f>IF(C261="","",IFERROR(VLOOKUP(C261,'Parties'!$B$13:$Q$112,16,FALSE),0))</f>
        <v/>
      </c>
      <c r="Z261">
        <f>IF(OR(S261=0,B261="",Y261=""),"",IF(AND(F261&lt;&gt;"",D261="Purchase bill"),F261,B261)+Y261)</f>
        <v/>
      </c>
      <c r="AA261">
        <f>IF(OR(W261=0,Z261=""),0,MAX(0,'Outstanding'!$E$5-Z261))</f>
        <v/>
      </c>
      <c r="AB261">
        <f>IF(AND(X261=1,AA261&gt;0),W261*((1+3*N('Parties'!$E$10)/12)^(AA261*12/365)-1),0)</f>
        <v/>
      </c>
      <c r="AC261">
        <f>IF(W261=0,"",'Outstanding'!$E$5-B261)</f>
        <v/>
      </c>
      <c r="AD261">
        <f>IF(S261=0,0,IFERROR(VLOOKUP(C261,'Parties'!$B$13:$Q$112,14,FALSE),0)+SUMIFS($T$7:$T$506,$C$7:$C$506,C261,$B$7:$B$506,"&lt;="&amp;'Parties'!$E$8))</f>
        <v/>
      </c>
      <c r="AE261">
        <f>IF(OR('Parties'!$E$8="",S261=0,B261="",B261&gt;'Parties'!$E$8),0,MAX(0,MIN(S261,U261-AD261)))</f>
        <v/>
      </c>
      <c r="AF261">
        <f>IF(AND(P261="Creditor",X261=1,AE261&gt;0,Z261&lt;&gt;""),IF(Z261&lt;='Parties'!$E$8,AE261,0),0)</f>
        <v/>
      </c>
      <c r="AG261">
        <f>IF(OR(AE261=0,Z261=""),0,MAX(0,'Parties'!$E$8-Z261))</f>
        <v/>
      </c>
      <c r="AH261">
        <f>IF(AND(P261="Creditor",X261=1,AG261&gt;0),AE261*((1+3*N('Parties'!$E$10)/12)^(AG261*12/365)-1),0)</f>
        <v/>
      </c>
      <c r="AI261">
        <f>IF(AND(C261&lt;&gt;"",C261='Ledger Account'!$D$4,B261&lt;&gt;"",B261&gt;='Ledger Account'!$D$5,B261&lt;='Ledger Account'!$D$6),1,0)</f>
        <v/>
      </c>
      <c r="AJ261">
        <f>IF(AI261=1,SUM(AI$7:AI261),"")</f>
        <v/>
      </c>
      <c r="AK261">
        <f>IF(OR(N261="",N261="OK"),0,1)</f>
        <v/>
      </c>
    </row>
    <row r="262">
      <c r="B262" s="24" t="n"/>
      <c r="C262" s="14" t="n"/>
      <c r="D262" s="14" t="n"/>
      <c r="E262" s="20" t="n"/>
      <c r="F262" s="24" t="n"/>
      <c r="G262" s="14" t="n"/>
      <c r="H262" s="22" t="n"/>
      <c r="I262" s="25">
        <f>IF(Q262="D",N(H262),0)</f>
        <v/>
      </c>
      <c r="J262" s="25">
        <f>IF(Q262="C",N(H262),0)</f>
        <v/>
      </c>
      <c r="K262" s="26">
        <f>IF(Z262="","",Z262)</f>
        <v/>
      </c>
      <c r="L262" s="27">
        <f>W262</f>
        <v/>
      </c>
      <c r="M262" s="28">
        <f>AA262</f>
        <v/>
      </c>
      <c r="N262" s="23">
        <f>IF(AND(B262="",C262="",D262="",N(H262)=0),"",IF(B262="","Enter the date",IF(C262="","Pick the party",IF(P262="?","Add this party on the Parties sheet first",IF(D262="","Pick the entry type",IF(Q262="?","Pick the entry type from the list",IF(N(H262)=0,"Enter the amount",IF(AND(R262&lt;&gt;"Any",R262&lt;&gt;P262),"Sales, receipts and credit notes are for debtors; purchases, payments and debit notes for creditors",IF(AND(F262&lt;&gt;"",D262&lt;&gt;"Purchase bill"),"The received-on date is only for purchase bills",IF(AND(P262="Creditor",X262=1,AA262&gt;0),"Past due to a micro or small supplier: interest runs under MSMED s.16, and if unpaid at year end it is not deductible that year, s.37(2)(g)",IF(AND(P262="Debtor",X262=1,AA262&gt;0),"Past due to you: as a micro or small supplier you can claim interest under MSMED s.16","OK")))))))))))</f>
        <v/>
      </c>
      <c r="P262">
        <f>IF(C262="","",IFERROR(VLOOKUP(C262,'Parties'!$B$13:$Q$112,2,FALSE),"?"))</f>
        <v/>
      </c>
      <c r="Q262">
        <f>IF(D262="","",IFERROR(VLOOKUP(D262,Lists!$A$2:$D$9,3,FALSE),"?"))</f>
        <v/>
      </c>
      <c r="R262">
        <f>IF(D262="","",IFERROR(VLOOKUP(D262,Lists!$A$2:$D$9,4,FALSE),"?"))</f>
        <v/>
      </c>
      <c r="S262">
        <f>IF(P262="Debtor",I262,IF(P262="Creditor",J262,0))</f>
        <v/>
      </c>
      <c r="T262">
        <f>IF(P262="Debtor",J262,IF(P262="Creditor",I262,0))</f>
        <v/>
      </c>
      <c r="U262">
        <f>IF(OR(S262=0,B262=""),0,IFERROR(VLOOKUP(C262,'Parties'!$B$13:$Q$112,13,FALSE),0)+SUMIFS($S$7:$S$506,$C$7:$C$506,C262,$B$7:$B$506,"&lt;"&amp;B262)+SUMIFS(S$7:S262,C$7:C262,C262,B$7:B262,B262))</f>
        <v/>
      </c>
      <c r="V262">
        <f>IF(S262=0,0,IFERROR(VLOOKUP(C262,'Parties'!$B$13:$Q$112,14,FALSE),0)+SUMIFS($T$7:$T$506,$C$7:$C$506,C262,$B$7:$B$506,"&lt;="&amp;'Outstanding'!$E$5))</f>
        <v/>
      </c>
      <c r="W262">
        <f>IF(OR('Outstanding'!$E$5="",S262=0,B262="",B262&gt;'Outstanding'!$E$5),0,MAX(0,MIN(S262,U262-V262)))</f>
        <v/>
      </c>
      <c r="X262">
        <f>IF(C262="",0,IFERROR(VLOOKUP(C262,'Parties'!$B$13:$Q$112,15,FALSE),0))</f>
        <v/>
      </c>
      <c r="Y262">
        <f>IF(C262="","",IFERROR(VLOOKUP(C262,'Parties'!$B$13:$Q$112,16,FALSE),0))</f>
        <v/>
      </c>
      <c r="Z262">
        <f>IF(OR(S262=0,B262="",Y262=""),"",IF(AND(F262&lt;&gt;"",D262="Purchase bill"),F262,B262)+Y262)</f>
        <v/>
      </c>
      <c r="AA262">
        <f>IF(OR(W262=0,Z262=""),0,MAX(0,'Outstanding'!$E$5-Z262))</f>
        <v/>
      </c>
      <c r="AB262">
        <f>IF(AND(X262=1,AA262&gt;0),W262*((1+3*N('Parties'!$E$10)/12)^(AA262*12/365)-1),0)</f>
        <v/>
      </c>
      <c r="AC262">
        <f>IF(W262=0,"",'Outstanding'!$E$5-B262)</f>
        <v/>
      </c>
      <c r="AD262">
        <f>IF(S262=0,0,IFERROR(VLOOKUP(C262,'Parties'!$B$13:$Q$112,14,FALSE),0)+SUMIFS($T$7:$T$506,$C$7:$C$506,C262,$B$7:$B$506,"&lt;="&amp;'Parties'!$E$8))</f>
        <v/>
      </c>
      <c r="AE262">
        <f>IF(OR('Parties'!$E$8="",S262=0,B262="",B262&gt;'Parties'!$E$8),0,MAX(0,MIN(S262,U262-AD262)))</f>
        <v/>
      </c>
      <c r="AF262">
        <f>IF(AND(P262="Creditor",X262=1,AE262&gt;0,Z262&lt;&gt;""),IF(Z262&lt;='Parties'!$E$8,AE262,0),0)</f>
        <v/>
      </c>
      <c r="AG262">
        <f>IF(OR(AE262=0,Z262=""),0,MAX(0,'Parties'!$E$8-Z262))</f>
        <v/>
      </c>
      <c r="AH262">
        <f>IF(AND(P262="Creditor",X262=1,AG262&gt;0),AE262*((1+3*N('Parties'!$E$10)/12)^(AG262*12/365)-1),0)</f>
        <v/>
      </c>
      <c r="AI262">
        <f>IF(AND(C262&lt;&gt;"",C262='Ledger Account'!$D$4,B262&lt;&gt;"",B262&gt;='Ledger Account'!$D$5,B262&lt;='Ledger Account'!$D$6),1,0)</f>
        <v/>
      </c>
      <c r="AJ262">
        <f>IF(AI262=1,SUM(AI$7:AI262),"")</f>
        <v/>
      </c>
      <c r="AK262">
        <f>IF(OR(N262="",N262="OK"),0,1)</f>
        <v/>
      </c>
    </row>
    <row r="263">
      <c r="B263" s="24" t="n"/>
      <c r="C263" s="14" t="n"/>
      <c r="D263" s="14" t="n"/>
      <c r="E263" s="20" t="n"/>
      <c r="F263" s="24" t="n"/>
      <c r="G263" s="14" t="n"/>
      <c r="H263" s="22" t="n"/>
      <c r="I263" s="25">
        <f>IF(Q263="D",N(H263),0)</f>
        <v/>
      </c>
      <c r="J263" s="25">
        <f>IF(Q263="C",N(H263),0)</f>
        <v/>
      </c>
      <c r="K263" s="26">
        <f>IF(Z263="","",Z263)</f>
        <v/>
      </c>
      <c r="L263" s="27">
        <f>W263</f>
        <v/>
      </c>
      <c r="M263" s="28">
        <f>AA263</f>
        <v/>
      </c>
      <c r="N263" s="23">
        <f>IF(AND(B263="",C263="",D263="",N(H263)=0),"",IF(B263="","Enter the date",IF(C263="","Pick the party",IF(P263="?","Add this party on the Parties sheet first",IF(D263="","Pick the entry type",IF(Q263="?","Pick the entry type from the list",IF(N(H263)=0,"Enter the amount",IF(AND(R263&lt;&gt;"Any",R263&lt;&gt;P263),"Sales, receipts and credit notes are for debtors; purchases, payments and debit notes for creditors",IF(AND(F263&lt;&gt;"",D263&lt;&gt;"Purchase bill"),"The received-on date is only for purchase bills",IF(AND(P263="Creditor",X263=1,AA263&gt;0),"Past due to a micro or small supplier: interest runs under MSMED s.16, and if unpaid at year end it is not deductible that year, s.37(2)(g)",IF(AND(P263="Debtor",X263=1,AA263&gt;0),"Past due to you: as a micro or small supplier you can claim interest under MSMED s.16","OK")))))))))))</f>
        <v/>
      </c>
      <c r="P263">
        <f>IF(C263="","",IFERROR(VLOOKUP(C263,'Parties'!$B$13:$Q$112,2,FALSE),"?"))</f>
        <v/>
      </c>
      <c r="Q263">
        <f>IF(D263="","",IFERROR(VLOOKUP(D263,Lists!$A$2:$D$9,3,FALSE),"?"))</f>
        <v/>
      </c>
      <c r="R263">
        <f>IF(D263="","",IFERROR(VLOOKUP(D263,Lists!$A$2:$D$9,4,FALSE),"?"))</f>
        <v/>
      </c>
      <c r="S263">
        <f>IF(P263="Debtor",I263,IF(P263="Creditor",J263,0))</f>
        <v/>
      </c>
      <c r="T263">
        <f>IF(P263="Debtor",J263,IF(P263="Creditor",I263,0))</f>
        <v/>
      </c>
      <c r="U263">
        <f>IF(OR(S263=0,B263=""),0,IFERROR(VLOOKUP(C263,'Parties'!$B$13:$Q$112,13,FALSE),0)+SUMIFS($S$7:$S$506,$C$7:$C$506,C263,$B$7:$B$506,"&lt;"&amp;B263)+SUMIFS(S$7:S263,C$7:C263,C263,B$7:B263,B263))</f>
        <v/>
      </c>
      <c r="V263">
        <f>IF(S263=0,0,IFERROR(VLOOKUP(C263,'Parties'!$B$13:$Q$112,14,FALSE),0)+SUMIFS($T$7:$T$506,$C$7:$C$506,C263,$B$7:$B$506,"&lt;="&amp;'Outstanding'!$E$5))</f>
        <v/>
      </c>
      <c r="W263">
        <f>IF(OR('Outstanding'!$E$5="",S263=0,B263="",B263&gt;'Outstanding'!$E$5),0,MAX(0,MIN(S263,U263-V263)))</f>
        <v/>
      </c>
      <c r="X263">
        <f>IF(C263="",0,IFERROR(VLOOKUP(C263,'Parties'!$B$13:$Q$112,15,FALSE),0))</f>
        <v/>
      </c>
      <c r="Y263">
        <f>IF(C263="","",IFERROR(VLOOKUP(C263,'Parties'!$B$13:$Q$112,16,FALSE),0))</f>
        <v/>
      </c>
      <c r="Z263">
        <f>IF(OR(S263=0,B263="",Y263=""),"",IF(AND(F263&lt;&gt;"",D263="Purchase bill"),F263,B263)+Y263)</f>
        <v/>
      </c>
      <c r="AA263">
        <f>IF(OR(W263=0,Z263=""),0,MAX(0,'Outstanding'!$E$5-Z263))</f>
        <v/>
      </c>
      <c r="AB263">
        <f>IF(AND(X263=1,AA263&gt;0),W263*((1+3*N('Parties'!$E$10)/12)^(AA263*12/365)-1),0)</f>
        <v/>
      </c>
      <c r="AC263">
        <f>IF(W263=0,"",'Outstanding'!$E$5-B263)</f>
        <v/>
      </c>
      <c r="AD263">
        <f>IF(S263=0,0,IFERROR(VLOOKUP(C263,'Parties'!$B$13:$Q$112,14,FALSE),0)+SUMIFS($T$7:$T$506,$C$7:$C$506,C263,$B$7:$B$506,"&lt;="&amp;'Parties'!$E$8))</f>
        <v/>
      </c>
      <c r="AE263">
        <f>IF(OR('Parties'!$E$8="",S263=0,B263="",B263&gt;'Parties'!$E$8),0,MAX(0,MIN(S263,U263-AD263)))</f>
        <v/>
      </c>
      <c r="AF263">
        <f>IF(AND(P263="Creditor",X263=1,AE263&gt;0,Z263&lt;&gt;""),IF(Z263&lt;='Parties'!$E$8,AE263,0),0)</f>
        <v/>
      </c>
      <c r="AG263">
        <f>IF(OR(AE263=0,Z263=""),0,MAX(0,'Parties'!$E$8-Z263))</f>
        <v/>
      </c>
      <c r="AH263">
        <f>IF(AND(P263="Creditor",X263=1,AG263&gt;0),AE263*((1+3*N('Parties'!$E$10)/12)^(AG263*12/365)-1),0)</f>
        <v/>
      </c>
      <c r="AI263">
        <f>IF(AND(C263&lt;&gt;"",C263='Ledger Account'!$D$4,B263&lt;&gt;"",B263&gt;='Ledger Account'!$D$5,B263&lt;='Ledger Account'!$D$6),1,0)</f>
        <v/>
      </c>
      <c r="AJ263">
        <f>IF(AI263=1,SUM(AI$7:AI263),"")</f>
        <v/>
      </c>
      <c r="AK263">
        <f>IF(OR(N263="",N263="OK"),0,1)</f>
        <v/>
      </c>
    </row>
    <row r="264">
      <c r="B264" s="24" t="n"/>
      <c r="C264" s="14" t="n"/>
      <c r="D264" s="14" t="n"/>
      <c r="E264" s="20" t="n"/>
      <c r="F264" s="24" t="n"/>
      <c r="G264" s="14" t="n"/>
      <c r="H264" s="22" t="n"/>
      <c r="I264" s="25">
        <f>IF(Q264="D",N(H264),0)</f>
        <v/>
      </c>
      <c r="J264" s="25">
        <f>IF(Q264="C",N(H264),0)</f>
        <v/>
      </c>
      <c r="K264" s="26">
        <f>IF(Z264="","",Z264)</f>
        <v/>
      </c>
      <c r="L264" s="27">
        <f>W264</f>
        <v/>
      </c>
      <c r="M264" s="28">
        <f>AA264</f>
        <v/>
      </c>
      <c r="N264" s="23">
        <f>IF(AND(B264="",C264="",D264="",N(H264)=0),"",IF(B264="","Enter the date",IF(C264="","Pick the party",IF(P264="?","Add this party on the Parties sheet first",IF(D264="","Pick the entry type",IF(Q264="?","Pick the entry type from the list",IF(N(H264)=0,"Enter the amount",IF(AND(R264&lt;&gt;"Any",R264&lt;&gt;P264),"Sales, receipts and credit notes are for debtors; purchases, payments and debit notes for creditors",IF(AND(F264&lt;&gt;"",D264&lt;&gt;"Purchase bill"),"The received-on date is only for purchase bills",IF(AND(P264="Creditor",X264=1,AA264&gt;0),"Past due to a micro or small supplier: interest runs under MSMED s.16, and if unpaid at year end it is not deductible that year, s.37(2)(g)",IF(AND(P264="Debtor",X264=1,AA264&gt;0),"Past due to you: as a micro or small supplier you can claim interest under MSMED s.16","OK")))))))))))</f>
        <v/>
      </c>
      <c r="P264">
        <f>IF(C264="","",IFERROR(VLOOKUP(C264,'Parties'!$B$13:$Q$112,2,FALSE),"?"))</f>
        <v/>
      </c>
      <c r="Q264">
        <f>IF(D264="","",IFERROR(VLOOKUP(D264,Lists!$A$2:$D$9,3,FALSE),"?"))</f>
        <v/>
      </c>
      <c r="R264">
        <f>IF(D264="","",IFERROR(VLOOKUP(D264,Lists!$A$2:$D$9,4,FALSE),"?"))</f>
        <v/>
      </c>
      <c r="S264">
        <f>IF(P264="Debtor",I264,IF(P264="Creditor",J264,0))</f>
        <v/>
      </c>
      <c r="T264">
        <f>IF(P264="Debtor",J264,IF(P264="Creditor",I264,0))</f>
        <v/>
      </c>
      <c r="U264">
        <f>IF(OR(S264=0,B264=""),0,IFERROR(VLOOKUP(C264,'Parties'!$B$13:$Q$112,13,FALSE),0)+SUMIFS($S$7:$S$506,$C$7:$C$506,C264,$B$7:$B$506,"&lt;"&amp;B264)+SUMIFS(S$7:S264,C$7:C264,C264,B$7:B264,B264))</f>
        <v/>
      </c>
      <c r="V264">
        <f>IF(S264=0,0,IFERROR(VLOOKUP(C264,'Parties'!$B$13:$Q$112,14,FALSE),0)+SUMIFS($T$7:$T$506,$C$7:$C$506,C264,$B$7:$B$506,"&lt;="&amp;'Outstanding'!$E$5))</f>
        <v/>
      </c>
      <c r="W264">
        <f>IF(OR('Outstanding'!$E$5="",S264=0,B264="",B264&gt;'Outstanding'!$E$5),0,MAX(0,MIN(S264,U264-V264)))</f>
        <v/>
      </c>
      <c r="X264">
        <f>IF(C264="",0,IFERROR(VLOOKUP(C264,'Parties'!$B$13:$Q$112,15,FALSE),0))</f>
        <v/>
      </c>
      <c r="Y264">
        <f>IF(C264="","",IFERROR(VLOOKUP(C264,'Parties'!$B$13:$Q$112,16,FALSE),0))</f>
        <v/>
      </c>
      <c r="Z264">
        <f>IF(OR(S264=0,B264="",Y264=""),"",IF(AND(F264&lt;&gt;"",D264="Purchase bill"),F264,B264)+Y264)</f>
        <v/>
      </c>
      <c r="AA264">
        <f>IF(OR(W264=0,Z264=""),0,MAX(0,'Outstanding'!$E$5-Z264))</f>
        <v/>
      </c>
      <c r="AB264">
        <f>IF(AND(X264=1,AA264&gt;0),W264*((1+3*N('Parties'!$E$10)/12)^(AA264*12/365)-1),0)</f>
        <v/>
      </c>
      <c r="AC264">
        <f>IF(W264=0,"",'Outstanding'!$E$5-B264)</f>
        <v/>
      </c>
      <c r="AD264">
        <f>IF(S264=0,0,IFERROR(VLOOKUP(C264,'Parties'!$B$13:$Q$112,14,FALSE),0)+SUMIFS($T$7:$T$506,$C$7:$C$506,C264,$B$7:$B$506,"&lt;="&amp;'Parties'!$E$8))</f>
        <v/>
      </c>
      <c r="AE264">
        <f>IF(OR('Parties'!$E$8="",S264=0,B264="",B264&gt;'Parties'!$E$8),0,MAX(0,MIN(S264,U264-AD264)))</f>
        <v/>
      </c>
      <c r="AF264">
        <f>IF(AND(P264="Creditor",X264=1,AE264&gt;0,Z264&lt;&gt;""),IF(Z264&lt;='Parties'!$E$8,AE264,0),0)</f>
        <v/>
      </c>
      <c r="AG264">
        <f>IF(OR(AE264=0,Z264=""),0,MAX(0,'Parties'!$E$8-Z264))</f>
        <v/>
      </c>
      <c r="AH264">
        <f>IF(AND(P264="Creditor",X264=1,AG264&gt;0),AE264*((1+3*N('Parties'!$E$10)/12)^(AG264*12/365)-1),0)</f>
        <v/>
      </c>
      <c r="AI264">
        <f>IF(AND(C264&lt;&gt;"",C264='Ledger Account'!$D$4,B264&lt;&gt;"",B264&gt;='Ledger Account'!$D$5,B264&lt;='Ledger Account'!$D$6),1,0)</f>
        <v/>
      </c>
      <c r="AJ264">
        <f>IF(AI264=1,SUM(AI$7:AI264),"")</f>
        <v/>
      </c>
      <c r="AK264">
        <f>IF(OR(N264="",N264="OK"),0,1)</f>
        <v/>
      </c>
    </row>
    <row r="265">
      <c r="B265" s="24" t="n"/>
      <c r="C265" s="14" t="n"/>
      <c r="D265" s="14" t="n"/>
      <c r="E265" s="20" t="n"/>
      <c r="F265" s="24" t="n"/>
      <c r="G265" s="14" t="n"/>
      <c r="H265" s="22" t="n"/>
      <c r="I265" s="25">
        <f>IF(Q265="D",N(H265),0)</f>
        <v/>
      </c>
      <c r="J265" s="25">
        <f>IF(Q265="C",N(H265),0)</f>
        <v/>
      </c>
      <c r="K265" s="26">
        <f>IF(Z265="","",Z265)</f>
        <v/>
      </c>
      <c r="L265" s="27">
        <f>W265</f>
        <v/>
      </c>
      <c r="M265" s="28">
        <f>AA265</f>
        <v/>
      </c>
      <c r="N265" s="23">
        <f>IF(AND(B265="",C265="",D265="",N(H265)=0),"",IF(B265="","Enter the date",IF(C265="","Pick the party",IF(P265="?","Add this party on the Parties sheet first",IF(D265="","Pick the entry type",IF(Q265="?","Pick the entry type from the list",IF(N(H265)=0,"Enter the amount",IF(AND(R265&lt;&gt;"Any",R265&lt;&gt;P265),"Sales, receipts and credit notes are for debtors; purchases, payments and debit notes for creditors",IF(AND(F265&lt;&gt;"",D265&lt;&gt;"Purchase bill"),"The received-on date is only for purchase bills",IF(AND(P265="Creditor",X265=1,AA265&gt;0),"Past due to a micro or small supplier: interest runs under MSMED s.16, and if unpaid at year end it is not deductible that year, s.37(2)(g)",IF(AND(P265="Debtor",X265=1,AA265&gt;0),"Past due to you: as a micro or small supplier you can claim interest under MSMED s.16","OK")))))))))))</f>
        <v/>
      </c>
      <c r="P265">
        <f>IF(C265="","",IFERROR(VLOOKUP(C265,'Parties'!$B$13:$Q$112,2,FALSE),"?"))</f>
        <v/>
      </c>
      <c r="Q265">
        <f>IF(D265="","",IFERROR(VLOOKUP(D265,Lists!$A$2:$D$9,3,FALSE),"?"))</f>
        <v/>
      </c>
      <c r="R265">
        <f>IF(D265="","",IFERROR(VLOOKUP(D265,Lists!$A$2:$D$9,4,FALSE),"?"))</f>
        <v/>
      </c>
      <c r="S265">
        <f>IF(P265="Debtor",I265,IF(P265="Creditor",J265,0))</f>
        <v/>
      </c>
      <c r="T265">
        <f>IF(P265="Debtor",J265,IF(P265="Creditor",I265,0))</f>
        <v/>
      </c>
      <c r="U265">
        <f>IF(OR(S265=0,B265=""),0,IFERROR(VLOOKUP(C265,'Parties'!$B$13:$Q$112,13,FALSE),0)+SUMIFS($S$7:$S$506,$C$7:$C$506,C265,$B$7:$B$506,"&lt;"&amp;B265)+SUMIFS(S$7:S265,C$7:C265,C265,B$7:B265,B265))</f>
        <v/>
      </c>
      <c r="V265">
        <f>IF(S265=0,0,IFERROR(VLOOKUP(C265,'Parties'!$B$13:$Q$112,14,FALSE),0)+SUMIFS($T$7:$T$506,$C$7:$C$506,C265,$B$7:$B$506,"&lt;="&amp;'Outstanding'!$E$5))</f>
        <v/>
      </c>
      <c r="W265">
        <f>IF(OR('Outstanding'!$E$5="",S265=0,B265="",B265&gt;'Outstanding'!$E$5),0,MAX(0,MIN(S265,U265-V265)))</f>
        <v/>
      </c>
      <c r="X265">
        <f>IF(C265="",0,IFERROR(VLOOKUP(C265,'Parties'!$B$13:$Q$112,15,FALSE),0))</f>
        <v/>
      </c>
      <c r="Y265">
        <f>IF(C265="","",IFERROR(VLOOKUP(C265,'Parties'!$B$13:$Q$112,16,FALSE),0))</f>
        <v/>
      </c>
      <c r="Z265">
        <f>IF(OR(S265=0,B265="",Y265=""),"",IF(AND(F265&lt;&gt;"",D265="Purchase bill"),F265,B265)+Y265)</f>
        <v/>
      </c>
      <c r="AA265">
        <f>IF(OR(W265=0,Z265=""),0,MAX(0,'Outstanding'!$E$5-Z265))</f>
        <v/>
      </c>
      <c r="AB265">
        <f>IF(AND(X265=1,AA265&gt;0),W265*((1+3*N('Parties'!$E$10)/12)^(AA265*12/365)-1),0)</f>
        <v/>
      </c>
      <c r="AC265">
        <f>IF(W265=0,"",'Outstanding'!$E$5-B265)</f>
        <v/>
      </c>
      <c r="AD265">
        <f>IF(S265=0,0,IFERROR(VLOOKUP(C265,'Parties'!$B$13:$Q$112,14,FALSE),0)+SUMIFS($T$7:$T$506,$C$7:$C$506,C265,$B$7:$B$506,"&lt;="&amp;'Parties'!$E$8))</f>
        <v/>
      </c>
      <c r="AE265">
        <f>IF(OR('Parties'!$E$8="",S265=0,B265="",B265&gt;'Parties'!$E$8),0,MAX(0,MIN(S265,U265-AD265)))</f>
        <v/>
      </c>
      <c r="AF265">
        <f>IF(AND(P265="Creditor",X265=1,AE265&gt;0,Z265&lt;&gt;""),IF(Z265&lt;='Parties'!$E$8,AE265,0),0)</f>
        <v/>
      </c>
      <c r="AG265">
        <f>IF(OR(AE265=0,Z265=""),0,MAX(0,'Parties'!$E$8-Z265))</f>
        <v/>
      </c>
      <c r="AH265">
        <f>IF(AND(P265="Creditor",X265=1,AG265&gt;0),AE265*((1+3*N('Parties'!$E$10)/12)^(AG265*12/365)-1),0)</f>
        <v/>
      </c>
      <c r="AI265">
        <f>IF(AND(C265&lt;&gt;"",C265='Ledger Account'!$D$4,B265&lt;&gt;"",B265&gt;='Ledger Account'!$D$5,B265&lt;='Ledger Account'!$D$6),1,0)</f>
        <v/>
      </c>
      <c r="AJ265">
        <f>IF(AI265=1,SUM(AI$7:AI265),"")</f>
        <v/>
      </c>
      <c r="AK265">
        <f>IF(OR(N265="",N265="OK"),0,1)</f>
        <v/>
      </c>
    </row>
    <row r="266">
      <c r="B266" s="24" t="n"/>
      <c r="C266" s="14" t="n"/>
      <c r="D266" s="14" t="n"/>
      <c r="E266" s="20" t="n"/>
      <c r="F266" s="24" t="n"/>
      <c r="G266" s="14" t="n"/>
      <c r="H266" s="22" t="n"/>
      <c r="I266" s="25">
        <f>IF(Q266="D",N(H266),0)</f>
        <v/>
      </c>
      <c r="J266" s="25">
        <f>IF(Q266="C",N(H266),0)</f>
        <v/>
      </c>
      <c r="K266" s="26">
        <f>IF(Z266="","",Z266)</f>
        <v/>
      </c>
      <c r="L266" s="27">
        <f>W266</f>
        <v/>
      </c>
      <c r="M266" s="28">
        <f>AA266</f>
        <v/>
      </c>
      <c r="N266" s="23">
        <f>IF(AND(B266="",C266="",D266="",N(H266)=0),"",IF(B266="","Enter the date",IF(C266="","Pick the party",IF(P266="?","Add this party on the Parties sheet first",IF(D266="","Pick the entry type",IF(Q266="?","Pick the entry type from the list",IF(N(H266)=0,"Enter the amount",IF(AND(R266&lt;&gt;"Any",R266&lt;&gt;P266),"Sales, receipts and credit notes are for debtors; purchases, payments and debit notes for creditors",IF(AND(F266&lt;&gt;"",D266&lt;&gt;"Purchase bill"),"The received-on date is only for purchase bills",IF(AND(P266="Creditor",X266=1,AA266&gt;0),"Past due to a micro or small supplier: interest runs under MSMED s.16, and if unpaid at year end it is not deductible that year, s.37(2)(g)",IF(AND(P266="Debtor",X266=1,AA266&gt;0),"Past due to you: as a micro or small supplier you can claim interest under MSMED s.16","OK")))))))))))</f>
        <v/>
      </c>
      <c r="P266">
        <f>IF(C266="","",IFERROR(VLOOKUP(C266,'Parties'!$B$13:$Q$112,2,FALSE),"?"))</f>
        <v/>
      </c>
      <c r="Q266">
        <f>IF(D266="","",IFERROR(VLOOKUP(D266,Lists!$A$2:$D$9,3,FALSE),"?"))</f>
        <v/>
      </c>
      <c r="R266">
        <f>IF(D266="","",IFERROR(VLOOKUP(D266,Lists!$A$2:$D$9,4,FALSE),"?"))</f>
        <v/>
      </c>
      <c r="S266">
        <f>IF(P266="Debtor",I266,IF(P266="Creditor",J266,0))</f>
        <v/>
      </c>
      <c r="T266">
        <f>IF(P266="Debtor",J266,IF(P266="Creditor",I266,0))</f>
        <v/>
      </c>
      <c r="U266">
        <f>IF(OR(S266=0,B266=""),0,IFERROR(VLOOKUP(C266,'Parties'!$B$13:$Q$112,13,FALSE),0)+SUMIFS($S$7:$S$506,$C$7:$C$506,C266,$B$7:$B$506,"&lt;"&amp;B266)+SUMIFS(S$7:S266,C$7:C266,C266,B$7:B266,B266))</f>
        <v/>
      </c>
      <c r="V266">
        <f>IF(S266=0,0,IFERROR(VLOOKUP(C266,'Parties'!$B$13:$Q$112,14,FALSE),0)+SUMIFS($T$7:$T$506,$C$7:$C$506,C266,$B$7:$B$506,"&lt;="&amp;'Outstanding'!$E$5))</f>
        <v/>
      </c>
      <c r="W266">
        <f>IF(OR('Outstanding'!$E$5="",S266=0,B266="",B266&gt;'Outstanding'!$E$5),0,MAX(0,MIN(S266,U266-V266)))</f>
        <v/>
      </c>
      <c r="X266">
        <f>IF(C266="",0,IFERROR(VLOOKUP(C266,'Parties'!$B$13:$Q$112,15,FALSE),0))</f>
        <v/>
      </c>
      <c r="Y266">
        <f>IF(C266="","",IFERROR(VLOOKUP(C266,'Parties'!$B$13:$Q$112,16,FALSE),0))</f>
        <v/>
      </c>
      <c r="Z266">
        <f>IF(OR(S266=0,B266="",Y266=""),"",IF(AND(F266&lt;&gt;"",D266="Purchase bill"),F266,B266)+Y266)</f>
        <v/>
      </c>
      <c r="AA266">
        <f>IF(OR(W266=0,Z266=""),0,MAX(0,'Outstanding'!$E$5-Z266))</f>
        <v/>
      </c>
      <c r="AB266">
        <f>IF(AND(X266=1,AA266&gt;0),W266*((1+3*N('Parties'!$E$10)/12)^(AA266*12/365)-1),0)</f>
        <v/>
      </c>
      <c r="AC266">
        <f>IF(W266=0,"",'Outstanding'!$E$5-B266)</f>
        <v/>
      </c>
      <c r="AD266">
        <f>IF(S266=0,0,IFERROR(VLOOKUP(C266,'Parties'!$B$13:$Q$112,14,FALSE),0)+SUMIFS($T$7:$T$506,$C$7:$C$506,C266,$B$7:$B$506,"&lt;="&amp;'Parties'!$E$8))</f>
        <v/>
      </c>
      <c r="AE266">
        <f>IF(OR('Parties'!$E$8="",S266=0,B266="",B266&gt;'Parties'!$E$8),0,MAX(0,MIN(S266,U266-AD266)))</f>
        <v/>
      </c>
      <c r="AF266">
        <f>IF(AND(P266="Creditor",X266=1,AE266&gt;0,Z266&lt;&gt;""),IF(Z266&lt;='Parties'!$E$8,AE266,0),0)</f>
        <v/>
      </c>
      <c r="AG266">
        <f>IF(OR(AE266=0,Z266=""),0,MAX(0,'Parties'!$E$8-Z266))</f>
        <v/>
      </c>
      <c r="AH266">
        <f>IF(AND(P266="Creditor",X266=1,AG266&gt;0),AE266*((1+3*N('Parties'!$E$10)/12)^(AG266*12/365)-1),0)</f>
        <v/>
      </c>
      <c r="AI266">
        <f>IF(AND(C266&lt;&gt;"",C266='Ledger Account'!$D$4,B266&lt;&gt;"",B266&gt;='Ledger Account'!$D$5,B266&lt;='Ledger Account'!$D$6),1,0)</f>
        <v/>
      </c>
      <c r="AJ266">
        <f>IF(AI266=1,SUM(AI$7:AI266),"")</f>
        <v/>
      </c>
      <c r="AK266">
        <f>IF(OR(N266="",N266="OK"),0,1)</f>
        <v/>
      </c>
    </row>
    <row r="267">
      <c r="B267" s="24" t="n"/>
      <c r="C267" s="14" t="n"/>
      <c r="D267" s="14" t="n"/>
      <c r="E267" s="20" t="n"/>
      <c r="F267" s="24" t="n"/>
      <c r="G267" s="14" t="n"/>
      <c r="H267" s="22" t="n"/>
      <c r="I267" s="25">
        <f>IF(Q267="D",N(H267),0)</f>
        <v/>
      </c>
      <c r="J267" s="25">
        <f>IF(Q267="C",N(H267),0)</f>
        <v/>
      </c>
      <c r="K267" s="26">
        <f>IF(Z267="","",Z267)</f>
        <v/>
      </c>
      <c r="L267" s="27">
        <f>W267</f>
        <v/>
      </c>
      <c r="M267" s="28">
        <f>AA267</f>
        <v/>
      </c>
      <c r="N267" s="23">
        <f>IF(AND(B267="",C267="",D267="",N(H267)=0),"",IF(B267="","Enter the date",IF(C267="","Pick the party",IF(P267="?","Add this party on the Parties sheet first",IF(D267="","Pick the entry type",IF(Q267="?","Pick the entry type from the list",IF(N(H267)=0,"Enter the amount",IF(AND(R267&lt;&gt;"Any",R267&lt;&gt;P267),"Sales, receipts and credit notes are for debtors; purchases, payments and debit notes for creditors",IF(AND(F267&lt;&gt;"",D267&lt;&gt;"Purchase bill"),"The received-on date is only for purchase bills",IF(AND(P267="Creditor",X267=1,AA267&gt;0),"Past due to a micro or small supplier: interest runs under MSMED s.16, and if unpaid at year end it is not deductible that year, s.37(2)(g)",IF(AND(P267="Debtor",X267=1,AA267&gt;0),"Past due to you: as a micro or small supplier you can claim interest under MSMED s.16","OK")))))))))))</f>
        <v/>
      </c>
      <c r="P267">
        <f>IF(C267="","",IFERROR(VLOOKUP(C267,'Parties'!$B$13:$Q$112,2,FALSE),"?"))</f>
        <v/>
      </c>
      <c r="Q267">
        <f>IF(D267="","",IFERROR(VLOOKUP(D267,Lists!$A$2:$D$9,3,FALSE),"?"))</f>
        <v/>
      </c>
      <c r="R267">
        <f>IF(D267="","",IFERROR(VLOOKUP(D267,Lists!$A$2:$D$9,4,FALSE),"?"))</f>
        <v/>
      </c>
      <c r="S267">
        <f>IF(P267="Debtor",I267,IF(P267="Creditor",J267,0))</f>
        <v/>
      </c>
      <c r="T267">
        <f>IF(P267="Debtor",J267,IF(P267="Creditor",I267,0))</f>
        <v/>
      </c>
      <c r="U267">
        <f>IF(OR(S267=0,B267=""),0,IFERROR(VLOOKUP(C267,'Parties'!$B$13:$Q$112,13,FALSE),0)+SUMIFS($S$7:$S$506,$C$7:$C$506,C267,$B$7:$B$506,"&lt;"&amp;B267)+SUMIFS(S$7:S267,C$7:C267,C267,B$7:B267,B267))</f>
        <v/>
      </c>
      <c r="V267">
        <f>IF(S267=0,0,IFERROR(VLOOKUP(C267,'Parties'!$B$13:$Q$112,14,FALSE),0)+SUMIFS($T$7:$T$506,$C$7:$C$506,C267,$B$7:$B$506,"&lt;="&amp;'Outstanding'!$E$5))</f>
        <v/>
      </c>
      <c r="W267">
        <f>IF(OR('Outstanding'!$E$5="",S267=0,B267="",B267&gt;'Outstanding'!$E$5),0,MAX(0,MIN(S267,U267-V267)))</f>
        <v/>
      </c>
      <c r="X267">
        <f>IF(C267="",0,IFERROR(VLOOKUP(C267,'Parties'!$B$13:$Q$112,15,FALSE),0))</f>
        <v/>
      </c>
      <c r="Y267">
        <f>IF(C267="","",IFERROR(VLOOKUP(C267,'Parties'!$B$13:$Q$112,16,FALSE),0))</f>
        <v/>
      </c>
      <c r="Z267">
        <f>IF(OR(S267=0,B267="",Y267=""),"",IF(AND(F267&lt;&gt;"",D267="Purchase bill"),F267,B267)+Y267)</f>
        <v/>
      </c>
      <c r="AA267">
        <f>IF(OR(W267=0,Z267=""),0,MAX(0,'Outstanding'!$E$5-Z267))</f>
        <v/>
      </c>
      <c r="AB267">
        <f>IF(AND(X267=1,AA267&gt;0),W267*((1+3*N('Parties'!$E$10)/12)^(AA267*12/365)-1),0)</f>
        <v/>
      </c>
      <c r="AC267">
        <f>IF(W267=0,"",'Outstanding'!$E$5-B267)</f>
        <v/>
      </c>
      <c r="AD267">
        <f>IF(S267=0,0,IFERROR(VLOOKUP(C267,'Parties'!$B$13:$Q$112,14,FALSE),0)+SUMIFS($T$7:$T$506,$C$7:$C$506,C267,$B$7:$B$506,"&lt;="&amp;'Parties'!$E$8))</f>
        <v/>
      </c>
      <c r="AE267">
        <f>IF(OR('Parties'!$E$8="",S267=0,B267="",B267&gt;'Parties'!$E$8),0,MAX(0,MIN(S267,U267-AD267)))</f>
        <v/>
      </c>
      <c r="AF267">
        <f>IF(AND(P267="Creditor",X267=1,AE267&gt;0,Z267&lt;&gt;""),IF(Z267&lt;='Parties'!$E$8,AE267,0),0)</f>
        <v/>
      </c>
      <c r="AG267">
        <f>IF(OR(AE267=0,Z267=""),0,MAX(0,'Parties'!$E$8-Z267))</f>
        <v/>
      </c>
      <c r="AH267">
        <f>IF(AND(P267="Creditor",X267=1,AG267&gt;0),AE267*((1+3*N('Parties'!$E$10)/12)^(AG267*12/365)-1),0)</f>
        <v/>
      </c>
      <c r="AI267">
        <f>IF(AND(C267&lt;&gt;"",C267='Ledger Account'!$D$4,B267&lt;&gt;"",B267&gt;='Ledger Account'!$D$5,B267&lt;='Ledger Account'!$D$6),1,0)</f>
        <v/>
      </c>
      <c r="AJ267">
        <f>IF(AI267=1,SUM(AI$7:AI267),"")</f>
        <v/>
      </c>
      <c r="AK267">
        <f>IF(OR(N267="",N267="OK"),0,1)</f>
        <v/>
      </c>
    </row>
    <row r="268">
      <c r="B268" s="24" t="n"/>
      <c r="C268" s="14" t="n"/>
      <c r="D268" s="14" t="n"/>
      <c r="E268" s="20" t="n"/>
      <c r="F268" s="24" t="n"/>
      <c r="G268" s="14" t="n"/>
      <c r="H268" s="22" t="n"/>
      <c r="I268" s="25">
        <f>IF(Q268="D",N(H268),0)</f>
        <v/>
      </c>
      <c r="J268" s="25">
        <f>IF(Q268="C",N(H268),0)</f>
        <v/>
      </c>
      <c r="K268" s="26">
        <f>IF(Z268="","",Z268)</f>
        <v/>
      </c>
      <c r="L268" s="27">
        <f>W268</f>
        <v/>
      </c>
      <c r="M268" s="28">
        <f>AA268</f>
        <v/>
      </c>
      <c r="N268" s="23">
        <f>IF(AND(B268="",C268="",D268="",N(H268)=0),"",IF(B268="","Enter the date",IF(C268="","Pick the party",IF(P268="?","Add this party on the Parties sheet first",IF(D268="","Pick the entry type",IF(Q268="?","Pick the entry type from the list",IF(N(H268)=0,"Enter the amount",IF(AND(R268&lt;&gt;"Any",R268&lt;&gt;P268),"Sales, receipts and credit notes are for debtors; purchases, payments and debit notes for creditors",IF(AND(F268&lt;&gt;"",D268&lt;&gt;"Purchase bill"),"The received-on date is only for purchase bills",IF(AND(P268="Creditor",X268=1,AA268&gt;0),"Past due to a micro or small supplier: interest runs under MSMED s.16, and if unpaid at year end it is not deductible that year, s.37(2)(g)",IF(AND(P268="Debtor",X268=1,AA268&gt;0),"Past due to you: as a micro or small supplier you can claim interest under MSMED s.16","OK")))))))))))</f>
        <v/>
      </c>
      <c r="P268">
        <f>IF(C268="","",IFERROR(VLOOKUP(C268,'Parties'!$B$13:$Q$112,2,FALSE),"?"))</f>
        <v/>
      </c>
      <c r="Q268">
        <f>IF(D268="","",IFERROR(VLOOKUP(D268,Lists!$A$2:$D$9,3,FALSE),"?"))</f>
        <v/>
      </c>
      <c r="R268">
        <f>IF(D268="","",IFERROR(VLOOKUP(D268,Lists!$A$2:$D$9,4,FALSE),"?"))</f>
        <v/>
      </c>
      <c r="S268">
        <f>IF(P268="Debtor",I268,IF(P268="Creditor",J268,0))</f>
        <v/>
      </c>
      <c r="T268">
        <f>IF(P268="Debtor",J268,IF(P268="Creditor",I268,0))</f>
        <v/>
      </c>
      <c r="U268">
        <f>IF(OR(S268=0,B268=""),0,IFERROR(VLOOKUP(C268,'Parties'!$B$13:$Q$112,13,FALSE),0)+SUMIFS($S$7:$S$506,$C$7:$C$506,C268,$B$7:$B$506,"&lt;"&amp;B268)+SUMIFS(S$7:S268,C$7:C268,C268,B$7:B268,B268))</f>
        <v/>
      </c>
      <c r="V268">
        <f>IF(S268=0,0,IFERROR(VLOOKUP(C268,'Parties'!$B$13:$Q$112,14,FALSE),0)+SUMIFS($T$7:$T$506,$C$7:$C$506,C268,$B$7:$B$506,"&lt;="&amp;'Outstanding'!$E$5))</f>
        <v/>
      </c>
      <c r="W268">
        <f>IF(OR('Outstanding'!$E$5="",S268=0,B268="",B268&gt;'Outstanding'!$E$5),0,MAX(0,MIN(S268,U268-V268)))</f>
        <v/>
      </c>
      <c r="X268">
        <f>IF(C268="",0,IFERROR(VLOOKUP(C268,'Parties'!$B$13:$Q$112,15,FALSE),0))</f>
        <v/>
      </c>
      <c r="Y268">
        <f>IF(C268="","",IFERROR(VLOOKUP(C268,'Parties'!$B$13:$Q$112,16,FALSE),0))</f>
        <v/>
      </c>
      <c r="Z268">
        <f>IF(OR(S268=0,B268="",Y268=""),"",IF(AND(F268&lt;&gt;"",D268="Purchase bill"),F268,B268)+Y268)</f>
        <v/>
      </c>
      <c r="AA268">
        <f>IF(OR(W268=0,Z268=""),0,MAX(0,'Outstanding'!$E$5-Z268))</f>
        <v/>
      </c>
      <c r="AB268">
        <f>IF(AND(X268=1,AA268&gt;0),W268*((1+3*N('Parties'!$E$10)/12)^(AA268*12/365)-1),0)</f>
        <v/>
      </c>
      <c r="AC268">
        <f>IF(W268=0,"",'Outstanding'!$E$5-B268)</f>
        <v/>
      </c>
      <c r="AD268">
        <f>IF(S268=0,0,IFERROR(VLOOKUP(C268,'Parties'!$B$13:$Q$112,14,FALSE),0)+SUMIFS($T$7:$T$506,$C$7:$C$506,C268,$B$7:$B$506,"&lt;="&amp;'Parties'!$E$8))</f>
        <v/>
      </c>
      <c r="AE268">
        <f>IF(OR('Parties'!$E$8="",S268=0,B268="",B268&gt;'Parties'!$E$8),0,MAX(0,MIN(S268,U268-AD268)))</f>
        <v/>
      </c>
      <c r="AF268">
        <f>IF(AND(P268="Creditor",X268=1,AE268&gt;0,Z268&lt;&gt;""),IF(Z268&lt;='Parties'!$E$8,AE268,0),0)</f>
        <v/>
      </c>
      <c r="AG268">
        <f>IF(OR(AE268=0,Z268=""),0,MAX(0,'Parties'!$E$8-Z268))</f>
        <v/>
      </c>
      <c r="AH268">
        <f>IF(AND(P268="Creditor",X268=1,AG268&gt;0),AE268*((1+3*N('Parties'!$E$10)/12)^(AG268*12/365)-1),0)</f>
        <v/>
      </c>
      <c r="AI268">
        <f>IF(AND(C268&lt;&gt;"",C268='Ledger Account'!$D$4,B268&lt;&gt;"",B268&gt;='Ledger Account'!$D$5,B268&lt;='Ledger Account'!$D$6),1,0)</f>
        <v/>
      </c>
      <c r="AJ268">
        <f>IF(AI268=1,SUM(AI$7:AI268),"")</f>
        <v/>
      </c>
      <c r="AK268">
        <f>IF(OR(N268="",N268="OK"),0,1)</f>
        <v/>
      </c>
    </row>
    <row r="269">
      <c r="B269" s="24" t="n"/>
      <c r="C269" s="14" t="n"/>
      <c r="D269" s="14" t="n"/>
      <c r="E269" s="20" t="n"/>
      <c r="F269" s="24" t="n"/>
      <c r="G269" s="14" t="n"/>
      <c r="H269" s="22" t="n"/>
      <c r="I269" s="25">
        <f>IF(Q269="D",N(H269),0)</f>
        <v/>
      </c>
      <c r="J269" s="25">
        <f>IF(Q269="C",N(H269),0)</f>
        <v/>
      </c>
      <c r="K269" s="26">
        <f>IF(Z269="","",Z269)</f>
        <v/>
      </c>
      <c r="L269" s="27">
        <f>W269</f>
        <v/>
      </c>
      <c r="M269" s="28">
        <f>AA269</f>
        <v/>
      </c>
      <c r="N269" s="23">
        <f>IF(AND(B269="",C269="",D269="",N(H269)=0),"",IF(B269="","Enter the date",IF(C269="","Pick the party",IF(P269="?","Add this party on the Parties sheet first",IF(D269="","Pick the entry type",IF(Q269="?","Pick the entry type from the list",IF(N(H269)=0,"Enter the amount",IF(AND(R269&lt;&gt;"Any",R269&lt;&gt;P269),"Sales, receipts and credit notes are for debtors; purchases, payments and debit notes for creditors",IF(AND(F269&lt;&gt;"",D269&lt;&gt;"Purchase bill"),"The received-on date is only for purchase bills",IF(AND(P269="Creditor",X269=1,AA269&gt;0),"Past due to a micro or small supplier: interest runs under MSMED s.16, and if unpaid at year end it is not deductible that year, s.37(2)(g)",IF(AND(P269="Debtor",X269=1,AA269&gt;0),"Past due to you: as a micro or small supplier you can claim interest under MSMED s.16","OK")))))))))))</f>
        <v/>
      </c>
      <c r="P269">
        <f>IF(C269="","",IFERROR(VLOOKUP(C269,'Parties'!$B$13:$Q$112,2,FALSE),"?"))</f>
        <v/>
      </c>
      <c r="Q269">
        <f>IF(D269="","",IFERROR(VLOOKUP(D269,Lists!$A$2:$D$9,3,FALSE),"?"))</f>
        <v/>
      </c>
      <c r="R269">
        <f>IF(D269="","",IFERROR(VLOOKUP(D269,Lists!$A$2:$D$9,4,FALSE),"?"))</f>
        <v/>
      </c>
      <c r="S269">
        <f>IF(P269="Debtor",I269,IF(P269="Creditor",J269,0))</f>
        <v/>
      </c>
      <c r="T269">
        <f>IF(P269="Debtor",J269,IF(P269="Creditor",I269,0))</f>
        <v/>
      </c>
      <c r="U269">
        <f>IF(OR(S269=0,B269=""),0,IFERROR(VLOOKUP(C269,'Parties'!$B$13:$Q$112,13,FALSE),0)+SUMIFS($S$7:$S$506,$C$7:$C$506,C269,$B$7:$B$506,"&lt;"&amp;B269)+SUMIFS(S$7:S269,C$7:C269,C269,B$7:B269,B269))</f>
        <v/>
      </c>
      <c r="V269">
        <f>IF(S269=0,0,IFERROR(VLOOKUP(C269,'Parties'!$B$13:$Q$112,14,FALSE),0)+SUMIFS($T$7:$T$506,$C$7:$C$506,C269,$B$7:$B$506,"&lt;="&amp;'Outstanding'!$E$5))</f>
        <v/>
      </c>
      <c r="W269">
        <f>IF(OR('Outstanding'!$E$5="",S269=0,B269="",B269&gt;'Outstanding'!$E$5),0,MAX(0,MIN(S269,U269-V269)))</f>
        <v/>
      </c>
      <c r="X269">
        <f>IF(C269="",0,IFERROR(VLOOKUP(C269,'Parties'!$B$13:$Q$112,15,FALSE),0))</f>
        <v/>
      </c>
      <c r="Y269">
        <f>IF(C269="","",IFERROR(VLOOKUP(C269,'Parties'!$B$13:$Q$112,16,FALSE),0))</f>
        <v/>
      </c>
      <c r="Z269">
        <f>IF(OR(S269=0,B269="",Y269=""),"",IF(AND(F269&lt;&gt;"",D269="Purchase bill"),F269,B269)+Y269)</f>
        <v/>
      </c>
      <c r="AA269">
        <f>IF(OR(W269=0,Z269=""),0,MAX(0,'Outstanding'!$E$5-Z269))</f>
        <v/>
      </c>
      <c r="AB269">
        <f>IF(AND(X269=1,AA269&gt;0),W269*((1+3*N('Parties'!$E$10)/12)^(AA269*12/365)-1),0)</f>
        <v/>
      </c>
      <c r="AC269">
        <f>IF(W269=0,"",'Outstanding'!$E$5-B269)</f>
        <v/>
      </c>
      <c r="AD269">
        <f>IF(S269=0,0,IFERROR(VLOOKUP(C269,'Parties'!$B$13:$Q$112,14,FALSE),0)+SUMIFS($T$7:$T$506,$C$7:$C$506,C269,$B$7:$B$506,"&lt;="&amp;'Parties'!$E$8))</f>
        <v/>
      </c>
      <c r="AE269">
        <f>IF(OR('Parties'!$E$8="",S269=0,B269="",B269&gt;'Parties'!$E$8),0,MAX(0,MIN(S269,U269-AD269)))</f>
        <v/>
      </c>
      <c r="AF269">
        <f>IF(AND(P269="Creditor",X269=1,AE269&gt;0,Z269&lt;&gt;""),IF(Z269&lt;='Parties'!$E$8,AE269,0),0)</f>
        <v/>
      </c>
      <c r="AG269">
        <f>IF(OR(AE269=0,Z269=""),0,MAX(0,'Parties'!$E$8-Z269))</f>
        <v/>
      </c>
      <c r="AH269">
        <f>IF(AND(P269="Creditor",X269=1,AG269&gt;0),AE269*((1+3*N('Parties'!$E$10)/12)^(AG269*12/365)-1),0)</f>
        <v/>
      </c>
      <c r="AI269">
        <f>IF(AND(C269&lt;&gt;"",C269='Ledger Account'!$D$4,B269&lt;&gt;"",B269&gt;='Ledger Account'!$D$5,B269&lt;='Ledger Account'!$D$6),1,0)</f>
        <v/>
      </c>
      <c r="AJ269">
        <f>IF(AI269=1,SUM(AI$7:AI269),"")</f>
        <v/>
      </c>
      <c r="AK269">
        <f>IF(OR(N269="",N269="OK"),0,1)</f>
        <v/>
      </c>
    </row>
    <row r="270">
      <c r="B270" s="24" t="n"/>
      <c r="C270" s="14" t="n"/>
      <c r="D270" s="14" t="n"/>
      <c r="E270" s="20" t="n"/>
      <c r="F270" s="24" t="n"/>
      <c r="G270" s="14" t="n"/>
      <c r="H270" s="22" t="n"/>
      <c r="I270" s="25">
        <f>IF(Q270="D",N(H270),0)</f>
        <v/>
      </c>
      <c r="J270" s="25">
        <f>IF(Q270="C",N(H270),0)</f>
        <v/>
      </c>
      <c r="K270" s="26">
        <f>IF(Z270="","",Z270)</f>
        <v/>
      </c>
      <c r="L270" s="27">
        <f>W270</f>
        <v/>
      </c>
      <c r="M270" s="28">
        <f>AA270</f>
        <v/>
      </c>
      <c r="N270" s="23">
        <f>IF(AND(B270="",C270="",D270="",N(H270)=0),"",IF(B270="","Enter the date",IF(C270="","Pick the party",IF(P270="?","Add this party on the Parties sheet first",IF(D270="","Pick the entry type",IF(Q270="?","Pick the entry type from the list",IF(N(H270)=0,"Enter the amount",IF(AND(R270&lt;&gt;"Any",R270&lt;&gt;P270),"Sales, receipts and credit notes are for debtors; purchases, payments and debit notes for creditors",IF(AND(F270&lt;&gt;"",D270&lt;&gt;"Purchase bill"),"The received-on date is only for purchase bills",IF(AND(P270="Creditor",X270=1,AA270&gt;0),"Past due to a micro or small supplier: interest runs under MSMED s.16, and if unpaid at year end it is not deductible that year, s.37(2)(g)",IF(AND(P270="Debtor",X270=1,AA270&gt;0),"Past due to you: as a micro or small supplier you can claim interest under MSMED s.16","OK")))))))))))</f>
        <v/>
      </c>
      <c r="P270">
        <f>IF(C270="","",IFERROR(VLOOKUP(C270,'Parties'!$B$13:$Q$112,2,FALSE),"?"))</f>
        <v/>
      </c>
      <c r="Q270">
        <f>IF(D270="","",IFERROR(VLOOKUP(D270,Lists!$A$2:$D$9,3,FALSE),"?"))</f>
        <v/>
      </c>
      <c r="R270">
        <f>IF(D270="","",IFERROR(VLOOKUP(D270,Lists!$A$2:$D$9,4,FALSE),"?"))</f>
        <v/>
      </c>
      <c r="S270">
        <f>IF(P270="Debtor",I270,IF(P270="Creditor",J270,0))</f>
        <v/>
      </c>
      <c r="T270">
        <f>IF(P270="Debtor",J270,IF(P270="Creditor",I270,0))</f>
        <v/>
      </c>
      <c r="U270">
        <f>IF(OR(S270=0,B270=""),0,IFERROR(VLOOKUP(C270,'Parties'!$B$13:$Q$112,13,FALSE),0)+SUMIFS($S$7:$S$506,$C$7:$C$506,C270,$B$7:$B$506,"&lt;"&amp;B270)+SUMIFS(S$7:S270,C$7:C270,C270,B$7:B270,B270))</f>
        <v/>
      </c>
      <c r="V270">
        <f>IF(S270=0,0,IFERROR(VLOOKUP(C270,'Parties'!$B$13:$Q$112,14,FALSE),0)+SUMIFS($T$7:$T$506,$C$7:$C$506,C270,$B$7:$B$506,"&lt;="&amp;'Outstanding'!$E$5))</f>
        <v/>
      </c>
      <c r="W270">
        <f>IF(OR('Outstanding'!$E$5="",S270=0,B270="",B270&gt;'Outstanding'!$E$5),0,MAX(0,MIN(S270,U270-V270)))</f>
        <v/>
      </c>
      <c r="X270">
        <f>IF(C270="",0,IFERROR(VLOOKUP(C270,'Parties'!$B$13:$Q$112,15,FALSE),0))</f>
        <v/>
      </c>
      <c r="Y270">
        <f>IF(C270="","",IFERROR(VLOOKUP(C270,'Parties'!$B$13:$Q$112,16,FALSE),0))</f>
        <v/>
      </c>
      <c r="Z270">
        <f>IF(OR(S270=0,B270="",Y270=""),"",IF(AND(F270&lt;&gt;"",D270="Purchase bill"),F270,B270)+Y270)</f>
        <v/>
      </c>
      <c r="AA270">
        <f>IF(OR(W270=0,Z270=""),0,MAX(0,'Outstanding'!$E$5-Z270))</f>
        <v/>
      </c>
      <c r="AB270">
        <f>IF(AND(X270=1,AA270&gt;0),W270*((1+3*N('Parties'!$E$10)/12)^(AA270*12/365)-1),0)</f>
        <v/>
      </c>
      <c r="AC270">
        <f>IF(W270=0,"",'Outstanding'!$E$5-B270)</f>
        <v/>
      </c>
      <c r="AD270">
        <f>IF(S270=0,0,IFERROR(VLOOKUP(C270,'Parties'!$B$13:$Q$112,14,FALSE),0)+SUMIFS($T$7:$T$506,$C$7:$C$506,C270,$B$7:$B$506,"&lt;="&amp;'Parties'!$E$8))</f>
        <v/>
      </c>
      <c r="AE270">
        <f>IF(OR('Parties'!$E$8="",S270=0,B270="",B270&gt;'Parties'!$E$8),0,MAX(0,MIN(S270,U270-AD270)))</f>
        <v/>
      </c>
      <c r="AF270">
        <f>IF(AND(P270="Creditor",X270=1,AE270&gt;0,Z270&lt;&gt;""),IF(Z270&lt;='Parties'!$E$8,AE270,0),0)</f>
        <v/>
      </c>
      <c r="AG270">
        <f>IF(OR(AE270=0,Z270=""),0,MAX(0,'Parties'!$E$8-Z270))</f>
        <v/>
      </c>
      <c r="AH270">
        <f>IF(AND(P270="Creditor",X270=1,AG270&gt;0),AE270*((1+3*N('Parties'!$E$10)/12)^(AG270*12/365)-1),0)</f>
        <v/>
      </c>
      <c r="AI270">
        <f>IF(AND(C270&lt;&gt;"",C270='Ledger Account'!$D$4,B270&lt;&gt;"",B270&gt;='Ledger Account'!$D$5,B270&lt;='Ledger Account'!$D$6),1,0)</f>
        <v/>
      </c>
      <c r="AJ270">
        <f>IF(AI270=1,SUM(AI$7:AI270),"")</f>
        <v/>
      </c>
      <c r="AK270">
        <f>IF(OR(N270="",N270="OK"),0,1)</f>
        <v/>
      </c>
    </row>
    <row r="271">
      <c r="B271" s="24" t="n"/>
      <c r="C271" s="14" t="n"/>
      <c r="D271" s="14" t="n"/>
      <c r="E271" s="20" t="n"/>
      <c r="F271" s="24" t="n"/>
      <c r="G271" s="14" t="n"/>
      <c r="H271" s="22" t="n"/>
      <c r="I271" s="25">
        <f>IF(Q271="D",N(H271),0)</f>
        <v/>
      </c>
      <c r="J271" s="25">
        <f>IF(Q271="C",N(H271),0)</f>
        <v/>
      </c>
      <c r="K271" s="26">
        <f>IF(Z271="","",Z271)</f>
        <v/>
      </c>
      <c r="L271" s="27">
        <f>W271</f>
        <v/>
      </c>
      <c r="M271" s="28">
        <f>AA271</f>
        <v/>
      </c>
      <c r="N271" s="23">
        <f>IF(AND(B271="",C271="",D271="",N(H271)=0),"",IF(B271="","Enter the date",IF(C271="","Pick the party",IF(P271="?","Add this party on the Parties sheet first",IF(D271="","Pick the entry type",IF(Q271="?","Pick the entry type from the list",IF(N(H271)=0,"Enter the amount",IF(AND(R271&lt;&gt;"Any",R271&lt;&gt;P271),"Sales, receipts and credit notes are for debtors; purchases, payments and debit notes for creditors",IF(AND(F271&lt;&gt;"",D271&lt;&gt;"Purchase bill"),"The received-on date is only for purchase bills",IF(AND(P271="Creditor",X271=1,AA271&gt;0),"Past due to a micro or small supplier: interest runs under MSMED s.16, and if unpaid at year end it is not deductible that year, s.37(2)(g)",IF(AND(P271="Debtor",X271=1,AA271&gt;0),"Past due to you: as a micro or small supplier you can claim interest under MSMED s.16","OK")))))))))))</f>
        <v/>
      </c>
      <c r="P271">
        <f>IF(C271="","",IFERROR(VLOOKUP(C271,'Parties'!$B$13:$Q$112,2,FALSE),"?"))</f>
        <v/>
      </c>
      <c r="Q271">
        <f>IF(D271="","",IFERROR(VLOOKUP(D271,Lists!$A$2:$D$9,3,FALSE),"?"))</f>
        <v/>
      </c>
      <c r="R271">
        <f>IF(D271="","",IFERROR(VLOOKUP(D271,Lists!$A$2:$D$9,4,FALSE),"?"))</f>
        <v/>
      </c>
      <c r="S271">
        <f>IF(P271="Debtor",I271,IF(P271="Creditor",J271,0))</f>
        <v/>
      </c>
      <c r="T271">
        <f>IF(P271="Debtor",J271,IF(P271="Creditor",I271,0))</f>
        <v/>
      </c>
      <c r="U271">
        <f>IF(OR(S271=0,B271=""),0,IFERROR(VLOOKUP(C271,'Parties'!$B$13:$Q$112,13,FALSE),0)+SUMIFS($S$7:$S$506,$C$7:$C$506,C271,$B$7:$B$506,"&lt;"&amp;B271)+SUMIFS(S$7:S271,C$7:C271,C271,B$7:B271,B271))</f>
        <v/>
      </c>
      <c r="V271">
        <f>IF(S271=0,0,IFERROR(VLOOKUP(C271,'Parties'!$B$13:$Q$112,14,FALSE),0)+SUMIFS($T$7:$T$506,$C$7:$C$506,C271,$B$7:$B$506,"&lt;="&amp;'Outstanding'!$E$5))</f>
        <v/>
      </c>
      <c r="W271">
        <f>IF(OR('Outstanding'!$E$5="",S271=0,B271="",B271&gt;'Outstanding'!$E$5),0,MAX(0,MIN(S271,U271-V271)))</f>
        <v/>
      </c>
      <c r="X271">
        <f>IF(C271="",0,IFERROR(VLOOKUP(C271,'Parties'!$B$13:$Q$112,15,FALSE),0))</f>
        <v/>
      </c>
      <c r="Y271">
        <f>IF(C271="","",IFERROR(VLOOKUP(C271,'Parties'!$B$13:$Q$112,16,FALSE),0))</f>
        <v/>
      </c>
      <c r="Z271">
        <f>IF(OR(S271=0,B271="",Y271=""),"",IF(AND(F271&lt;&gt;"",D271="Purchase bill"),F271,B271)+Y271)</f>
        <v/>
      </c>
      <c r="AA271">
        <f>IF(OR(W271=0,Z271=""),0,MAX(0,'Outstanding'!$E$5-Z271))</f>
        <v/>
      </c>
      <c r="AB271">
        <f>IF(AND(X271=1,AA271&gt;0),W271*((1+3*N('Parties'!$E$10)/12)^(AA271*12/365)-1),0)</f>
        <v/>
      </c>
      <c r="AC271">
        <f>IF(W271=0,"",'Outstanding'!$E$5-B271)</f>
        <v/>
      </c>
      <c r="AD271">
        <f>IF(S271=0,0,IFERROR(VLOOKUP(C271,'Parties'!$B$13:$Q$112,14,FALSE),0)+SUMIFS($T$7:$T$506,$C$7:$C$506,C271,$B$7:$B$506,"&lt;="&amp;'Parties'!$E$8))</f>
        <v/>
      </c>
      <c r="AE271">
        <f>IF(OR('Parties'!$E$8="",S271=0,B271="",B271&gt;'Parties'!$E$8),0,MAX(0,MIN(S271,U271-AD271)))</f>
        <v/>
      </c>
      <c r="AF271">
        <f>IF(AND(P271="Creditor",X271=1,AE271&gt;0,Z271&lt;&gt;""),IF(Z271&lt;='Parties'!$E$8,AE271,0),0)</f>
        <v/>
      </c>
      <c r="AG271">
        <f>IF(OR(AE271=0,Z271=""),0,MAX(0,'Parties'!$E$8-Z271))</f>
        <v/>
      </c>
      <c r="AH271">
        <f>IF(AND(P271="Creditor",X271=1,AG271&gt;0),AE271*((1+3*N('Parties'!$E$10)/12)^(AG271*12/365)-1),0)</f>
        <v/>
      </c>
      <c r="AI271">
        <f>IF(AND(C271&lt;&gt;"",C271='Ledger Account'!$D$4,B271&lt;&gt;"",B271&gt;='Ledger Account'!$D$5,B271&lt;='Ledger Account'!$D$6),1,0)</f>
        <v/>
      </c>
      <c r="AJ271">
        <f>IF(AI271=1,SUM(AI$7:AI271),"")</f>
        <v/>
      </c>
      <c r="AK271">
        <f>IF(OR(N271="",N271="OK"),0,1)</f>
        <v/>
      </c>
    </row>
    <row r="272">
      <c r="B272" s="24" t="n"/>
      <c r="C272" s="14" t="n"/>
      <c r="D272" s="14" t="n"/>
      <c r="E272" s="20" t="n"/>
      <c r="F272" s="24" t="n"/>
      <c r="G272" s="14" t="n"/>
      <c r="H272" s="22" t="n"/>
      <c r="I272" s="25">
        <f>IF(Q272="D",N(H272),0)</f>
        <v/>
      </c>
      <c r="J272" s="25">
        <f>IF(Q272="C",N(H272),0)</f>
        <v/>
      </c>
      <c r="K272" s="26">
        <f>IF(Z272="","",Z272)</f>
        <v/>
      </c>
      <c r="L272" s="27">
        <f>W272</f>
        <v/>
      </c>
      <c r="M272" s="28">
        <f>AA272</f>
        <v/>
      </c>
      <c r="N272" s="23">
        <f>IF(AND(B272="",C272="",D272="",N(H272)=0),"",IF(B272="","Enter the date",IF(C272="","Pick the party",IF(P272="?","Add this party on the Parties sheet first",IF(D272="","Pick the entry type",IF(Q272="?","Pick the entry type from the list",IF(N(H272)=0,"Enter the amount",IF(AND(R272&lt;&gt;"Any",R272&lt;&gt;P272),"Sales, receipts and credit notes are for debtors; purchases, payments and debit notes for creditors",IF(AND(F272&lt;&gt;"",D272&lt;&gt;"Purchase bill"),"The received-on date is only for purchase bills",IF(AND(P272="Creditor",X272=1,AA272&gt;0),"Past due to a micro or small supplier: interest runs under MSMED s.16, and if unpaid at year end it is not deductible that year, s.37(2)(g)",IF(AND(P272="Debtor",X272=1,AA272&gt;0),"Past due to you: as a micro or small supplier you can claim interest under MSMED s.16","OK")))))))))))</f>
        <v/>
      </c>
      <c r="P272">
        <f>IF(C272="","",IFERROR(VLOOKUP(C272,'Parties'!$B$13:$Q$112,2,FALSE),"?"))</f>
        <v/>
      </c>
      <c r="Q272">
        <f>IF(D272="","",IFERROR(VLOOKUP(D272,Lists!$A$2:$D$9,3,FALSE),"?"))</f>
        <v/>
      </c>
      <c r="R272">
        <f>IF(D272="","",IFERROR(VLOOKUP(D272,Lists!$A$2:$D$9,4,FALSE),"?"))</f>
        <v/>
      </c>
      <c r="S272">
        <f>IF(P272="Debtor",I272,IF(P272="Creditor",J272,0))</f>
        <v/>
      </c>
      <c r="T272">
        <f>IF(P272="Debtor",J272,IF(P272="Creditor",I272,0))</f>
        <v/>
      </c>
      <c r="U272">
        <f>IF(OR(S272=0,B272=""),0,IFERROR(VLOOKUP(C272,'Parties'!$B$13:$Q$112,13,FALSE),0)+SUMIFS($S$7:$S$506,$C$7:$C$506,C272,$B$7:$B$506,"&lt;"&amp;B272)+SUMIFS(S$7:S272,C$7:C272,C272,B$7:B272,B272))</f>
        <v/>
      </c>
      <c r="V272">
        <f>IF(S272=0,0,IFERROR(VLOOKUP(C272,'Parties'!$B$13:$Q$112,14,FALSE),0)+SUMIFS($T$7:$T$506,$C$7:$C$506,C272,$B$7:$B$506,"&lt;="&amp;'Outstanding'!$E$5))</f>
        <v/>
      </c>
      <c r="W272">
        <f>IF(OR('Outstanding'!$E$5="",S272=0,B272="",B272&gt;'Outstanding'!$E$5),0,MAX(0,MIN(S272,U272-V272)))</f>
        <v/>
      </c>
      <c r="X272">
        <f>IF(C272="",0,IFERROR(VLOOKUP(C272,'Parties'!$B$13:$Q$112,15,FALSE),0))</f>
        <v/>
      </c>
      <c r="Y272">
        <f>IF(C272="","",IFERROR(VLOOKUP(C272,'Parties'!$B$13:$Q$112,16,FALSE),0))</f>
        <v/>
      </c>
      <c r="Z272">
        <f>IF(OR(S272=0,B272="",Y272=""),"",IF(AND(F272&lt;&gt;"",D272="Purchase bill"),F272,B272)+Y272)</f>
        <v/>
      </c>
      <c r="AA272">
        <f>IF(OR(W272=0,Z272=""),0,MAX(0,'Outstanding'!$E$5-Z272))</f>
        <v/>
      </c>
      <c r="AB272">
        <f>IF(AND(X272=1,AA272&gt;0),W272*((1+3*N('Parties'!$E$10)/12)^(AA272*12/365)-1),0)</f>
        <v/>
      </c>
      <c r="AC272">
        <f>IF(W272=0,"",'Outstanding'!$E$5-B272)</f>
        <v/>
      </c>
      <c r="AD272">
        <f>IF(S272=0,0,IFERROR(VLOOKUP(C272,'Parties'!$B$13:$Q$112,14,FALSE),0)+SUMIFS($T$7:$T$506,$C$7:$C$506,C272,$B$7:$B$506,"&lt;="&amp;'Parties'!$E$8))</f>
        <v/>
      </c>
      <c r="AE272">
        <f>IF(OR('Parties'!$E$8="",S272=0,B272="",B272&gt;'Parties'!$E$8),0,MAX(0,MIN(S272,U272-AD272)))</f>
        <v/>
      </c>
      <c r="AF272">
        <f>IF(AND(P272="Creditor",X272=1,AE272&gt;0,Z272&lt;&gt;""),IF(Z272&lt;='Parties'!$E$8,AE272,0),0)</f>
        <v/>
      </c>
      <c r="AG272">
        <f>IF(OR(AE272=0,Z272=""),0,MAX(0,'Parties'!$E$8-Z272))</f>
        <v/>
      </c>
      <c r="AH272">
        <f>IF(AND(P272="Creditor",X272=1,AG272&gt;0),AE272*((1+3*N('Parties'!$E$10)/12)^(AG272*12/365)-1),0)</f>
        <v/>
      </c>
      <c r="AI272">
        <f>IF(AND(C272&lt;&gt;"",C272='Ledger Account'!$D$4,B272&lt;&gt;"",B272&gt;='Ledger Account'!$D$5,B272&lt;='Ledger Account'!$D$6),1,0)</f>
        <v/>
      </c>
      <c r="AJ272">
        <f>IF(AI272=1,SUM(AI$7:AI272),"")</f>
        <v/>
      </c>
      <c r="AK272">
        <f>IF(OR(N272="",N272="OK"),0,1)</f>
        <v/>
      </c>
    </row>
    <row r="273">
      <c r="B273" s="24" t="n"/>
      <c r="C273" s="14" t="n"/>
      <c r="D273" s="14" t="n"/>
      <c r="E273" s="20" t="n"/>
      <c r="F273" s="24" t="n"/>
      <c r="G273" s="14" t="n"/>
      <c r="H273" s="22" t="n"/>
      <c r="I273" s="25">
        <f>IF(Q273="D",N(H273),0)</f>
        <v/>
      </c>
      <c r="J273" s="25">
        <f>IF(Q273="C",N(H273),0)</f>
        <v/>
      </c>
      <c r="K273" s="26">
        <f>IF(Z273="","",Z273)</f>
        <v/>
      </c>
      <c r="L273" s="27">
        <f>W273</f>
        <v/>
      </c>
      <c r="M273" s="28">
        <f>AA273</f>
        <v/>
      </c>
      <c r="N273" s="23">
        <f>IF(AND(B273="",C273="",D273="",N(H273)=0),"",IF(B273="","Enter the date",IF(C273="","Pick the party",IF(P273="?","Add this party on the Parties sheet first",IF(D273="","Pick the entry type",IF(Q273="?","Pick the entry type from the list",IF(N(H273)=0,"Enter the amount",IF(AND(R273&lt;&gt;"Any",R273&lt;&gt;P273),"Sales, receipts and credit notes are for debtors; purchases, payments and debit notes for creditors",IF(AND(F273&lt;&gt;"",D273&lt;&gt;"Purchase bill"),"The received-on date is only for purchase bills",IF(AND(P273="Creditor",X273=1,AA273&gt;0),"Past due to a micro or small supplier: interest runs under MSMED s.16, and if unpaid at year end it is not deductible that year, s.37(2)(g)",IF(AND(P273="Debtor",X273=1,AA273&gt;0),"Past due to you: as a micro or small supplier you can claim interest under MSMED s.16","OK")))))))))))</f>
        <v/>
      </c>
      <c r="P273">
        <f>IF(C273="","",IFERROR(VLOOKUP(C273,'Parties'!$B$13:$Q$112,2,FALSE),"?"))</f>
        <v/>
      </c>
      <c r="Q273">
        <f>IF(D273="","",IFERROR(VLOOKUP(D273,Lists!$A$2:$D$9,3,FALSE),"?"))</f>
        <v/>
      </c>
      <c r="R273">
        <f>IF(D273="","",IFERROR(VLOOKUP(D273,Lists!$A$2:$D$9,4,FALSE),"?"))</f>
        <v/>
      </c>
      <c r="S273">
        <f>IF(P273="Debtor",I273,IF(P273="Creditor",J273,0))</f>
        <v/>
      </c>
      <c r="T273">
        <f>IF(P273="Debtor",J273,IF(P273="Creditor",I273,0))</f>
        <v/>
      </c>
      <c r="U273">
        <f>IF(OR(S273=0,B273=""),0,IFERROR(VLOOKUP(C273,'Parties'!$B$13:$Q$112,13,FALSE),0)+SUMIFS($S$7:$S$506,$C$7:$C$506,C273,$B$7:$B$506,"&lt;"&amp;B273)+SUMIFS(S$7:S273,C$7:C273,C273,B$7:B273,B273))</f>
        <v/>
      </c>
      <c r="V273">
        <f>IF(S273=0,0,IFERROR(VLOOKUP(C273,'Parties'!$B$13:$Q$112,14,FALSE),0)+SUMIFS($T$7:$T$506,$C$7:$C$506,C273,$B$7:$B$506,"&lt;="&amp;'Outstanding'!$E$5))</f>
        <v/>
      </c>
      <c r="W273">
        <f>IF(OR('Outstanding'!$E$5="",S273=0,B273="",B273&gt;'Outstanding'!$E$5),0,MAX(0,MIN(S273,U273-V273)))</f>
        <v/>
      </c>
      <c r="X273">
        <f>IF(C273="",0,IFERROR(VLOOKUP(C273,'Parties'!$B$13:$Q$112,15,FALSE),0))</f>
        <v/>
      </c>
      <c r="Y273">
        <f>IF(C273="","",IFERROR(VLOOKUP(C273,'Parties'!$B$13:$Q$112,16,FALSE),0))</f>
        <v/>
      </c>
      <c r="Z273">
        <f>IF(OR(S273=0,B273="",Y273=""),"",IF(AND(F273&lt;&gt;"",D273="Purchase bill"),F273,B273)+Y273)</f>
        <v/>
      </c>
      <c r="AA273">
        <f>IF(OR(W273=0,Z273=""),0,MAX(0,'Outstanding'!$E$5-Z273))</f>
        <v/>
      </c>
      <c r="AB273">
        <f>IF(AND(X273=1,AA273&gt;0),W273*((1+3*N('Parties'!$E$10)/12)^(AA273*12/365)-1),0)</f>
        <v/>
      </c>
      <c r="AC273">
        <f>IF(W273=0,"",'Outstanding'!$E$5-B273)</f>
        <v/>
      </c>
      <c r="AD273">
        <f>IF(S273=0,0,IFERROR(VLOOKUP(C273,'Parties'!$B$13:$Q$112,14,FALSE),0)+SUMIFS($T$7:$T$506,$C$7:$C$506,C273,$B$7:$B$506,"&lt;="&amp;'Parties'!$E$8))</f>
        <v/>
      </c>
      <c r="AE273">
        <f>IF(OR('Parties'!$E$8="",S273=0,B273="",B273&gt;'Parties'!$E$8),0,MAX(0,MIN(S273,U273-AD273)))</f>
        <v/>
      </c>
      <c r="AF273">
        <f>IF(AND(P273="Creditor",X273=1,AE273&gt;0,Z273&lt;&gt;""),IF(Z273&lt;='Parties'!$E$8,AE273,0),0)</f>
        <v/>
      </c>
      <c r="AG273">
        <f>IF(OR(AE273=0,Z273=""),0,MAX(0,'Parties'!$E$8-Z273))</f>
        <v/>
      </c>
      <c r="AH273">
        <f>IF(AND(P273="Creditor",X273=1,AG273&gt;0),AE273*((1+3*N('Parties'!$E$10)/12)^(AG273*12/365)-1),0)</f>
        <v/>
      </c>
      <c r="AI273">
        <f>IF(AND(C273&lt;&gt;"",C273='Ledger Account'!$D$4,B273&lt;&gt;"",B273&gt;='Ledger Account'!$D$5,B273&lt;='Ledger Account'!$D$6),1,0)</f>
        <v/>
      </c>
      <c r="AJ273">
        <f>IF(AI273=1,SUM(AI$7:AI273),"")</f>
        <v/>
      </c>
      <c r="AK273">
        <f>IF(OR(N273="",N273="OK"),0,1)</f>
        <v/>
      </c>
    </row>
    <row r="274">
      <c r="B274" s="24" t="n"/>
      <c r="C274" s="14" t="n"/>
      <c r="D274" s="14" t="n"/>
      <c r="E274" s="20" t="n"/>
      <c r="F274" s="24" t="n"/>
      <c r="G274" s="14" t="n"/>
      <c r="H274" s="22" t="n"/>
      <c r="I274" s="25">
        <f>IF(Q274="D",N(H274),0)</f>
        <v/>
      </c>
      <c r="J274" s="25">
        <f>IF(Q274="C",N(H274),0)</f>
        <v/>
      </c>
      <c r="K274" s="26">
        <f>IF(Z274="","",Z274)</f>
        <v/>
      </c>
      <c r="L274" s="27">
        <f>W274</f>
        <v/>
      </c>
      <c r="M274" s="28">
        <f>AA274</f>
        <v/>
      </c>
      <c r="N274" s="23">
        <f>IF(AND(B274="",C274="",D274="",N(H274)=0),"",IF(B274="","Enter the date",IF(C274="","Pick the party",IF(P274="?","Add this party on the Parties sheet first",IF(D274="","Pick the entry type",IF(Q274="?","Pick the entry type from the list",IF(N(H274)=0,"Enter the amount",IF(AND(R274&lt;&gt;"Any",R274&lt;&gt;P274),"Sales, receipts and credit notes are for debtors; purchases, payments and debit notes for creditors",IF(AND(F274&lt;&gt;"",D274&lt;&gt;"Purchase bill"),"The received-on date is only for purchase bills",IF(AND(P274="Creditor",X274=1,AA274&gt;0),"Past due to a micro or small supplier: interest runs under MSMED s.16, and if unpaid at year end it is not deductible that year, s.37(2)(g)",IF(AND(P274="Debtor",X274=1,AA274&gt;0),"Past due to you: as a micro or small supplier you can claim interest under MSMED s.16","OK")))))))))))</f>
        <v/>
      </c>
      <c r="P274">
        <f>IF(C274="","",IFERROR(VLOOKUP(C274,'Parties'!$B$13:$Q$112,2,FALSE),"?"))</f>
        <v/>
      </c>
      <c r="Q274">
        <f>IF(D274="","",IFERROR(VLOOKUP(D274,Lists!$A$2:$D$9,3,FALSE),"?"))</f>
        <v/>
      </c>
      <c r="R274">
        <f>IF(D274="","",IFERROR(VLOOKUP(D274,Lists!$A$2:$D$9,4,FALSE),"?"))</f>
        <v/>
      </c>
      <c r="S274">
        <f>IF(P274="Debtor",I274,IF(P274="Creditor",J274,0))</f>
        <v/>
      </c>
      <c r="T274">
        <f>IF(P274="Debtor",J274,IF(P274="Creditor",I274,0))</f>
        <v/>
      </c>
      <c r="U274">
        <f>IF(OR(S274=0,B274=""),0,IFERROR(VLOOKUP(C274,'Parties'!$B$13:$Q$112,13,FALSE),0)+SUMIFS($S$7:$S$506,$C$7:$C$506,C274,$B$7:$B$506,"&lt;"&amp;B274)+SUMIFS(S$7:S274,C$7:C274,C274,B$7:B274,B274))</f>
        <v/>
      </c>
      <c r="V274">
        <f>IF(S274=0,0,IFERROR(VLOOKUP(C274,'Parties'!$B$13:$Q$112,14,FALSE),0)+SUMIFS($T$7:$T$506,$C$7:$C$506,C274,$B$7:$B$506,"&lt;="&amp;'Outstanding'!$E$5))</f>
        <v/>
      </c>
      <c r="W274">
        <f>IF(OR('Outstanding'!$E$5="",S274=0,B274="",B274&gt;'Outstanding'!$E$5),0,MAX(0,MIN(S274,U274-V274)))</f>
        <v/>
      </c>
      <c r="X274">
        <f>IF(C274="",0,IFERROR(VLOOKUP(C274,'Parties'!$B$13:$Q$112,15,FALSE),0))</f>
        <v/>
      </c>
      <c r="Y274">
        <f>IF(C274="","",IFERROR(VLOOKUP(C274,'Parties'!$B$13:$Q$112,16,FALSE),0))</f>
        <v/>
      </c>
      <c r="Z274">
        <f>IF(OR(S274=0,B274="",Y274=""),"",IF(AND(F274&lt;&gt;"",D274="Purchase bill"),F274,B274)+Y274)</f>
        <v/>
      </c>
      <c r="AA274">
        <f>IF(OR(W274=0,Z274=""),0,MAX(0,'Outstanding'!$E$5-Z274))</f>
        <v/>
      </c>
      <c r="AB274">
        <f>IF(AND(X274=1,AA274&gt;0),W274*((1+3*N('Parties'!$E$10)/12)^(AA274*12/365)-1),0)</f>
        <v/>
      </c>
      <c r="AC274">
        <f>IF(W274=0,"",'Outstanding'!$E$5-B274)</f>
        <v/>
      </c>
      <c r="AD274">
        <f>IF(S274=0,0,IFERROR(VLOOKUP(C274,'Parties'!$B$13:$Q$112,14,FALSE),0)+SUMIFS($T$7:$T$506,$C$7:$C$506,C274,$B$7:$B$506,"&lt;="&amp;'Parties'!$E$8))</f>
        <v/>
      </c>
      <c r="AE274">
        <f>IF(OR('Parties'!$E$8="",S274=0,B274="",B274&gt;'Parties'!$E$8),0,MAX(0,MIN(S274,U274-AD274)))</f>
        <v/>
      </c>
      <c r="AF274">
        <f>IF(AND(P274="Creditor",X274=1,AE274&gt;0,Z274&lt;&gt;""),IF(Z274&lt;='Parties'!$E$8,AE274,0),0)</f>
        <v/>
      </c>
      <c r="AG274">
        <f>IF(OR(AE274=0,Z274=""),0,MAX(0,'Parties'!$E$8-Z274))</f>
        <v/>
      </c>
      <c r="AH274">
        <f>IF(AND(P274="Creditor",X274=1,AG274&gt;0),AE274*((1+3*N('Parties'!$E$10)/12)^(AG274*12/365)-1),0)</f>
        <v/>
      </c>
      <c r="AI274">
        <f>IF(AND(C274&lt;&gt;"",C274='Ledger Account'!$D$4,B274&lt;&gt;"",B274&gt;='Ledger Account'!$D$5,B274&lt;='Ledger Account'!$D$6),1,0)</f>
        <v/>
      </c>
      <c r="AJ274">
        <f>IF(AI274=1,SUM(AI$7:AI274),"")</f>
        <v/>
      </c>
      <c r="AK274">
        <f>IF(OR(N274="",N274="OK"),0,1)</f>
        <v/>
      </c>
    </row>
    <row r="275">
      <c r="B275" s="24" t="n"/>
      <c r="C275" s="14" t="n"/>
      <c r="D275" s="14" t="n"/>
      <c r="E275" s="20" t="n"/>
      <c r="F275" s="24" t="n"/>
      <c r="G275" s="14" t="n"/>
      <c r="H275" s="22" t="n"/>
      <c r="I275" s="25">
        <f>IF(Q275="D",N(H275),0)</f>
        <v/>
      </c>
      <c r="J275" s="25">
        <f>IF(Q275="C",N(H275),0)</f>
        <v/>
      </c>
      <c r="K275" s="26">
        <f>IF(Z275="","",Z275)</f>
        <v/>
      </c>
      <c r="L275" s="27">
        <f>W275</f>
        <v/>
      </c>
      <c r="M275" s="28">
        <f>AA275</f>
        <v/>
      </c>
      <c r="N275" s="23">
        <f>IF(AND(B275="",C275="",D275="",N(H275)=0),"",IF(B275="","Enter the date",IF(C275="","Pick the party",IF(P275="?","Add this party on the Parties sheet first",IF(D275="","Pick the entry type",IF(Q275="?","Pick the entry type from the list",IF(N(H275)=0,"Enter the amount",IF(AND(R275&lt;&gt;"Any",R275&lt;&gt;P275),"Sales, receipts and credit notes are for debtors; purchases, payments and debit notes for creditors",IF(AND(F275&lt;&gt;"",D275&lt;&gt;"Purchase bill"),"The received-on date is only for purchase bills",IF(AND(P275="Creditor",X275=1,AA275&gt;0),"Past due to a micro or small supplier: interest runs under MSMED s.16, and if unpaid at year end it is not deductible that year, s.37(2)(g)",IF(AND(P275="Debtor",X275=1,AA275&gt;0),"Past due to you: as a micro or small supplier you can claim interest under MSMED s.16","OK")))))))))))</f>
        <v/>
      </c>
      <c r="P275">
        <f>IF(C275="","",IFERROR(VLOOKUP(C275,'Parties'!$B$13:$Q$112,2,FALSE),"?"))</f>
        <v/>
      </c>
      <c r="Q275">
        <f>IF(D275="","",IFERROR(VLOOKUP(D275,Lists!$A$2:$D$9,3,FALSE),"?"))</f>
        <v/>
      </c>
      <c r="R275">
        <f>IF(D275="","",IFERROR(VLOOKUP(D275,Lists!$A$2:$D$9,4,FALSE),"?"))</f>
        <v/>
      </c>
      <c r="S275">
        <f>IF(P275="Debtor",I275,IF(P275="Creditor",J275,0))</f>
        <v/>
      </c>
      <c r="T275">
        <f>IF(P275="Debtor",J275,IF(P275="Creditor",I275,0))</f>
        <v/>
      </c>
      <c r="U275">
        <f>IF(OR(S275=0,B275=""),0,IFERROR(VLOOKUP(C275,'Parties'!$B$13:$Q$112,13,FALSE),0)+SUMIFS($S$7:$S$506,$C$7:$C$506,C275,$B$7:$B$506,"&lt;"&amp;B275)+SUMIFS(S$7:S275,C$7:C275,C275,B$7:B275,B275))</f>
        <v/>
      </c>
      <c r="V275">
        <f>IF(S275=0,0,IFERROR(VLOOKUP(C275,'Parties'!$B$13:$Q$112,14,FALSE),0)+SUMIFS($T$7:$T$506,$C$7:$C$506,C275,$B$7:$B$506,"&lt;="&amp;'Outstanding'!$E$5))</f>
        <v/>
      </c>
      <c r="W275">
        <f>IF(OR('Outstanding'!$E$5="",S275=0,B275="",B275&gt;'Outstanding'!$E$5),0,MAX(0,MIN(S275,U275-V275)))</f>
        <v/>
      </c>
      <c r="X275">
        <f>IF(C275="",0,IFERROR(VLOOKUP(C275,'Parties'!$B$13:$Q$112,15,FALSE),0))</f>
        <v/>
      </c>
      <c r="Y275">
        <f>IF(C275="","",IFERROR(VLOOKUP(C275,'Parties'!$B$13:$Q$112,16,FALSE),0))</f>
        <v/>
      </c>
      <c r="Z275">
        <f>IF(OR(S275=0,B275="",Y275=""),"",IF(AND(F275&lt;&gt;"",D275="Purchase bill"),F275,B275)+Y275)</f>
        <v/>
      </c>
      <c r="AA275">
        <f>IF(OR(W275=0,Z275=""),0,MAX(0,'Outstanding'!$E$5-Z275))</f>
        <v/>
      </c>
      <c r="AB275">
        <f>IF(AND(X275=1,AA275&gt;0),W275*((1+3*N('Parties'!$E$10)/12)^(AA275*12/365)-1),0)</f>
        <v/>
      </c>
      <c r="AC275">
        <f>IF(W275=0,"",'Outstanding'!$E$5-B275)</f>
        <v/>
      </c>
      <c r="AD275">
        <f>IF(S275=0,0,IFERROR(VLOOKUP(C275,'Parties'!$B$13:$Q$112,14,FALSE),0)+SUMIFS($T$7:$T$506,$C$7:$C$506,C275,$B$7:$B$506,"&lt;="&amp;'Parties'!$E$8))</f>
        <v/>
      </c>
      <c r="AE275">
        <f>IF(OR('Parties'!$E$8="",S275=0,B275="",B275&gt;'Parties'!$E$8),0,MAX(0,MIN(S275,U275-AD275)))</f>
        <v/>
      </c>
      <c r="AF275">
        <f>IF(AND(P275="Creditor",X275=1,AE275&gt;0,Z275&lt;&gt;""),IF(Z275&lt;='Parties'!$E$8,AE275,0),0)</f>
        <v/>
      </c>
      <c r="AG275">
        <f>IF(OR(AE275=0,Z275=""),0,MAX(0,'Parties'!$E$8-Z275))</f>
        <v/>
      </c>
      <c r="AH275">
        <f>IF(AND(P275="Creditor",X275=1,AG275&gt;0),AE275*((1+3*N('Parties'!$E$10)/12)^(AG275*12/365)-1),0)</f>
        <v/>
      </c>
      <c r="AI275">
        <f>IF(AND(C275&lt;&gt;"",C275='Ledger Account'!$D$4,B275&lt;&gt;"",B275&gt;='Ledger Account'!$D$5,B275&lt;='Ledger Account'!$D$6),1,0)</f>
        <v/>
      </c>
      <c r="AJ275">
        <f>IF(AI275=1,SUM(AI$7:AI275),"")</f>
        <v/>
      </c>
      <c r="AK275">
        <f>IF(OR(N275="",N275="OK"),0,1)</f>
        <v/>
      </c>
    </row>
    <row r="276">
      <c r="B276" s="24" t="n"/>
      <c r="C276" s="14" t="n"/>
      <c r="D276" s="14" t="n"/>
      <c r="E276" s="20" t="n"/>
      <c r="F276" s="24" t="n"/>
      <c r="G276" s="14" t="n"/>
      <c r="H276" s="22" t="n"/>
      <c r="I276" s="25">
        <f>IF(Q276="D",N(H276),0)</f>
        <v/>
      </c>
      <c r="J276" s="25">
        <f>IF(Q276="C",N(H276),0)</f>
        <v/>
      </c>
      <c r="K276" s="26">
        <f>IF(Z276="","",Z276)</f>
        <v/>
      </c>
      <c r="L276" s="27">
        <f>W276</f>
        <v/>
      </c>
      <c r="M276" s="28">
        <f>AA276</f>
        <v/>
      </c>
      <c r="N276" s="23">
        <f>IF(AND(B276="",C276="",D276="",N(H276)=0),"",IF(B276="","Enter the date",IF(C276="","Pick the party",IF(P276="?","Add this party on the Parties sheet first",IF(D276="","Pick the entry type",IF(Q276="?","Pick the entry type from the list",IF(N(H276)=0,"Enter the amount",IF(AND(R276&lt;&gt;"Any",R276&lt;&gt;P276),"Sales, receipts and credit notes are for debtors; purchases, payments and debit notes for creditors",IF(AND(F276&lt;&gt;"",D276&lt;&gt;"Purchase bill"),"The received-on date is only for purchase bills",IF(AND(P276="Creditor",X276=1,AA276&gt;0),"Past due to a micro or small supplier: interest runs under MSMED s.16, and if unpaid at year end it is not deductible that year, s.37(2)(g)",IF(AND(P276="Debtor",X276=1,AA276&gt;0),"Past due to you: as a micro or small supplier you can claim interest under MSMED s.16","OK")))))))))))</f>
        <v/>
      </c>
      <c r="P276">
        <f>IF(C276="","",IFERROR(VLOOKUP(C276,'Parties'!$B$13:$Q$112,2,FALSE),"?"))</f>
        <v/>
      </c>
      <c r="Q276">
        <f>IF(D276="","",IFERROR(VLOOKUP(D276,Lists!$A$2:$D$9,3,FALSE),"?"))</f>
        <v/>
      </c>
      <c r="R276">
        <f>IF(D276="","",IFERROR(VLOOKUP(D276,Lists!$A$2:$D$9,4,FALSE),"?"))</f>
        <v/>
      </c>
      <c r="S276">
        <f>IF(P276="Debtor",I276,IF(P276="Creditor",J276,0))</f>
        <v/>
      </c>
      <c r="T276">
        <f>IF(P276="Debtor",J276,IF(P276="Creditor",I276,0))</f>
        <v/>
      </c>
      <c r="U276">
        <f>IF(OR(S276=0,B276=""),0,IFERROR(VLOOKUP(C276,'Parties'!$B$13:$Q$112,13,FALSE),0)+SUMIFS($S$7:$S$506,$C$7:$C$506,C276,$B$7:$B$506,"&lt;"&amp;B276)+SUMIFS(S$7:S276,C$7:C276,C276,B$7:B276,B276))</f>
        <v/>
      </c>
      <c r="V276">
        <f>IF(S276=0,0,IFERROR(VLOOKUP(C276,'Parties'!$B$13:$Q$112,14,FALSE),0)+SUMIFS($T$7:$T$506,$C$7:$C$506,C276,$B$7:$B$506,"&lt;="&amp;'Outstanding'!$E$5))</f>
        <v/>
      </c>
      <c r="W276">
        <f>IF(OR('Outstanding'!$E$5="",S276=0,B276="",B276&gt;'Outstanding'!$E$5),0,MAX(0,MIN(S276,U276-V276)))</f>
        <v/>
      </c>
      <c r="X276">
        <f>IF(C276="",0,IFERROR(VLOOKUP(C276,'Parties'!$B$13:$Q$112,15,FALSE),0))</f>
        <v/>
      </c>
      <c r="Y276">
        <f>IF(C276="","",IFERROR(VLOOKUP(C276,'Parties'!$B$13:$Q$112,16,FALSE),0))</f>
        <v/>
      </c>
      <c r="Z276">
        <f>IF(OR(S276=0,B276="",Y276=""),"",IF(AND(F276&lt;&gt;"",D276="Purchase bill"),F276,B276)+Y276)</f>
        <v/>
      </c>
      <c r="AA276">
        <f>IF(OR(W276=0,Z276=""),0,MAX(0,'Outstanding'!$E$5-Z276))</f>
        <v/>
      </c>
      <c r="AB276">
        <f>IF(AND(X276=1,AA276&gt;0),W276*((1+3*N('Parties'!$E$10)/12)^(AA276*12/365)-1),0)</f>
        <v/>
      </c>
      <c r="AC276">
        <f>IF(W276=0,"",'Outstanding'!$E$5-B276)</f>
        <v/>
      </c>
      <c r="AD276">
        <f>IF(S276=0,0,IFERROR(VLOOKUP(C276,'Parties'!$B$13:$Q$112,14,FALSE),0)+SUMIFS($T$7:$T$506,$C$7:$C$506,C276,$B$7:$B$506,"&lt;="&amp;'Parties'!$E$8))</f>
        <v/>
      </c>
      <c r="AE276">
        <f>IF(OR('Parties'!$E$8="",S276=0,B276="",B276&gt;'Parties'!$E$8),0,MAX(0,MIN(S276,U276-AD276)))</f>
        <v/>
      </c>
      <c r="AF276">
        <f>IF(AND(P276="Creditor",X276=1,AE276&gt;0,Z276&lt;&gt;""),IF(Z276&lt;='Parties'!$E$8,AE276,0),0)</f>
        <v/>
      </c>
      <c r="AG276">
        <f>IF(OR(AE276=0,Z276=""),0,MAX(0,'Parties'!$E$8-Z276))</f>
        <v/>
      </c>
      <c r="AH276">
        <f>IF(AND(P276="Creditor",X276=1,AG276&gt;0),AE276*((1+3*N('Parties'!$E$10)/12)^(AG276*12/365)-1),0)</f>
        <v/>
      </c>
      <c r="AI276">
        <f>IF(AND(C276&lt;&gt;"",C276='Ledger Account'!$D$4,B276&lt;&gt;"",B276&gt;='Ledger Account'!$D$5,B276&lt;='Ledger Account'!$D$6),1,0)</f>
        <v/>
      </c>
      <c r="AJ276">
        <f>IF(AI276=1,SUM(AI$7:AI276),"")</f>
        <v/>
      </c>
      <c r="AK276">
        <f>IF(OR(N276="",N276="OK"),0,1)</f>
        <v/>
      </c>
    </row>
    <row r="277">
      <c r="B277" s="24" t="n"/>
      <c r="C277" s="14" t="n"/>
      <c r="D277" s="14" t="n"/>
      <c r="E277" s="20" t="n"/>
      <c r="F277" s="24" t="n"/>
      <c r="G277" s="14" t="n"/>
      <c r="H277" s="22" t="n"/>
      <c r="I277" s="25">
        <f>IF(Q277="D",N(H277),0)</f>
        <v/>
      </c>
      <c r="J277" s="25">
        <f>IF(Q277="C",N(H277),0)</f>
        <v/>
      </c>
      <c r="K277" s="26">
        <f>IF(Z277="","",Z277)</f>
        <v/>
      </c>
      <c r="L277" s="27">
        <f>W277</f>
        <v/>
      </c>
      <c r="M277" s="28">
        <f>AA277</f>
        <v/>
      </c>
      <c r="N277" s="23">
        <f>IF(AND(B277="",C277="",D277="",N(H277)=0),"",IF(B277="","Enter the date",IF(C277="","Pick the party",IF(P277="?","Add this party on the Parties sheet first",IF(D277="","Pick the entry type",IF(Q277="?","Pick the entry type from the list",IF(N(H277)=0,"Enter the amount",IF(AND(R277&lt;&gt;"Any",R277&lt;&gt;P277),"Sales, receipts and credit notes are for debtors; purchases, payments and debit notes for creditors",IF(AND(F277&lt;&gt;"",D277&lt;&gt;"Purchase bill"),"The received-on date is only for purchase bills",IF(AND(P277="Creditor",X277=1,AA277&gt;0),"Past due to a micro or small supplier: interest runs under MSMED s.16, and if unpaid at year end it is not deductible that year, s.37(2)(g)",IF(AND(P277="Debtor",X277=1,AA277&gt;0),"Past due to you: as a micro or small supplier you can claim interest under MSMED s.16","OK")))))))))))</f>
        <v/>
      </c>
      <c r="P277">
        <f>IF(C277="","",IFERROR(VLOOKUP(C277,'Parties'!$B$13:$Q$112,2,FALSE),"?"))</f>
        <v/>
      </c>
      <c r="Q277">
        <f>IF(D277="","",IFERROR(VLOOKUP(D277,Lists!$A$2:$D$9,3,FALSE),"?"))</f>
        <v/>
      </c>
      <c r="R277">
        <f>IF(D277="","",IFERROR(VLOOKUP(D277,Lists!$A$2:$D$9,4,FALSE),"?"))</f>
        <v/>
      </c>
      <c r="S277">
        <f>IF(P277="Debtor",I277,IF(P277="Creditor",J277,0))</f>
        <v/>
      </c>
      <c r="T277">
        <f>IF(P277="Debtor",J277,IF(P277="Creditor",I277,0))</f>
        <v/>
      </c>
      <c r="U277">
        <f>IF(OR(S277=0,B277=""),0,IFERROR(VLOOKUP(C277,'Parties'!$B$13:$Q$112,13,FALSE),0)+SUMIFS($S$7:$S$506,$C$7:$C$506,C277,$B$7:$B$506,"&lt;"&amp;B277)+SUMIFS(S$7:S277,C$7:C277,C277,B$7:B277,B277))</f>
        <v/>
      </c>
      <c r="V277">
        <f>IF(S277=0,0,IFERROR(VLOOKUP(C277,'Parties'!$B$13:$Q$112,14,FALSE),0)+SUMIFS($T$7:$T$506,$C$7:$C$506,C277,$B$7:$B$506,"&lt;="&amp;'Outstanding'!$E$5))</f>
        <v/>
      </c>
      <c r="W277">
        <f>IF(OR('Outstanding'!$E$5="",S277=0,B277="",B277&gt;'Outstanding'!$E$5),0,MAX(0,MIN(S277,U277-V277)))</f>
        <v/>
      </c>
      <c r="X277">
        <f>IF(C277="",0,IFERROR(VLOOKUP(C277,'Parties'!$B$13:$Q$112,15,FALSE),0))</f>
        <v/>
      </c>
      <c r="Y277">
        <f>IF(C277="","",IFERROR(VLOOKUP(C277,'Parties'!$B$13:$Q$112,16,FALSE),0))</f>
        <v/>
      </c>
      <c r="Z277">
        <f>IF(OR(S277=0,B277="",Y277=""),"",IF(AND(F277&lt;&gt;"",D277="Purchase bill"),F277,B277)+Y277)</f>
        <v/>
      </c>
      <c r="AA277">
        <f>IF(OR(W277=0,Z277=""),0,MAX(0,'Outstanding'!$E$5-Z277))</f>
        <v/>
      </c>
      <c r="AB277">
        <f>IF(AND(X277=1,AA277&gt;0),W277*((1+3*N('Parties'!$E$10)/12)^(AA277*12/365)-1),0)</f>
        <v/>
      </c>
      <c r="AC277">
        <f>IF(W277=0,"",'Outstanding'!$E$5-B277)</f>
        <v/>
      </c>
      <c r="AD277">
        <f>IF(S277=0,0,IFERROR(VLOOKUP(C277,'Parties'!$B$13:$Q$112,14,FALSE),0)+SUMIFS($T$7:$T$506,$C$7:$C$506,C277,$B$7:$B$506,"&lt;="&amp;'Parties'!$E$8))</f>
        <v/>
      </c>
      <c r="AE277">
        <f>IF(OR('Parties'!$E$8="",S277=0,B277="",B277&gt;'Parties'!$E$8),0,MAX(0,MIN(S277,U277-AD277)))</f>
        <v/>
      </c>
      <c r="AF277">
        <f>IF(AND(P277="Creditor",X277=1,AE277&gt;0,Z277&lt;&gt;""),IF(Z277&lt;='Parties'!$E$8,AE277,0),0)</f>
        <v/>
      </c>
      <c r="AG277">
        <f>IF(OR(AE277=0,Z277=""),0,MAX(0,'Parties'!$E$8-Z277))</f>
        <v/>
      </c>
      <c r="AH277">
        <f>IF(AND(P277="Creditor",X277=1,AG277&gt;0),AE277*((1+3*N('Parties'!$E$10)/12)^(AG277*12/365)-1),0)</f>
        <v/>
      </c>
      <c r="AI277">
        <f>IF(AND(C277&lt;&gt;"",C277='Ledger Account'!$D$4,B277&lt;&gt;"",B277&gt;='Ledger Account'!$D$5,B277&lt;='Ledger Account'!$D$6),1,0)</f>
        <v/>
      </c>
      <c r="AJ277">
        <f>IF(AI277=1,SUM(AI$7:AI277),"")</f>
        <v/>
      </c>
      <c r="AK277">
        <f>IF(OR(N277="",N277="OK"),0,1)</f>
        <v/>
      </c>
    </row>
    <row r="278">
      <c r="B278" s="24" t="n"/>
      <c r="C278" s="14" t="n"/>
      <c r="D278" s="14" t="n"/>
      <c r="E278" s="20" t="n"/>
      <c r="F278" s="24" t="n"/>
      <c r="G278" s="14" t="n"/>
      <c r="H278" s="22" t="n"/>
      <c r="I278" s="25">
        <f>IF(Q278="D",N(H278),0)</f>
        <v/>
      </c>
      <c r="J278" s="25">
        <f>IF(Q278="C",N(H278),0)</f>
        <v/>
      </c>
      <c r="K278" s="26">
        <f>IF(Z278="","",Z278)</f>
        <v/>
      </c>
      <c r="L278" s="27">
        <f>W278</f>
        <v/>
      </c>
      <c r="M278" s="28">
        <f>AA278</f>
        <v/>
      </c>
      <c r="N278" s="23">
        <f>IF(AND(B278="",C278="",D278="",N(H278)=0),"",IF(B278="","Enter the date",IF(C278="","Pick the party",IF(P278="?","Add this party on the Parties sheet first",IF(D278="","Pick the entry type",IF(Q278="?","Pick the entry type from the list",IF(N(H278)=0,"Enter the amount",IF(AND(R278&lt;&gt;"Any",R278&lt;&gt;P278),"Sales, receipts and credit notes are for debtors; purchases, payments and debit notes for creditors",IF(AND(F278&lt;&gt;"",D278&lt;&gt;"Purchase bill"),"The received-on date is only for purchase bills",IF(AND(P278="Creditor",X278=1,AA278&gt;0),"Past due to a micro or small supplier: interest runs under MSMED s.16, and if unpaid at year end it is not deductible that year, s.37(2)(g)",IF(AND(P278="Debtor",X278=1,AA278&gt;0),"Past due to you: as a micro or small supplier you can claim interest under MSMED s.16","OK")))))))))))</f>
        <v/>
      </c>
      <c r="P278">
        <f>IF(C278="","",IFERROR(VLOOKUP(C278,'Parties'!$B$13:$Q$112,2,FALSE),"?"))</f>
        <v/>
      </c>
      <c r="Q278">
        <f>IF(D278="","",IFERROR(VLOOKUP(D278,Lists!$A$2:$D$9,3,FALSE),"?"))</f>
        <v/>
      </c>
      <c r="R278">
        <f>IF(D278="","",IFERROR(VLOOKUP(D278,Lists!$A$2:$D$9,4,FALSE),"?"))</f>
        <v/>
      </c>
      <c r="S278">
        <f>IF(P278="Debtor",I278,IF(P278="Creditor",J278,0))</f>
        <v/>
      </c>
      <c r="T278">
        <f>IF(P278="Debtor",J278,IF(P278="Creditor",I278,0))</f>
        <v/>
      </c>
      <c r="U278">
        <f>IF(OR(S278=0,B278=""),0,IFERROR(VLOOKUP(C278,'Parties'!$B$13:$Q$112,13,FALSE),0)+SUMIFS($S$7:$S$506,$C$7:$C$506,C278,$B$7:$B$506,"&lt;"&amp;B278)+SUMIFS(S$7:S278,C$7:C278,C278,B$7:B278,B278))</f>
        <v/>
      </c>
      <c r="V278">
        <f>IF(S278=0,0,IFERROR(VLOOKUP(C278,'Parties'!$B$13:$Q$112,14,FALSE),0)+SUMIFS($T$7:$T$506,$C$7:$C$506,C278,$B$7:$B$506,"&lt;="&amp;'Outstanding'!$E$5))</f>
        <v/>
      </c>
      <c r="W278">
        <f>IF(OR('Outstanding'!$E$5="",S278=0,B278="",B278&gt;'Outstanding'!$E$5),0,MAX(0,MIN(S278,U278-V278)))</f>
        <v/>
      </c>
      <c r="X278">
        <f>IF(C278="",0,IFERROR(VLOOKUP(C278,'Parties'!$B$13:$Q$112,15,FALSE),0))</f>
        <v/>
      </c>
      <c r="Y278">
        <f>IF(C278="","",IFERROR(VLOOKUP(C278,'Parties'!$B$13:$Q$112,16,FALSE),0))</f>
        <v/>
      </c>
      <c r="Z278">
        <f>IF(OR(S278=0,B278="",Y278=""),"",IF(AND(F278&lt;&gt;"",D278="Purchase bill"),F278,B278)+Y278)</f>
        <v/>
      </c>
      <c r="AA278">
        <f>IF(OR(W278=0,Z278=""),0,MAX(0,'Outstanding'!$E$5-Z278))</f>
        <v/>
      </c>
      <c r="AB278">
        <f>IF(AND(X278=1,AA278&gt;0),W278*((1+3*N('Parties'!$E$10)/12)^(AA278*12/365)-1),0)</f>
        <v/>
      </c>
      <c r="AC278">
        <f>IF(W278=0,"",'Outstanding'!$E$5-B278)</f>
        <v/>
      </c>
      <c r="AD278">
        <f>IF(S278=0,0,IFERROR(VLOOKUP(C278,'Parties'!$B$13:$Q$112,14,FALSE),0)+SUMIFS($T$7:$T$506,$C$7:$C$506,C278,$B$7:$B$506,"&lt;="&amp;'Parties'!$E$8))</f>
        <v/>
      </c>
      <c r="AE278">
        <f>IF(OR('Parties'!$E$8="",S278=0,B278="",B278&gt;'Parties'!$E$8),0,MAX(0,MIN(S278,U278-AD278)))</f>
        <v/>
      </c>
      <c r="AF278">
        <f>IF(AND(P278="Creditor",X278=1,AE278&gt;0,Z278&lt;&gt;""),IF(Z278&lt;='Parties'!$E$8,AE278,0),0)</f>
        <v/>
      </c>
      <c r="AG278">
        <f>IF(OR(AE278=0,Z278=""),0,MAX(0,'Parties'!$E$8-Z278))</f>
        <v/>
      </c>
      <c r="AH278">
        <f>IF(AND(P278="Creditor",X278=1,AG278&gt;0),AE278*((1+3*N('Parties'!$E$10)/12)^(AG278*12/365)-1),0)</f>
        <v/>
      </c>
      <c r="AI278">
        <f>IF(AND(C278&lt;&gt;"",C278='Ledger Account'!$D$4,B278&lt;&gt;"",B278&gt;='Ledger Account'!$D$5,B278&lt;='Ledger Account'!$D$6),1,0)</f>
        <v/>
      </c>
      <c r="AJ278">
        <f>IF(AI278=1,SUM(AI$7:AI278),"")</f>
        <v/>
      </c>
      <c r="AK278">
        <f>IF(OR(N278="",N278="OK"),0,1)</f>
        <v/>
      </c>
    </row>
    <row r="279">
      <c r="B279" s="24" t="n"/>
      <c r="C279" s="14" t="n"/>
      <c r="D279" s="14" t="n"/>
      <c r="E279" s="20" t="n"/>
      <c r="F279" s="24" t="n"/>
      <c r="G279" s="14" t="n"/>
      <c r="H279" s="22" t="n"/>
      <c r="I279" s="25">
        <f>IF(Q279="D",N(H279),0)</f>
        <v/>
      </c>
      <c r="J279" s="25">
        <f>IF(Q279="C",N(H279),0)</f>
        <v/>
      </c>
      <c r="K279" s="26">
        <f>IF(Z279="","",Z279)</f>
        <v/>
      </c>
      <c r="L279" s="27">
        <f>W279</f>
        <v/>
      </c>
      <c r="M279" s="28">
        <f>AA279</f>
        <v/>
      </c>
      <c r="N279" s="23">
        <f>IF(AND(B279="",C279="",D279="",N(H279)=0),"",IF(B279="","Enter the date",IF(C279="","Pick the party",IF(P279="?","Add this party on the Parties sheet first",IF(D279="","Pick the entry type",IF(Q279="?","Pick the entry type from the list",IF(N(H279)=0,"Enter the amount",IF(AND(R279&lt;&gt;"Any",R279&lt;&gt;P279),"Sales, receipts and credit notes are for debtors; purchases, payments and debit notes for creditors",IF(AND(F279&lt;&gt;"",D279&lt;&gt;"Purchase bill"),"The received-on date is only for purchase bills",IF(AND(P279="Creditor",X279=1,AA279&gt;0),"Past due to a micro or small supplier: interest runs under MSMED s.16, and if unpaid at year end it is not deductible that year, s.37(2)(g)",IF(AND(P279="Debtor",X279=1,AA279&gt;0),"Past due to you: as a micro or small supplier you can claim interest under MSMED s.16","OK")))))))))))</f>
        <v/>
      </c>
      <c r="P279">
        <f>IF(C279="","",IFERROR(VLOOKUP(C279,'Parties'!$B$13:$Q$112,2,FALSE),"?"))</f>
        <v/>
      </c>
      <c r="Q279">
        <f>IF(D279="","",IFERROR(VLOOKUP(D279,Lists!$A$2:$D$9,3,FALSE),"?"))</f>
        <v/>
      </c>
      <c r="R279">
        <f>IF(D279="","",IFERROR(VLOOKUP(D279,Lists!$A$2:$D$9,4,FALSE),"?"))</f>
        <v/>
      </c>
      <c r="S279">
        <f>IF(P279="Debtor",I279,IF(P279="Creditor",J279,0))</f>
        <v/>
      </c>
      <c r="T279">
        <f>IF(P279="Debtor",J279,IF(P279="Creditor",I279,0))</f>
        <v/>
      </c>
      <c r="U279">
        <f>IF(OR(S279=0,B279=""),0,IFERROR(VLOOKUP(C279,'Parties'!$B$13:$Q$112,13,FALSE),0)+SUMIFS($S$7:$S$506,$C$7:$C$506,C279,$B$7:$B$506,"&lt;"&amp;B279)+SUMIFS(S$7:S279,C$7:C279,C279,B$7:B279,B279))</f>
        <v/>
      </c>
      <c r="V279">
        <f>IF(S279=0,0,IFERROR(VLOOKUP(C279,'Parties'!$B$13:$Q$112,14,FALSE),0)+SUMIFS($T$7:$T$506,$C$7:$C$506,C279,$B$7:$B$506,"&lt;="&amp;'Outstanding'!$E$5))</f>
        <v/>
      </c>
      <c r="W279">
        <f>IF(OR('Outstanding'!$E$5="",S279=0,B279="",B279&gt;'Outstanding'!$E$5),0,MAX(0,MIN(S279,U279-V279)))</f>
        <v/>
      </c>
      <c r="X279">
        <f>IF(C279="",0,IFERROR(VLOOKUP(C279,'Parties'!$B$13:$Q$112,15,FALSE),0))</f>
        <v/>
      </c>
      <c r="Y279">
        <f>IF(C279="","",IFERROR(VLOOKUP(C279,'Parties'!$B$13:$Q$112,16,FALSE),0))</f>
        <v/>
      </c>
      <c r="Z279">
        <f>IF(OR(S279=0,B279="",Y279=""),"",IF(AND(F279&lt;&gt;"",D279="Purchase bill"),F279,B279)+Y279)</f>
        <v/>
      </c>
      <c r="AA279">
        <f>IF(OR(W279=0,Z279=""),0,MAX(0,'Outstanding'!$E$5-Z279))</f>
        <v/>
      </c>
      <c r="AB279">
        <f>IF(AND(X279=1,AA279&gt;0),W279*((1+3*N('Parties'!$E$10)/12)^(AA279*12/365)-1),0)</f>
        <v/>
      </c>
      <c r="AC279">
        <f>IF(W279=0,"",'Outstanding'!$E$5-B279)</f>
        <v/>
      </c>
      <c r="AD279">
        <f>IF(S279=0,0,IFERROR(VLOOKUP(C279,'Parties'!$B$13:$Q$112,14,FALSE),0)+SUMIFS($T$7:$T$506,$C$7:$C$506,C279,$B$7:$B$506,"&lt;="&amp;'Parties'!$E$8))</f>
        <v/>
      </c>
      <c r="AE279">
        <f>IF(OR('Parties'!$E$8="",S279=0,B279="",B279&gt;'Parties'!$E$8),0,MAX(0,MIN(S279,U279-AD279)))</f>
        <v/>
      </c>
      <c r="AF279">
        <f>IF(AND(P279="Creditor",X279=1,AE279&gt;0,Z279&lt;&gt;""),IF(Z279&lt;='Parties'!$E$8,AE279,0),0)</f>
        <v/>
      </c>
      <c r="AG279">
        <f>IF(OR(AE279=0,Z279=""),0,MAX(0,'Parties'!$E$8-Z279))</f>
        <v/>
      </c>
      <c r="AH279">
        <f>IF(AND(P279="Creditor",X279=1,AG279&gt;0),AE279*((1+3*N('Parties'!$E$10)/12)^(AG279*12/365)-1),0)</f>
        <v/>
      </c>
      <c r="AI279">
        <f>IF(AND(C279&lt;&gt;"",C279='Ledger Account'!$D$4,B279&lt;&gt;"",B279&gt;='Ledger Account'!$D$5,B279&lt;='Ledger Account'!$D$6),1,0)</f>
        <v/>
      </c>
      <c r="AJ279">
        <f>IF(AI279=1,SUM(AI$7:AI279),"")</f>
        <v/>
      </c>
      <c r="AK279">
        <f>IF(OR(N279="",N279="OK"),0,1)</f>
        <v/>
      </c>
    </row>
    <row r="280">
      <c r="B280" s="24" t="n"/>
      <c r="C280" s="14" t="n"/>
      <c r="D280" s="14" t="n"/>
      <c r="E280" s="20" t="n"/>
      <c r="F280" s="24" t="n"/>
      <c r="G280" s="14" t="n"/>
      <c r="H280" s="22" t="n"/>
      <c r="I280" s="25">
        <f>IF(Q280="D",N(H280),0)</f>
        <v/>
      </c>
      <c r="J280" s="25">
        <f>IF(Q280="C",N(H280),0)</f>
        <v/>
      </c>
      <c r="K280" s="26">
        <f>IF(Z280="","",Z280)</f>
        <v/>
      </c>
      <c r="L280" s="27">
        <f>W280</f>
        <v/>
      </c>
      <c r="M280" s="28">
        <f>AA280</f>
        <v/>
      </c>
      <c r="N280" s="23">
        <f>IF(AND(B280="",C280="",D280="",N(H280)=0),"",IF(B280="","Enter the date",IF(C280="","Pick the party",IF(P280="?","Add this party on the Parties sheet first",IF(D280="","Pick the entry type",IF(Q280="?","Pick the entry type from the list",IF(N(H280)=0,"Enter the amount",IF(AND(R280&lt;&gt;"Any",R280&lt;&gt;P280),"Sales, receipts and credit notes are for debtors; purchases, payments and debit notes for creditors",IF(AND(F280&lt;&gt;"",D280&lt;&gt;"Purchase bill"),"The received-on date is only for purchase bills",IF(AND(P280="Creditor",X280=1,AA280&gt;0),"Past due to a micro or small supplier: interest runs under MSMED s.16, and if unpaid at year end it is not deductible that year, s.37(2)(g)",IF(AND(P280="Debtor",X280=1,AA280&gt;0),"Past due to you: as a micro or small supplier you can claim interest under MSMED s.16","OK")))))))))))</f>
        <v/>
      </c>
      <c r="P280">
        <f>IF(C280="","",IFERROR(VLOOKUP(C280,'Parties'!$B$13:$Q$112,2,FALSE),"?"))</f>
        <v/>
      </c>
      <c r="Q280">
        <f>IF(D280="","",IFERROR(VLOOKUP(D280,Lists!$A$2:$D$9,3,FALSE),"?"))</f>
        <v/>
      </c>
      <c r="R280">
        <f>IF(D280="","",IFERROR(VLOOKUP(D280,Lists!$A$2:$D$9,4,FALSE),"?"))</f>
        <v/>
      </c>
      <c r="S280">
        <f>IF(P280="Debtor",I280,IF(P280="Creditor",J280,0))</f>
        <v/>
      </c>
      <c r="T280">
        <f>IF(P280="Debtor",J280,IF(P280="Creditor",I280,0))</f>
        <v/>
      </c>
      <c r="U280">
        <f>IF(OR(S280=0,B280=""),0,IFERROR(VLOOKUP(C280,'Parties'!$B$13:$Q$112,13,FALSE),0)+SUMIFS($S$7:$S$506,$C$7:$C$506,C280,$B$7:$B$506,"&lt;"&amp;B280)+SUMIFS(S$7:S280,C$7:C280,C280,B$7:B280,B280))</f>
        <v/>
      </c>
      <c r="V280">
        <f>IF(S280=0,0,IFERROR(VLOOKUP(C280,'Parties'!$B$13:$Q$112,14,FALSE),0)+SUMIFS($T$7:$T$506,$C$7:$C$506,C280,$B$7:$B$506,"&lt;="&amp;'Outstanding'!$E$5))</f>
        <v/>
      </c>
      <c r="W280">
        <f>IF(OR('Outstanding'!$E$5="",S280=0,B280="",B280&gt;'Outstanding'!$E$5),0,MAX(0,MIN(S280,U280-V280)))</f>
        <v/>
      </c>
      <c r="X280">
        <f>IF(C280="",0,IFERROR(VLOOKUP(C280,'Parties'!$B$13:$Q$112,15,FALSE),0))</f>
        <v/>
      </c>
      <c r="Y280">
        <f>IF(C280="","",IFERROR(VLOOKUP(C280,'Parties'!$B$13:$Q$112,16,FALSE),0))</f>
        <v/>
      </c>
      <c r="Z280">
        <f>IF(OR(S280=0,B280="",Y280=""),"",IF(AND(F280&lt;&gt;"",D280="Purchase bill"),F280,B280)+Y280)</f>
        <v/>
      </c>
      <c r="AA280">
        <f>IF(OR(W280=0,Z280=""),0,MAX(0,'Outstanding'!$E$5-Z280))</f>
        <v/>
      </c>
      <c r="AB280">
        <f>IF(AND(X280=1,AA280&gt;0),W280*((1+3*N('Parties'!$E$10)/12)^(AA280*12/365)-1),0)</f>
        <v/>
      </c>
      <c r="AC280">
        <f>IF(W280=0,"",'Outstanding'!$E$5-B280)</f>
        <v/>
      </c>
      <c r="AD280">
        <f>IF(S280=0,0,IFERROR(VLOOKUP(C280,'Parties'!$B$13:$Q$112,14,FALSE),0)+SUMIFS($T$7:$T$506,$C$7:$C$506,C280,$B$7:$B$506,"&lt;="&amp;'Parties'!$E$8))</f>
        <v/>
      </c>
      <c r="AE280">
        <f>IF(OR('Parties'!$E$8="",S280=0,B280="",B280&gt;'Parties'!$E$8),0,MAX(0,MIN(S280,U280-AD280)))</f>
        <v/>
      </c>
      <c r="AF280">
        <f>IF(AND(P280="Creditor",X280=1,AE280&gt;0,Z280&lt;&gt;""),IF(Z280&lt;='Parties'!$E$8,AE280,0),0)</f>
        <v/>
      </c>
      <c r="AG280">
        <f>IF(OR(AE280=0,Z280=""),0,MAX(0,'Parties'!$E$8-Z280))</f>
        <v/>
      </c>
      <c r="AH280">
        <f>IF(AND(P280="Creditor",X280=1,AG280&gt;0),AE280*((1+3*N('Parties'!$E$10)/12)^(AG280*12/365)-1),0)</f>
        <v/>
      </c>
      <c r="AI280">
        <f>IF(AND(C280&lt;&gt;"",C280='Ledger Account'!$D$4,B280&lt;&gt;"",B280&gt;='Ledger Account'!$D$5,B280&lt;='Ledger Account'!$D$6),1,0)</f>
        <v/>
      </c>
      <c r="AJ280">
        <f>IF(AI280=1,SUM(AI$7:AI280),"")</f>
        <v/>
      </c>
      <c r="AK280">
        <f>IF(OR(N280="",N280="OK"),0,1)</f>
        <v/>
      </c>
    </row>
    <row r="281">
      <c r="B281" s="24" t="n"/>
      <c r="C281" s="14" t="n"/>
      <c r="D281" s="14" t="n"/>
      <c r="E281" s="20" t="n"/>
      <c r="F281" s="24" t="n"/>
      <c r="G281" s="14" t="n"/>
      <c r="H281" s="22" t="n"/>
      <c r="I281" s="25">
        <f>IF(Q281="D",N(H281),0)</f>
        <v/>
      </c>
      <c r="J281" s="25">
        <f>IF(Q281="C",N(H281),0)</f>
        <v/>
      </c>
      <c r="K281" s="26">
        <f>IF(Z281="","",Z281)</f>
        <v/>
      </c>
      <c r="L281" s="27">
        <f>W281</f>
        <v/>
      </c>
      <c r="M281" s="28">
        <f>AA281</f>
        <v/>
      </c>
      <c r="N281" s="23">
        <f>IF(AND(B281="",C281="",D281="",N(H281)=0),"",IF(B281="","Enter the date",IF(C281="","Pick the party",IF(P281="?","Add this party on the Parties sheet first",IF(D281="","Pick the entry type",IF(Q281="?","Pick the entry type from the list",IF(N(H281)=0,"Enter the amount",IF(AND(R281&lt;&gt;"Any",R281&lt;&gt;P281),"Sales, receipts and credit notes are for debtors; purchases, payments and debit notes for creditors",IF(AND(F281&lt;&gt;"",D281&lt;&gt;"Purchase bill"),"The received-on date is only for purchase bills",IF(AND(P281="Creditor",X281=1,AA281&gt;0),"Past due to a micro or small supplier: interest runs under MSMED s.16, and if unpaid at year end it is not deductible that year, s.37(2)(g)",IF(AND(P281="Debtor",X281=1,AA281&gt;0),"Past due to you: as a micro or small supplier you can claim interest under MSMED s.16","OK")))))))))))</f>
        <v/>
      </c>
      <c r="P281">
        <f>IF(C281="","",IFERROR(VLOOKUP(C281,'Parties'!$B$13:$Q$112,2,FALSE),"?"))</f>
        <v/>
      </c>
      <c r="Q281">
        <f>IF(D281="","",IFERROR(VLOOKUP(D281,Lists!$A$2:$D$9,3,FALSE),"?"))</f>
        <v/>
      </c>
      <c r="R281">
        <f>IF(D281="","",IFERROR(VLOOKUP(D281,Lists!$A$2:$D$9,4,FALSE),"?"))</f>
        <v/>
      </c>
      <c r="S281">
        <f>IF(P281="Debtor",I281,IF(P281="Creditor",J281,0))</f>
        <v/>
      </c>
      <c r="T281">
        <f>IF(P281="Debtor",J281,IF(P281="Creditor",I281,0))</f>
        <v/>
      </c>
      <c r="U281">
        <f>IF(OR(S281=0,B281=""),0,IFERROR(VLOOKUP(C281,'Parties'!$B$13:$Q$112,13,FALSE),0)+SUMIFS($S$7:$S$506,$C$7:$C$506,C281,$B$7:$B$506,"&lt;"&amp;B281)+SUMIFS(S$7:S281,C$7:C281,C281,B$7:B281,B281))</f>
        <v/>
      </c>
      <c r="V281">
        <f>IF(S281=0,0,IFERROR(VLOOKUP(C281,'Parties'!$B$13:$Q$112,14,FALSE),0)+SUMIFS($T$7:$T$506,$C$7:$C$506,C281,$B$7:$B$506,"&lt;="&amp;'Outstanding'!$E$5))</f>
        <v/>
      </c>
      <c r="W281">
        <f>IF(OR('Outstanding'!$E$5="",S281=0,B281="",B281&gt;'Outstanding'!$E$5),0,MAX(0,MIN(S281,U281-V281)))</f>
        <v/>
      </c>
      <c r="X281">
        <f>IF(C281="",0,IFERROR(VLOOKUP(C281,'Parties'!$B$13:$Q$112,15,FALSE),0))</f>
        <v/>
      </c>
      <c r="Y281">
        <f>IF(C281="","",IFERROR(VLOOKUP(C281,'Parties'!$B$13:$Q$112,16,FALSE),0))</f>
        <v/>
      </c>
      <c r="Z281">
        <f>IF(OR(S281=0,B281="",Y281=""),"",IF(AND(F281&lt;&gt;"",D281="Purchase bill"),F281,B281)+Y281)</f>
        <v/>
      </c>
      <c r="AA281">
        <f>IF(OR(W281=0,Z281=""),0,MAX(0,'Outstanding'!$E$5-Z281))</f>
        <v/>
      </c>
      <c r="AB281">
        <f>IF(AND(X281=1,AA281&gt;0),W281*((1+3*N('Parties'!$E$10)/12)^(AA281*12/365)-1),0)</f>
        <v/>
      </c>
      <c r="AC281">
        <f>IF(W281=0,"",'Outstanding'!$E$5-B281)</f>
        <v/>
      </c>
      <c r="AD281">
        <f>IF(S281=0,0,IFERROR(VLOOKUP(C281,'Parties'!$B$13:$Q$112,14,FALSE),0)+SUMIFS($T$7:$T$506,$C$7:$C$506,C281,$B$7:$B$506,"&lt;="&amp;'Parties'!$E$8))</f>
        <v/>
      </c>
      <c r="AE281">
        <f>IF(OR('Parties'!$E$8="",S281=0,B281="",B281&gt;'Parties'!$E$8),0,MAX(0,MIN(S281,U281-AD281)))</f>
        <v/>
      </c>
      <c r="AF281">
        <f>IF(AND(P281="Creditor",X281=1,AE281&gt;0,Z281&lt;&gt;""),IF(Z281&lt;='Parties'!$E$8,AE281,0),0)</f>
        <v/>
      </c>
      <c r="AG281">
        <f>IF(OR(AE281=0,Z281=""),0,MAX(0,'Parties'!$E$8-Z281))</f>
        <v/>
      </c>
      <c r="AH281">
        <f>IF(AND(P281="Creditor",X281=1,AG281&gt;0),AE281*((1+3*N('Parties'!$E$10)/12)^(AG281*12/365)-1),0)</f>
        <v/>
      </c>
      <c r="AI281">
        <f>IF(AND(C281&lt;&gt;"",C281='Ledger Account'!$D$4,B281&lt;&gt;"",B281&gt;='Ledger Account'!$D$5,B281&lt;='Ledger Account'!$D$6),1,0)</f>
        <v/>
      </c>
      <c r="AJ281">
        <f>IF(AI281=1,SUM(AI$7:AI281),"")</f>
        <v/>
      </c>
      <c r="AK281">
        <f>IF(OR(N281="",N281="OK"),0,1)</f>
        <v/>
      </c>
    </row>
    <row r="282">
      <c r="B282" s="24" t="n"/>
      <c r="C282" s="14" t="n"/>
      <c r="D282" s="14" t="n"/>
      <c r="E282" s="20" t="n"/>
      <c r="F282" s="24" t="n"/>
      <c r="G282" s="14" t="n"/>
      <c r="H282" s="22" t="n"/>
      <c r="I282" s="25">
        <f>IF(Q282="D",N(H282),0)</f>
        <v/>
      </c>
      <c r="J282" s="25">
        <f>IF(Q282="C",N(H282),0)</f>
        <v/>
      </c>
      <c r="K282" s="26">
        <f>IF(Z282="","",Z282)</f>
        <v/>
      </c>
      <c r="L282" s="27">
        <f>W282</f>
        <v/>
      </c>
      <c r="M282" s="28">
        <f>AA282</f>
        <v/>
      </c>
      <c r="N282" s="23">
        <f>IF(AND(B282="",C282="",D282="",N(H282)=0),"",IF(B282="","Enter the date",IF(C282="","Pick the party",IF(P282="?","Add this party on the Parties sheet first",IF(D282="","Pick the entry type",IF(Q282="?","Pick the entry type from the list",IF(N(H282)=0,"Enter the amount",IF(AND(R282&lt;&gt;"Any",R282&lt;&gt;P282),"Sales, receipts and credit notes are for debtors; purchases, payments and debit notes for creditors",IF(AND(F282&lt;&gt;"",D282&lt;&gt;"Purchase bill"),"The received-on date is only for purchase bills",IF(AND(P282="Creditor",X282=1,AA282&gt;0),"Past due to a micro or small supplier: interest runs under MSMED s.16, and if unpaid at year end it is not deductible that year, s.37(2)(g)",IF(AND(P282="Debtor",X282=1,AA282&gt;0),"Past due to you: as a micro or small supplier you can claim interest under MSMED s.16","OK")))))))))))</f>
        <v/>
      </c>
      <c r="P282">
        <f>IF(C282="","",IFERROR(VLOOKUP(C282,'Parties'!$B$13:$Q$112,2,FALSE),"?"))</f>
        <v/>
      </c>
      <c r="Q282">
        <f>IF(D282="","",IFERROR(VLOOKUP(D282,Lists!$A$2:$D$9,3,FALSE),"?"))</f>
        <v/>
      </c>
      <c r="R282">
        <f>IF(D282="","",IFERROR(VLOOKUP(D282,Lists!$A$2:$D$9,4,FALSE),"?"))</f>
        <v/>
      </c>
      <c r="S282">
        <f>IF(P282="Debtor",I282,IF(P282="Creditor",J282,0))</f>
        <v/>
      </c>
      <c r="T282">
        <f>IF(P282="Debtor",J282,IF(P282="Creditor",I282,0))</f>
        <v/>
      </c>
      <c r="U282">
        <f>IF(OR(S282=0,B282=""),0,IFERROR(VLOOKUP(C282,'Parties'!$B$13:$Q$112,13,FALSE),0)+SUMIFS($S$7:$S$506,$C$7:$C$506,C282,$B$7:$B$506,"&lt;"&amp;B282)+SUMIFS(S$7:S282,C$7:C282,C282,B$7:B282,B282))</f>
        <v/>
      </c>
      <c r="V282">
        <f>IF(S282=0,0,IFERROR(VLOOKUP(C282,'Parties'!$B$13:$Q$112,14,FALSE),0)+SUMIFS($T$7:$T$506,$C$7:$C$506,C282,$B$7:$B$506,"&lt;="&amp;'Outstanding'!$E$5))</f>
        <v/>
      </c>
      <c r="W282">
        <f>IF(OR('Outstanding'!$E$5="",S282=0,B282="",B282&gt;'Outstanding'!$E$5),0,MAX(0,MIN(S282,U282-V282)))</f>
        <v/>
      </c>
      <c r="X282">
        <f>IF(C282="",0,IFERROR(VLOOKUP(C282,'Parties'!$B$13:$Q$112,15,FALSE),0))</f>
        <v/>
      </c>
      <c r="Y282">
        <f>IF(C282="","",IFERROR(VLOOKUP(C282,'Parties'!$B$13:$Q$112,16,FALSE),0))</f>
        <v/>
      </c>
      <c r="Z282">
        <f>IF(OR(S282=0,B282="",Y282=""),"",IF(AND(F282&lt;&gt;"",D282="Purchase bill"),F282,B282)+Y282)</f>
        <v/>
      </c>
      <c r="AA282">
        <f>IF(OR(W282=0,Z282=""),0,MAX(0,'Outstanding'!$E$5-Z282))</f>
        <v/>
      </c>
      <c r="AB282">
        <f>IF(AND(X282=1,AA282&gt;0),W282*((1+3*N('Parties'!$E$10)/12)^(AA282*12/365)-1),0)</f>
        <v/>
      </c>
      <c r="AC282">
        <f>IF(W282=0,"",'Outstanding'!$E$5-B282)</f>
        <v/>
      </c>
      <c r="AD282">
        <f>IF(S282=0,0,IFERROR(VLOOKUP(C282,'Parties'!$B$13:$Q$112,14,FALSE),0)+SUMIFS($T$7:$T$506,$C$7:$C$506,C282,$B$7:$B$506,"&lt;="&amp;'Parties'!$E$8))</f>
        <v/>
      </c>
      <c r="AE282">
        <f>IF(OR('Parties'!$E$8="",S282=0,B282="",B282&gt;'Parties'!$E$8),0,MAX(0,MIN(S282,U282-AD282)))</f>
        <v/>
      </c>
      <c r="AF282">
        <f>IF(AND(P282="Creditor",X282=1,AE282&gt;0,Z282&lt;&gt;""),IF(Z282&lt;='Parties'!$E$8,AE282,0),0)</f>
        <v/>
      </c>
      <c r="AG282">
        <f>IF(OR(AE282=0,Z282=""),0,MAX(0,'Parties'!$E$8-Z282))</f>
        <v/>
      </c>
      <c r="AH282">
        <f>IF(AND(P282="Creditor",X282=1,AG282&gt;0),AE282*((1+3*N('Parties'!$E$10)/12)^(AG282*12/365)-1),0)</f>
        <v/>
      </c>
      <c r="AI282">
        <f>IF(AND(C282&lt;&gt;"",C282='Ledger Account'!$D$4,B282&lt;&gt;"",B282&gt;='Ledger Account'!$D$5,B282&lt;='Ledger Account'!$D$6),1,0)</f>
        <v/>
      </c>
      <c r="AJ282">
        <f>IF(AI282=1,SUM(AI$7:AI282),"")</f>
        <v/>
      </c>
      <c r="AK282">
        <f>IF(OR(N282="",N282="OK"),0,1)</f>
        <v/>
      </c>
    </row>
    <row r="283">
      <c r="B283" s="24" t="n"/>
      <c r="C283" s="14" t="n"/>
      <c r="D283" s="14" t="n"/>
      <c r="E283" s="20" t="n"/>
      <c r="F283" s="24" t="n"/>
      <c r="G283" s="14" t="n"/>
      <c r="H283" s="22" t="n"/>
      <c r="I283" s="25">
        <f>IF(Q283="D",N(H283),0)</f>
        <v/>
      </c>
      <c r="J283" s="25">
        <f>IF(Q283="C",N(H283),0)</f>
        <v/>
      </c>
      <c r="K283" s="26">
        <f>IF(Z283="","",Z283)</f>
        <v/>
      </c>
      <c r="L283" s="27">
        <f>W283</f>
        <v/>
      </c>
      <c r="M283" s="28">
        <f>AA283</f>
        <v/>
      </c>
      <c r="N283" s="23">
        <f>IF(AND(B283="",C283="",D283="",N(H283)=0),"",IF(B283="","Enter the date",IF(C283="","Pick the party",IF(P283="?","Add this party on the Parties sheet first",IF(D283="","Pick the entry type",IF(Q283="?","Pick the entry type from the list",IF(N(H283)=0,"Enter the amount",IF(AND(R283&lt;&gt;"Any",R283&lt;&gt;P283),"Sales, receipts and credit notes are for debtors; purchases, payments and debit notes for creditors",IF(AND(F283&lt;&gt;"",D283&lt;&gt;"Purchase bill"),"The received-on date is only for purchase bills",IF(AND(P283="Creditor",X283=1,AA283&gt;0),"Past due to a micro or small supplier: interest runs under MSMED s.16, and if unpaid at year end it is not deductible that year, s.37(2)(g)",IF(AND(P283="Debtor",X283=1,AA283&gt;0),"Past due to you: as a micro or small supplier you can claim interest under MSMED s.16","OK")))))))))))</f>
        <v/>
      </c>
      <c r="P283">
        <f>IF(C283="","",IFERROR(VLOOKUP(C283,'Parties'!$B$13:$Q$112,2,FALSE),"?"))</f>
        <v/>
      </c>
      <c r="Q283">
        <f>IF(D283="","",IFERROR(VLOOKUP(D283,Lists!$A$2:$D$9,3,FALSE),"?"))</f>
        <v/>
      </c>
      <c r="R283">
        <f>IF(D283="","",IFERROR(VLOOKUP(D283,Lists!$A$2:$D$9,4,FALSE),"?"))</f>
        <v/>
      </c>
      <c r="S283">
        <f>IF(P283="Debtor",I283,IF(P283="Creditor",J283,0))</f>
        <v/>
      </c>
      <c r="T283">
        <f>IF(P283="Debtor",J283,IF(P283="Creditor",I283,0))</f>
        <v/>
      </c>
      <c r="U283">
        <f>IF(OR(S283=0,B283=""),0,IFERROR(VLOOKUP(C283,'Parties'!$B$13:$Q$112,13,FALSE),0)+SUMIFS($S$7:$S$506,$C$7:$C$506,C283,$B$7:$B$506,"&lt;"&amp;B283)+SUMIFS(S$7:S283,C$7:C283,C283,B$7:B283,B283))</f>
        <v/>
      </c>
      <c r="V283">
        <f>IF(S283=0,0,IFERROR(VLOOKUP(C283,'Parties'!$B$13:$Q$112,14,FALSE),0)+SUMIFS($T$7:$T$506,$C$7:$C$506,C283,$B$7:$B$506,"&lt;="&amp;'Outstanding'!$E$5))</f>
        <v/>
      </c>
      <c r="W283">
        <f>IF(OR('Outstanding'!$E$5="",S283=0,B283="",B283&gt;'Outstanding'!$E$5),0,MAX(0,MIN(S283,U283-V283)))</f>
        <v/>
      </c>
      <c r="X283">
        <f>IF(C283="",0,IFERROR(VLOOKUP(C283,'Parties'!$B$13:$Q$112,15,FALSE),0))</f>
        <v/>
      </c>
      <c r="Y283">
        <f>IF(C283="","",IFERROR(VLOOKUP(C283,'Parties'!$B$13:$Q$112,16,FALSE),0))</f>
        <v/>
      </c>
      <c r="Z283">
        <f>IF(OR(S283=0,B283="",Y283=""),"",IF(AND(F283&lt;&gt;"",D283="Purchase bill"),F283,B283)+Y283)</f>
        <v/>
      </c>
      <c r="AA283">
        <f>IF(OR(W283=0,Z283=""),0,MAX(0,'Outstanding'!$E$5-Z283))</f>
        <v/>
      </c>
      <c r="AB283">
        <f>IF(AND(X283=1,AA283&gt;0),W283*((1+3*N('Parties'!$E$10)/12)^(AA283*12/365)-1),0)</f>
        <v/>
      </c>
      <c r="AC283">
        <f>IF(W283=0,"",'Outstanding'!$E$5-B283)</f>
        <v/>
      </c>
      <c r="AD283">
        <f>IF(S283=0,0,IFERROR(VLOOKUP(C283,'Parties'!$B$13:$Q$112,14,FALSE),0)+SUMIFS($T$7:$T$506,$C$7:$C$506,C283,$B$7:$B$506,"&lt;="&amp;'Parties'!$E$8))</f>
        <v/>
      </c>
      <c r="AE283">
        <f>IF(OR('Parties'!$E$8="",S283=0,B283="",B283&gt;'Parties'!$E$8),0,MAX(0,MIN(S283,U283-AD283)))</f>
        <v/>
      </c>
      <c r="AF283">
        <f>IF(AND(P283="Creditor",X283=1,AE283&gt;0,Z283&lt;&gt;""),IF(Z283&lt;='Parties'!$E$8,AE283,0),0)</f>
        <v/>
      </c>
      <c r="AG283">
        <f>IF(OR(AE283=0,Z283=""),0,MAX(0,'Parties'!$E$8-Z283))</f>
        <v/>
      </c>
      <c r="AH283">
        <f>IF(AND(P283="Creditor",X283=1,AG283&gt;0),AE283*((1+3*N('Parties'!$E$10)/12)^(AG283*12/365)-1),0)</f>
        <v/>
      </c>
      <c r="AI283">
        <f>IF(AND(C283&lt;&gt;"",C283='Ledger Account'!$D$4,B283&lt;&gt;"",B283&gt;='Ledger Account'!$D$5,B283&lt;='Ledger Account'!$D$6),1,0)</f>
        <v/>
      </c>
      <c r="AJ283">
        <f>IF(AI283=1,SUM(AI$7:AI283),"")</f>
        <v/>
      </c>
      <c r="AK283">
        <f>IF(OR(N283="",N283="OK"),0,1)</f>
        <v/>
      </c>
    </row>
    <row r="284">
      <c r="B284" s="24" t="n"/>
      <c r="C284" s="14" t="n"/>
      <c r="D284" s="14" t="n"/>
      <c r="E284" s="20" t="n"/>
      <c r="F284" s="24" t="n"/>
      <c r="G284" s="14" t="n"/>
      <c r="H284" s="22" t="n"/>
      <c r="I284" s="25">
        <f>IF(Q284="D",N(H284),0)</f>
        <v/>
      </c>
      <c r="J284" s="25">
        <f>IF(Q284="C",N(H284),0)</f>
        <v/>
      </c>
      <c r="K284" s="26">
        <f>IF(Z284="","",Z284)</f>
        <v/>
      </c>
      <c r="L284" s="27">
        <f>W284</f>
        <v/>
      </c>
      <c r="M284" s="28">
        <f>AA284</f>
        <v/>
      </c>
      <c r="N284" s="23">
        <f>IF(AND(B284="",C284="",D284="",N(H284)=0),"",IF(B284="","Enter the date",IF(C284="","Pick the party",IF(P284="?","Add this party on the Parties sheet first",IF(D284="","Pick the entry type",IF(Q284="?","Pick the entry type from the list",IF(N(H284)=0,"Enter the amount",IF(AND(R284&lt;&gt;"Any",R284&lt;&gt;P284),"Sales, receipts and credit notes are for debtors; purchases, payments and debit notes for creditors",IF(AND(F284&lt;&gt;"",D284&lt;&gt;"Purchase bill"),"The received-on date is only for purchase bills",IF(AND(P284="Creditor",X284=1,AA284&gt;0),"Past due to a micro or small supplier: interest runs under MSMED s.16, and if unpaid at year end it is not deductible that year, s.37(2)(g)",IF(AND(P284="Debtor",X284=1,AA284&gt;0),"Past due to you: as a micro or small supplier you can claim interest under MSMED s.16","OK")))))))))))</f>
        <v/>
      </c>
      <c r="P284">
        <f>IF(C284="","",IFERROR(VLOOKUP(C284,'Parties'!$B$13:$Q$112,2,FALSE),"?"))</f>
        <v/>
      </c>
      <c r="Q284">
        <f>IF(D284="","",IFERROR(VLOOKUP(D284,Lists!$A$2:$D$9,3,FALSE),"?"))</f>
        <v/>
      </c>
      <c r="R284">
        <f>IF(D284="","",IFERROR(VLOOKUP(D284,Lists!$A$2:$D$9,4,FALSE),"?"))</f>
        <v/>
      </c>
      <c r="S284">
        <f>IF(P284="Debtor",I284,IF(P284="Creditor",J284,0))</f>
        <v/>
      </c>
      <c r="T284">
        <f>IF(P284="Debtor",J284,IF(P284="Creditor",I284,0))</f>
        <v/>
      </c>
      <c r="U284">
        <f>IF(OR(S284=0,B284=""),0,IFERROR(VLOOKUP(C284,'Parties'!$B$13:$Q$112,13,FALSE),0)+SUMIFS($S$7:$S$506,$C$7:$C$506,C284,$B$7:$B$506,"&lt;"&amp;B284)+SUMIFS(S$7:S284,C$7:C284,C284,B$7:B284,B284))</f>
        <v/>
      </c>
      <c r="V284">
        <f>IF(S284=0,0,IFERROR(VLOOKUP(C284,'Parties'!$B$13:$Q$112,14,FALSE),0)+SUMIFS($T$7:$T$506,$C$7:$C$506,C284,$B$7:$B$506,"&lt;="&amp;'Outstanding'!$E$5))</f>
        <v/>
      </c>
      <c r="W284">
        <f>IF(OR('Outstanding'!$E$5="",S284=0,B284="",B284&gt;'Outstanding'!$E$5),0,MAX(0,MIN(S284,U284-V284)))</f>
        <v/>
      </c>
      <c r="X284">
        <f>IF(C284="",0,IFERROR(VLOOKUP(C284,'Parties'!$B$13:$Q$112,15,FALSE),0))</f>
        <v/>
      </c>
      <c r="Y284">
        <f>IF(C284="","",IFERROR(VLOOKUP(C284,'Parties'!$B$13:$Q$112,16,FALSE),0))</f>
        <v/>
      </c>
      <c r="Z284">
        <f>IF(OR(S284=0,B284="",Y284=""),"",IF(AND(F284&lt;&gt;"",D284="Purchase bill"),F284,B284)+Y284)</f>
        <v/>
      </c>
      <c r="AA284">
        <f>IF(OR(W284=0,Z284=""),0,MAX(0,'Outstanding'!$E$5-Z284))</f>
        <v/>
      </c>
      <c r="AB284">
        <f>IF(AND(X284=1,AA284&gt;0),W284*((1+3*N('Parties'!$E$10)/12)^(AA284*12/365)-1),0)</f>
        <v/>
      </c>
      <c r="AC284">
        <f>IF(W284=0,"",'Outstanding'!$E$5-B284)</f>
        <v/>
      </c>
      <c r="AD284">
        <f>IF(S284=0,0,IFERROR(VLOOKUP(C284,'Parties'!$B$13:$Q$112,14,FALSE),0)+SUMIFS($T$7:$T$506,$C$7:$C$506,C284,$B$7:$B$506,"&lt;="&amp;'Parties'!$E$8))</f>
        <v/>
      </c>
      <c r="AE284">
        <f>IF(OR('Parties'!$E$8="",S284=0,B284="",B284&gt;'Parties'!$E$8),0,MAX(0,MIN(S284,U284-AD284)))</f>
        <v/>
      </c>
      <c r="AF284">
        <f>IF(AND(P284="Creditor",X284=1,AE284&gt;0,Z284&lt;&gt;""),IF(Z284&lt;='Parties'!$E$8,AE284,0),0)</f>
        <v/>
      </c>
      <c r="AG284">
        <f>IF(OR(AE284=0,Z284=""),0,MAX(0,'Parties'!$E$8-Z284))</f>
        <v/>
      </c>
      <c r="AH284">
        <f>IF(AND(P284="Creditor",X284=1,AG284&gt;0),AE284*((1+3*N('Parties'!$E$10)/12)^(AG284*12/365)-1),0)</f>
        <v/>
      </c>
      <c r="AI284">
        <f>IF(AND(C284&lt;&gt;"",C284='Ledger Account'!$D$4,B284&lt;&gt;"",B284&gt;='Ledger Account'!$D$5,B284&lt;='Ledger Account'!$D$6),1,0)</f>
        <v/>
      </c>
      <c r="AJ284">
        <f>IF(AI284=1,SUM(AI$7:AI284),"")</f>
        <v/>
      </c>
      <c r="AK284">
        <f>IF(OR(N284="",N284="OK"),0,1)</f>
        <v/>
      </c>
    </row>
    <row r="285">
      <c r="B285" s="24" t="n"/>
      <c r="C285" s="14" t="n"/>
      <c r="D285" s="14" t="n"/>
      <c r="E285" s="20" t="n"/>
      <c r="F285" s="24" t="n"/>
      <c r="G285" s="14" t="n"/>
      <c r="H285" s="22" t="n"/>
      <c r="I285" s="25">
        <f>IF(Q285="D",N(H285),0)</f>
        <v/>
      </c>
      <c r="J285" s="25">
        <f>IF(Q285="C",N(H285),0)</f>
        <v/>
      </c>
      <c r="K285" s="26">
        <f>IF(Z285="","",Z285)</f>
        <v/>
      </c>
      <c r="L285" s="27">
        <f>W285</f>
        <v/>
      </c>
      <c r="M285" s="28">
        <f>AA285</f>
        <v/>
      </c>
      <c r="N285" s="23">
        <f>IF(AND(B285="",C285="",D285="",N(H285)=0),"",IF(B285="","Enter the date",IF(C285="","Pick the party",IF(P285="?","Add this party on the Parties sheet first",IF(D285="","Pick the entry type",IF(Q285="?","Pick the entry type from the list",IF(N(H285)=0,"Enter the amount",IF(AND(R285&lt;&gt;"Any",R285&lt;&gt;P285),"Sales, receipts and credit notes are for debtors; purchases, payments and debit notes for creditors",IF(AND(F285&lt;&gt;"",D285&lt;&gt;"Purchase bill"),"The received-on date is only for purchase bills",IF(AND(P285="Creditor",X285=1,AA285&gt;0),"Past due to a micro or small supplier: interest runs under MSMED s.16, and if unpaid at year end it is not deductible that year, s.37(2)(g)",IF(AND(P285="Debtor",X285=1,AA285&gt;0),"Past due to you: as a micro or small supplier you can claim interest under MSMED s.16","OK")))))))))))</f>
        <v/>
      </c>
      <c r="P285">
        <f>IF(C285="","",IFERROR(VLOOKUP(C285,'Parties'!$B$13:$Q$112,2,FALSE),"?"))</f>
        <v/>
      </c>
      <c r="Q285">
        <f>IF(D285="","",IFERROR(VLOOKUP(D285,Lists!$A$2:$D$9,3,FALSE),"?"))</f>
        <v/>
      </c>
      <c r="R285">
        <f>IF(D285="","",IFERROR(VLOOKUP(D285,Lists!$A$2:$D$9,4,FALSE),"?"))</f>
        <v/>
      </c>
      <c r="S285">
        <f>IF(P285="Debtor",I285,IF(P285="Creditor",J285,0))</f>
        <v/>
      </c>
      <c r="T285">
        <f>IF(P285="Debtor",J285,IF(P285="Creditor",I285,0))</f>
        <v/>
      </c>
      <c r="U285">
        <f>IF(OR(S285=0,B285=""),0,IFERROR(VLOOKUP(C285,'Parties'!$B$13:$Q$112,13,FALSE),0)+SUMIFS($S$7:$S$506,$C$7:$C$506,C285,$B$7:$B$506,"&lt;"&amp;B285)+SUMIFS(S$7:S285,C$7:C285,C285,B$7:B285,B285))</f>
        <v/>
      </c>
      <c r="V285">
        <f>IF(S285=0,0,IFERROR(VLOOKUP(C285,'Parties'!$B$13:$Q$112,14,FALSE),0)+SUMIFS($T$7:$T$506,$C$7:$C$506,C285,$B$7:$B$506,"&lt;="&amp;'Outstanding'!$E$5))</f>
        <v/>
      </c>
      <c r="W285">
        <f>IF(OR('Outstanding'!$E$5="",S285=0,B285="",B285&gt;'Outstanding'!$E$5),0,MAX(0,MIN(S285,U285-V285)))</f>
        <v/>
      </c>
      <c r="X285">
        <f>IF(C285="",0,IFERROR(VLOOKUP(C285,'Parties'!$B$13:$Q$112,15,FALSE),0))</f>
        <v/>
      </c>
      <c r="Y285">
        <f>IF(C285="","",IFERROR(VLOOKUP(C285,'Parties'!$B$13:$Q$112,16,FALSE),0))</f>
        <v/>
      </c>
      <c r="Z285">
        <f>IF(OR(S285=0,B285="",Y285=""),"",IF(AND(F285&lt;&gt;"",D285="Purchase bill"),F285,B285)+Y285)</f>
        <v/>
      </c>
      <c r="AA285">
        <f>IF(OR(W285=0,Z285=""),0,MAX(0,'Outstanding'!$E$5-Z285))</f>
        <v/>
      </c>
      <c r="AB285">
        <f>IF(AND(X285=1,AA285&gt;0),W285*((1+3*N('Parties'!$E$10)/12)^(AA285*12/365)-1),0)</f>
        <v/>
      </c>
      <c r="AC285">
        <f>IF(W285=0,"",'Outstanding'!$E$5-B285)</f>
        <v/>
      </c>
      <c r="AD285">
        <f>IF(S285=0,0,IFERROR(VLOOKUP(C285,'Parties'!$B$13:$Q$112,14,FALSE),0)+SUMIFS($T$7:$T$506,$C$7:$C$506,C285,$B$7:$B$506,"&lt;="&amp;'Parties'!$E$8))</f>
        <v/>
      </c>
      <c r="AE285">
        <f>IF(OR('Parties'!$E$8="",S285=0,B285="",B285&gt;'Parties'!$E$8),0,MAX(0,MIN(S285,U285-AD285)))</f>
        <v/>
      </c>
      <c r="AF285">
        <f>IF(AND(P285="Creditor",X285=1,AE285&gt;0,Z285&lt;&gt;""),IF(Z285&lt;='Parties'!$E$8,AE285,0),0)</f>
        <v/>
      </c>
      <c r="AG285">
        <f>IF(OR(AE285=0,Z285=""),0,MAX(0,'Parties'!$E$8-Z285))</f>
        <v/>
      </c>
      <c r="AH285">
        <f>IF(AND(P285="Creditor",X285=1,AG285&gt;0),AE285*((1+3*N('Parties'!$E$10)/12)^(AG285*12/365)-1),0)</f>
        <v/>
      </c>
      <c r="AI285">
        <f>IF(AND(C285&lt;&gt;"",C285='Ledger Account'!$D$4,B285&lt;&gt;"",B285&gt;='Ledger Account'!$D$5,B285&lt;='Ledger Account'!$D$6),1,0)</f>
        <v/>
      </c>
      <c r="AJ285">
        <f>IF(AI285=1,SUM(AI$7:AI285),"")</f>
        <v/>
      </c>
      <c r="AK285">
        <f>IF(OR(N285="",N285="OK"),0,1)</f>
        <v/>
      </c>
    </row>
    <row r="286">
      <c r="B286" s="24" t="n"/>
      <c r="C286" s="14" t="n"/>
      <c r="D286" s="14" t="n"/>
      <c r="E286" s="20" t="n"/>
      <c r="F286" s="24" t="n"/>
      <c r="G286" s="14" t="n"/>
      <c r="H286" s="22" t="n"/>
      <c r="I286" s="25">
        <f>IF(Q286="D",N(H286),0)</f>
        <v/>
      </c>
      <c r="J286" s="25">
        <f>IF(Q286="C",N(H286),0)</f>
        <v/>
      </c>
      <c r="K286" s="26">
        <f>IF(Z286="","",Z286)</f>
        <v/>
      </c>
      <c r="L286" s="27">
        <f>W286</f>
        <v/>
      </c>
      <c r="M286" s="28">
        <f>AA286</f>
        <v/>
      </c>
      <c r="N286" s="23">
        <f>IF(AND(B286="",C286="",D286="",N(H286)=0),"",IF(B286="","Enter the date",IF(C286="","Pick the party",IF(P286="?","Add this party on the Parties sheet first",IF(D286="","Pick the entry type",IF(Q286="?","Pick the entry type from the list",IF(N(H286)=0,"Enter the amount",IF(AND(R286&lt;&gt;"Any",R286&lt;&gt;P286),"Sales, receipts and credit notes are for debtors; purchases, payments and debit notes for creditors",IF(AND(F286&lt;&gt;"",D286&lt;&gt;"Purchase bill"),"The received-on date is only for purchase bills",IF(AND(P286="Creditor",X286=1,AA286&gt;0),"Past due to a micro or small supplier: interest runs under MSMED s.16, and if unpaid at year end it is not deductible that year, s.37(2)(g)",IF(AND(P286="Debtor",X286=1,AA286&gt;0),"Past due to you: as a micro or small supplier you can claim interest under MSMED s.16","OK")))))))))))</f>
        <v/>
      </c>
      <c r="P286">
        <f>IF(C286="","",IFERROR(VLOOKUP(C286,'Parties'!$B$13:$Q$112,2,FALSE),"?"))</f>
        <v/>
      </c>
      <c r="Q286">
        <f>IF(D286="","",IFERROR(VLOOKUP(D286,Lists!$A$2:$D$9,3,FALSE),"?"))</f>
        <v/>
      </c>
      <c r="R286">
        <f>IF(D286="","",IFERROR(VLOOKUP(D286,Lists!$A$2:$D$9,4,FALSE),"?"))</f>
        <v/>
      </c>
      <c r="S286">
        <f>IF(P286="Debtor",I286,IF(P286="Creditor",J286,0))</f>
        <v/>
      </c>
      <c r="T286">
        <f>IF(P286="Debtor",J286,IF(P286="Creditor",I286,0))</f>
        <v/>
      </c>
      <c r="U286">
        <f>IF(OR(S286=0,B286=""),0,IFERROR(VLOOKUP(C286,'Parties'!$B$13:$Q$112,13,FALSE),0)+SUMIFS($S$7:$S$506,$C$7:$C$506,C286,$B$7:$B$506,"&lt;"&amp;B286)+SUMIFS(S$7:S286,C$7:C286,C286,B$7:B286,B286))</f>
        <v/>
      </c>
      <c r="V286">
        <f>IF(S286=0,0,IFERROR(VLOOKUP(C286,'Parties'!$B$13:$Q$112,14,FALSE),0)+SUMIFS($T$7:$T$506,$C$7:$C$506,C286,$B$7:$B$506,"&lt;="&amp;'Outstanding'!$E$5))</f>
        <v/>
      </c>
      <c r="W286">
        <f>IF(OR('Outstanding'!$E$5="",S286=0,B286="",B286&gt;'Outstanding'!$E$5),0,MAX(0,MIN(S286,U286-V286)))</f>
        <v/>
      </c>
      <c r="X286">
        <f>IF(C286="",0,IFERROR(VLOOKUP(C286,'Parties'!$B$13:$Q$112,15,FALSE),0))</f>
        <v/>
      </c>
      <c r="Y286">
        <f>IF(C286="","",IFERROR(VLOOKUP(C286,'Parties'!$B$13:$Q$112,16,FALSE),0))</f>
        <v/>
      </c>
      <c r="Z286">
        <f>IF(OR(S286=0,B286="",Y286=""),"",IF(AND(F286&lt;&gt;"",D286="Purchase bill"),F286,B286)+Y286)</f>
        <v/>
      </c>
      <c r="AA286">
        <f>IF(OR(W286=0,Z286=""),0,MAX(0,'Outstanding'!$E$5-Z286))</f>
        <v/>
      </c>
      <c r="AB286">
        <f>IF(AND(X286=1,AA286&gt;0),W286*((1+3*N('Parties'!$E$10)/12)^(AA286*12/365)-1),0)</f>
        <v/>
      </c>
      <c r="AC286">
        <f>IF(W286=0,"",'Outstanding'!$E$5-B286)</f>
        <v/>
      </c>
      <c r="AD286">
        <f>IF(S286=0,0,IFERROR(VLOOKUP(C286,'Parties'!$B$13:$Q$112,14,FALSE),0)+SUMIFS($T$7:$T$506,$C$7:$C$506,C286,$B$7:$B$506,"&lt;="&amp;'Parties'!$E$8))</f>
        <v/>
      </c>
      <c r="AE286">
        <f>IF(OR('Parties'!$E$8="",S286=0,B286="",B286&gt;'Parties'!$E$8),0,MAX(0,MIN(S286,U286-AD286)))</f>
        <v/>
      </c>
      <c r="AF286">
        <f>IF(AND(P286="Creditor",X286=1,AE286&gt;0,Z286&lt;&gt;""),IF(Z286&lt;='Parties'!$E$8,AE286,0),0)</f>
        <v/>
      </c>
      <c r="AG286">
        <f>IF(OR(AE286=0,Z286=""),0,MAX(0,'Parties'!$E$8-Z286))</f>
        <v/>
      </c>
      <c r="AH286">
        <f>IF(AND(P286="Creditor",X286=1,AG286&gt;0),AE286*((1+3*N('Parties'!$E$10)/12)^(AG286*12/365)-1),0)</f>
        <v/>
      </c>
      <c r="AI286">
        <f>IF(AND(C286&lt;&gt;"",C286='Ledger Account'!$D$4,B286&lt;&gt;"",B286&gt;='Ledger Account'!$D$5,B286&lt;='Ledger Account'!$D$6),1,0)</f>
        <v/>
      </c>
      <c r="AJ286">
        <f>IF(AI286=1,SUM(AI$7:AI286),"")</f>
        <v/>
      </c>
      <c r="AK286">
        <f>IF(OR(N286="",N286="OK"),0,1)</f>
        <v/>
      </c>
    </row>
    <row r="287">
      <c r="B287" s="24" t="n"/>
      <c r="C287" s="14" t="n"/>
      <c r="D287" s="14" t="n"/>
      <c r="E287" s="20" t="n"/>
      <c r="F287" s="24" t="n"/>
      <c r="G287" s="14" t="n"/>
      <c r="H287" s="22" t="n"/>
      <c r="I287" s="25">
        <f>IF(Q287="D",N(H287),0)</f>
        <v/>
      </c>
      <c r="J287" s="25">
        <f>IF(Q287="C",N(H287),0)</f>
        <v/>
      </c>
      <c r="K287" s="26">
        <f>IF(Z287="","",Z287)</f>
        <v/>
      </c>
      <c r="L287" s="27">
        <f>W287</f>
        <v/>
      </c>
      <c r="M287" s="28">
        <f>AA287</f>
        <v/>
      </c>
      <c r="N287" s="23">
        <f>IF(AND(B287="",C287="",D287="",N(H287)=0),"",IF(B287="","Enter the date",IF(C287="","Pick the party",IF(P287="?","Add this party on the Parties sheet first",IF(D287="","Pick the entry type",IF(Q287="?","Pick the entry type from the list",IF(N(H287)=0,"Enter the amount",IF(AND(R287&lt;&gt;"Any",R287&lt;&gt;P287),"Sales, receipts and credit notes are for debtors; purchases, payments and debit notes for creditors",IF(AND(F287&lt;&gt;"",D287&lt;&gt;"Purchase bill"),"The received-on date is only for purchase bills",IF(AND(P287="Creditor",X287=1,AA287&gt;0),"Past due to a micro or small supplier: interest runs under MSMED s.16, and if unpaid at year end it is not deductible that year, s.37(2)(g)",IF(AND(P287="Debtor",X287=1,AA287&gt;0),"Past due to you: as a micro or small supplier you can claim interest under MSMED s.16","OK")))))))))))</f>
        <v/>
      </c>
      <c r="P287">
        <f>IF(C287="","",IFERROR(VLOOKUP(C287,'Parties'!$B$13:$Q$112,2,FALSE),"?"))</f>
        <v/>
      </c>
      <c r="Q287">
        <f>IF(D287="","",IFERROR(VLOOKUP(D287,Lists!$A$2:$D$9,3,FALSE),"?"))</f>
        <v/>
      </c>
      <c r="R287">
        <f>IF(D287="","",IFERROR(VLOOKUP(D287,Lists!$A$2:$D$9,4,FALSE),"?"))</f>
        <v/>
      </c>
      <c r="S287">
        <f>IF(P287="Debtor",I287,IF(P287="Creditor",J287,0))</f>
        <v/>
      </c>
      <c r="T287">
        <f>IF(P287="Debtor",J287,IF(P287="Creditor",I287,0))</f>
        <v/>
      </c>
      <c r="U287">
        <f>IF(OR(S287=0,B287=""),0,IFERROR(VLOOKUP(C287,'Parties'!$B$13:$Q$112,13,FALSE),0)+SUMIFS($S$7:$S$506,$C$7:$C$506,C287,$B$7:$B$506,"&lt;"&amp;B287)+SUMIFS(S$7:S287,C$7:C287,C287,B$7:B287,B287))</f>
        <v/>
      </c>
      <c r="V287">
        <f>IF(S287=0,0,IFERROR(VLOOKUP(C287,'Parties'!$B$13:$Q$112,14,FALSE),0)+SUMIFS($T$7:$T$506,$C$7:$C$506,C287,$B$7:$B$506,"&lt;="&amp;'Outstanding'!$E$5))</f>
        <v/>
      </c>
      <c r="W287">
        <f>IF(OR('Outstanding'!$E$5="",S287=0,B287="",B287&gt;'Outstanding'!$E$5),0,MAX(0,MIN(S287,U287-V287)))</f>
        <v/>
      </c>
      <c r="X287">
        <f>IF(C287="",0,IFERROR(VLOOKUP(C287,'Parties'!$B$13:$Q$112,15,FALSE),0))</f>
        <v/>
      </c>
      <c r="Y287">
        <f>IF(C287="","",IFERROR(VLOOKUP(C287,'Parties'!$B$13:$Q$112,16,FALSE),0))</f>
        <v/>
      </c>
      <c r="Z287">
        <f>IF(OR(S287=0,B287="",Y287=""),"",IF(AND(F287&lt;&gt;"",D287="Purchase bill"),F287,B287)+Y287)</f>
        <v/>
      </c>
      <c r="AA287">
        <f>IF(OR(W287=0,Z287=""),0,MAX(0,'Outstanding'!$E$5-Z287))</f>
        <v/>
      </c>
      <c r="AB287">
        <f>IF(AND(X287=1,AA287&gt;0),W287*((1+3*N('Parties'!$E$10)/12)^(AA287*12/365)-1),0)</f>
        <v/>
      </c>
      <c r="AC287">
        <f>IF(W287=0,"",'Outstanding'!$E$5-B287)</f>
        <v/>
      </c>
      <c r="AD287">
        <f>IF(S287=0,0,IFERROR(VLOOKUP(C287,'Parties'!$B$13:$Q$112,14,FALSE),0)+SUMIFS($T$7:$T$506,$C$7:$C$506,C287,$B$7:$B$506,"&lt;="&amp;'Parties'!$E$8))</f>
        <v/>
      </c>
      <c r="AE287">
        <f>IF(OR('Parties'!$E$8="",S287=0,B287="",B287&gt;'Parties'!$E$8),0,MAX(0,MIN(S287,U287-AD287)))</f>
        <v/>
      </c>
      <c r="AF287">
        <f>IF(AND(P287="Creditor",X287=1,AE287&gt;0,Z287&lt;&gt;""),IF(Z287&lt;='Parties'!$E$8,AE287,0),0)</f>
        <v/>
      </c>
      <c r="AG287">
        <f>IF(OR(AE287=0,Z287=""),0,MAX(0,'Parties'!$E$8-Z287))</f>
        <v/>
      </c>
      <c r="AH287">
        <f>IF(AND(P287="Creditor",X287=1,AG287&gt;0),AE287*((1+3*N('Parties'!$E$10)/12)^(AG287*12/365)-1),0)</f>
        <v/>
      </c>
      <c r="AI287">
        <f>IF(AND(C287&lt;&gt;"",C287='Ledger Account'!$D$4,B287&lt;&gt;"",B287&gt;='Ledger Account'!$D$5,B287&lt;='Ledger Account'!$D$6),1,0)</f>
        <v/>
      </c>
      <c r="AJ287">
        <f>IF(AI287=1,SUM(AI$7:AI287),"")</f>
        <v/>
      </c>
      <c r="AK287">
        <f>IF(OR(N287="",N287="OK"),0,1)</f>
        <v/>
      </c>
    </row>
    <row r="288">
      <c r="B288" s="24" t="n"/>
      <c r="C288" s="14" t="n"/>
      <c r="D288" s="14" t="n"/>
      <c r="E288" s="20" t="n"/>
      <c r="F288" s="24" t="n"/>
      <c r="G288" s="14" t="n"/>
      <c r="H288" s="22" t="n"/>
      <c r="I288" s="25">
        <f>IF(Q288="D",N(H288),0)</f>
        <v/>
      </c>
      <c r="J288" s="25">
        <f>IF(Q288="C",N(H288),0)</f>
        <v/>
      </c>
      <c r="K288" s="26">
        <f>IF(Z288="","",Z288)</f>
        <v/>
      </c>
      <c r="L288" s="27">
        <f>W288</f>
        <v/>
      </c>
      <c r="M288" s="28">
        <f>AA288</f>
        <v/>
      </c>
      <c r="N288" s="23">
        <f>IF(AND(B288="",C288="",D288="",N(H288)=0),"",IF(B288="","Enter the date",IF(C288="","Pick the party",IF(P288="?","Add this party on the Parties sheet first",IF(D288="","Pick the entry type",IF(Q288="?","Pick the entry type from the list",IF(N(H288)=0,"Enter the amount",IF(AND(R288&lt;&gt;"Any",R288&lt;&gt;P288),"Sales, receipts and credit notes are for debtors; purchases, payments and debit notes for creditors",IF(AND(F288&lt;&gt;"",D288&lt;&gt;"Purchase bill"),"The received-on date is only for purchase bills",IF(AND(P288="Creditor",X288=1,AA288&gt;0),"Past due to a micro or small supplier: interest runs under MSMED s.16, and if unpaid at year end it is not deductible that year, s.37(2)(g)",IF(AND(P288="Debtor",X288=1,AA288&gt;0),"Past due to you: as a micro or small supplier you can claim interest under MSMED s.16","OK")))))))))))</f>
        <v/>
      </c>
      <c r="P288">
        <f>IF(C288="","",IFERROR(VLOOKUP(C288,'Parties'!$B$13:$Q$112,2,FALSE),"?"))</f>
        <v/>
      </c>
      <c r="Q288">
        <f>IF(D288="","",IFERROR(VLOOKUP(D288,Lists!$A$2:$D$9,3,FALSE),"?"))</f>
        <v/>
      </c>
      <c r="R288">
        <f>IF(D288="","",IFERROR(VLOOKUP(D288,Lists!$A$2:$D$9,4,FALSE),"?"))</f>
        <v/>
      </c>
      <c r="S288">
        <f>IF(P288="Debtor",I288,IF(P288="Creditor",J288,0))</f>
        <v/>
      </c>
      <c r="T288">
        <f>IF(P288="Debtor",J288,IF(P288="Creditor",I288,0))</f>
        <v/>
      </c>
      <c r="U288">
        <f>IF(OR(S288=0,B288=""),0,IFERROR(VLOOKUP(C288,'Parties'!$B$13:$Q$112,13,FALSE),0)+SUMIFS($S$7:$S$506,$C$7:$C$506,C288,$B$7:$B$506,"&lt;"&amp;B288)+SUMIFS(S$7:S288,C$7:C288,C288,B$7:B288,B288))</f>
        <v/>
      </c>
      <c r="V288">
        <f>IF(S288=0,0,IFERROR(VLOOKUP(C288,'Parties'!$B$13:$Q$112,14,FALSE),0)+SUMIFS($T$7:$T$506,$C$7:$C$506,C288,$B$7:$B$506,"&lt;="&amp;'Outstanding'!$E$5))</f>
        <v/>
      </c>
      <c r="W288">
        <f>IF(OR('Outstanding'!$E$5="",S288=0,B288="",B288&gt;'Outstanding'!$E$5),0,MAX(0,MIN(S288,U288-V288)))</f>
        <v/>
      </c>
      <c r="X288">
        <f>IF(C288="",0,IFERROR(VLOOKUP(C288,'Parties'!$B$13:$Q$112,15,FALSE),0))</f>
        <v/>
      </c>
      <c r="Y288">
        <f>IF(C288="","",IFERROR(VLOOKUP(C288,'Parties'!$B$13:$Q$112,16,FALSE),0))</f>
        <v/>
      </c>
      <c r="Z288">
        <f>IF(OR(S288=0,B288="",Y288=""),"",IF(AND(F288&lt;&gt;"",D288="Purchase bill"),F288,B288)+Y288)</f>
        <v/>
      </c>
      <c r="AA288">
        <f>IF(OR(W288=0,Z288=""),0,MAX(0,'Outstanding'!$E$5-Z288))</f>
        <v/>
      </c>
      <c r="AB288">
        <f>IF(AND(X288=1,AA288&gt;0),W288*((1+3*N('Parties'!$E$10)/12)^(AA288*12/365)-1),0)</f>
        <v/>
      </c>
      <c r="AC288">
        <f>IF(W288=0,"",'Outstanding'!$E$5-B288)</f>
        <v/>
      </c>
      <c r="AD288">
        <f>IF(S288=0,0,IFERROR(VLOOKUP(C288,'Parties'!$B$13:$Q$112,14,FALSE),0)+SUMIFS($T$7:$T$506,$C$7:$C$506,C288,$B$7:$B$506,"&lt;="&amp;'Parties'!$E$8))</f>
        <v/>
      </c>
      <c r="AE288">
        <f>IF(OR('Parties'!$E$8="",S288=0,B288="",B288&gt;'Parties'!$E$8),0,MAX(0,MIN(S288,U288-AD288)))</f>
        <v/>
      </c>
      <c r="AF288">
        <f>IF(AND(P288="Creditor",X288=1,AE288&gt;0,Z288&lt;&gt;""),IF(Z288&lt;='Parties'!$E$8,AE288,0),0)</f>
        <v/>
      </c>
      <c r="AG288">
        <f>IF(OR(AE288=0,Z288=""),0,MAX(0,'Parties'!$E$8-Z288))</f>
        <v/>
      </c>
      <c r="AH288">
        <f>IF(AND(P288="Creditor",X288=1,AG288&gt;0),AE288*((1+3*N('Parties'!$E$10)/12)^(AG288*12/365)-1),0)</f>
        <v/>
      </c>
      <c r="AI288">
        <f>IF(AND(C288&lt;&gt;"",C288='Ledger Account'!$D$4,B288&lt;&gt;"",B288&gt;='Ledger Account'!$D$5,B288&lt;='Ledger Account'!$D$6),1,0)</f>
        <v/>
      </c>
      <c r="AJ288">
        <f>IF(AI288=1,SUM(AI$7:AI288),"")</f>
        <v/>
      </c>
      <c r="AK288">
        <f>IF(OR(N288="",N288="OK"),0,1)</f>
        <v/>
      </c>
    </row>
    <row r="289">
      <c r="B289" s="24" t="n"/>
      <c r="C289" s="14" t="n"/>
      <c r="D289" s="14" t="n"/>
      <c r="E289" s="20" t="n"/>
      <c r="F289" s="24" t="n"/>
      <c r="G289" s="14" t="n"/>
      <c r="H289" s="22" t="n"/>
      <c r="I289" s="25">
        <f>IF(Q289="D",N(H289),0)</f>
        <v/>
      </c>
      <c r="J289" s="25">
        <f>IF(Q289="C",N(H289),0)</f>
        <v/>
      </c>
      <c r="K289" s="26">
        <f>IF(Z289="","",Z289)</f>
        <v/>
      </c>
      <c r="L289" s="27">
        <f>W289</f>
        <v/>
      </c>
      <c r="M289" s="28">
        <f>AA289</f>
        <v/>
      </c>
      <c r="N289" s="23">
        <f>IF(AND(B289="",C289="",D289="",N(H289)=0),"",IF(B289="","Enter the date",IF(C289="","Pick the party",IF(P289="?","Add this party on the Parties sheet first",IF(D289="","Pick the entry type",IF(Q289="?","Pick the entry type from the list",IF(N(H289)=0,"Enter the amount",IF(AND(R289&lt;&gt;"Any",R289&lt;&gt;P289),"Sales, receipts and credit notes are for debtors; purchases, payments and debit notes for creditors",IF(AND(F289&lt;&gt;"",D289&lt;&gt;"Purchase bill"),"The received-on date is only for purchase bills",IF(AND(P289="Creditor",X289=1,AA289&gt;0),"Past due to a micro or small supplier: interest runs under MSMED s.16, and if unpaid at year end it is not deductible that year, s.37(2)(g)",IF(AND(P289="Debtor",X289=1,AA289&gt;0),"Past due to you: as a micro or small supplier you can claim interest under MSMED s.16","OK")))))))))))</f>
        <v/>
      </c>
      <c r="P289">
        <f>IF(C289="","",IFERROR(VLOOKUP(C289,'Parties'!$B$13:$Q$112,2,FALSE),"?"))</f>
        <v/>
      </c>
      <c r="Q289">
        <f>IF(D289="","",IFERROR(VLOOKUP(D289,Lists!$A$2:$D$9,3,FALSE),"?"))</f>
        <v/>
      </c>
      <c r="R289">
        <f>IF(D289="","",IFERROR(VLOOKUP(D289,Lists!$A$2:$D$9,4,FALSE),"?"))</f>
        <v/>
      </c>
      <c r="S289">
        <f>IF(P289="Debtor",I289,IF(P289="Creditor",J289,0))</f>
        <v/>
      </c>
      <c r="T289">
        <f>IF(P289="Debtor",J289,IF(P289="Creditor",I289,0))</f>
        <v/>
      </c>
      <c r="U289">
        <f>IF(OR(S289=0,B289=""),0,IFERROR(VLOOKUP(C289,'Parties'!$B$13:$Q$112,13,FALSE),0)+SUMIFS($S$7:$S$506,$C$7:$C$506,C289,$B$7:$B$506,"&lt;"&amp;B289)+SUMIFS(S$7:S289,C$7:C289,C289,B$7:B289,B289))</f>
        <v/>
      </c>
      <c r="V289">
        <f>IF(S289=0,0,IFERROR(VLOOKUP(C289,'Parties'!$B$13:$Q$112,14,FALSE),0)+SUMIFS($T$7:$T$506,$C$7:$C$506,C289,$B$7:$B$506,"&lt;="&amp;'Outstanding'!$E$5))</f>
        <v/>
      </c>
      <c r="W289">
        <f>IF(OR('Outstanding'!$E$5="",S289=0,B289="",B289&gt;'Outstanding'!$E$5),0,MAX(0,MIN(S289,U289-V289)))</f>
        <v/>
      </c>
      <c r="X289">
        <f>IF(C289="",0,IFERROR(VLOOKUP(C289,'Parties'!$B$13:$Q$112,15,FALSE),0))</f>
        <v/>
      </c>
      <c r="Y289">
        <f>IF(C289="","",IFERROR(VLOOKUP(C289,'Parties'!$B$13:$Q$112,16,FALSE),0))</f>
        <v/>
      </c>
      <c r="Z289">
        <f>IF(OR(S289=0,B289="",Y289=""),"",IF(AND(F289&lt;&gt;"",D289="Purchase bill"),F289,B289)+Y289)</f>
        <v/>
      </c>
      <c r="AA289">
        <f>IF(OR(W289=0,Z289=""),0,MAX(0,'Outstanding'!$E$5-Z289))</f>
        <v/>
      </c>
      <c r="AB289">
        <f>IF(AND(X289=1,AA289&gt;0),W289*((1+3*N('Parties'!$E$10)/12)^(AA289*12/365)-1),0)</f>
        <v/>
      </c>
      <c r="AC289">
        <f>IF(W289=0,"",'Outstanding'!$E$5-B289)</f>
        <v/>
      </c>
      <c r="AD289">
        <f>IF(S289=0,0,IFERROR(VLOOKUP(C289,'Parties'!$B$13:$Q$112,14,FALSE),0)+SUMIFS($T$7:$T$506,$C$7:$C$506,C289,$B$7:$B$506,"&lt;="&amp;'Parties'!$E$8))</f>
        <v/>
      </c>
      <c r="AE289">
        <f>IF(OR('Parties'!$E$8="",S289=0,B289="",B289&gt;'Parties'!$E$8),0,MAX(0,MIN(S289,U289-AD289)))</f>
        <v/>
      </c>
      <c r="AF289">
        <f>IF(AND(P289="Creditor",X289=1,AE289&gt;0,Z289&lt;&gt;""),IF(Z289&lt;='Parties'!$E$8,AE289,0),0)</f>
        <v/>
      </c>
      <c r="AG289">
        <f>IF(OR(AE289=0,Z289=""),0,MAX(0,'Parties'!$E$8-Z289))</f>
        <v/>
      </c>
      <c r="AH289">
        <f>IF(AND(P289="Creditor",X289=1,AG289&gt;0),AE289*((1+3*N('Parties'!$E$10)/12)^(AG289*12/365)-1),0)</f>
        <v/>
      </c>
      <c r="AI289">
        <f>IF(AND(C289&lt;&gt;"",C289='Ledger Account'!$D$4,B289&lt;&gt;"",B289&gt;='Ledger Account'!$D$5,B289&lt;='Ledger Account'!$D$6),1,0)</f>
        <v/>
      </c>
      <c r="AJ289">
        <f>IF(AI289=1,SUM(AI$7:AI289),"")</f>
        <v/>
      </c>
      <c r="AK289">
        <f>IF(OR(N289="",N289="OK"),0,1)</f>
        <v/>
      </c>
    </row>
    <row r="290">
      <c r="B290" s="24" t="n"/>
      <c r="C290" s="14" t="n"/>
      <c r="D290" s="14" t="n"/>
      <c r="E290" s="20" t="n"/>
      <c r="F290" s="24" t="n"/>
      <c r="G290" s="14" t="n"/>
      <c r="H290" s="22" t="n"/>
      <c r="I290" s="25">
        <f>IF(Q290="D",N(H290),0)</f>
        <v/>
      </c>
      <c r="J290" s="25">
        <f>IF(Q290="C",N(H290),0)</f>
        <v/>
      </c>
      <c r="K290" s="26">
        <f>IF(Z290="","",Z290)</f>
        <v/>
      </c>
      <c r="L290" s="27">
        <f>W290</f>
        <v/>
      </c>
      <c r="M290" s="28">
        <f>AA290</f>
        <v/>
      </c>
      <c r="N290" s="23">
        <f>IF(AND(B290="",C290="",D290="",N(H290)=0),"",IF(B290="","Enter the date",IF(C290="","Pick the party",IF(P290="?","Add this party on the Parties sheet first",IF(D290="","Pick the entry type",IF(Q290="?","Pick the entry type from the list",IF(N(H290)=0,"Enter the amount",IF(AND(R290&lt;&gt;"Any",R290&lt;&gt;P290),"Sales, receipts and credit notes are for debtors; purchases, payments and debit notes for creditors",IF(AND(F290&lt;&gt;"",D290&lt;&gt;"Purchase bill"),"The received-on date is only for purchase bills",IF(AND(P290="Creditor",X290=1,AA290&gt;0),"Past due to a micro or small supplier: interest runs under MSMED s.16, and if unpaid at year end it is not deductible that year, s.37(2)(g)",IF(AND(P290="Debtor",X290=1,AA290&gt;0),"Past due to you: as a micro or small supplier you can claim interest under MSMED s.16","OK")))))))))))</f>
        <v/>
      </c>
      <c r="P290">
        <f>IF(C290="","",IFERROR(VLOOKUP(C290,'Parties'!$B$13:$Q$112,2,FALSE),"?"))</f>
        <v/>
      </c>
      <c r="Q290">
        <f>IF(D290="","",IFERROR(VLOOKUP(D290,Lists!$A$2:$D$9,3,FALSE),"?"))</f>
        <v/>
      </c>
      <c r="R290">
        <f>IF(D290="","",IFERROR(VLOOKUP(D290,Lists!$A$2:$D$9,4,FALSE),"?"))</f>
        <v/>
      </c>
      <c r="S290">
        <f>IF(P290="Debtor",I290,IF(P290="Creditor",J290,0))</f>
        <v/>
      </c>
      <c r="T290">
        <f>IF(P290="Debtor",J290,IF(P290="Creditor",I290,0))</f>
        <v/>
      </c>
      <c r="U290">
        <f>IF(OR(S290=0,B290=""),0,IFERROR(VLOOKUP(C290,'Parties'!$B$13:$Q$112,13,FALSE),0)+SUMIFS($S$7:$S$506,$C$7:$C$506,C290,$B$7:$B$506,"&lt;"&amp;B290)+SUMIFS(S$7:S290,C$7:C290,C290,B$7:B290,B290))</f>
        <v/>
      </c>
      <c r="V290">
        <f>IF(S290=0,0,IFERROR(VLOOKUP(C290,'Parties'!$B$13:$Q$112,14,FALSE),0)+SUMIFS($T$7:$T$506,$C$7:$C$506,C290,$B$7:$B$506,"&lt;="&amp;'Outstanding'!$E$5))</f>
        <v/>
      </c>
      <c r="W290">
        <f>IF(OR('Outstanding'!$E$5="",S290=0,B290="",B290&gt;'Outstanding'!$E$5),0,MAX(0,MIN(S290,U290-V290)))</f>
        <v/>
      </c>
      <c r="X290">
        <f>IF(C290="",0,IFERROR(VLOOKUP(C290,'Parties'!$B$13:$Q$112,15,FALSE),0))</f>
        <v/>
      </c>
      <c r="Y290">
        <f>IF(C290="","",IFERROR(VLOOKUP(C290,'Parties'!$B$13:$Q$112,16,FALSE),0))</f>
        <v/>
      </c>
      <c r="Z290">
        <f>IF(OR(S290=0,B290="",Y290=""),"",IF(AND(F290&lt;&gt;"",D290="Purchase bill"),F290,B290)+Y290)</f>
        <v/>
      </c>
      <c r="AA290">
        <f>IF(OR(W290=0,Z290=""),0,MAX(0,'Outstanding'!$E$5-Z290))</f>
        <v/>
      </c>
      <c r="AB290">
        <f>IF(AND(X290=1,AA290&gt;0),W290*((1+3*N('Parties'!$E$10)/12)^(AA290*12/365)-1),0)</f>
        <v/>
      </c>
      <c r="AC290">
        <f>IF(W290=0,"",'Outstanding'!$E$5-B290)</f>
        <v/>
      </c>
      <c r="AD290">
        <f>IF(S290=0,0,IFERROR(VLOOKUP(C290,'Parties'!$B$13:$Q$112,14,FALSE),0)+SUMIFS($T$7:$T$506,$C$7:$C$506,C290,$B$7:$B$506,"&lt;="&amp;'Parties'!$E$8))</f>
        <v/>
      </c>
      <c r="AE290">
        <f>IF(OR('Parties'!$E$8="",S290=0,B290="",B290&gt;'Parties'!$E$8),0,MAX(0,MIN(S290,U290-AD290)))</f>
        <v/>
      </c>
      <c r="AF290">
        <f>IF(AND(P290="Creditor",X290=1,AE290&gt;0,Z290&lt;&gt;""),IF(Z290&lt;='Parties'!$E$8,AE290,0),0)</f>
        <v/>
      </c>
      <c r="AG290">
        <f>IF(OR(AE290=0,Z290=""),0,MAX(0,'Parties'!$E$8-Z290))</f>
        <v/>
      </c>
      <c r="AH290">
        <f>IF(AND(P290="Creditor",X290=1,AG290&gt;0),AE290*((1+3*N('Parties'!$E$10)/12)^(AG290*12/365)-1),0)</f>
        <v/>
      </c>
      <c r="AI290">
        <f>IF(AND(C290&lt;&gt;"",C290='Ledger Account'!$D$4,B290&lt;&gt;"",B290&gt;='Ledger Account'!$D$5,B290&lt;='Ledger Account'!$D$6),1,0)</f>
        <v/>
      </c>
      <c r="AJ290">
        <f>IF(AI290=1,SUM(AI$7:AI290),"")</f>
        <v/>
      </c>
      <c r="AK290">
        <f>IF(OR(N290="",N290="OK"),0,1)</f>
        <v/>
      </c>
    </row>
    <row r="291">
      <c r="B291" s="24" t="n"/>
      <c r="C291" s="14" t="n"/>
      <c r="D291" s="14" t="n"/>
      <c r="E291" s="20" t="n"/>
      <c r="F291" s="24" t="n"/>
      <c r="G291" s="14" t="n"/>
      <c r="H291" s="22" t="n"/>
      <c r="I291" s="25">
        <f>IF(Q291="D",N(H291),0)</f>
        <v/>
      </c>
      <c r="J291" s="25">
        <f>IF(Q291="C",N(H291),0)</f>
        <v/>
      </c>
      <c r="K291" s="26">
        <f>IF(Z291="","",Z291)</f>
        <v/>
      </c>
      <c r="L291" s="27">
        <f>W291</f>
        <v/>
      </c>
      <c r="M291" s="28">
        <f>AA291</f>
        <v/>
      </c>
      <c r="N291" s="23">
        <f>IF(AND(B291="",C291="",D291="",N(H291)=0),"",IF(B291="","Enter the date",IF(C291="","Pick the party",IF(P291="?","Add this party on the Parties sheet first",IF(D291="","Pick the entry type",IF(Q291="?","Pick the entry type from the list",IF(N(H291)=0,"Enter the amount",IF(AND(R291&lt;&gt;"Any",R291&lt;&gt;P291),"Sales, receipts and credit notes are for debtors; purchases, payments and debit notes for creditors",IF(AND(F291&lt;&gt;"",D291&lt;&gt;"Purchase bill"),"The received-on date is only for purchase bills",IF(AND(P291="Creditor",X291=1,AA291&gt;0),"Past due to a micro or small supplier: interest runs under MSMED s.16, and if unpaid at year end it is not deductible that year, s.37(2)(g)",IF(AND(P291="Debtor",X291=1,AA291&gt;0),"Past due to you: as a micro or small supplier you can claim interest under MSMED s.16","OK")))))))))))</f>
        <v/>
      </c>
      <c r="P291">
        <f>IF(C291="","",IFERROR(VLOOKUP(C291,'Parties'!$B$13:$Q$112,2,FALSE),"?"))</f>
        <v/>
      </c>
      <c r="Q291">
        <f>IF(D291="","",IFERROR(VLOOKUP(D291,Lists!$A$2:$D$9,3,FALSE),"?"))</f>
        <v/>
      </c>
      <c r="R291">
        <f>IF(D291="","",IFERROR(VLOOKUP(D291,Lists!$A$2:$D$9,4,FALSE),"?"))</f>
        <v/>
      </c>
      <c r="S291">
        <f>IF(P291="Debtor",I291,IF(P291="Creditor",J291,0))</f>
        <v/>
      </c>
      <c r="T291">
        <f>IF(P291="Debtor",J291,IF(P291="Creditor",I291,0))</f>
        <v/>
      </c>
      <c r="U291">
        <f>IF(OR(S291=0,B291=""),0,IFERROR(VLOOKUP(C291,'Parties'!$B$13:$Q$112,13,FALSE),0)+SUMIFS($S$7:$S$506,$C$7:$C$506,C291,$B$7:$B$506,"&lt;"&amp;B291)+SUMIFS(S$7:S291,C$7:C291,C291,B$7:B291,B291))</f>
        <v/>
      </c>
      <c r="V291">
        <f>IF(S291=0,0,IFERROR(VLOOKUP(C291,'Parties'!$B$13:$Q$112,14,FALSE),0)+SUMIFS($T$7:$T$506,$C$7:$C$506,C291,$B$7:$B$506,"&lt;="&amp;'Outstanding'!$E$5))</f>
        <v/>
      </c>
      <c r="W291">
        <f>IF(OR('Outstanding'!$E$5="",S291=0,B291="",B291&gt;'Outstanding'!$E$5),0,MAX(0,MIN(S291,U291-V291)))</f>
        <v/>
      </c>
      <c r="X291">
        <f>IF(C291="",0,IFERROR(VLOOKUP(C291,'Parties'!$B$13:$Q$112,15,FALSE),0))</f>
        <v/>
      </c>
      <c r="Y291">
        <f>IF(C291="","",IFERROR(VLOOKUP(C291,'Parties'!$B$13:$Q$112,16,FALSE),0))</f>
        <v/>
      </c>
      <c r="Z291">
        <f>IF(OR(S291=0,B291="",Y291=""),"",IF(AND(F291&lt;&gt;"",D291="Purchase bill"),F291,B291)+Y291)</f>
        <v/>
      </c>
      <c r="AA291">
        <f>IF(OR(W291=0,Z291=""),0,MAX(0,'Outstanding'!$E$5-Z291))</f>
        <v/>
      </c>
      <c r="AB291">
        <f>IF(AND(X291=1,AA291&gt;0),W291*((1+3*N('Parties'!$E$10)/12)^(AA291*12/365)-1),0)</f>
        <v/>
      </c>
      <c r="AC291">
        <f>IF(W291=0,"",'Outstanding'!$E$5-B291)</f>
        <v/>
      </c>
      <c r="AD291">
        <f>IF(S291=0,0,IFERROR(VLOOKUP(C291,'Parties'!$B$13:$Q$112,14,FALSE),0)+SUMIFS($T$7:$T$506,$C$7:$C$506,C291,$B$7:$B$506,"&lt;="&amp;'Parties'!$E$8))</f>
        <v/>
      </c>
      <c r="AE291">
        <f>IF(OR('Parties'!$E$8="",S291=0,B291="",B291&gt;'Parties'!$E$8),0,MAX(0,MIN(S291,U291-AD291)))</f>
        <v/>
      </c>
      <c r="AF291">
        <f>IF(AND(P291="Creditor",X291=1,AE291&gt;0,Z291&lt;&gt;""),IF(Z291&lt;='Parties'!$E$8,AE291,0),0)</f>
        <v/>
      </c>
      <c r="AG291">
        <f>IF(OR(AE291=0,Z291=""),0,MAX(0,'Parties'!$E$8-Z291))</f>
        <v/>
      </c>
      <c r="AH291">
        <f>IF(AND(P291="Creditor",X291=1,AG291&gt;0),AE291*((1+3*N('Parties'!$E$10)/12)^(AG291*12/365)-1),0)</f>
        <v/>
      </c>
      <c r="AI291">
        <f>IF(AND(C291&lt;&gt;"",C291='Ledger Account'!$D$4,B291&lt;&gt;"",B291&gt;='Ledger Account'!$D$5,B291&lt;='Ledger Account'!$D$6),1,0)</f>
        <v/>
      </c>
      <c r="AJ291">
        <f>IF(AI291=1,SUM(AI$7:AI291),"")</f>
        <v/>
      </c>
      <c r="AK291">
        <f>IF(OR(N291="",N291="OK"),0,1)</f>
        <v/>
      </c>
    </row>
    <row r="292">
      <c r="B292" s="24" t="n"/>
      <c r="C292" s="14" t="n"/>
      <c r="D292" s="14" t="n"/>
      <c r="E292" s="20" t="n"/>
      <c r="F292" s="24" t="n"/>
      <c r="G292" s="14" t="n"/>
      <c r="H292" s="22" t="n"/>
      <c r="I292" s="25">
        <f>IF(Q292="D",N(H292),0)</f>
        <v/>
      </c>
      <c r="J292" s="25">
        <f>IF(Q292="C",N(H292),0)</f>
        <v/>
      </c>
      <c r="K292" s="26">
        <f>IF(Z292="","",Z292)</f>
        <v/>
      </c>
      <c r="L292" s="27">
        <f>W292</f>
        <v/>
      </c>
      <c r="M292" s="28">
        <f>AA292</f>
        <v/>
      </c>
      <c r="N292" s="23">
        <f>IF(AND(B292="",C292="",D292="",N(H292)=0),"",IF(B292="","Enter the date",IF(C292="","Pick the party",IF(P292="?","Add this party on the Parties sheet first",IF(D292="","Pick the entry type",IF(Q292="?","Pick the entry type from the list",IF(N(H292)=0,"Enter the amount",IF(AND(R292&lt;&gt;"Any",R292&lt;&gt;P292),"Sales, receipts and credit notes are for debtors; purchases, payments and debit notes for creditors",IF(AND(F292&lt;&gt;"",D292&lt;&gt;"Purchase bill"),"The received-on date is only for purchase bills",IF(AND(P292="Creditor",X292=1,AA292&gt;0),"Past due to a micro or small supplier: interest runs under MSMED s.16, and if unpaid at year end it is not deductible that year, s.37(2)(g)",IF(AND(P292="Debtor",X292=1,AA292&gt;0),"Past due to you: as a micro or small supplier you can claim interest under MSMED s.16","OK")))))))))))</f>
        <v/>
      </c>
      <c r="P292">
        <f>IF(C292="","",IFERROR(VLOOKUP(C292,'Parties'!$B$13:$Q$112,2,FALSE),"?"))</f>
        <v/>
      </c>
      <c r="Q292">
        <f>IF(D292="","",IFERROR(VLOOKUP(D292,Lists!$A$2:$D$9,3,FALSE),"?"))</f>
        <v/>
      </c>
      <c r="R292">
        <f>IF(D292="","",IFERROR(VLOOKUP(D292,Lists!$A$2:$D$9,4,FALSE),"?"))</f>
        <v/>
      </c>
      <c r="S292">
        <f>IF(P292="Debtor",I292,IF(P292="Creditor",J292,0))</f>
        <v/>
      </c>
      <c r="T292">
        <f>IF(P292="Debtor",J292,IF(P292="Creditor",I292,0))</f>
        <v/>
      </c>
      <c r="U292">
        <f>IF(OR(S292=0,B292=""),0,IFERROR(VLOOKUP(C292,'Parties'!$B$13:$Q$112,13,FALSE),0)+SUMIFS($S$7:$S$506,$C$7:$C$506,C292,$B$7:$B$506,"&lt;"&amp;B292)+SUMIFS(S$7:S292,C$7:C292,C292,B$7:B292,B292))</f>
        <v/>
      </c>
      <c r="V292">
        <f>IF(S292=0,0,IFERROR(VLOOKUP(C292,'Parties'!$B$13:$Q$112,14,FALSE),0)+SUMIFS($T$7:$T$506,$C$7:$C$506,C292,$B$7:$B$506,"&lt;="&amp;'Outstanding'!$E$5))</f>
        <v/>
      </c>
      <c r="W292">
        <f>IF(OR('Outstanding'!$E$5="",S292=0,B292="",B292&gt;'Outstanding'!$E$5),0,MAX(0,MIN(S292,U292-V292)))</f>
        <v/>
      </c>
      <c r="X292">
        <f>IF(C292="",0,IFERROR(VLOOKUP(C292,'Parties'!$B$13:$Q$112,15,FALSE),0))</f>
        <v/>
      </c>
      <c r="Y292">
        <f>IF(C292="","",IFERROR(VLOOKUP(C292,'Parties'!$B$13:$Q$112,16,FALSE),0))</f>
        <v/>
      </c>
      <c r="Z292">
        <f>IF(OR(S292=0,B292="",Y292=""),"",IF(AND(F292&lt;&gt;"",D292="Purchase bill"),F292,B292)+Y292)</f>
        <v/>
      </c>
      <c r="AA292">
        <f>IF(OR(W292=0,Z292=""),0,MAX(0,'Outstanding'!$E$5-Z292))</f>
        <v/>
      </c>
      <c r="AB292">
        <f>IF(AND(X292=1,AA292&gt;0),W292*((1+3*N('Parties'!$E$10)/12)^(AA292*12/365)-1),0)</f>
        <v/>
      </c>
      <c r="AC292">
        <f>IF(W292=0,"",'Outstanding'!$E$5-B292)</f>
        <v/>
      </c>
      <c r="AD292">
        <f>IF(S292=0,0,IFERROR(VLOOKUP(C292,'Parties'!$B$13:$Q$112,14,FALSE),0)+SUMIFS($T$7:$T$506,$C$7:$C$506,C292,$B$7:$B$506,"&lt;="&amp;'Parties'!$E$8))</f>
        <v/>
      </c>
      <c r="AE292">
        <f>IF(OR('Parties'!$E$8="",S292=0,B292="",B292&gt;'Parties'!$E$8),0,MAX(0,MIN(S292,U292-AD292)))</f>
        <v/>
      </c>
      <c r="AF292">
        <f>IF(AND(P292="Creditor",X292=1,AE292&gt;0,Z292&lt;&gt;""),IF(Z292&lt;='Parties'!$E$8,AE292,0),0)</f>
        <v/>
      </c>
      <c r="AG292">
        <f>IF(OR(AE292=0,Z292=""),0,MAX(0,'Parties'!$E$8-Z292))</f>
        <v/>
      </c>
      <c r="AH292">
        <f>IF(AND(P292="Creditor",X292=1,AG292&gt;0),AE292*((1+3*N('Parties'!$E$10)/12)^(AG292*12/365)-1),0)</f>
        <v/>
      </c>
      <c r="AI292">
        <f>IF(AND(C292&lt;&gt;"",C292='Ledger Account'!$D$4,B292&lt;&gt;"",B292&gt;='Ledger Account'!$D$5,B292&lt;='Ledger Account'!$D$6),1,0)</f>
        <v/>
      </c>
      <c r="AJ292">
        <f>IF(AI292=1,SUM(AI$7:AI292),"")</f>
        <v/>
      </c>
      <c r="AK292">
        <f>IF(OR(N292="",N292="OK"),0,1)</f>
        <v/>
      </c>
    </row>
    <row r="293">
      <c r="B293" s="24" t="n"/>
      <c r="C293" s="14" t="n"/>
      <c r="D293" s="14" t="n"/>
      <c r="E293" s="20" t="n"/>
      <c r="F293" s="24" t="n"/>
      <c r="G293" s="14" t="n"/>
      <c r="H293" s="22" t="n"/>
      <c r="I293" s="25">
        <f>IF(Q293="D",N(H293),0)</f>
        <v/>
      </c>
      <c r="J293" s="25">
        <f>IF(Q293="C",N(H293),0)</f>
        <v/>
      </c>
      <c r="K293" s="26">
        <f>IF(Z293="","",Z293)</f>
        <v/>
      </c>
      <c r="L293" s="27">
        <f>W293</f>
        <v/>
      </c>
      <c r="M293" s="28">
        <f>AA293</f>
        <v/>
      </c>
      <c r="N293" s="23">
        <f>IF(AND(B293="",C293="",D293="",N(H293)=0),"",IF(B293="","Enter the date",IF(C293="","Pick the party",IF(P293="?","Add this party on the Parties sheet first",IF(D293="","Pick the entry type",IF(Q293="?","Pick the entry type from the list",IF(N(H293)=0,"Enter the amount",IF(AND(R293&lt;&gt;"Any",R293&lt;&gt;P293),"Sales, receipts and credit notes are for debtors; purchases, payments and debit notes for creditors",IF(AND(F293&lt;&gt;"",D293&lt;&gt;"Purchase bill"),"The received-on date is only for purchase bills",IF(AND(P293="Creditor",X293=1,AA293&gt;0),"Past due to a micro or small supplier: interest runs under MSMED s.16, and if unpaid at year end it is not deductible that year, s.37(2)(g)",IF(AND(P293="Debtor",X293=1,AA293&gt;0),"Past due to you: as a micro or small supplier you can claim interest under MSMED s.16","OK")))))))))))</f>
        <v/>
      </c>
      <c r="P293">
        <f>IF(C293="","",IFERROR(VLOOKUP(C293,'Parties'!$B$13:$Q$112,2,FALSE),"?"))</f>
        <v/>
      </c>
      <c r="Q293">
        <f>IF(D293="","",IFERROR(VLOOKUP(D293,Lists!$A$2:$D$9,3,FALSE),"?"))</f>
        <v/>
      </c>
      <c r="R293">
        <f>IF(D293="","",IFERROR(VLOOKUP(D293,Lists!$A$2:$D$9,4,FALSE),"?"))</f>
        <v/>
      </c>
      <c r="S293">
        <f>IF(P293="Debtor",I293,IF(P293="Creditor",J293,0))</f>
        <v/>
      </c>
      <c r="T293">
        <f>IF(P293="Debtor",J293,IF(P293="Creditor",I293,0))</f>
        <v/>
      </c>
      <c r="U293">
        <f>IF(OR(S293=0,B293=""),0,IFERROR(VLOOKUP(C293,'Parties'!$B$13:$Q$112,13,FALSE),0)+SUMIFS($S$7:$S$506,$C$7:$C$506,C293,$B$7:$B$506,"&lt;"&amp;B293)+SUMIFS(S$7:S293,C$7:C293,C293,B$7:B293,B293))</f>
        <v/>
      </c>
      <c r="V293">
        <f>IF(S293=0,0,IFERROR(VLOOKUP(C293,'Parties'!$B$13:$Q$112,14,FALSE),0)+SUMIFS($T$7:$T$506,$C$7:$C$506,C293,$B$7:$B$506,"&lt;="&amp;'Outstanding'!$E$5))</f>
        <v/>
      </c>
      <c r="W293">
        <f>IF(OR('Outstanding'!$E$5="",S293=0,B293="",B293&gt;'Outstanding'!$E$5),0,MAX(0,MIN(S293,U293-V293)))</f>
        <v/>
      </c>
      <c r="X293">
        <f>IF(C293="",0,IFERROR(VLOOKUP(C293,'Parties'!$B$13:$Q$112,15,FALSE),0))</f>
        <v/>
      </c>
      <c r="Y293">
        <f>IF(C293="","",IFERROR(VLOOKUP(C293,'Parties'!$B$13:$Q$112,16,FALSE),0))</f>
        <v/>
      </c>
      <c r="Z293">
        <f>IF(OR(S293=0,B293="",Y293=""),"",IF(AND(F293&lt;&gt;"",D293="Purchase bill"),F293,B293)+Y293)</f>
        <v/>
      </c>
      <c r="AA293">
        <f>IF(OR(W293=0,Z293=""),0,MAX(0,'Outstanding'!$E$5-Z293))</f>
        <v/>
      </c>
      <c r="AB293">
        <f>IF(AND(X293=1,AA293&gt;0),W293*((1+3*N('Parties'!$E$10)/12)^(AA293*12/365)-1),0)</f>
        <v/>
      </c>
      <c r="AC293">
        <f>IF(W293=0,"",'Outstanding'!$E$5-B293)</f>
        <v/>
      </c>
      <c r="AD293">
        <f>IF(S293=0,0,IFERROR(VLOOKUP(C293,'Parties'!$B$13:$Q$112,14,FALSE),0)+SUMIFS($T$7:$T$506,$C$7:$C$506,C293,$B$7:$B$506,"&lt;="&amp;'Parties'!$E$8))</f>
        <v/>
      </c>
      <c r="AE293">
        <f>IF(OR('Parties'!$E$8="",S293=0,B293="",B293&gt;'Parties'!$E$8),0,MAX(0,MIN(S293,U293-AD293)))</f>
        <v/>
      </c>
      <c r="AF293">
        <f>IF(AND(P293="Creditor",X293=1,AE293&gt;0,Z293&lt;&gt;""),IF(Z293&lt;='Parties'!$E$8,AE293,0),0)</f>
        <v/>
      </c>
      <c r="AG293">
        <f>IF(OR(AE293=0,Z293=""),0,MAX(0,'Parties'!$E$8-Z293))</f>
        <v/>
      </c>
      <c r="AH293">
        <f>IF(AND(P293="Creditor",X293=1,AG293&gt;0),AE293*((1+3*N('Parties'!$E$10)/12)^(AG293*12/365)-1),0)</f>
        <v/>
      </c>
      <c r="AI293">
        <f>IF(AND(C293&lt;&gt;"",C293='Ledger Account'!$D$4,B293&lt;&gt;"",B293&gt;='Ledger Account'!$D$5,B293&lt;='Ledger Account'!$D$6),1,0)</f>
        <v/>
      </c>
      <c r="AJ293">
        <f>IF(AI293=1,SUM(AI$7:AI293),"")</f>
        <v/>
      </c>
      <c r="AK293">
        <f>IF(OR(N293="",N293="OK"),0,1)</f>
        <v/>
      </c>
    </row>
    <row r="294">
      <c r="B294" s="24" t="n"/>
      <c r="C294" s="14" t="n"/>
      <c r="D294" s="14" t="n"/>
      <c r="E294" s="20" t="n"/>
      <c r="F294" s="24" t="n"/>
      <c r="G294" s="14" t="n"/>
      <c r="H294" s="22" t="n"/>
      <c r="I294" s="25">
        <f>IF(Q294="D",N(H294),0)</f>
        <v/>
      </c>
      <c r="J294" s="25">
        <f>IF(Q294="C",N(H294),0)</f>
        <v/>
      </c>
      <c r="K294" s="26">
        <f>IF(Z294="","",Z294)</f>
        <v/>
      </c>
      <c r="L294" s="27">
        <f>W294</f>
        <v/>
      </c>
      <c r="M294" s="28">
        <f>AA294</f>
        <v/>
      </c>
      <c r="N294" s="23">
        <f>IF(AND(B294="",C294="",D294="",N(H294)=0),"",IF(B294="","Enter the date",IF(C294="","Pick the party",IF(P294="?","Add this party on the Parties sheet first",IF(D294="","Pick the entry type",IF(Q294="?","Pick the entry type from the list",IF(N(H294)=0,"Enter the amount",IF(AND(R294&lt;&gt;"Any",R294&lt;&gt;P294),"Sales, receipts and credit notes are for debtors; purchases, payments and debit notes for creditors",IF(AND(F294&lt;&gt;"",D294&lt;&gt;"Purchase bill"),"The received-on date is only for purchase bills",IF(AND(P294="Creditor",X294=1,AA294&gt;0),"Past due to a micro or small supplier: interest runs under MSMED s.16, and if unpaid at year end it is not deductible that year, s.37(2)(g)",IF(AND(P294="Debtor",X294=1,AA294&gt;0),"Past due to you: as a micro or small supplier you can claim interest under MSMED s.16","OK")))))))))))</f>
        <v/>
      </c>
      <c r="P294">
        <f>IF(C294="","",IFERROR(VLOOKUP(C294,'Parties'!$B$13:$Q$112,2,FALSE),"?"))</f>
        <v/>
      </c>
      <c r="Q294">
        <f>IF(D294="","",IFERROR(VLOOKUP(D294,Lists!$A$2:$D$9,3,FALSE),"?"))</f>
        <v/>
      </c>
      <c r="R294">
        <f>IF(D294="","",IFERROR(VLOOKUP(D294,Lists!$A$2:$D$9,4,FALSE),"?"))</f>
        <v/>
      </c>
      <c r="S294">
        <f>IF(P294="Debtor",I294,IF(P294="Creditor",J294,0))</f>
        <v/>
      </c>
      <c r="T294">
        <f>IF(P294="Debtor",J294,IF(P294="Creditor",I294,0))</f>
        <v/>
      </c>
      <c r="U294">
        <f>IF(OR(S294=0,B294=""),0,IFERROR(VLOOKUP(C294,'Parties'!$B$13:$Q$112,13,FALSE),0)+SUMIFS($S$7:$S$506,$C$7:$C$506,C294,$B$7:$B$506,"&lt;"&amp;B294)+SUMIFS(S$7:S294,C$7:C294,C294,B$7:B294,B294))</f>
        <v/>
      </c>
      <c r="V294">
        <f>IF(S294=0,0,IFERROR(VLOOKUP(C294,'Parties'!$B$13:$Q$112,14,FALSE),0)+SUMIFS($T$7:$T$506,$C$7:$C$506,C294,$B$7:$B$506,"&lt;="&amp;'Outstanding'!$E$5))</f>
        <v/>
      </c>
      <c r="W294">
        <f>IF(OR('Outstanding'!$E$5="",S294=0,B294="",B294&gt;'Outstanding'!$E$5),0,MAX(0,MIN(S294,U294-V294)))</f>
        <v/>
      </c>
      <c r="X294">
        <f>IF(C294="",0,IFERROR(VLOOKUP(C294,'Parties'!$B$13:$Q$112,15,FALSE),0))</f>
        <v/>
      </c>
      <c r="Y294">
        <f>IF(C294="","",IFERROR(VLOOKUP(C294,'Parties'!$B$13:$Q$112,16,FALSE),0))</f>
        <v/>
      </c>
      <c r="Z294">
        <f>IF(OR(S294=0,B294="",Y294=""),"",IF(AND(F294&lt;&gt;"",D294="Purchase bill"),F294,B294)+Y294)</f>
        <v/>
      </c>
      <c r="AA294">
        <f>IF(OR(W294=0,Z294=""),0,MAX(0,'Outstanding'!$E$5-Z294))</f>
        <v/>
      </c>
      <c r="AB294">
        <f>IF(AND(X294=1,AA294&gt;0),W294*((1+3*N('Parties'!$E$10)/12)^(AA294*12/365)-1),0)</f>
        <v/>
      </c>
      <c r="AC294">
        <f>IF(W294=0,"",'Outstanding'!$E$5-B294)</f>
        <v/>
      </c>
      <c r="AD294">
        <f>IF(S294=0,0,IFERROR(VLOOKUP(C294,'Parties'!$B$13:$Q$112,14,FALSE),0)+SUMIFS($T$7:$T$506,$C$7:$C$506,C294,$B$7:$B$506,"&lt;="&amp;'Parties'!$E$8))</f>
        <v/>
      </c>
      <c r="AE294">
        <f>IF(OR('Parties'!$E$8="",S294=0,B294="",B294&gt;'Parties'!$E$8),0,MAX(0,MIN(S294,U294-AD294)))</f>
        <v/>
      </c>
      <c r="AF294">
        <f>IF(AND(P294="Creditor",X294=1,AE294&gt;0,Z294&lt;&gt;""),IF(Z294&lt;='Parties'!$E$8,AE294,0),0)</f>
        <v/>
      </c>
      <c r="AG294">
        <f>IF(OR(AE294=0,Z294=""),0,MAX(0,'Parties'!$E$8-Z294))</f>
        <v/>
      </c>
      <c r="AH294">
        <f>IF(AND(P294="Creditor",X294=1,AG294&gt;0),AE294*((1+3*N('Parties'!$E$10)/12)^(AG294*12/365)-1),0)</f>
        <v/>
      </c>
      <c r="AI294">
        <f>IF(AND(C294&lt;&gt;"",C294='Ledger Account'!$D$4,B294&lt;&gt;"",B294&gt;='Ledger Account'!$D$5,B294&lt;='Ledger Account'!$D$6),1,0)</f>
        <v/>
      </c>
      <c r="AJ294">
        <f>IF(AI294=1,SUM(AI$7:AI294),"")</f>
        <v/>
      </c>
      <c r="AK294">
        <f>IF(OR(N294="",N294="OK"),0,1)</f>
        <v/>
      </c>
    </row>
    <row r="295">
      <c r="B295" s="24" t="n"/>
      <c r="C295" s="14" t="n"/>
      <c r="D295" s="14" t="n"/>
      <c r="E295" s="20" t="n"/>
      <c r="F295" s="24" t="n"/>
      <c r="G295" s="14" t="n"/>
      <c r="H295" s="22" t="n"/>
      <c r="I295" s="25">
        <f>IF(Q295="D",N(H295),0)</f>
        <v/>
      </c>
      <c r="J295" s="25">
        <f>IF(Q295="C",N(H295),0)</f>
        <v/>
      </c>
      <c r="K295" s="26">
        <f>IF(Z295="","",Z295)</f>
        <v/>
      </c>
      <c r="L295" s="27">
        <f>W295</f>
        <v/>
      </c>
      <c r="M295" s="28">
        <f>AA295</f>
        <v/>
      </c>
      <c r="N295" s="23">
        <f>IF(AND(B295="",C295="",D295="",N(H295)=0),"",IF(B295="","Enter the date",IF(C295="","Pick the party",IF(P295="?","Add this party on the Parties sheet first",IF(D295="","Pick the entry type",IF(Q295="?","Pick the entry type from the list",IF(N(H295)=0,"Enter the amount",IF(AND(R295&lt;&gt;"Any",R295&lt;&gt;P295),"Sales, receipts and credit notes are for debtors; purchases, payments and debit notes for creditors",IF(AND(F295&lt;&gt;"",D295&lt;&gt;"Purchase bill"),"The received-on date is only for purchase bills",IF(AND(P295="Creditor",X295=1,AA295&gt;0),"Past due to a micro or small supplier: interest runs under MSMED s.16, and if unpaid at year end it is not deductible that year, s.37(2)(g)",IF(AND(P295="Debtor",X295=1,AA295&gt;0),"Past due to you: as a micro or small supplier you can claim interest under MSMED s.16","OK")))))))))))</f>
        <v/>
      </c>
      <c r="P295">
        <f>IF(C295="","",IFERROR(VLOOKUP(C295,'Parties'!$B$13:$Q$112,2,FALSE),"?"))</f>
        <v/>
      </c>
      <c r="Q295">
        <f>IF(D295="","",IFERROR(VLOOKUP(D295,Lists!$A$2:$D$9,3,FALSE),"?"))</f>
        <v/>
      </c>
      <c r="R295">
        <f>IF(D295="","",IFERROR(VLOOKUP(D295,Lists!$A$2:$D$9,4,FALSE),"?"))</f>
        <v/>
      </c>
      <c r="S295">
        <f>IF(P295="Debtor",I295,IF(P295="Creditor",J295,0))</f>
        <v/>
      </c>
      <c r="T295">
        <f>IF(P295="Debtor",J295,IF(P295="Creditor",I295,0))</f>
        <v/>
      </c>
      <c r="U295">
        <f>IF(OR(S295=0,B295=""),0,IFERROR(VLOOKUP(C295,'Parties'!$B$13:$Q$112,13,FALSE),0)+SUMIFS($S$7:$S$506,$C$7:$C$506,C295,$B$7:$B$506,"&lt;"&amp;B295)+SUMIFS(S$7:S295,C$7:C295,C295,B$7:B295,B295))</f>
        <v/>
      </c>
      <c r="V295">
        <f>IF(S295=0,0,IFERROR(VLOOKUP(C295,'Parties'!$B$13:$Q$112,14,FALSE),0)+SUMIFS($T$7:$T$506,$C$7:$C$506,C295,$B$7:$B$506,"&lt;="&amp;'Outstanding'!$E$5))</f>
        <v/>
      </c>
      <c r="W295">
        <f>IF(OR('Outstanding'!$E$5="",S295=0,B295="",B295&gt;'Outstanding'!$E$5),0,MAX(0,MIN(S295,U295-V295)))</f>
        <v/>
      </c>
      <c r="X295">
        <f>IF(C295="",0,IFERROR(VLOOKUP(C295,'Parties'!$B$13:$Q$112,15,FALSE),0))</f>
        <v/>
      </c>
      <c r="Y295">
        <f>IF(C295="","",IFERROR(VLOOKUP(C295,'Parties'!$B$13:$Q$112,16,FALSE),0))</f>
        <v/>
      </c>
      <c r="Z295">
        <f>IF(OR(S295=0,B295="",Y295=""),"",IF(AND(F295&lt;&gt;"",D295="Purchase bill"),F295,B295)+Y295)</f>
        <v/>
      </c>
      <c r="AA295">
        <f>IF(OR(W295=0,Z295=""),0,MAX(0,'Outstanding'!$E$5-Z295))</f>
        <v/>
      </c>
      <c r="AB295">
        <f>IF(AND(X295=1,AA295&gt;0),W295*((1+3*N('Parties'!$E$10)/12)^(AA295*12/365)-1),0)</f>
        <v/>
      </c>
      <c r="AC295">
        <f>IF(W295=0,"",'Outstanding'!$E$5-B295)</f>
        <v/>
      </c>
      <c r="AD295">
        <f>IF(S295=0,0,IFERROR(VLOOKUP(C295,'Parties'!$B$13:$Q$112,14,FALSE),0)+SUMIFS($T$7:$T$506,$C$7:$C$506,C295,$B$7:$B$506,"&lt;="&amp;'Parties'!$E$8))</f>
        <v/>
      </c>
      <c r="AE295">
        <f>IF(OR('Parties'!$E$8="",S295=0,B295="",B295&gt;'Parties'!$E$8),0,MAX(0,MIN(S295,U295-AD295)))</f>
        <v/>
      </c>
      <c r="AF295">
        <f>IF(AND(P295="Creditor",X295=1,AE295&gt;0,Z295&lt;&gt;""),IF(Z295&lt;='Parties'!$E$8,AE295,0),0)</f>
        <v/>
      </c>
      <c r="AG295">
        <f>IF(OR(AE295=0,Z295=""),0,MAX(0,'Parties'!$E$8-Z295))</f>
        <v/>
      </c>
      <c r="AH295">
        <f>IF(AND(P295="Creditor",X295=1,AG295&gt;0),AE295*((1+3*N('Parties'!$E$10)/12)^(AG295*12/365)-1),0)</f>
        <v/>
      </c>
      <c r="AI295">
        <f>IF(AND(C295&lt;&gt;"",C295='Ledger Account'!$D$4,B295&lt;&gt;"",B295&gt;='Ledger Account'!$D$5,B295&lt;='Ledger Account'!$D$6),1,0)</f>
        <v/>
      </c>
      <c r="AJ295">
        <f>IF(AI295=1,SUM(AI$7:AI295),"")</f>
        <v/>
      </c>
      <c r="AK295">
        <f>IF(OR(N295="",N295="OK"),0,1)</f>
        <v/>
      </c>
    </row>
    <row r="296">
      <c r="B296" s="24" t="n"/>
      <c r="C296" s="14" t="n"/>
      <c r="D296" s="14" t="n"/>
      <c r="E296" s="20" t="n"/>
      <c r="F296" s="24" t="n"/>
      <c r="G296" s="14" t="n"/>
      <c r="H296" s="22" t="n"/>
      <c r="I296" s="25">
        <f>IF(Q296="D",N(H296),0)</f>
        <v/>
      </c>
      <c r="J296" s="25">
        <f>IF(Q296="C",N(H296),0)</f>
        <v/>
      </c>
      <c r="K296" s="26">
        <f>IF(Z296="","",Z296)</f>
        <v/>
      </c>
      <c r="L296" s="27">
        <f>W296</f>
        <v/>
      </c>
      <c r="M296" s="28">
        <f>AA296</f>
        <v/>
      </c>
      <c r="N296" s="23">
        <f>IF(AND(B296="",C296="",D296="",N(H296)=0),"",IF(B296="","Enter the date",IF(C296="","Pick the party",IF(P296="?","Add this party on the Parties sheet first",IF(D296="","Pick the entry type",IF(Q296="?","Pick the entry type from the list",IF(N(H296)=0,"Enter the amount",IF(AND(R296&lt;&gt;"Any",R296&lt;&gt;P296),"Sales, receipts and credit notes are for debtors; purchases, payments and debit notes for creditors",IF(AND(F296&lt;&gt;"",D296&lt;&gt;"Purchase bill"),"The received-on date is only for purchase bills",IF(AND(P296="Creditor",X296=1,AA296&gt;0),"Past due to a micro or small supplier: interest runs under MSMED s.16, and if unpaid at year end it is not deductible that year, s.37(2)(g)",IF(AND(P296="Debtor",X296=1,AA296&gt;0),"Past due to you: as a micro or small supplier you can claim interest under MSMED s.16","OK")))))))))))</f>
        <v/>
      </c>
      <c r="P296">
        <f>IF(C296="","",IFERROR(VLOOKUP(C296,'Parties'!$B$13:$Q$112,2,FALSE),"?"))</f>
        <v/>
      </c>
      <c r="Q296">
        <f>IF(D296="","",IFERROR(VLOOKUP(D296,Lists!$A$2:$D$9,3,FALSE),"?"))</f>
        <v/>
      </c>
      <c r="R296">
        <f>IF(D296="","",IFERROR(VLOOKUP(D296,Lists!$A$2:$D$9,4,FALSE),"?"))</f>
        <v/>
      </c>
      <c r="S296">
        <f>IF(P296="Debtor",I296,IF(P296="Creditor",J296,0))</f>
        <v/>
      </c>
      <c r="T296">
        <f>IF(P296="Debtor",J296,IF(P296="Creditor",I296,0))</f>
        <v/>
      </c>
      <c r="U296">
        <f>IF(OR(S296=0,B296=""),0,IFERROR(VLOOKUP(C296,'Parties'!$B$13:$Q$112,13,FALSE),0)+SUMIFS($S$7:$S$506,$C$7:$C$506,C296,$B$7:$B$506,"&lt;"&amp;B296)+SUMIFS(S$7:S296,C$7:C296,C296,B$7:B296,B296))</f>
        <v/>
      </c>
      <c r="V296">
        <f>IF(S296=0,0,IFERROR(VLOOKUP(C296,'Parties'!$B$13:$Q$112,14,FALSE),0)+SUMIFS($T$7:$T$506,$C$7:$C$506,C296,$B$7:$B$506,"&lt;="&amp;'Outstanding'!$E$5))</f>
        <v/>
      </c>
      <c r="W296">
        <f>IF(OR('Outstanding'!$E$5="",S296=0,B296="",B296&gt;'Outstanding'!$E$5),0,MAX(0,MIN(S296,U296-V296)))</f>
        <v/>
      </c>
      <c r="X296">
        <f>IF(C296="",0,IFERROR(VLOOKUP(C296,'Parties'!$B$13:$Q$112,15,FALSE),0))</f>
        <v/>
      </c>
      <c r="Y296">
        <f>IF(C296="","",IFERROR(VLOOKUP(C296,'Parties'!$B$13:$Q$112,16,FALSE),0))</f>
        <v/>
      </c>
      <c r="Z296">
        <f>IF(OR(S296=0,B296="",Y296=""),"",IF(AND(F296&lt;&gt;"",D296="Purchase bill"),F296,B296)+Y296)</f>
        <v/>
      </c>
      <c r="AA296">
        <f>IF(OR(W296=0,Z296=""),0,MAX(0,'Outstanding'!$E$5-Z296))</f>
        <v/>
      </c>
      <c r="AB296">
        <f>IF(AND(X296=1,AA296&gt;0),W296*((1+3*N('Parties'!$E$10)/12)^(AA296*12/365)-1),0)</f>
        <v/>
      </c>
      <c r="AC296">
        <f>IF(W296=0,"",'Outstanding'!$E$5-B296)</f>
        <v/>
      </c>
      <c r="AD296">
        <f>IF(S296=0,0,IFERROR(VLOOKUP(C296,'Parties'!$B$13:$Q$112,14,FALSE),0)+SUMIFS($T$7:$T$506,$C$7:$C$506,C296,$B$7:$B$506,"&lt;="&amp;'Parties'!$E$8))</f>
        <v/>
      </c>
      <c r="AE296">
        <f>IF(OR('Parties'!$E$8="",S296=0,B296="",B296&gt;'Parties'!$E$8),0,MAX(0,MIN(S296,U296-AD296)))</f>
        <v/>
      </c>
      <c r="AF296">
        <f>IF(AND(P296="Creditor",X296=1,AE296&gt;0,Z296&lt;&gt;""),IF(Z296&lt;='Parties'!$E$8,AE296,0),0)</f>
        <v/>
      </c>
      <c r="AG296">
        <f>IF(OR(AE296=0,Z296=""),0,MAX(0,'Parties'!$E$8-Z296))</f>
        <v/>
      </c>
      <c r="AH296">
        <f>IF(AND(P296="Creditor",X296=1,AG296&gt;0),AE296*((1+3*N('Parties'!$E$10)/12)^(AG296*12/365)-1),0)</f>
        <v/>
      </c>
      <c r="AI296">
        <f>IF(AND(C296&lt;&gt;"",C296='Ledger Account'!$D$4,B296&lt;&gt;"",B296&gt;='Ledger Account'!$D$5,B296&lt;='Ledger Account'!$D$6),1,0)</f>
        <v/>
      </c>
      <c r="AJ296">
        <f>IF(AI296=1,SUM(AI$7:AI296),"")</f>
        <v/>
      </c>
      <c r="AK296">
        <f>IF(OR(N296="",N296="OK"),0,1)</f>
        <v/>
      </c>
    </row>
    <row r="297">
      <c r="B297" s="24" t="n"/>
      <c r="C297" s="14" t="n"/>
      <c r="D297" s="14" t="n"/>
      <c r="E297" s="20" t="n"/>
      <c r="F297" s="24" t="n"/>
      <c r="G297" s="14" t="n"/>
      <c r="H297" s="22" t="n"/>
      <c r="I297" s="25">
        <f>IF(Q297="D",N(H297),0)</f>
        <v/>
      </c>
      <c r="J297" s="25">
        <f>IF(Q297="C",N(H297),0)</f>
        <v/>
      </c>
      <c r="K297" s="26">
        <f>IF(Z297="","",Z297)</f>
        <v/>
      </c>
      <c r="L297" s="27">
        <f>W297</f>
        <v/>
      </c>
      <c r="M297" s="28">
        <f>AA297</f>
        <v/>
      </c>
      <c r="N297" s="23">
        <f>IF(AND(B297="",C297="",D297="",N(H297)=0),"",IF(B297="","Enter the date",IF(C297="","Pick the party",IF(P297="?","Add this party on the Parties sheet first",IF(D297="","Pick the entry type",IF(Q297="?","Pick the entry type from the list",IF(N(H297)=0,"Enter the amount",IF(AND(R297&lt;&gt;"Any",R297&lt;&gt;P297),"Sales, receipts and credit notes are for debtors; purchases, payments and debit notes for creditors",IF(AND(F297&lt;&gt;"",D297&lt;&gt;"Purchase bill"),"The received-on date is only for purchase bills",IF(AND(P297="Creditor",X297=1,AA297&gt;0),"Past due to a micro or small supplier: interest runs under MSMED s.16, and if unpaid at year end it is not deductible that year, s.37(2)(g)",IF(AND(P297="Debtor",X297=1,AA297&gt;0),"Past due to you: as a micro or small supplier you can claim interest under MSMED s.16","OK")))))))))))</f>
        <v/>
      </c>
      <c r="P297">
        <f>IF(C297="","",IFERROR(VLOOKUP(C297,'Parties'!$B$13:$Q$112,2,FALSE),"?"))</f>
        <v/>
      </c>
      <c r="Q297">
        <f>IF(D297="","",IFERROR(VLOOKUP(D297,Lists!$A$2:$D$9,3,FALSE),"?"))</f>
        <v/>
      </c>
      <c r="R297">
        <f>IF(D297="","",IFERROR(VLOOKUP(D297,Lists!$A$2:$D$9,4,FALSE),"?"))</f>
        <v/>
      </c>
      <c r="S297">
        <f>IF(P297="Debtor",I297,IF(P297="Creditor",J297,0))</f>
        <v/>
      </c>
      <c r="T297">
        <f>IF(P297="Debtor",J297,IF(P297="Creditor",I297,0))</f>
        <v/>
      </c>
      <c r="U297">
        <f>IF(OR(S297=0,B297=""),0,IFERROR(VLOOKUP(C297,'Parties'!$B$13:$Q$112,13,FALSE),0)+SUMIFS($S$7:$S$506,$C$7:$C$506,C297,$B$7:$B$506,"&lt;"&amp;B297)+SUMIFS(S$7:S297,C$7:C297,C297,B$7:B297,B297))</f>
        <v/>
      </c>
      <c r="V297">
        <f>IF(S297=0,0,IFERROR(VLOOKUP(C297,'Parties'!$B$13:$Q$112,14,FALSE),0)+SUMIFS($T$7:$T$506,$C$7:$C$506,C297,$B$7:$B$506,"&lt;="&amp;'Outstanding'!$E$5))</f>
        <v/>
      </c>
      <c r="W297">
        <f>IF(OR('Outstanding'!$E$5="",S297=0,B297="",B297&gt;'Outstanding'!$E$5),0,MAX(0,MIN(S297,U297-V297)))</f>
        <v/>
      </c>
      <c r="X297">
        <f>IF(C297="",0,IFERROR(VLOOKUP(C297,'Parties'!$B$13:$Q$112,15,FALSE),0))</f>
        <v/>
      </c>
      <c r="Y297">
        <f>IF(C297="","",IFERROR(VLOOKUP(C297,'Parties'!$B$13:$Q$112,16,FALSE),0))</f>
        <v/>
      </c>
      <c r="Z297">
        <f>IF(OR(S297=0,B297="",Y297=""),"",IF(AND(F297&lt;&gt;"",D297="Purchase bill"),F297,B297)+Y297)</f>
        <v/>
      </c>
      <c r="AA297">
        <f>IF(OR(W297=0,Z297=""),0,MAX(0,'Outstanding'!$E$5-Z297))</f>
        <v/>
      </c>
      <c r="AB297">
        <f>IF(AND(X297=1,AA297&gt;0),W297*((1+3*N('Parties'!$E$10)/12)^(AA297*12/365)-1),0)</f>
        <v/>
      </c>
      <c r="AC297">
        <f>IF(W297=0,"",'Outstanding'!$E$5-B297)</f>
        <v/>
      </c>
      <c r="AD297">
        <f>IF(S297=0,0,IFERROR(VLOOKUP(C297,'Parties'!$B$13:$Q$112,14,FALSE),0)+SUMIFS($T$7:$T$506,$C$7:$C$506,C297,$B$7:$B$506,"&lt;="&amp;'Parties'!$E$8))</f>
        <v/>
      </c>
      <c r="AE297">
        <f>IF(OR('Parties'!$E$8="",S297=0,B297="",B297&gt;'Parties'!$E$8),0,MAX(0,MIN(S297,U297-AD297)))</f>
        <v/>
      </c>
      <c r="AF297">
        <f>IF(AND(P297="Creditor",X297=1,AE297&gt;0,Z297&lt;&gt;""),IF(Z297&lt;='Parties'!$E$8,AE297,0),0)</f>
        <v/>
      </c>
      <c r="AG297">
        <f>IF(OR(AE297=0,Z297=""),0,MAX(0,'Parties'!$E$8-Z297))</f>
        <v/>
      </c>
      <c r="AH297">
        <f>IF(AND(P297="Creditor",X297=1,AG297&gt;0),AE297*((1+3*N('Parties'!$E$10)/12)^(AG297*12/365)-1),0)</f>
        <v/>
      </c>
      <c r="AI297">
        <f>IF(AND(C297&lt;&gt;"",C297='Ledger Account'!$D$4,B297&lt;&gt;"",B297&gt;='Ledger Account'!$D$5,B297&lt;='Ledger Account'!$D$6),1,0)</f>
        <v/>
      </c>
      <c r="AJ297">
        <f>IF(AI297=1,SUM(AI$7:AI297),"")</f>
        <v/>
      </c>
      <c r="AK297">
        <f>IF(OR(N297="",N297="OK"),0,1)</f>
        <v/>
      </c>
    </row>
    <row r="298">
      <c r="B298" s="24" t="n"/>
      <c r="C298" s="14" t="n"/>
      <c r="D298" s="14" t="n"/>
      <c r="E298" s="20" t="n"/>
      <c r="F298" s="24" t="n"/>
      <c r="G298" s="14" t="n"/>
      <c r="H298" s="22" t="n"/>
      <c r="I298" s="25">
        <f>IF(Q298="D",N(H298),0)</f>
        <v/>
      </c>
      <c r="J298" s="25">
        <f>IF(Q298="C",N(H298),0)</f>
        <v/>
      </c>
      <c r="K298" s="26">
        <f>IF(Z298="","",Z298)</f>
        <v/>
      </c>
      <c r="L298" s="27">
        <f>W298</f>
        <v/>
      </c>
      <c r="M298" s="28">
        <f>AA298</f>
        <v/>
      </c>
      <c r="N298" s="23">
        <f>IF(AND(B298="",C298="",D298="",N(H298)=0),"",IF(B298="","Enter the date",IF(C298="","Pick the party",IF(P298="?","Add this party on the Parties sheet first",IF(D298="","Pick the entry type",IF(Q298="?","Pick the entry type from the list",IF(N(H298)=0,"Enter the amount",IF(AND(R298&lt;&gt;"Any",R298&lt;&gt;P298),"Sales, receipts and credit notes are for debtors; purchases, payments and debit notes for creditors",IF(AND(F298&lt;&gt;"",D298&lt;&gt;"Purchase bill"),"The received-on date is only for purchase bills",IF(AND(P298="Creditor",X298=1,AA298&gt;0),"Past due to a micro or small supplier: interest runs under MSMED s.16, and if unpaid at year end it is not deductible that year, s.37(2)(g)",IF(AND(P298="Debtor",X298=1,AA298&gt;0),"Past due to you: as a micro or small supplier you can claim interest under MSMED s.16","OK")))))))))))</f>
        <v/>
      </c>
      <c r="P298">
        <f>IF(C298="","",IFERROR(VLOOKUP(C298,'Parties'!$B$13:$Q$112,2,FALSE),"?"))</f>
        <v/>
      </c>
      <c r="Q298">
        <f>IF(D298="","",IFERROR(VLOOKUP(D298,Lists!$A$2:$D$9,3,FALSE),"?"))</f>
        <v/>
      </c>
      <c r="R298">
        <f>IF(D298="","",IFERROR(VLOOKUP(D298,Lists!$A$2:$D$9,4,FALSE),"?"))</f>
        <v/>
      </c>
      <c r="S298">
        <f>IF(P298="Debtor",I298,IF(P298="Creditor",J298,0))</f>
        <v/>
      </c>
      <c r="T298">
        <f>IF(P298="Debtor",J298,IF(P298="Creditor",I298,0))</f>
        <v/>
      </c>
      <c r="U298">
        <f>IF(OR(S298=0,B298=""),0,IFERROR(VLOOKUP(C298,'Parties'!$B$13:$Q$112,13,FALSE),0)+SUMIFS($S$7:$S$506,$C$7:$C$506,C298,$B$7:$B$506,"&lt;"&amp;B298)+SUMIFS(S$7:S298,C$7:C298,C298,B$7:B298,B298))</f>
        <v/>
      </c>
      <c r="V298">
        <f>IF(S298=0,0,IFERROR(VLOOKUP(C298,'Parties'!$B$13:$Q$112,14,FALSE),0)+SUMIFS($T$7:$T$506,$C$7:$C$506,C298,$B$7:$B$506,"&lt;="&amp;'Outstanding'!$E$5))</f>
        <v/>
      </c>
      <c r="W298">
        <f>IF(OR('Outstanding'!$E$5="",S298=0,B298="",B298&gt;'Outstanding'!$E$5),0,MAX(0,MIN(S298,U298-V298)))</f>
        <v/>
      </c>
      <c r="X298">
        <f>IF(C298="",0,IFERROR(VLOOKUP(C298,'Parties'!$B$13:$Q$112,15,FALSE),0))</f>
        <v/>
      </c>
      <c r="Y298">
        <f>IF(C298="","",IFERROR(VLOOKUP(C298,'Parties'!$B$13:$Q$112,16,FALSE),0))</f>
        <v/>
      </c>
      <c r="Z298">
        <f>IF(OR(S298=0,B298="",Y298=""),"",IF(AND(F298&lt;&gt;"",D298="Purchase bill"),F298,B298)+Y298)</f>
        <v/>
      </c>
      <c r="AA298">
        <f>IF(OR(W298=0,Z298=""),0,MAX(0,'Outstanding'!$E$5-Z298))</f>
        <v/>
      </c>
      <c r="AB298">
        <f>IF(AND(X298=1,AA298&gt;0),W298*((1+3*N('Parties'!$E$10)/12)^(AA298*12/365)-1),0)</f>
        <v/>
      </c>
      <c r="AC298">
        <f>IF(W298=0,"",'Outstanding'!$E$5-B298)</f>
        <v/>
      </c>
      <c r="AD298">
        <f>IF(S298=0,0,IFERROR(VLOOKUP(C298,'Parties'!$B$13:$Q$112,14,FALSE),0)+SUMIFS($T$7:$T$506,$C$7:$C$506,C298,$B$7:$B$506,"&lt;="&amp;'Parties'!$E$8))</f>
        <v/>
      </c>
      <c r="AE298">
        <f>IF(OR('Parties'!$E$8="",S298=0,B298="",B298&gt;'Parties'!$E$8),0,MAX(0,MIN(S298,U298-AD298)))</f>
        <v/>
      </c>
      <c r="AF298">
        <f>IF(AND(P298="Creditor",X298=1,AE298&gt;0,Z298&lt;&gt;""),IF(Z298&lt;='Parties'!$E$8,AE298,0),0)</f>
        <v/>
      </c>
      <c r="AG298">
        <f>IF(OR(AE298=0,Z298=""),0,MAX(0,'Parties'!$E$8-Z298))</f>
        <v/>
      </c>
      <c r="AH298">
        <f>IF(AND(P298="Creditor",X298=1,AG298&gt;0),AE298*((1+3*N('Parties'!$E$10)/12)^(AG298*12/365)-1),0)</f>
        <v/>
      </c>
      <c r="AI298">
        <f>IF(AND(C298&lt;&gt;"",C298='Ledger Account'!$D$4,B298&lt;&gt;"",B298&gt;='Ledger Account'!$D$5,B298&lt;='Ledger Account'!$D$6),1,0)</f>
        <v/>
      </c>
      <c r="AJ298">
        <f>IF(AI298=1,SUM(AI$7:AI298),"")</f>
        <v/>
      </c>
      <c r="AK298">
        <f>IF(OR(N298="",N298="OK"),0,1)</f>
        <v/>
      </c>
    </row>
    <row r="299">
      <c r="B299" s="24" t="n"/>
      <c r="C299" s="14" t="n"/>
      <c r="D299" s="14" t="n"/>
      <c r="E299" s="20" t="n"/>
      <c r="F299" s="24" t="n"/>
      <c r="G299" s="14" t="n"/>
      <c r="H299" s="22" t="n"/>
      <c r="I299" s="25">
        <f>IF(Q299="D",N(H299),0)</f>
        <v/>
      </c>
      <c r="J299" s="25">
        <f>IF(Q299="C",N(H299),0)</f>
        <v/>
      </c>
      <c r="K299" s="26">
        <f>IF(Z299="","",Z299)</f>
        <v/>
      </c>
      <c r="L299" s="27">
        <f>W299</f>
        <v/>
      </c>
      <c r="M299" s="28">
        <f>AA299</f>
        <v/>
      </c>
      <c r="N299" s="23">
        <f>IF(AND(B299="",C299="",D299="",N(H299)=0),"",IF(B299="","Enter the date",IF(C299="","Pick the party",IF(P299="?","Add this party on the Parties sheet first",IF(D299="","Pick the entry type",IF(Q299="?","Pick the entry type from the list",IF(N(H299)=0,"Enter the amount",IF(AND(R299&lt;&gt;"Any",R299&lt;&gt;P299),"Sales, receipts and credit notes are for debtors; purchases, payments and debit notes for creditors",IF(AND(F299&lt;&gt;"",D299&lt;&gt;"Purchase bill"),"The received-on date is only for purchase bills",IF(AND(P299="Creditor",X299=1,AA299&gt;0),"Past due to a micro or small supplier: interest runs under MSMED s.16, and if unpaid at year end it is not deductible that year, s.37(2)(g)",IF(AND(P299="Debtor",X299=1,AA299&gt;0),"Past due to you: as a micro or small supplier you can claim interest under MSMED s.16","OK")))))))))))</f>
        <v/>
      </c>
      <c r="P299">
        <f>IF(C299="","",IFERROR(VLOOKUP(C299,'Parties'!$B$13:$Q$112,2,FALSE),"?"))</f>
        <v/>
      </c>
      <c r="Q299">
        <f>IF(D299="","",IFERROR(VLOOKUP(D299,Lists!$A$2:$D$9,3,FALSE),"?"))</f>
        <v/>
      </c>
      <c r="R299">
        <f>IF(D299="","",IFERROR(VLOOKUP(D299,Lists!$A$2:$D$9,4,FALSE),"?"))</f>
        <v/>
      </c>
      <c r="S299">
        <f>IF(P299="Debtor",I299,IF(P299="Creditor",J299,0))</f>
        <v/>
      </c>
      <c r="T299">
        <f>IF(P299="Debtor",J299,IF(P299="Creditor",I299,0))</f>
        <v/>
      </c>
      <c r="U299">
        <f>IF(OR(S299=0,B299=""),0,IFERROR(VLOOKUP(C299,'Parties'!$B$13:$Q$112,13,FALSE),0)+SUMIFS($S$7:$S$506,$C$7:$C$506,C299,$B$7:$B$506,"&lt;"&amp;B299)+SUMIFS(S$7:S299,C$7:C299,C299,B$7:B299,B299))</f>
        <v/>
      </c>
      <c r="V299">
        <f>IF(S299=0,0,IFERROR(VLOOKUP(C299,'Parties'!$B$13:$Q$112,14,FALSE),0)+SUMIFS($T$7:$T$506,$C$7:$C$506,C299,$B$7:$B$506,"&lt;="&amp;'Outstanding'!$E$5))</f>
        <v/>
      </c>
      <c r="W299">
        <f>IF(OR('Outstanding'!$E$5="",S299=0,B299="",B299&gt;'Outstanding'!$E$5),0,MAX(0,MIN(S299,U299-V299)))</f>
        <v/>
      </c>
      <c r="X299">
        <f>IF(C299="",0,IFERROR(VLOOKUP(C299,'Parties'!$B$13:$Q$112,15,FALSE),0))</f>
        <v/>
      </c>
      <c r="Y299">
        <f>IF(C299="","",IFERROR(VLOOKUP(C299,'Parties'!$B$13:$Q$112,16,FALSE),0))</f>
        <v/>
      </c>
      <c r="Z299">
        <f>IF(OR(S299=0,B299="",Y299=""),"",IF(AND(F299&lt;&gt;"",D299="Purchase bill"),F299,B299)+Y299)</f>
        <v/>
      </c>
      <c r="AA299">
        <f>IF(OR(W299=0,Z299=""),0,MAX(0,'Outstanding'!$E$5-Z299))</f>
        <v/>
      </c>
      <c r="AB299">
        <f>IF(AND(X299=1,AA299&gt;0),W299*((1+3*N('Parties'!$E$10)/12)^(AA299*12/365)-1),0)</f>
        <v/>
      </c>
      <c r="AC299">
        <f>IF(W299=0,"",'Outstanding'!$E$5-B299)</f>
        <v/>
      </c>
      <c r="AD299">
        <f>IF(S299=0,0,IFERROR(VLOOKUP(C299,'Parties'!$B$13:$Q$112,14,FALSE),0)+SUMIFS($T$7:$T$506,$C$7:$C$506,C299,$B$7:$B$506,"&lt;="&amp;'Parties'!$E$8))</f>
        <v/>
      </c>
      <c r="AE299">
        <f>IF(OR('Parties'!$E$8="",S299=0,B299="",B299&gt;'Parties'!$E$8),0,MAX(0,MIN(S299,U299-AD299)))</f>
        <v/>
      </c>
      <c r="AF299">
        <f>IF(AND(P299="Creditor",X299=1,AE299&gt;0,Z299&lt;&gt;""),IF(Z299&lt;='Parties'!$E$8,AE299,0),0)</f>
        <v/>
      </c>
      <c r="AG299">
        <f>IF(OR(AE299=0,Z299=""),0,MAX(0,'Parties'!$E$8-Z299))</f>
        <v/>
      </c>
      <c r="AH299">
        <f>IF(AND(P299="Creditor",X299=1,AG299&gt;0),AE299*((1+3*N('Parties'!$E$10)/12)^(AG299*12/365)-1),0)</f>
        <v/>
      </c>
      <c r="AI299">
        <f>IF(AND(C299&lt;&gt;"",C299='Ledger Account'!$D$4,B299&lt;&gt;"",B299&gt;='Ledger Account'!$D$5,B299&lt;='Ledger Account'!$D$6),1,0)</f>
        <v/>
      </c>
      <c r="AJ299">
        <f>IF(AI299=1,SUM(AI$7:AI299),"")</f>
        <v/>
      </c>
      <c r="AK299">
        <f>IF(OR(N299="",N299="OK"),0,1)</f>
        <v/>
      </c>
    </row>
    <row r="300">
      <c r="B300" s="24" t="n"/>
      <c r="C300" s="14" t="n"/>
      <c r="D300" s="14" t="n"/>
      <c r="E300" s="20" t="n"/>
      <c r="F300" s="24" t="n"/>
      <c r="G300" s="14" t="n"/>
      <c r="H300" s="22" t="n"/>
      <c r="I300" s="25">
        <f>IF(Q300="D",N(H300),0)</f>
        <v/>
      </c>
      <c r="J300" s="25">
        <f>IF(Q300="C",N(H300),0)</f>
        <v/>
      </c>
      <c r="K300" s="26">
        <f>IF(Z300="","",Z300)</f>
        <v/>
      </c>
      <c r="L300" s="27">
        <f>W300</f>
        <v/>
      </c>
      <c r="M300" s="28">
        <f>AA300</f>
        <v/>
      </c>
      <c r="N300" s="23">
        <f>IF(AND(B300="",C300="",D300="",N(H300)=0),"",IF(B300="","Enter the date",IF(C300="","Pick the party",IF(P300="?","Add this party on the Parties sheet first",IF(D300="","Pick the entry type",IF(Q300="?","Pick the entry type from the list",IF(N(H300)=0,"Enter the amount",IF(AND(R300&lt;&gt;"Any",R300&lt;&gt;P300),"Sales, receipts and credit notes are for debtors; purchases, payments and debit notes for creditors",IF(AND(F300&lt;&gt;"",D300&lt;&gt;"Purchase bill"),"The received-on date is only for purchase bills",IF(AND(P300="Creditor",X300=1,AA300&gt;0),"Past due to a micro or small supplier: interest runs under MSMED s.16, and if unpaid at year end it is not deductible that year, s.37(2)(g)",IF(AND(P300="Debtor",X300=1,AA300&gt;0),"Past due to you: as a micro or small supplier you can claim interest under MSMED s.16","OK")))))))))))</f>
        <v/>
      </c>
      <c r="P300">
        <f>IF(C300="","",IFERROR(VLOOKUP(C300,'Parties'!$B$13:$Q$112,2,FALSE),"?"))</f>
        <v/>
      </c>
      <c r="Q300">
        <f>IF(D300="","",IFERROR(VLOOKUP(D300,Lists!$A$2:$D$9,3,FALSE),"?"))</f>
        <v/>
      </c>
      <c r="R300">
        <f>IF(D300="","",IFERROR(VLOOKUP(D300,Lists!$A$2:$D$9,4,FALSE),"?"))</f>
        <v/>
      </c>
      <c r="S300">
        <f>IF(P300="Debtor",I300,IF(P300="Creditor",J300,0))</f>
        <v/>
      </c>
      <c r="T300">
        <f>IF(P300="Debtor",J300,IF(P300="Creditor",I300,0))</f>
        <v/>
      </c>
      <c r="U300">
        <f>IF(OR(S300=0,B300=""),0,IFERROR(VLOOKUP(C300,'Parties'!$B$13:$Q$112,13,FALSE),0)+SUMIFS($S$7:$S$506,$C$7:$C$506,C300,$B$7:$B$506,"&lt;"&amp;B300)+SUMIFS(S$7:S300,C$7:C300,C300,B$7:B300,B300))</f>
        <v/>
      </c>
      <c r="V300">
        <f>IF(S300=0,0,IFERROR(VLOOKUP(C300,'Parties'!$B$13:$Q$112,14,FALSE),0)+SUMIFS($T$7:$T$506,$C$7:$C$506,C300,$B$7:$B$506,"&lt;="&amp;'Outstanding'!$E$5))</f>
        <v/>
      </c>
      <c r="W300">
        <f>IF(OR('Outstanding'!$E$5="",S300=0,B300="",B300&gt;'Outstanding'!$E$5),0,MAX(0,MIN(S300,U300-V300)))</f>
        <v/>
      </c>
      <c r="X300">
        <f>IF(C300="",0,IFERROR(VLOOKUP(C300,'Parties'!$B$13:$Q$112,15,FALSE),0))</f>
        <v/>
      </c>
      <c r="Y300">
        <f>IF(C300="","",IFERROR(VLOOKUP(C300,'Parties'!$B$13:$Q$112,16,FALSE),0))</f>
        <v/>
      </c>
      <c r="Z300">
        <f>IF(OR(S300=0,B300="",Y300=""),"",IF(AND(F300&lt;&gt;"",D300="Purchase bill"),F300,B300)+Y300)</f>
        <v/>
      </c>
      <c r="AA300">
        <f>IF(OR(W300=0,Z300=""),0,MAX(0,'Outstanding'!$E$5-Z300))</f>
        <v/>
      </c>
      <c r="AB300">
        <f>IF(AND(X300=1,AA300&gt;0),W300*((1+3*N('Parties'!$E$10)/12)^(AA300*12/365)-1),0)</f>
        <v/>
      </c>
      <c r="AC300">
        <f>IF(W300=0,"",'Outstanding'!$E$5-B300)</f>
        <v/>
      </c>
      <c r="AD300">
        <f>IF(S300=0,0,IFERROR(VLOOKUP(C300,'Parties'!$B$13:$Q$112,14,FALSE),0)+SUMIFS($T$7:$T$506,$C$7:$C$506,C300,$B$7:$B$506,"&lt;="&amp;'Parties'!$E$8))</f>
        <v/>
      </c>
      <c r="AE300">
        <f>IF(OR('Parties'!$E$8="",S300=0,B300="",B300&gt;'Parties'!$E$8),0,MAX(0,MIN(S300,U300-AD300)))</f>
        <v/>
      </c>
      <c r="AF300">
        <f>IF(AND(P300="Creditor",X300=1,AE300&gt;0,Z300&lt;&gt;""),IF(Z300&lt;='Parties'!$E$8,AE300,0),0)</f>
        <v/>
      </c>
      <c r="AG300">
        <f>IF(OR(AE300=0,Z300=""),0,MAX(0,'Parties'!$E$8-Z300))</f>
        <v/>
      </c>
      <c r="AH300">
        <f>IF(AND(P300="Creditor",X300=1,AG300&gt;0),AE300*((1+3*N('Parties'!$E$10)/12)^(AG300*12/365)-1),0)</f>
        <v/>
      </c>
      <c r="AI300">
        <f>IF(AND(C300&lt;&gt;"",C300='Ledger Account'!$D$4,B300&lt;&gt;"",B300&gt;='Ledger Account'!$D$5,B300&lt;='Ledger Account'!$D$6),1,0)</f>
        <v/>
      </c>
      <c r="AJ300">
        <f>IF(AI300=1,SUM(AI$7:AI300),"")</f>
        <v/>
      </c>
      <c r="AK300">
        <f>IF(OR(N300="",N300="OK"),0,1)</f>
        <v/>
      </c>
    </row>
    <row r="301">
      <c r="B301" s="24" t="n"/>
      <c r="C301" s="14" t="n"/>
      <c r="D301" s="14" t="n"/>
      <c r="E301" s="20" t="n"/>
      <c r="F301" s="24" t="n"/>
      <c r="G301" s="14" t="n"/>
      <c r="H301" s="22" t="n"/>
      <c r="I301" s="25">
        <f>IF(Q301="D",N(H301),0)</f>
        <v/>
      </c>
      <c r="J301" s="25">
        <f>IF(Q301="C",N(H301),0)</f>
        <v/>
      </c>
      <c r="K301" s="26">
        <f>IF(Z301="","",Z301)</f>
        <v/>
      </c>
      <c r="L301" s="27">
        <f>W301</f>
        <v/>
      </c>
      <c r="M301" s="28">
        <f>AA301</f>
        <v/>
      </c>
      <c r="N301" s="23">
        <f>IF(AND(B301="",C301="",D301="",N(H301)=0),"",IF(B301="","Enter the date",IF(C301="","Pick the party",IF(P301="?","Add this party on the Parties sheet first",IF(D301="","Pick the entry type",IF(Q301="?","Pick the entry type from the list",IF(N(H301)=0,"Enter the amount",IF(AND(R301&lt;&gt;"Any",R301&lt;&gt;P301),"Sales, receipts and credit notes are for debtors; purchases, payments and debit notes for creditors",IF(AND(F301&lt;&gt;"",D301&lt;&gt;"Purchase bill"),"The received-on date is only for purchase bills",IF(AND(P301="Creditor",X301=1,AA301&gt;0),"Past due to a micro or small supplier: interest runs under MSMED s.16, and if unpaid at year end it is not deductible that year, s.37(2)(g)",IF(AND(P301="Debtor",X301=1,AA301&gt;0),"Past due to you: as a micro or small supplier you can claim interest under MSMED s.16","OK")))))))))))</f>
        <v/>
      </c>
      <c r="P301">
        <f>IF(C301="","",IFERROR(VLOOKUP(C301,'Parties'!$B$13:$Q$112,2,FALSE),"?"))</f>
        <v/>
      </c>
      <c r="Q301">
        <f>IF(D301="","",IFERROR(VLOOKUP(D301,Lists!$A$2:$D$9,3,FALSE),"?"))</f>
        <v/>
      </c>
      <c r="R301">
        <f>IF(D301="","",IFERROR(VLOOKUP(D301,Lists!$A$2:$D$9,4,FALSE),"?"))</f>
        <v/>
      </c>
      <c r="S301">
        <f>IF(P301="Debtor",I301,IF(P301="Creditor",J301,0))</f>
        <v/>
      </c>
      <c r="T301">
        <f>IF(P301="Debtor",J301,IF(P301="Creditor",I301,0))</f>
        <v/>
      </c>
      <c r="U301">
        <f>IF(OR(S301=0,B301=""),0,IFERROR(VLOOKUP(C301,'Parties'!$B$13:$Q$112,13,FALSE),0)+SUMIFS($S$7:$S$506,$C$7:$C$506,C301,$B$7:$B$506,"&lt;"&amp;B301)+SUMIFS(S$7:S301,C$7:C301,C301,B$7:B301,B301))</f>
        <v/>
      </c>
      <c r="V301">
        <f>IF(S301=0,0,IFERROR(VLOOKUP(C301,'Parties'!$B$13:$Q$112,14,FALSE),0)+SUMIFS($T$7:$T$506,$C$7:$C$506,C301,$B$7:$B$506,"&lt;="&amp;'Outstanding'!$E$5))</f>
        <v/>
      </c>
      <c r="W301">
        <f>IF(OR('Outstanding'!$E$5="",S301=0,B301="",B301&gt;'Outstanding'!$E$5),0,MAX(0,MIN(S301,U301-V301)))</f>
        <v/>
      </c>
      <c r="X301">
        <f>IF(C301="",0,IFERROR(VLOOKUP(C301,'Parties'!$B$13:$Q$112,15,FALSE),0))</f>
        <v/>
      </c>
      <c r="Y301">
        <f>IF(C301="","",IFERROR(VLOOKUP(C301,'Parties'!$B$13:$Q$112,16,FALSE),0))</f>
        <v/>
      </c>
      <c r="Z301">
        <f>IF(OR(S301=0,B301="",Y301=""),"",IF(AND(F301&lt;&gt;"",D301="Purchase bill"),F301,B301)+Y301)</f>
        <v/>
      </c>
      <c r="AA301">
        <f>IF(OR(W301=0,Z301=""),0,MAX(0,'Outstanding'!$E$5-Z301))</f>
        <v/>
      </c>
      <c r="AB301">
        <f>IF(AND(X301=1,AA301&gt;0),W301*((1+3*N('Parties'!$E$10)/12)^(AA301*12/365)-1),0)</f>
        <v/>
      </c>
      <c r="AC301">
        <f>IF(W301=0,"",'Outstanding'!$E$5-B301)</f>
        <v/>
      </c>
      <c r="AD301">
        <f>IF(S301=0,0,IFERROR(VLOOKUP(C301,'Parties'!$B$13:$Q$112,14,FALSE),0)+SUMIFS($T$7:$T$506,$C$7:$C$506,C301,$B$7:$B$506,"&lt;="&amp;'Parties'!$E$8))</f>
        <v/>
      </c>
      <c r="AE301">
        <f>IF(OR('Parties'!$E$8="",S301=0,B301="",B301&gt;'Parties'!$E$8),0,MAX(0,MIN(S301,U301-AD301)))</f>
        <v/>
      </c>
      <c r="AF301">
        <f>IF(AND(P301="Creditor",X301=1,AE301&gt;0,Z301&lt;&gt;""),IF(Z301&lt;='Parties'!$E$8,AE301,0),0)</f>
        <v/>
      </c>
      <c r="AG301">
        <f>IF(OR(AE301=0,Z301=""),0,MAX(0,'Parties'!$E$8-Z301))</f>
        <v/>
      </c>
      <c r="AH301">
        <f>IF(AND(P301="Creditor",X301=1,AG301&gt;0),AE301*((1+3*N('Parties'!$E$10)/12)^(AG301*12/365)-1),0)</f>
        <v/>
      </c>
      <c r="AI301">
        <f>IF(AND(C301&lt;&gt;"",C301='Ledger Account'!$D$4,B301&lt;&gt;"",B301&gt;='Ledger Account'!$D$5,B301&lt;='Ledger Account'!$D$6),1,0)</f>
        <v/>
      </c>
      <c r="AJ301">
        <f>IF(AI301=1,SUM(AI$7:AI301),"")</f>
        <v/>
      </c>
      <c r="AK301">
        <f>IF(OR(N301="",N301="OK"),0,1)</f>
        <v/>
      </c>
    </row>
    <row r="302">
      <c r="B302" s="24" t="n"/>
      <c r="C302" s="14" t="n"/>
      <c r="D302" s="14" t="n"/>
      <c r="E302" s="20" t="n"/>
      <c r="F302" s="24" t="n"/>
      <c r="G302" s="14" t="n"/>
      <c r="H302" s="22" t="n"/>
      <c r="I302" s="25">
        <f>IF(Q302="D",N(H302),0)</f>
        <v/>
      </c>
      <c r="J302" s="25">
        <f>IF(Q302="C",N(H302),0)</f>
        <v/>
      </c>
      <c r="K302" s="26">
        <f>IF(Z302="","",Z302)</f>
        <v/>
      </c>
      <c r="L302" s="27">
        <f>W302</f>
        <v/>
      </c>
      <c r="M302" s="28">
        <f>AA302</f>
        <v/>
      </c>
      <c r="N302" s="23">
        <f>IF(AND(B302="",C302="",D302="",N(H302)=0),"",IF(B302="","Enter the date",IF(C302="","Pick the party",IF(P302="?","Add this party on the Parties sheet first",IF(D302="","Pick the entry type",IF(Q302="?","Pick the entry type from the list",IF(N(H302)=0,"Enter the amount",IF(AND(R302&lt;&gt;"Any",R302&lt;&gt;P302),"Sales, receipts and credit notes are for debtors; purchases, payments and debit notes for creditors",IF(AND(F302&lt;&gt;"",D302&lt;&gt;"Purchase bill"),"The received-on date is only for purchase bills",IF(AND(P302="Creditor",X302=1,AA302&gt;0),"Past due to a micro or small supplier: interest runs under MSMED s.16, and if unpaid at year end it is not deductible that year, s.37(2)(g)",IF(AND(P302="Debtor",X302=1,AA302&gt;0),"Past due to you: as a micro or small supplier you can claim interest under MSMED s.16","OK")))))))))))</f>
        <v/>
      </c>
      <c r="P302">
        <f>IF(C302="","",IFERROR(VLOOKUP(C302,'Parties'!$B$13:$Q$112,2,FALSE),"?"))</f>
        <v/>
      </c>
      <c r="Q302">
        <f>IF(D302="","",IFERROR(VLOOKUP(D302,Lists!$A$2:$D$9,3,FALSE),"?"))</f>
        <v/>
      </c>
      <c r="R302">
        <f>IF(D302="","",IFERROR(VLOOKUP(D302,Lists!$A$2:$D$9,4,FALSE),"?"))</f>
        <v/>
      </c>
      <c r="S302">
        <f>IF(P302="Debtor",I302,IF(P302="Creditor",J302,0))</f>
        <v/>
      </c>
      <c r="T302">
        <f>IF(P302="Debtor",J302,IF(P302="Creditor",I302,0))</f>
        <v/>
      </c>
      <c r="U302">
        <f>IF(OR(S302=0,B302=""),0,IFERROR(VLOOKUP(C302,'Parties'!$B$13:$Q$112,13,FALSE),0)+SUMIFS($S$7:$S$506,$C$7:$C$506,C302,$B$7:$B$506,"&lt;"&amp;B302)+SUMIFS(S$7:S302,C$7:C302,C302,B$7:B302,B302))</f>
        <v/>
      </c>
      <c r="V302">
        <f>IF(S302=0,0,IFERROR(VLOOKUP(C302,'Parties'!$B$13:$Q$112,14,FALSE),0)+SUMIFS($T$7:$T$506,$C$7:$C$506,C302,$B$7:$B$506,"&lt;="&amp;'Outstanding'!$E$5))</f>
        <v/>
      </c>
      <c r="W302">
        <f>IF(OR('Outstanding'!$E$5="",S302=0,B302="",B302&gt;'Outstanding'!$E$5),0,MAX(0,MIN(S302,U302-V302)))</f>
        <v/>
      </c>
      <c r="X302">
        <f>IF(C302="",0,IFERROR(VLOOKUP(C302,'Parties'!$B$13:$Q$112,15,FALSE),0))</f>
        <v/>
      </c>
      <c r="Y302">
        <f>IF(C302="","",IFERROR(VLOOKUP(C302,'Parties'!$B$13:$Q$112,16,FALSE),0))</f>
        <v/>
      </c>
      <c r="Z302">
        <f>IF(OR(S302=0,B302="",Y302=""),"",IF(AND(F302&lt;&gt;"",D302="Purchase bill"),F302,B302)+Y302)</f>
        <v/>
      </c>
      <c r="AA302">
        <f>IF(OR(W302=0,Z302=""),0,MAX(0,'Outstanding'!$E$5-Z302))</f>
        <v/>
      </c>
      <c r="AB302">
        <f>IF(AND(X302=1,AA302&gt;0),W302*((1+3*N('Parties'!$E$10)/12)^(AA302*12/365)-1),0)</f>
        <v/>
      </c>
      <c r="AC302">
        <f>IF(W302=0,"",'Outstanding'!$E$5-B302)</f>
        <v/>
      </c>
      <c r="AD302">
        <f>IF(S302=0,0,IFERROR(VLOOKUP(C302,'Parties'!$B$13:$Q$112,14,FALSE),0)+SUMIFS($T$7:$T$506,$C$7:$C$506,C302,$B$7:$B$506,"&lt;="&amp;'Parties'!$E$8))</f>
        <v/>
      </c>
      <c r="AE302">
        <f>IF(OR('Parties'!$E$8="",S302=0,B302="",B302&gt;'Parties'!$E$8),0,MAX(0,MIN(S302,U302-AD302)))</f>
        <v/>
      </c>
      <c r="AF302">
        <f>IF(AND(P302="Creditor",X302=1,AE302&gt;0,Z302&lt;&gt;""),IF(Z302&lt;='Parties'!$E$8,AE302,0),0)</f>
        <v/>
      </c>
      <c r="AG302">
        <f>IF(OR(AE302=0,Z302=""),0,MAX(0,'Parties'!$E$8-Z302))</f>
        <v/>
      </c>
      <c r="AH302">
        <f>IF(AND(P302="Creditor",X302=1,AG302&gt;0),AE302*((1+3*N('Parties'!$E$10)/12)^(AG302*12/365)-1),0)</f>
        <v/>
      </c>
      <c r="AI302">
        <f>IF(AND(C302&lt;&gt;"",C302='Ledger Account'!$D$4,B302&lt;&gt;"",B302&gt;='Ledger Account'!$D$5,B302&lt;='Ledger Account'!$D$6),1,0)</f>
        <v/>
      </c>
      <c r="AJ302">
        <f>IF(AI302=1,SUM(AI$7:AI302),"")</f>
        <v/>
      </c>
      <c r="AK302">
        <f>IF(OR(N302="",N302="OK"),0,1)</f>
        <v/>
      </c>
    </row>
    <row r="303">
      <c r="B303" s="24" t="n"/>
      <c r="C303" s="14" t="n"/>
      <c r="D303" s="14" t="n"/>
      <c r="E303" s="20" t="n"/>
      <c r="F303" s="24" t="n"/>
      <c r="G303" s="14" t="n"/>
      <c r="H303" s="22" t="n"/>
      <c r="I303" s="25">
        <f>IF(Q303="D",N(H303),0)</f>
        <v/>
      </c>
      <c r="J303" s="25">
        <f>IF(Q303="C",N(H303),0)</f>
        <v/>
      </c>
      <c r="K303" s="26">
        <f>IF(Z303="","",Z303)</f>
        <v/>
      </c>
      <c r="L303" s="27">
        <f>W303</f>
        <v/>
      </c>
      <c r="M303" s="28">
        <f>AA303</f>
        <v/>
      </c>
      <c r="N303" s="23">
        <f>IF(AND(B303="",C303="",D303="",N(H303)=0),"",IF(B303="","Enter the date",IF(C303="","Pick the party",IF(P303="?","Add this party on the Parties sheet first",IF(D303="","Pick the entry type",IF(Q303="?","Pick the entry type from the list",IF(N(H303)=0,"Enter the amount",IF(AND(R303&lt;&gt;"Any",R303&lt;&gt;P303),"Sales, receipts and credit notes are for debtors; purchases, payments and debit notes for creditors",IF(AND(F303&lt;&gt;"",D303&lt;&gt;"Purchase bill"),"The received-on date is only for purchase bills",IF(AND(P303="Creditor",X303=1,AA303&gt;0),"Past due to a micro or small supplier: interest runs under MSMED s.16, and if unpaid at year end it is not deductible that year, s.37(2)(g)",IF(AND(P303="Debtor",X303=1,AA303&gt;0),"Past due to you: as a micro or small supplier you can claim interest under MSMED s.16","OK")))))))))))</f>
        <v/>
      </c>
      <c r="P303">
        <f>IF(C303="","",IFERROR(VLOOKUP(C303,'Parties'!$B$13:$Q$112,2,FALSE),"?"))</f>
        <v/>
      </c>
      <c r="Q303">
        <f>IF(D303="","",IFERROR(VLOOKUP(D303,Lists!$A$2:$D$9,3,FALSE),"?"))</f>
        <v/>
      </c>
      <c r="R303">
        <f>IF(D303="","",IFERROR(VLOOKUP(D303,Lists!$A$2:$D$9,4,FALSE),"?"))</f>
        <v/>
      </c>
      <c r="S303">
        <f>IF(P303="Debtor",I303,IF(P303="Creditor",J303,0))</f>
        <v/>
      </c>
      <c r="T303">
        <f>IF(P303="Debtor",J303,IF(P303="Creditor",I303,0))</f>
        <v/>
      </c>
      <c r="U303">
        <f>IF(OR(S303=0,B303=""),0,IFERROR(VLOOKUP(C303,'Parties'!$B$13:$Q$112,13,FALSE),0)+SUMIFS($S$7:$S$506,$C$7:$C$506,C303,$B$7:$B$506,"&lt;"&amp;B303)+SUMIFS(S$7:S303,C$7:C303,C303,B$7:B303,B303))</f>
        <v/>
      </c>
      <c r="V303">
        <f>IF(S303=0,0,IFERROR(VLOOKUP(C303,'Parties'!$B$13:$Q$112,14,FALSE),0)+SUMIFS($T$7:$T$506,$C$7:$C$506,C303,$B$7:$B$506,"&lt;="&amp;'Outstanding'!$E$5))</f>
        <v/>
      </c>
      <c r="W303">
        <f>IF(OR('Outstanding'!$E$5="",S303=0,B303="",B303&gt;'Outstanding'!$E$5),0,MAX(0,MIN(S303,U303-V303)))</f>
        <v/>
      </c>
      <c r="X303">
        <f>IF(C303="",0,IFERROR(VLOOKUP(C303,'Parties'!$B$13:$Q$112,15,FALSE),0))</f>
        <v/>
      </c>
      <c r="Y303">
        <f>IF(C303="","",IFERROR(VLOOKUP(C303,'Parties'!$B$13:$Q$112,16,FALSE),0))</f>
        <v/>
      </c>
      <c r="Z303">
        <f>IF(OR(S303=0,B303="",Y303=""),"",IF(AND(F303&lt;&gt;"",D303="Purchase bill"),F303,B303)+Y303)</f>
        <v/>
      </c>
      <c r="AA303">
        <f>IF(OR(W303=0,Z303=""),0,MAX(0,'Outstanding'!$E$5-Z303))</f>
        <v/>
      </c>
      <c r="AB303">
        <f>IF(AND(X303=1,AA303&gt;0),W303*((1+3*N('Parties'!$E$10)/12)^(AA303*12/365)-1),0)</f>
        <v/>
      </c>
      <c r="AC303">
        <f>IF(W303=0,"",'Outstanding'!$E$5-B303)</f>
        <v/>
      </c>
      <c r="AD303">
        <f>IF(S303=0,0,IFERROR(VLOOKUP(C303,'Parties'!$B$13:$Q$112,14,FALSE),0)+SUMIFS($T$7:$T$506,$C$7:$C$506,C303,$B$7:$B$506,"&lt;="&amp;'Parties'!$E$8))</f>
        <v/>
      </c>
      <c r="AE303">
        <f>IF(OR('Parties'!$E$8="",S303=0,B303="",B303&gt;'Parties'!$E$8),0,MAX(0,MIN(S303,U303-AD303)))</f>
        <v/>
      </c>
      <c r="AF303">
        <f>IF(AND(P303="Creditor",X303=1,AE303&gt;0,Z303&lt;&gt;""),IF(Z303&lt;='Parties'!$E$8,AE303,0),0)</f>
        <v/>
      </c>
      <c r="AG303">
        <f>IF(OR(AE303=0,Z303=""),0,MAX(0,'Parties'!$E$8-Z303))</f>
        <v/>
      </c>
      <c r="AH303">
        <f>IF(AND(P303="Creditor",X303=1,AG303&gt;0),AE303*((1+3*N('Parties'!$E$10)/12)^(AG303*12/365)-1),0)</f>
        <v/>
      </c>
      <c r="AI303">
        <f>IF(AND(C303&lt;&gt;"",C303='Ledger Account'!$D$4,B303&lt;&gt;"",B303&gt;='Ledger Account'!$D$5,B303&lt;='Ledger Account'!$D$6),1,0)</f>
        <v/>
      </c>
      <c r="AJ303">
        <f>IF(AI303=1,SUM(AI$7:AI303),"")</f>
        <v/>
      </c>
      <c r="AK303">
        <f>IF(OR(N303="",N303="OK"),0,1)</f>
        <v/>
      </c>
    </row>
    <row r="304">
      <c r="B304" s="24" t="n"/>
      <c r="C304" s="14" t="n"/>
      <c r="D304" s="14" t="n"/>
      <c r="E304" s="20" t="n"/>
      <c r="F304" s="24" t="n"/>
      <c r="G304" s="14" t="n"/>
      <c r="H304" s="22" t="n"/>
      <c r="I304" s="25">
        <f>IF(Q304="D",N(H304),0)</f>
        <v/>
      </c>
      <c r="J304" s="25">
        <f>IF(Q304="C",N(H304),0)</f>
        <v/>
      </c>
      <c r="K304" s="26">
        <f>IF(Z304="","",Z304)</f>
        <v/>
      </c>
      <c r="L304" s="27">
        <f>W304</f>
        <v/>
      </c>
      <c r="M304" s="28">
        <f>AA304</f>
        <v/>
      </c>
      <c r="N304" s="23">
        <f>IF(AND(B304="",C304="",D304="",N(H304)=0),"",IF(B304="","Enter the date",IF(C304="","Pick the party",IF(P304="?","Add this party on the Parties sheet first",IF(D304="","Pick the entry type",IF(Q304="?","Pick the entry type from the list",IF(N(H304)=0,"Enter the amount",IF(AND(R304&lt;&gt;"Any",R304&lt;&gt;P304),"Sales, receipts and credit notes are for debtors; purchases, payments and debit notes for creditors",IF(AND(F304&lt;&gt;"",D304&lt;&gt;"Purchase bill"),"The received-on date is only for purchase bills",IF(AND(P304="Creditor",X304=1,AA304&gt;0),"Past due to a micro or small supplier: interest runs under MSMED s.16, and if unpaid at year end it is not deductible that year, s.37(2)(g)",IF(AND(P304="Debtor",X304=1,AA304&gt;0),"Past due to you: as a micro or small supplier you can claim interest under MSMED s.16","OK")))))))))))</f>
        <v/>
      </c>
      <c r="P304">
        <f>IF(C304="","",IFERROR(VLOOKUP(C304,'Parties'!$B$13:$Q$112,2,FALSE),"?"))</f>
        <v/>
      </c>
      <c r="Q304">
        <f>IF(D304="","",IFERROR(VLOOKUP(D304,Lists!$A$2:$D$9,3,FALSE),"?"))</f>
        <v/>
      </c>
      <c r="R304">
        <f>IF(D304="","",IFERROR(VLOOKUP(D304,Lists!$A$2:$D$9,4,FALSE),"?"))</f>
        <v/>
      </c>
      <c r="S304">
        <f>IF(P304="Debtor",I304,IF(P304="Creditor",J304,0))</f>
        <v/>
      </c>
      <c r="T304">
        <f>IF(P304="Debtor",J304,IF(P304="Creditor",I304,0))</f>
        <v/>
      </c>
      <c r="U304">
        <f>IF(OR(S304=0,B304=""),0,IFERROR(VLOOKUP(C304,'Parties'!$B$13:$Q$112,13,FALSE),0)+SUMIFS($S$7:$S$506,$C$7:$C$506,C304,$B$7:$B$506,"&lt;"&amp;B304)+SUMIFS(S$7:S304,C$7:C304,C304,B$7:B304,B304))</f>
        <v/>
      </c>
      <c r="V304">
        <f>IF(S304=0,0,IFERROR(VLOOKUP(C304,'Parties'!$B$13:$Q$112,14,FALSE),0)+SUMIFS($T$7:$T$506,$C$7:$C$506,C304,$B$7:$B$506,"&lt;="&amp;'Outstanding'!$E$5))</f>
        <v/>
      </c>
      <c r="W304">
        <f>IF(OR('Outstanding'!$E$5="",S304=0,B304="",B304&gt;'Outstanding'!$E$5),0,MAX(0,MIN(S304,U304-V304)))</f>
        <v/>
      </c>
      <c r="X304">
        <f>IF(C304="",0,IFERROR(VLOOKUP(C304,'Parties'!$B$13:$Q$112,15,FALSE),0))</f>
        <v/>
      </c>
      <c r="Y304">
        <f>IF(C304="","",IFERROR(VLOOKUP(C304,'Parties'!$B$13:$Q$112,16,FALSE),0))</f>
        <v/>
      </c>
      <c r="Z304">
        <f>IF(OR(S304=0,B304="",Y304=""),"",IF(AND(F304&lt;&gt;"",D304="Purchase bill"),F304,B304)+Y304)</f>
        <v/>
      </c>
      <c r="AA304">
        <f>IF(OR(W304=0,Z304=""),0,MAX(0,'Outstanding'!$E$5-Z304))</f>
        <v/>
      </c>
      <c r="AB304">
        <f>IF(AND(X304=1,AA304&gt;0),W304*((1+3*N('Parties'!$E$10)/12)^(AA304*12/365)-1),0)</f>
        <v/>
      </c>
      <c r="AC304">
        <f>IF(W304=0,"",'Outstanding'!$E$5-B304)</f>
        <v/>
      </c>
      <c r="AD304">
        <f>IF(S304=0,0,IFERROR(VLOOKUP(C304,'Parties'!$B$13:$Q$112,14,FALSE),0)+SUMIFS($T$7:$T$506,$C$7:$C$506,C304,$B$7:$B$506,"&lt;="&amp;'Parties'!$E$8))</f>
        <v/>
      </c>
      <c r="AE304">
        <f>IF(OR('Parties'!$E$8="",S304=0,B304="",B304&gt;'Parties'!$E$8),0,MAX(0,MIN(S304,U304-AD304)))</f>
        <v/>
      </c>
      <c r="AF304">
        <f>IF(AND(P304="Creditor",X304=1,AE304&gt;0,Z304&lt;&gt;""),IF(Z304&lt;='Parties'!$E$8,AE304,0),0)</f>
        <v/>
      </c>
      <c r="AG304">
        <f>IF(OR(AE304=0,Z304=""),0,MAX(0,'Parties'!$E$8-Z304))</f>
        <v/>
      </c>
      <c r="AH304">
        <f>IF(AND(P304="Creditor",X304=1,AG304&gt;0),AE304*((1+3*N('Parties'!$E$10)/12)^(AG304*12/365)-1),0)</f>
        <v/>
      </c>
      <c r="AI304">
        <f>IF(AND(C304&lt;&gt;"",C304='Ledger Account'!$D$4,B304&lt;&gt;"",B304&gt;='Ledger Account'!$D$5,B304&lt;='Ledger Account'!$D$6),1,0)</f>
        <v/>
      </c>
      <c r="AJ304">
        <f>IF(AI304=1,SUM(AI$7:AI304),"")</f>
        <v/>
      </c>
      <c r="AK304">
        <f>IF(OR(N304="",N304="OK"),0,1)</f>
        <v/>
      </c>
    </row>
    <row r="305">
      <c r="B305" s="24" t="n"/>
      <c r="C305" s="14" t="n"/>
      <c r="D305" s="14" t="n"/>
      <c r="E305" s="20" t="n"/>
      <c r="F305" s="24" t="n"/>
      <c r="G305" s="14" t="n"/>
      <c r="H305" s="22" t="n"/>
      <c r="I305" s="25">
        <f>IF(Q305="D",N(H305),0)</f>
        <v/>
      </c>
      <c r="J305" s="25">
        <f>IF(Q305="C",N(H305),0)</f>
        <v/>
      </c>
      <c r="K305" s="26">
        <f>IF(Z305="","",Z305)</f>
        <v/>
      </c>
      <c r="L305" s="27">
        <f>W305</f>
        <v/>
      </c>
      <c r="M305" s="28">
        <f>AA305</f>
        <v/>
      </c>
      <c r="N305" s="23">
        <f>IF(AND(B305="",C305="",D305="",N(H305)=0),"",IF(B305="","Enter the date",IF(C305="","Pick the party",IF(P305="?","Add this party on the Parties sheet first",IF(D305="","Pick the entry type",IF(Q305="?","Pick the entry type from the list",IF(N(H305)=0,"Enter the amount",IF(AND(R305&lt;&gt;"Any",R305&lt;&gt;P305),"Sales, receipts and credit notes are for debtors; purchases, payments and debit notes for creditors",IF(AND(F305&lt;&gt;"",D305&lt;&gt;"Purchase bill"),"The received-on date is only for purchase bills",IF(AND(P305="Creditor",X305=1,AA305&gt;0),"Past due to a micro or small supplier: interest runs under MSMED s.16, and if unpaid at year end it is not deductible that year, s.37(2)(g)",IF(AND(P305="Debtor",X305=1,AA305&gt;0),"Past due to you: as a micro or small supplier you can claim interest under MSMED s.16","OK")))))))))))</f>
        <v/>
      </c>
      <c r="P305">
        <f>IF(C305="","",IFERROR(VLOOKUP(C305,'Parties'!$B$13:$Q$112,2,FALSE),"?"))</f>
        <v/>
      </c>
      <c r="Q305">
        <f>IF(D305="","",IFERROR(VLOOKUP(D305,Lists!$A$2:$D$9,3,FALSE),"?"))</f>
        <v/>
      </c>
      <c r="R305">
        <f>IF(D305="","",IFERROR(VLOOKUP(D305,Lists!$A$2:$D$9,4,FALSE),"?"))</f>
        <v/>
      </c>
      <c r="S305">
        <f>IF(P305="Debtor",I305,IF(P305="Creditor",J305,0))</f>
        <v/>
      </c>
      <c r="T305">
        <f>IF(P305="Debtor",J305,IF(P305="Creditor",I305,0))</f>
        <v/>
      </c>
      <c r="U305">
        <f>IF(OR(S305=0,B305=""),0,IFERROR(VLOOKUP(C305,'Parties'!$B$13:$Q$112,13,FALSE),0)+SUMIFS($S$7:$S$506,$C$7:$C$506,C305,$B$7:$B$506,"&lt;"&amp;B305)+SUMIFS(S$7:S305,C$7:C305,C305,B$7:B305,B305))</f>
        <v/>
      </c>
      <c r="V305">
        <f>IF(S305=0,0,IFERROR(VLOOKUP(C305,'Parties'!$B$13:$Q$112,14,FALSE),0)+SUMIFS($T$7:$T$506,$C$7:$C$506,C305,$B$7:$B$506,"&lt;="&amp;'Outstanding'!$E$5))</f>
        <v/>
      </c>
      <c r="W305">
        <f>IF(OR('Outstanding'!$E$5="",S305=0,B305="",B305&gt;'Outstanding'!$E$5),0,MAX(0,MIN(S305,U305-V305)))</f>
        <v/>
      </c>
      <c r="X305">
        <f>IF(C305="",0,IFERROR(VLOOKUP(C305,'Parties'!$B$13:$Q$112,15,FALSE),0))</f>
        <v/>
      </c>
      <c r="Y305">
        <f>IF(C305="","",IFERROR(VLOOKUP(C305,'Parties'!$B$13:$Q$112,16,FALSE),0))</f>
        <v/>
      </c>
      <c r="Z305">
        <f>IF(OR(S305=0,B305="",Y305=""),"",IF(AND(F305&lt;&gt;"",D305="Purchase bill"),F305,B305)+Y305)</f>
        <v/>
      </c>
      <c r="AA305">
        <f>IF(OR(W305=0,Z305=""),0,MAX(0,'Outstanding'!$E$5-Z305))</f>
        <v/>
      </c>
      <c r="AB305">
        <f>IF(AND(X305=1,AA305&gt;0),W305*((1+3*N('Parties'!$E$10)/12)^(AA305*12/365)-1),0)</f>
        <v/>
      </c>
      <c r="AC305">
        <f>IF(W305=0,"",'Outstanding'!$E$5-B305)</f>
        <v/>
      </c>
      <c r="AD305">
        <f>IF(S305=0,0,IFERROR(VLOOKUP(C305,'Parties'!$B$13:$Q$112,14,FALSE),0)+SUMIFS($T$7:$T$506,$C$7:$C$506,C305,$B$7:$B$506,"&lt;="&amp;'Parties'!$E$8))</f>
        <v/>
      </c>
      <c r="AE305">
        <f>IF(OR('Parties'!$E$8="",S305=0,B305="",B305&gt;'Parties'!$E$8),0,MAX(0,MIN(S305,U305-AD305)))</f>
        <v/>
      </c>
      <c r="AF305">
        <f>IF(AND(P305="Creditor",X305=1,AE305&gt;0,Z305&lt;&gt;""),IF(Z305&lt;='Parties'!$E$8,AE305,0),0)</f>
        <v/>
      </c>
      <c r="AG305">
        <f>IF(OR(AE305=0,Z305=""),0,MAX(0,'Parties'!$E$8-Z305))</f>
        <v/>
      </c>
      <c r="AH305">
        <f>IF(AND(P305="Creditor",X305=1,AG305&gt;0),AE305*((1+3*N('Parties'!$E$10)/12)^(AG305*12/365)-1),0)</f>
        <v/>
      </c>
      <c r="AI305">
        <f>IF(AND(C305&lt;&gt;"",C305='Ledger Account'!$D$4,B305&lt;&gt;"",B305&gt;='Ledger Account'!$D$5,B305&lt;='Ledger Account'!$D$6),1,0)</f>
        <v/>
      </c>
      <c r="AJ305">
        <f>IF(AI305=1,SUM(AI$7:AI305),"")</f>
        <v/>
      </c>
      <c r="AK305">
        <f>IF(OR(N305="",N305="OK"),0,1)</f>
        <v/>
      </c>
    </row>
    <row r="306">
      <c r="B306" s="24" t="n"/>
      <c r="C306" s="14" t="n"/>
      <c r="D306" s="14" t="n"/>
      <c r="E306" s="20" t="n"/>
      <c r="F306" s="24" t="n"/>
      <c r="G306" s="14" t="n"/>
      <c r="H306" s="22" t="n"/>
      <c r="I306" s="25">
        <f>IF(Q306="D",N(H306),0)</f>
        <v/>
      </c>
      <c r="J306" s="25">
        <f>IF(Q306="C",N(H306),0)</f>
        <v/>
      </c>
      <c r="K306" s="26">
        <f>IF(Z306="","",Z306)</f>
        <v/>
      </c>
      <c r="L306" s="27">
        <f>W306</f>
        <v/>
      </c>
      <c r="M306" s="28">
        <f>AA306</f>
        <v/>
      </c>
      <c r="N306" s="23">
        <f>IF(AND(B306="",C306="",D306="",N(H306)=0),"",IF(B306="","Enter the date",IF(C306="","Pick the party",IF(P306="?","Add this party on the Parties sheet first",IF(D306="","Pick the entry type",IF(Q306="?","Pick the entry type from the list",IF(N(H306)=0,"Enter the amount",IF(AND(R306&lt;&gt;"Any",R306&lt;&gt;P306),"Sales, receipts and credit notes are for debtors; purchases, payments and debit notes for creditors",IF(AND(F306&lt;&gt;"",D306&lt;&gt;"Purchase bill"),"The received-on date is only for purchase bills",IF(AND(P306="Creditor",X306=1,AA306&gt;0),"Past due to a micro or small supplier: interest runs under MSMED s.16, and if unpaid at year end it is not deductible that year, s.37(2)(g)",IF(AND(P306="Debtor",X306=1,AA306&gt;0),"Past due to you: as a micro or small supplier you can claim interest under MSMED s.16","OK")))))))))))</f>
        <v/>
      </c>
      <c r="P306">
        <f>IF(C306="","",IFERROR(VLOOKUP(C306,'Parties'!$B$13:$Q$112,2,FALSE),"?"))</f>
        <v/>
      </c>
      <c r="Q306">
        <f>IF(D306="","",IFERROR(VLOOKUP(D306,Lists!$A$2:$D$9,3,FALSE),"?"))</f>
        <v/>
      </c>
      <c r="R306">
        <f>IF(D306="","",IFERROR(VLOOKUP(D306,Lists!$A$2:$D$9,4,FALSE),"?"))</f>
        <v/>
      </c>
      <c r="S306">
        <f>IF(P306="Debtor",I306,IF(P306="Creditor",J306,0))</f>
        <v/>
      </c>
      <c r="T306">
        <f>IF(P306="Debtor",J306,IF(P306="Creditor",I306,0))</f>
        <v/>
      </c>
      <c r="U306">
        <f>IF(OR(S306=0,B306=""),0,IFERROR(VLOOKUP(C306,'Parties'!$B$13:$Q$112,13,FALSE),0)+SUMIFS($S$7:$S$506,$C$7:$C$506,C306,$B$7:$B$506,"&lt;"&amp;B306)+SUMIFS(S$7:S306,C$7:C306,C306,B$7:B306,B306))</f>
        <v/>
      </c>
      <c r="V306">
        <f>IF(S306=0,0,IFERROR(VLOOKUP(C306,'Parties'!$B$13:$Q$112,14,FALSE),0)+SUMIFS($T$7:$T$506,$C$7:$C$506,C306,$B$7:$B$506,"&lt;="&amp;'Outstanding'!$E$5))</f>
        <v/>
      </c>
      <c r="W306">
        <f>IF(OR('Outstanding'!$E$5="",S306=0,B306="",B306&gt;'Outstanding'!$E$5),0,MAX(0,MIN(S306,U306-V306)))</f>
        <v/>
      </c>
      <c r="X306">
        <f>IF(C306="",0,IFERROR(VLOOKUP(C306,'Parties'!$B$13:$Q$112,15,FALSE),0))</f>
        <v/>
      </c>
      <c r="Y306">
        <f>IF(C306="","",IFERROR(VLOOKUP(C306,'Parties'!$B$13:$Q$112,16,FALSE),0))</f>
        <v/>
      </c>
      <c r="Z306">
        <f>IF(OR(S306=0,B306="",Y306=""),"",IF(AND(F306&lt;&gt;"",D306="Purchase bill"),F306,B306)+Y306)</f>
        <v/>
      </c>
      <c r="AA306">
        <f>IF(OR(W306=0,Z306=""),0,MAX(0,'Outstanding'!$E$5-Z306))</f>
        <v/>
      </c>
      <c r="AB306">
        <f>IF(AND(X306=1,AA306&gt;0),W306*((1+3*N('Parties'!$E$10)/12)^(AA306*12/365)-1),0)</f>
        <v/>
      </c>
      <c r="AC306">
        <f>IF(W306=0,"",'Outstanding'!$E$5-B306)</f>
        <v/>
      </c>
      <c r="AD306">
        <f>IF(S306=0,0,IFERROR(VLOOKUP(C306,'Parties'!$B$13:$Q$112,14,FALSE),0)+SUMIFS($T$7:$T$506,$C$7:$C$506,C306,$B$7:$B$506,"&lt;="&amp;'Parties'!$E$8))</f>
        <v/>
      </c>
      <c r="AE306">
        <f>IF(OR('Parties'!$E$8="",S306=0,B306="",B306&gt;'Parties'!$E$8),0,MAX(0,MIN(S306,U306-AD306)))</f>
        <v/>
      </c>
      <c r="AF306">
        <f>IF(AND(P306="Creditor",X306=1,AE306&gt;0,Z306&lt;&gt;""),IF(Z306&lt;='Parties'!$E$8,AE306,0),0)</f>
        <v/>
      </c>
      <c r="AG306">
        <f>IF(OR(AE306=0,Z306=""),0,MAX(0,'Parties'!$E$8-Z306))</f>
        <v/>
      </c>
      <c r="AH306">
        <f>IF(AND(P306="Creditor",X306=1,AG306&gt;0),AE306*((1+3*N('Parties'!$E$10)/12)^(AG306*12/365)-1),0)</f>
        <v/>
      </c>
      <c r="AI306">
        <f>IF(AND(C306&lt;&gt;"",C306='Ledger Account'!$D$4,B306&lt;&gt;"",B306&gt;='Ledger Account'!$D$5,B306&lt;='Ledger Account'!$D$6),1,0)</f>
        <v/>
      </c>
      <c r="AJ306">
        <f>IF(AI306=1,SUM(AI$7:AI306),"")</f>
        <v/>
      </c>
      <c r="AK306">
        <f>IF(OR(N306="",N306="OK"),0,1)</f>
        <v/>
      </c>
    </row>
    <row r="307">
      <c r="B307" s="24" t="n"/>
      <c r="C307" s="14" t="n"/>
      <c r="D307" s="14" t="n"/>
      <c r="E307" s="20" t="n"/>
      <c r="F307" s="24" t="n"/>
      <c r="G307" s="14" t="n"/>
      <c r="H307" s="22" t="n"/>
      <c r="I307" s="25">
        <f>IF(Q307="D",N(H307),0)</f>
        <v/>
      </c>
      <c r="J307" s="25">
        <f>IF(Q307="C",N(H307),0)</f>
        <v/>
      </c>
      <c r="K307" s="26">
        <f>IF(Z307="","",Z307)</f>
        <v/>
      </c>
      <c r="L307" s="27">
        <f>W307</f>
        <v/>
      </c>
      <c r="M307" s="28">
        <f>AA307</f>
        <v/>
      </c>
      <c r="N307" s="23">
        <f>IF(AND(B307="",C307="",D307="",N(H307)=0),"",IF(B307="","Enter the date",IF(C307="","Pick the party",IF(P307="?","Add this party on the Parties sheet first",IF(D307="","Pick the entry type",IF(Q307="?","Pick the entry type from the list",IF(N(H307)=0,"Enter the amount",IF(AND(R307&lt;&gt;"Any",R307&lt;&gt;P307),"Sales, receipts and credit notes are for debtors; purchases, payments and debit notes for creditors",IF(AND(F307&lt;&gt;"",D307&lt;&gt;"Purchase bill"),"The received-on date is only for purchase bills",IF(AND(P307="Creditor",X307=1,AA307&gt;0),"Past due to a micro or small supplier: interest runs under MSMED s.16, and if unpaid at year end it is not deductible that year, s.37(2)(g)",IF(AND(P307="Debtor",X307=1,AA307&gt;0),"Past due to you: as a micro or small supplier you can claim interest under MSMED s.16","OK")))))))))))</f>
        <v/>
      </c>
      <c r="P307">
        <f>IF(C307="","",IFERROR(VLOOKUP(C307,'Parties'!$B$13:$Q$112,2,FALSE),"?"))</f>
        <v/>
      </c>
      <c r="Q307">
        <f>IF(D307="","",IFERROR(VLOOKUP(D307,Lists!$A$2:$D$9,3,FALSE),"?"))</f>
        <v/>
      </c>
      <c r="R307">
        <f>IF(D307="","",IFERROR(VLOOKUP(D307,Lists!$A$2:$D$9,4,FALSE),"?"))</f>
        <v/>
      </c>
      <c r="S307">
        <f>IF(P307="Debtor",I307,IF(P307="Creditor",J307,0))</f>
        <v/>
      </c>
      <c r="T307">
        <f>IF(P307="Debtor",J307,IF(P307="Creditor",I307,0))</f>
        <v/>
      </c>
      <c r="U307">
        <f>IF(OR(S307=0,B307=""),0,IFERROR(VLOOKUP(C307,'Parties'!$B$13:$Q$112,13,FALSE),0)+SUMIFS($S$7:$S$506,$C$7:$C$506,C307,$B$7:$B$506,"&lt;"&amp;B307)+SUMIFS(S$7:S307,C$7:C307,C307,B$7:B307,B307))</f>
        <v/>
      </c>
      <c r="V307">
        <f>IF(S307=0,0,IFERROR(VLOOKUP(C307,'Parties'!$B$13:$Q$112,14,FALSE),0)+SUMIFS($T$7:$T$506,$C$7:$C$506,C307,$B$7:$B$506,"&lt;="&amp;'Outstanding'!$E$5))</f>
        <v/>
      </c>
      <c r="W307">
        <f>IF(OR('Outstanding'!$E$5="",S307=0,B307="",B307&gt;'Outstanding'!$E$5),0,MAX(0,MIN(S307,U307-V307)))</f>
        <v/>
      </c>
      <c r="X307">
        <f>IF(C307="",0,IFERROR(VLOOKUP(C307,'Parties'!$B$13:$Q$112,15,FALSE),0))</f>
        <v/>
      </c>
      <c r="Y307">
        <f>IF(C307="","",IFERROR(VLOOKUP(C307,'Parties'!$B$13:$Q$112,16,FALSE),0))</f>
        <v/>
      </c>
      <c r="Z307">
        <f>IF(OR(S307=0,B307="",Y307=""),"",IF(AND(F307&lt;&gt;"",D307="Purchase bill"),F307,B307)+Y307)</f>
        <v/>
      </c>
      <c r="AA307">
        <f>IF(OR(W307=0,Z307=""),0,MAX(0,'Outstanding'!$E$5-Z307))</f>
        <v/>
      </c>
      <c r="AB307">
        <f>IF(AND(X307=1,AA307&gt;0),W307*((1+3*N('Parties'!$E$10)/12)^(AA307*12/365)-1),0)</f>
        <v/>
      </c>
      <c r="AC307">
        <f>IF(W307=0,"",'Outstanding'!$E$5-B307)</f>
        <v/>
      </c>
      <c r="AD307">
        <f>IF(S307=0,0,IFERROR(VLOOKUP(C307,'Parties'!$B$13:$Q$112,14,FALSE),0)+SUMIFS($T$7:$T$506,$C$7:$C$506,C307,$B$7:$B$506,"&lt;="&amp;'Parties'!$E$8))</f>
        <v/>
      </c>
      <c r="AE307">
        <f>IF(OR('Parties'!$E$8="",S307=0,B307="",B307&gt;'Parties'!$E$8),0,MAX(0,MIN(S307,U307-AD307)))</f>
        <v/>
      </c>
      <c r="AF307">
        <f>IF(AND(P307="Creditor",X307=1,AE307&gt;0,Z307&lt;&gt;""),IF(Z307&lt;='Parties'!$E$8,AE307,0),0)</f>
        <v/>
      </c>
      <c r="AG307">
        <f>IF(OR(AE307=0,Z307=""),0,MAX(0,'Parties'!$E$8-Z307))</f>
        <v/>
      </c>
      <c r="AH307">
        <f>IF(AND(P307="Creditor",X307=1,AG307&gt;0),AE307*((1+3*N('Parties'!$E$10)/12)^(AG307*12/365)-1),0)</f>
        <v/>
      </c>
      <c r="AI307">
        <f>IF(AND(C307&lt;&gt;"",C307='Ledger Account'!$D$4,B307&lt;&gt;"",B307&gt;='Ledger Account'!$D$5,B307&lt;='Ledger Account'!$D$6),1,0)</f>
        <v/>
      </c>
      <c r="AJ307">
        <f>IF(AI307=1,SUM(AI$7:AI307),"")</f>
        <v/>
      </c>
      <c r="AK307">
        <f>IF(OR(N307="",N307="OK"),0,1)</f>
        <v/>
      </c>
    </row>
    <row r="308">
      <c r="B308" s="24" t="n"/>
      <c r="C308" s="14" t="n"/>
      <c r="D308" s="14" t="n"/>
      <c r="E308" s="20" t="n"/>
      <c r="F308" s="24" t="n"/>
      <c r="G308" s="14" t="n"/>
      <c r="H308" s="22" t="n"/>
      <c r="I308" s="25">
        <f>IF(Q308="D",N(H308),0)</f>
        <v/>
      </c>
      <c r="J308" s="25">
        <f>IF(Q308="C",N(H308),0)</f>
        <v/>
      </c>
      <c r="K308" s="26">
        <f>IF(Z308="","",Z308)</f>
        <v/>
      </c>
      <c r="L308" s="27">
        <f>W308</f>
        <v/>
      </c>
      <c r="M308" s="28">
        <f>AA308</f>
        <v/>
      </c>
      <c r="N308" s="23">
        <f>IF(AND(B308="",C308="",D308="",N(H308)=0),"",IF(B308="","Enter the date",IF(C308="","Pick the party",IF(P308="?","Add this party on the Parties sheet first",IF(D308="","Pick the entry type",IF(Q308="?","Pick the entry type from the list",IF(N(H308)=0,"Enter the amount",IF(AND(R308&lt;&gt;"Any",R308&lt;&gt;P308),"Sales, receipts and credit notes are for debtors; purchases, payments and debit notes for creditors",IF(AND(F308&lt;&gt;"",D308&lt;&gt;"Purchase bill"),"The received-on date is only for purchase bills",IF(AND(P308="Creditor",X308=1,AA308&gt;0),"Past due to a micro or small supplier: interest runs under MSMED s.16, and if unpaid at year end it is not deductible that year, s.37(2)(g)",IF(AND(P308="Debtor",X308=1,AA308&gt;0),"Past due to you: as a micro or small supplier you can claim interest under MSMED s.16","OK")))))))))))</f>
        <v/>
      </c>
      <c r="P308">
        <f>IF(C308="","",IFERROR(VLOOKUP(C308,'Parties'!$B$13:$Q$112,2,FALSE),"?"))</f>
        <v/>
      </c>
      <c r="Q308">
        <f>IF(D308="","",IFERROR(VLOOKUP(D308,Lists!$A$2:$D$9,3,FALSE),"?"))</f>
        <v/>
      </c>
      <c r="R308">
        <f>IF(D308="","",IFERROR(VLOOKUP(D308,Lists!$A$2:$D$9,4,FALSE),"?"))</f>
        <v/>
      </c>
      <c r="S308">
        <f>IF(P308="Debtor",I308,IF(P308="Creditor",J308,0))</f>
        <v/>
      </c>
      <c r="T308">
        <f>IF(P308="Debtor",J308,IF(P308="Creditor",I308,0))</f>
        <v/>
      </c>
      <c r="U308">
        <f>IF(OR(S308=0,B308=""),0,IFERROR(VLOOKUP(C308,'Parties'!$B$13:$Q$112,13,FALSE),0)+SUMIFS($S$7:$S$506,$C$7:$C$506,C308,$B$7:$B$506,"&lt;"&amp;B308)+SUMIFS(S$7:S308,C$7:C308,C308,B$7:B308,B308))</f>
        <v/>
      </c>
      <c r="V308">
        <f>IF(S308=0,0,IFERROR(VLOOKUP(C308,'Parties'!$B$13:$Q$112,14,FALSE),0)+SUMIFS($T$7:$T$506,$C$7:$C$506,C308,$B$7:$B$506,"&lt;="&amp;'Outstanding'!$E$5))</f>
        <v/>
      </c>
      <c r="W308">
        <f>IF(OR('Outstanding'!$E$5="",S308=0,B308="",B308&gt;'Outstanding'!$E$5),0,MAX(0,MIN(S308,U308-V308)))</f>
        <v/>
      </c>
      <c r="X308">
        <f>IF(C308="",0,IFERROR(VLOOKUP(C308,'Parties'!$B$13:$Q$112,15,FALSE),0))</f>
        <v/>
      </c>
      <c r="Y308">
        <f>IF(C308="","",IFERROR(VLOOKUP(C308,'Parties'!$B$13:$Q$112,16,FALSE),0))</f>
        <v/>
      </c>
      <c r="Z308">
        <f>IF(OR(S308=0,B308="",Y308=""),"",IF(AND(F308&lt;&gt;"",D308="Purchase bill"),F308,B308)+Y308)</f>
        <v/>
      </c>
      <c r="AA308">
        <f>IF(OR(W308=0,Z308=""),0,MAX(0,'Outstanding'!$E$5-Z308))</f>
        <v/>
      </c>
      <c r="AB308">
        <f>IF(AND(X308=1,AA308&gt;0),W308*((1+3*N('Parties'!$E$10)/12)^(AA308*12/365)-1),0)</f>
        <v/>
      </c>
      <c r="AC308">
        <f>IF(W308=0,"",'Outstanding'!$E$5-B308)</f>
        <v/>
      </c>
      <c r="AD308">
        <f>IF(S308=0,0,IFERROR(VLOOKUP(C308,'Parties'!$B$13:$Q$112,14,FALSE),0)+SUMIFS($T$7:$T$506,$C$7:$C$506,C308,$B$7:$B$506,"&lt;="&amp;'Parties'!$E$8))</f>
        <v/>
      </c>
      <c r="AE308">
        <f>IF(OR('Parties'!$E$8="",S308=0,B308="",B308&gt;'Parties'!$E$8),0,MAX(0,MIN(S308,U308-AD308)))</f>
        <v/>
      </c>
      <c r="AF308">
        <f>IF(AND(P308="Creditor",X308=1,AE308&gt;0,Z308&lt;&gt;""),IF(Z308&lt;='Parties'!$E$8,AE308,0),0)</f>
        <v/>
      </c>
      <c r="AG308">
        <f>IF(OR(AE308=0,Z308=""),0,MAX(0,'Parties'!$E$8-Z308))</f>
        <v/>
      </c>
      <c r="AH308">
        <f>IF(AND(P308="Creditor",X308=1,AG308&gt;0),AE308*((1+3*N('Parties'!$E$10)/12)^(AG308*12/365)-1),0)</f>
        <v/>
      </c>
      <c r="AI308">
        <f>IF(AND(C308&lt;&gt;"",C308='Ledger Account'!$D$4,B308&lt;&gt;"",B308&gt;='Ledger Account'!$D$5,B308&lt;='Ledger Account'!$D$6),1,0)</f>
        <v/>
      </c>
      <c r="AJ308">
        <f>IF(AI308=1,SUM(AI$7:AI308),"")</f>
        <v/>
      </c>
      <c r="AK308">
        <f>IF(OR(N308="",N308="OK"),0,1)</f>
        <v/>
      </c>
    </row>
    <row r="309">
      <c r="B309" s="24" t="n"/>
      <c r="C309" s="14" t="n"/>
      <c r="D309" s="14" t="n"/>
      <c r="E309" s="20" t="n"/>
      <c r="F309" s="24" t="n"/>
      <c r="G309" s="14" t="n"/>
      <c r="H309" s="22" t="n"/>
      <c r="I309" s="25">
        <f>IF(Q309="D",N(H309),0)</f>
        <v/>
      </c>
      <c r="J309" s="25">
        <f>IF(Q309="C",N(H309),0)</f>
        <v/>
      </c>
      <c r="K309" s="26">
        <f>IF(Z309="","",Z309)</f>
        <v/>
      </c>
      <c r="L309" s="27">
        <f>W309</f>
        <v/>
      </c>
      <c r="M309" s="28">
        <f>AA309</f>
        <v/>
      </c>
      <c r="N309" s="23">
        <f>IF(AND(B309="",C309="",D309="",N(H309)=0),"",IF(B309="","Enter the date",IF(C309="","Pick the party",IF(P309="?","Add this party on the Parties sheet first",IF(D309="","Pick the entry type",IF(Q309="?","Pick the entry type from the list",IF(N(H309)=0,"Enter the amount",IF(AND(R309&lt;&gt;"Any",R309&lt;&gt;P309),"Sales, receipts and credit notes are for debtors; purchases, payments and debit notes for creditors",IF(AND(F309&lt;&gt;"",D309&lt;&gt;"Purchase bill"),"The received-on date is only for purchase bills",IF(AND(P309="Creditor",X309=1,AA309&gt;0),"Past due to a micro or small supplier: interest runs under MSMED s.16, and if unpaid at year end it is not deductible that year, s.37(2)(g)",IF(AND(P309="Debtor",X309=1,AA309&gt;0),"Past due to you: as a micro or small supplier you can claim interest under MSMED s.16","OK")))))))))))</f>
        <v/>
      </c>
      <c r="P309">
        <f>IF(C309="","",IFERROR(VLOOKUP(C309,'Parties'!$B$13:$Q$112,2,FALSE),"?"))</f>
        <v/>
      </c>
      <c r="Q309">
        <f>IF(D309="","",IFERROR(VLOOKUP(D309,Lists!$A$2:$D$9,3,FALSE),"?"))</f>
        <v/>
      </c>
      <c r="R309">
        <f>IF(D309="","",IFERROR(VLOOKUP(D309,Lists!$A$2:$D$9,4,FALSE),"?"))</f>
        <v/>
      </c>
      <c r="S309">
        <f>IF(P309="Debtor",I309,IF(P309="Creditor",J309,0))</f>
        <v/>
      </c>
      <c r="T309">
        <f>IF(P309="Debtor",J309,IF(P309="Creditor",I309,0))</f>
        <v/>
      </c>
      <c r="U309">
        <f>IF(OR(S309=0,B309=""),0,IFERROR(VLOOKUP(C309,'Parties'!$B$13:$Q$112,13,FALSE),0)+SUMIFS($S$7:$S$506,$C$7:$C$506,C309,$B$7:$B$506,"&lt;"&amp;B309)+SUMIFS(S$7:S309,C$7:C309,C309,B$7:B309,B309))</f>
        <v/>
      </c>
      <c r="V309">
        <f>IF(S309=0,0,IFERROR(VLOOKUP(C309,'Parties'!$B$13:$Q$112,14,FALSE),0)+SUMIFS($T$7:$T$506,$C$7:$C$506,C309,$B$7:$B$506,"&lt;="&amp;'Outstanding'!$E$5))</f>
        <v/>
      </c>
      <c r="W309">
        <f>IF(OR('Outstanding'!$E$5="",S309=0,B309="",B309&gt;'Outstanding'!$E$5),0,MAX(0,MIN(S309,U309-V309)))</f>
        <v/>
      </c>
      <c r="X309">
        <f>IF(C309="",0,IFERROR(VLOOKUP(C309,'Parties'!$B$13:$Q$112,15,FALSE),0))</f>
        <v/>
      </c>
      <c r="Y309">
        <f>IF(C309="","",IFERROR(VLOOKUP(C309,'Parties'!$B$13:$Q$112,16,FALSE),0))</f>
        <v/>
      </c>
      <c r="Z309">
        <f>IF(OR(S309=0,B309="",Y309=""),"",IF(AND(F309&lt;&gt;"",D309="Purchase bill"),F309,B309)+Y309)</f>
        <v/>
      </c>
      <c r="AA309">
        <f>IF(OR(W309=0,Z309=""),0,MAX(0,'Outstanding'!$E$5-Z309))</f>
        <v/>
      </c>
      <c r="AB309">
        <f>IF(AND(X309=1,AA309&gt;0),W309*((1+3*N('Parties'!$E$10)/12)^(AA309*12/365)-1),0)</f>
        <v/>
      </c>
      <c r="AC309">
        <f>IF(W309=0,"",'Outstanding'!$E$5-B309)</f>
        <v/>
      </c>
      <c r="AD309">
        <f>IF(S309=0,0,IFERROR(VLOOKUP(C309,'Parties'!$B$13:$Q$112,14,FALSE),0)+SUMIFS($T$7:$T$506,$C$7:$C$506,C309,$B$7:$B$506,"&lt;="&amp;'Parties'!$E$8))</f>
        <v/>
      </c>
      <c r="AE309">
        <f>IF(OR('Parties'!$E$8="",S309=0,B309="",B309&gt;'Parties'!$E$8),0,MAX(0,MIN(S309,U309-AD309)))</f>
        <v/>
      </c>
      <c r="AF309">
        <f>IF(AND(P309="Creditor",X309=1,AE309&gt;0,Z309&lt;&gt;""),IF(Z309&lt;='Parties'!$E$8,AE309,0),0)</f>
        <v/>
      </c>
      <c r="AG309">
        <f>IF(OR(AE309=0,Z309=""),0,MAX(0,'Parties'!$E$8-Z309))</f>
        <v/>
      </c>
      <c r="AH309">
        <f>IF(AND(P309="Creditor",X309=1,AG309&gt;0),AE309*((1+3*N('Parties'!$E$10)/12)^(AG309*12/365)-1),0)</f>
        <v/>
      </c>
      <c r="AI309">
        <f>IF(AND(C309&lt;&gt;"",C309='Ledger Account'!$D$4,B309&lt;&gt;"",B309&gt;='Ledger Account'!$D$5,B309&lt;='Ledger Account'!$D$6),1,0)</f>
        <v/>
      </c>
      <c r="AJ309">
        <f>IF(AI309=1,SUM(AI$7:AI309),"")</f>
        <v/>
      </c>
      <c r="AK309">
        <f>IF(OR(N309="",N309="OK"),0,1)</f>
        <v/>
      </c>
    </row>
    <row r="310">
      <c r="B310" s="24" t="n"/>
      <c r="C310" s="14" t="n"/>
      <c r="D310" s="14" t="n"/>
      <c r="E310" s="20" t="n"/>
      <c r="F310" s="24" t="n"/>
      <c r="G310" s="14" t="n"/>
      <c r="H310" s="22" t="n"/>
      <c r="I310" s="25">
        <f>IF(Q310="D",N(H310),0)</f>
        <v/>
      </c>
      <c r="J310" s="25">
        <f>IF(Q310="C",N(H310),0)</f>
        <v/>
      </c>
      <c r="K310" s="26">
        <f>IF(Z310="","",Z310)</f>
        <v/>
      </c>
      <c r="L310" s="27">
        <f>W310</f>
        <v/>
      </c>
      <c r="M310" s="28">
        <f>AA310</f>
        <v/>
      </c>
      <c r="N310" s="23">
        <f>IF(AND(B310="",C310="",D310="",N(H310)=0),"",IF(B310="","Enter the date",IF(C310="","Pick the party",IF(P310="?","Add this party on the Parties sheet first",IF(D310="","Pick the entry type",IF(Q310="?","Pick the entry type from the list",IF(N(H310)=0,"Enter the amount",IF(AND(R310&lt;&gt;"Any",R310&lt;&gt;P310),"Sales, receipts and credit notes are for debtors; purchases, payments and debit notes for creditors",IF(AND(F310&lt;&gt;"",D310&lt;&gt;"Purchase bill"),"The received-on date is only for purchase bills",IF(AND(P310="Creditor",X310=1,AA310&gt;0),"Past due to a micro or small supplier: interest runs under MSMED s.16, and if unpaid at year end it is not deductible that year, s.37(2)(g)",IF(AND(P310="Debtor",X310=1,AA310&gt;0),"Past due to you: as a micro or small supplier you can claim interest under MSMED s.16","OK")))))))))))</f>
        <v/>
      </c>
      <c r="P310">
        <f>IF(C310="","",IFERROR(VLOOKUP(C310,'Parties'!$B$13:$Q$112,2,FALSE),"?"))</f>
        <v/>
      </c>
      <c r="Q310">
        <f>IF(D310="","",IFERROR(VLOOKUP(D310,Lists!$A$2:$D$9,3,FALSE),"?"))</f>
        <v/>
      </c>
      <c r="R310">
        <f>IF(D310="","",IFERROR(VLOOKUP(D310,Lists!$A$2:$D$9,4,FALSE),"?"))</f>
        <v/>
      </c>
      <c r="S310">
        <f>IF(P310="Debtor",I310,IF(P310="Creditor",J310,0))</f>
        <v/>
      </c>
      <c r="T310">
        <f>IF(P310="Debtor",J310,IF(P310="Creditor",I310,0))</f>
        <v/>
      </c>
      <c r="U310">
        <f>IF(OR(S310=0,B310=""),0,IFERROR(VLOOKUP(C310,'Parties'!$B$13:$Q$112,13,FALSE),0)+SUMIFS($S$7:$S$506,$C$7:$C$506,C310,$B$7:$B$506,"&lt;"&amp;B310)+SUMIFS(S$7:S310,C$7:C310,C310,B$7:B310,B310))</f>
        <v/>
      </c>
      <c r="V310">
        <f>IF(S310=0,0,IFERROR(VLOOKUP(C310,'Parties'!$B$13:$Q$112,14,FALSE),0)+SUMIFS($T$7:$T$506,$C$7:$C$506,C310,$B$7:$B$506,"&lt;="&amp;'Outstanding'!$E$5))</f>
        <v/>
      </c>
      <c r="W310">
        <f>IF(OR('Outstanding'!$E$5="",S310=0,B310="",B310&gt;'Outstanding'!$E$5),0,MAX(0,MIN(S310,U310-V310)))</f>
        <v/>
      </c>
      <c r="X310">
        <f>IF(C310="",0,IFERROR(VLOOKUP(C310,'Parties'!$B$13:$Q$112,15,FALSE),0))</f>
        <v/>
      </c>
      <c r="Y310">
        <f>IF(C310="","",IFERROR(VLOOKUP(C310,'Parties'!$B$13:$Q$112,16,FALSE),0))</f>
        <v/>
      </c>
      <c r="Z310">
        <f>IF(OR(S310=0,B310="",Y310=""),"",IF(AND(F310&lt;&gt;"",D310="Purchase bill"),F310,B310)+Y310)</f>
        <v/>
      </c>
      <c r="AA310">
        <f>IF(OR(W310=0,Z310=""),0,MAX(0,'Outstanding'!$E$5-Z310))</f>
        <v/>
      </c>
      <c r="AB310">
        <f>IF(AND(X310=1,AA310&gt;0),W310*((1+3*N('Parties'!$E$10)/12)^(AA310*12/365)-1),0)</f>
        <v/>
      </c>
      <c r="AC310">
        <f>IF(W310=0,"",'Outstanding'!$E$5-B310)</f>
        <v/>
      </c>
      <c r="AD310">
        <f>IF(S310=0,0,IFERROR(VLOOKUP(C310,'Parties'!$B$13:$Q$112,14,FALSE),0)+SUMIFS($T$7:$T$506,$C$7:$C$506,C310,$B$7:$B$506,"&lt;="&amp;'Parties'!$E$8))</f>
        <v/>
      </c>
      <c r="AE310">
        <f>IF(OR('Parties'!$E$8="",S310=0,B310="",B310&gt;'Parties'!$E$8),0,MAX(0,MIN(S310,U310-AD310)))</f>
        <v/>
      </c>
      <c r="AF310">
        <f>IF(AND(P310="Creditor",X310=1,AE310&gt;0,Z310&lt;&gt;""),IF(Z310&lt;='Parties'!$E$8,AE310,0),0)</f>
        <v/>
      </c>
      <c r="AG310">
        <f>IF(OR(AE310=0,Z310=""),0,MAX(0,'Parties'!$E$8-Z310))</f>
        <v/>
      </c>
      <c r="AH310">
        <f>IF(AND(P310="Creditor",X310=1,AG310&gt;0),AE310*((1+3*N('Parties'!$E$10)/12)^(AG310*12/365)-1),0)</f>
        <v/>
      </c>
      <c r="AI310">
        <f>IF(AND(C310&lt;&gt;"",C310='Ledger Account'!$D$4,B310&lt;&gt;"",B310&gt;='Ledger Account'!$D$5,B310&lt;='Ledger Account'!$D$6),1,0)</f>
        <v/>
      </c>
      <c r="AJ310">
        <f>IF(AI310=1,SUM(AI$7:AI310),"")</f>
        <v/>
      </c>
      <c r="AK310">
        <f>IF(OR(N310="",N310="OK"),0,1)</f>
        <v/>
      </c>
    </row>
    <row r="311">
      <c r="B311" s="24" t="n"/>
      <c r="C311" s="14" t="n"/>
      <c r="D311" s="14" t="n"/>
      <c r="E311" s="20" t="n"/>
      <c r="F311" s="24" t="n"/>
      <c r="G311" s="14" t="n"/>
      <c r="H311" s="22" t="n"/>
      <c r="I311" s="25">
        <f>IF(Q311="D",N(H311),0)</f>
        <v/>
      </c>
      <c r="J311" s="25">
        <f>IF(Q311="C",N(H311),0)</f>
        <v/>
      </c>
      <c r="K311" s="26">
        <f>IF(Z311="","",Z311)</f>
        <v/>
      </c>
      <c r="L311" s="27">
        <f>W311</f>
        <v/>
      </c>
      <c r="M311" s="28">
        <f>AA311</f>
        <v/>
      </c>
      <c r="N311" s="23">
        <f>IF(AND(B311="",C311="",D311="",N(H311)=0),"",IF(B311="","Enter the date",IF(C311="","Pick the party",IF(P311="?","Add this party on the Parties sheet first",IF(D311="","Pick the entry type",IF(Q311="?","Pick the entry type from the list",IF(N(H311)=0,"Enter the amount",IF(AND(R311&lt;&gt;"Any",R311&lt;&gt;P311),"Sales, receipts and credit notes are for debtors; purchases, payments and debit notes for creditors",IF(AND(F311&lt;&gt;"",D311&lt;&gt;"Purchase bill"),"The received-on date is only for purchase bills",IF(AND(P311="Creditor",X311=1,AA311&gt;0),"Past due to a micro or small supplier: interest runs under MSMED s.16, and if unpaid at year end it is not deductible that year, s.37(2)(g)",IF(AND(P311="Debtor",X311=1,AA311&gt;0),"Past due to you: as a micro or small supplier you can claim interest under MSMED s.16","OK")))))))))))</f>
        <v/>
      </c>
      <c r="P311">
        <f>IF(C311="","",IFERROR(VLOOKUP(C311,'Parties'!$B$13:$Q$112,2,FALSE),"?"))</f>
        <v/>
      </c>
      <c r="Q311">
        <f>IF(D311="","",IFERROR(VLOOKUP(D311,Lists!$A$2:$D$9,3,FALSE),"?"))</f>
        <v/>
      </c>
      <c r="R311">
        <f>IF(D311="","",IFERROR(VLOOKUP(D311,Lists!$A$2:$D$9,4,FALSE),"?"))</f>
        <v/>
      </c>
      <c r="S311">
        <f>IF(P311="Debtor",I311,IF(P311="Creditor",J311,0))</f>
        <v/>
      </c>
      <c r="T311">
        <f>IF(P311="Debtor",J311,IF(P311="Creditor",I311,0))</f>
        <v/>
      </c>
      <c r="U311">
        <f>IF(OR(S311=0,B311=""),0,IFERROR(VLOOKUP(C311,'Parties'!$B$13:$Q$112,13,FALSE),0)+SUMIFS($S$7:$S$506,$C$7:$C$506,C311,$B$7:$B$506,"&lt;"&amp;B311)+SUMIFS(S$7:S311,C$7:C311,C311,B$7:B311,B311))</f>
        <v/>
      </c>
      <c r="V311">
        <f>IF(S311=0,0,IFERROR(VLOOKUP(C311,'Parties'!$B$13:$Q$112,14,FALSE),0)+SUMIFS($T$7:$T$506,$C$7:$C$506,C311,$B$7:$B$506,"&lt;="&amp;'Outstanding'!$E$5))</f>
        <v/>
      </c>
      <c r="W311">
        <f>IF(OR('Outstanding'!$E$5="",S311=0,B311="",B311&gt;'Outstanding'!$E$5),0,MAX(0,MIN(S311,U311-V311)))</f>
        <v/>
      </c>
      <c r="X311">
        <f>IF(C311="",0,IFERROR(VLOOKUP(C311,'Parties'!$B$13:$Q$112,15,FALSE),0))</f>
        <v/>
      </c>
      <c r="Y311">
        <f>IF(C311="","",IFERROR(VLOOKUP(C311,'Parties'!$B$13:$Q$112,16,FALSE),0))</f>
        <v/>
      </c>
      <c r="Z311">
        <f>IF(OR(S311=0,B311="",Y311=""),"",IF(AND(F311&lt;&gt;"",D311="Purchase bill"),F311,B311)+Y311)</f>
        <v/>
      </c>
      <c r="AA311">
        <f>IF(OR(W311=0,Z311=""),0,MAX(0,'Outstanding'!$E$5-Z311))</f>
        <v/>
      </c>
      <c r="AB311">
        <f>IF(AND(X311=1,AA311&gt;0),W311*((1+3*N('Parties'!$E$10)/12)^(AA311*12/365)-1),0)</f>
        <v/>
      </c>
      <c r="AC311">
        <f>IF(W311=0,"",'Outstanding'!$E$5-B311)</f>
        <v/>
      </c>
      <c r="AD311">
        <f>IF(S311=0,0,IFERROR(VLOOKUP(C311,'Parties'!$B$13:$Q$112,14,FALSE),0)+SUMIFS($T$7:$T$506,$C$7:$C$506,C311,$B$7:$B$506,"&lt;="&amp;'Parties'!$E$8))</f>
        <v/>
      </c>
      <c r="AE311">
        <f>IF(OR('Parties'!$E$8="",S311=0,B311="",B311&gt;'Parties'!$E$8),0,MAX(0,MIN(S311,U311-AD311)))</f>
        <v/>
      </c>
      <c r="AF311">
        <f>IF(AND(P311="Creditor",X311=1,AE311&gt;0,Z311&lt;&gt;""),IF(Z311&lt;='Parties'!$E$8,AE311,0),0)</f>
        <v/>
      </c>
      <c r="AG311">
        <f>IF(OR(AE311=0,Z311=""),0,MAX(0,'Parties'!$E$8-Z311))</f>
        <v/>
      </c>
      <c r="AH311">
        <f>IF(AND(P311="Creditor",X311=1,AG311&gt;0),AE311*((1+3*N('Parties'!$E$10)/12)^(AG311*12/365)-1),0)</f>
        <v/>
      </c>
      <c r="AI311">
        <f>IF(AND(C311&lt;&gt;"",C311='Ledger Account'!$D$4,B311&lt;&gt;"",B311&gt;='Ledger Account'!$D$5,B311&lt;='Ledger Account'!$D$6),1,0)</f>
        <v/>
      </c>
      <c r="AJ311">
        <f>IF(AI311=1,SUM(AI$7:AI311),"")</f>
        <v/>
      </c>
      <c r="AK311">
        <f>IF(OR(N311="",N311="OK"),0,1)</f>
        <v/>
      </c>
    </row>
    <row r="312">
      <c r="B312" s="24" t="n"/>
      <c r="C312" s="14" t="n"/>
      <c r="D312" s="14" t="n"/>
      <c r="E312" s="20" t="n"/>
      <c r="F312" s="24" t="n"/>
      <c r="G312" s="14" t="n"/>
      <c r="H312" s="22" t="n"/>
      <c r="I312" s="25">
        <f>IF(Q312="D",N(H312),0)</f>
        <v/>
      </c>
      <c r="J312" s="25">
        <f>IF(Q312="C",N(H312),0)</f>
        <v/>
      </c>
      <c r="K312" s="26">
        <f>IF(Z312="","",Z312)</f>
        <v/>
      </c>
      <c r="L312" s="27">
        <f>W312</f>
        <v/>
      </c>
      <c r="M312" s="28">
        <f>AA312</f>
        <v/>
      </c>
      <c r="N312" s="23">
        <f>IF(AND(B312="",C312="",D312="",N(H312)=0),"",IF(B312="","Enter the date",IF(C312="","Pick the party",IF(P312="?","Add this party on the Parties sheet first",IF(D312="","Pick the entry type",IF(Q312="?","Pick the entry type from the list",IF(N(H312)=0,"Enter the amount",IF(AND(R312&lt;&gt;"Any",R312&lt;&gt;P312),"Sales, receipts and credit notes are for debtors; purchases, payments and debit notes for creditors",IF(AND(F312&lt;&gt;"",D312&lt;&gt;"Purchase bill"),"The received-on date is only for purchase bills",IF(AND(P312="Creditor",X312=1,AA312&gt;0),"Past due to a micro or small supplier: interest runs under MSMED s.16, and if unpaid at year end it is not deductible that year, s.37(2)(g)",IF(AND(P312="Debtor",X312=1,AA312&gt;0),"Past due to you: as a micro or small supplier you can claim interest under MSMED s.16","OK")))))))))))</f>
        <v/>
      </c>
      <c r="P312">
        <f>IF(C312="","",IFERROR(VLOOKUP(C312,'Parties'!$B$13:$Q$112,2,FALSE),"?"))</f>
        <v/>
      </c>
      <c r="Q312">
        <f>IF(D312="","",IFERROR(VLOOKUP(D312,Lists!$A$2:$D$9,3,FALSE),"?"))</f>
        <v/>
      </c>
      <c r="R312">
        <f>IF(D312="","",IFERROR(VLOOKUP(D312,Lists!$A$2:$D$9,4,FALSE),"?"))</f>
        <v/>
      </c>
      <c r="S312">
        <f>IF(P312="Debtor",I312,IF(P312="Creditor",J312,0))</f>
        <v/>
      </c>
      <c r="T312">
        <f>IF(P312="Debtor",J312,IF(P312="Creditor",I312,0))</f>
        <v/>
      </c>
      <c r="U312">
        <f>IF(OR(S312=0,B312=""),0,IFERROR(VLOOKUP(C312,'Parties'!$B$13:$Q$112,13,FALSE),0)+SUMIFS($S$7:$S$506,$C$7:$C$506,C312,$B$7:$B$506,"&lt;"&amp;B312)+SUMIFS(S$7:S312,C$7:C312,C312,B$7:B312,B312))</f>
        <v/>
      </c>
      <c r="V312">
        <f>IF(S312=0,0,IFERROR(VLOOKUP(C312,'Parties'!$B$13:$Q$112,14,FALSE),0)+SUMIFS($T$7:$T$506,$C$7:$C$506,C312,$B$7:$B$506,"&lt;="&amp;'Outstanding'!$E$5))</f>
        <v/>
      </c>
      <c r="W312">
        <f>IF(OR('Outstanding'!$E$5="",S312=0,B312="",B312&gt;'Outstanding'!$E$5),0,MAX(0,MIN(S312,U312-V312)))</f>
        <v/>
      </c>
      <c r="X312">
        <f>IF(C312="",0,IFERROR(VLOOKUP(C312,'Parties'!$B$13:$Q$112,15,FALSE),0))</f>
        <v/>
      </c>
      <c r="Y312">
        <f>IF(C312="","",IFERROR(VLOOKUP(C312,'Parties'!$B$13:$Q$112,16,FALSE),0))</f>
        <v/>
      </c>
      <c r="Z312">
        <f>IF(OR(S312=0,B312="",Y312=""),"",IF(AND(F312&lt;&gt;"",D312="Purchase bill"),F312,B312)+Y312)</f>
        <v/>
      </c>
      <c r="AA312">
        <f>IF(OR(W312=0,Z312=""),0,MAX(0,'Outstanding'!$E$5-Z312))</f>
        <v/>
      </c>
      <c r="AB312">
        <f>IF(AND(X312=1,AA312&gt;0),W312*((1+3*N('Parties'!$E$10)/12)^(AA312*12/365)-1),0)</f>
        <v/>
      </c>
      <c r="AC312">
        <f>IF(W312=0,"",'Outstanding'!$E$5-B312)</f>
        <v/>
      </c>
      <c r="AD312">
        <f>IF(S312=0,0,IFERROR(VLOOKUP(C312,'Parties'!$B$13:$Q$112,14,FALSE),0)+SUMIFS($T$7:$T$506,$C$7:$C$506,C312,$B$7:$B$506,"&lt;="&amp;'Parties'!$E$8))</f>
        <v/>
      </c>
      <c r="AE312">
        <f>IF(OR('Parties'!$E$8="",S312=0,B312="",B312&gt;'Parties'!$E$8),0,MAX(0,MIN(S312,U312-AD312)))</f>
        <v/>
      </c>
      <c r="AF312">
        <f>IF(AND(P312="Creditor",X312=1,AE312&gt;0,Z312&lt;&gt;""),IF(Z312&lt;='Parties'!$E$8,AE312,0),0)</f>
        <v/>
      </c>
      <c r="AG312">
        <f>IF(OR(AE312=0,Z312=""),0,MAX(0,'Parties'!$E$8-Z312))</f>
        <v/>
      </c>
      <c r="AH312">
        <f>IF(AND(P312="Creditor",X312=1,AG312&gt;0),AE312*((1+3*N('Parties'!$E$10)/12)^(AG312*12/365)-1),0)</f>
        <v/>
      </c>
      <c r="AI312">
        <f>IF(AND(C312&lt;&gt;"",C312='Ledger Account'!$D$4,B312&lt;&gt;"",B312&gt;='Ledger Account'!$D$5,B312&lt;='Ledger Account'!$D$6),1,0)</f>
        <v/>
      </c>
      <c r="AJ312">
        <f>IF(AI312=1,SUM(AI$7:AI312),"")</f>
        <v/>
      </c>
      <c r="AK312">
        <f>IF(OR(N312="",N312="OK"),0,1)</f>
        <v/>
      </c>
    </row>
    <row r="313">
      <c r="B313" s="24" t="n"/>
      <c r="C313" s="14" t="n"/>
      <c r="D313" s="14" t="n"/>
      <c r="E313" s="20" t="n"/>
      <c r="F313" s="24" t="n"/>
      <c r="G313" s="14" t="n"/>
      <c r="H313" s="22" t="n"/>
      <c r="I313" s="25">
        <f>IF(Q313="D",N(H313),0)</f>
        <v/>
      </c>
      <c r="J313" s="25">
        <f>IF(Q313="C",N(H313),0)</f>
        <v/>
      </c>
      <c r="K313" s="26">
        <f>IF(Z313="","",Z313)</f>
        <v/>
      </c>
      <c r="L313" s="27">
        <f>W313</f>
        <v/>
      </c>
      <c r="M313" s="28">
        <f>AA313</f>
        <v/>
      </c>
      <c r="N313" s="23">
        <f>IF(AND(B313="",C313="",D313="",N(H313)=0),"",IF(B313="","Enter the date",IF(C313="","Pick the party",IF(P313="?","Add this party on the Parties sheet first",IF(D313="","Pick the entry type",IF(Q313="?","Pick the entry type from the list",IF(N(H313)=0,"Enter the amount",IF(AND(R313&lt;&gt;"Any",R313&lt;&gt;P313),"Sales, receipts and credit notes are for debtors; purchases, payments and debit notes for creditors",IF(AND(F313&lt;&gt;"",D313&lt;&gt;"Purchase bill"),"The received-on date is only for purchase bills",IF(AND(P313="Creditor",X313=1,AA313&gt;0),"Past due to a micro or small supplier: interest runs under MSMED s.16, and if unpaid at year end it is not deductible that year, s.37(2)(g)",IF(AND(P313="Debtor",X313=1,AA313&gt;0),"Past due to you: as a micro or small supplier you can claim interest under MSMED s.16","OK")))))))))))</f>
        <v/>
      </c>
      <c r="P313">
        <f>IF(C313="","",IFERROR(VLOOKUP(C313,'Parties'!$B$13:$Q$112,2,FALSE),"?"))</f>
        <v/>
      </c>
      <c r="Q313">
        <f>IF(D313="","",IFERROR(VLOOKUP(D313,Lists!$A$2:$D$9,3,FALSE),"?"))</f>
        <v/>
      </c>
      <c r="R313">
        <f>IF(D313="","",IFERROR(VLOOKUP(D313,Lists!$A$2:$D$9,4,FALSE),"?"))</f>
        <v/>
      </c>
      <c r="S313">
        <f>IF(P313="Debtor",I313,IF(P313="Creditor",J313,0))</f>
        <v/>
      </c>
      <c r="T313">
        <f>IF(P313="Debtor",J313,IF(P313="Creditor",I313,0))</f>
        <v/>
      </c>
      <c r="U313">
        <f>IF(OR(S313=0,B313=""),0,IFERROR(VLOOKUP(C313,'Parties'!$B$13:$Q$112,13,FALSE),0)+SUMIFS($S$7:$S$506,$C$7:$C$506,C313,$B$7:$B$506,"&lt;"&amp;B313)+SUMIFS(S$7:S313,C$7:C313,C313,B$7:B313,B313))</f>
        <v/>
      </c>
      <c r="V313">
        <f>IF(S313=0,0,IFERROR(VLOOKUP(C313,'Parties'!$B$13:$Q$112,14,FALSE),0)+SUMIFS($T$7:$T$506,$C$7:$C$506,C313,$B$7:$B$506,"&lt;="&amp;'Outstanding'!$E$5))</f>
        <v/>
      </c>
      <c r="W313">
        <f>IF(OR('Outstanding'!$E$5="",S313=0,B313="",B313&gt;'Outstanding'!$E$5),0,MAX(0,MIN(S313,U313-V313)))</f>
        <v/>
      </c>
      <c r="X313">
        <f>IF(C313="",0,IFERROR(VLOOKUP(C313,'Parties'!$B$13:$Q$112,15,FALSE),0))</f>
        <v/>
      </c>
      <c r="Y313">
        <f>IF(C313="","",IFERROR(VLOOKUP(C313,'Parties'!$B$13:$Q$112,16,FALSE),0))</f>
        <v/>
      </c>
      <c r="Z313">
        <f>IF(OR(S313=0,B313="",Y313=""),"",IF(AND(F313&lt;&gt;"",D313="Purchase bill"),F313,B313)+Y313)</f>
        <v/>
      </c>
      <c r="AA313">
        <f>IF(OR(W313=0,Z313=""),0,MAX(0,'Outstanding'!$E$5-Z313))</f>
        <v/>
      </c>
      <c r="AB313">
        <f>IF(AND(X313=1,AA313&gt;0),W313*((1+3*N('Parties'!$E$10)/12)^(AA313*12/365)-1),0)</f>
        <v/>
      </c>
      <c r="AC313">
        <f>IF(W313=0,"",'Outstanding'!$E$5-B313)</f>
        <v/>
      </c>
      <c r="AD313">
        <f>IF(S313=0,0,IFERROR(VLOOKUP(C313,'Parties'!$B$13:$Q$112,14,FALSE),0)+SUMIFS($T$7:$T$506,$C$7:$C$506,C313,$B$7:$B$506,"&lt;="&amp;'Parties'!$E$8))</f>
        <v/>
      </c>
      <c r="AE313">
        <f>IF(OR('Parties'!$E$8="",S313=0,B313="",B313&gt;'Parties'!$E$8),0,MAX(0,MIN(S313,U313-AD313)))</f>
        <v/>
      </c>
      <c r="AF313">
        <f>IF(AND(P313="Creditor",X313=1,AE313&gt;0,Z313&lt;&gt;""),IF(Z313&lt;='Parties'!$E$8,AE313,0),0)</f>
        <v/>
      </c>
      <c r="AG313">
        <f>IF(OR(AE313=0,Z313=""),0,MAX(0,'Parties'!$E$8-Z313))</f>
        <v/>
      </c>
      <c r="AH313">
        <f>IF(AND(P313="Creditor",X313=1,AG313&gt;0),AE313*((1+3*N('Parties'!$E$10)/12)^(AG313*12/365)-1),0)</f>
        <v/>
      </c>
      <c r="AI313">
        <f>IF(AND(C313&lt;&gt;"",C313='Ledger Account'!$D$4,B313&lt;&gt;"",B313&gt;='Ledger Account'!$D$5,B313&lt;='Ledger Account'!$D$6),1,0)</f>
        <v/>
      </c>
      <c r="AJ313">
        <f>IF(AI313=1,SUM(AI$7:AI313),"")</f>
        <v/>
      </c>
      <c r="AK313">
        <f>IF(OR(N313="",N313="OK"),0,1)</f>
        <v/>
      </c>
    </row>
    <row r="314">
      <c r="B314" s="24" t="n"/>
      <c r="C314" s="14" t="n"/>
      <c r="D314" s="14" t="n"/>
      <c r="E314" s="20" t="n"/>
      <c r="F314" s="24" t="n"/>
      <c r="G314" s="14" t="n"/>
      <c r="H314" s="22" t="n"/>
      <c r="I314" s="25">
        <f>IF(Q314="D",N(H314),0)</f>
        <v/>
      </c>
      <c r="J314" s="25">
        <f>IF(Q314="C",N(H314),0)</f>
        <v/>
      </c>
      <c r="K314" s="26">
        <f>IF(Z314="","",Z314)</f>
        <v/>
      </c>
      <c r="L314" s="27">
        <f>W314</f>
        <v/>
      </c>
      <c r="M314" s="28">
        <f>AA314</f>
        <v/>
      </c>
      <c r="N314" s="23">
        <f>IF(AND(B314="",C314="",D314="",N(H314)=0),"",IF(B314="","Enter the date",IF(C314="","Pick the party",IF(P314="?","Add this party on the Parties sheet first",IF(D314="","Pick the entry type",IF(Q314="?","Pick the entry type from the list",IF(N(H314)=0,"Enter the amount",IF(AND(R314&lt;&gt;"Any",R314&lt;&gt;P314),"Sales, receipts and credit notes are for debtors; purchases, payments and debit notes for creditors",IF(AND(F314&lt;&gt;"",D314&lt;&gt;"Purchase bill"),"The received-on date is only for purchase bills",IF(AND(P314="Creditor",X314=1,AA314&gt;0),"Past due to a micro or small supplier: interest runs under MSMED s.16, and if unpaid at year end it is not deductible that year, s.37(2)(g)",IF(AND(P314="Debtor",X314=1,AA314&gt;0),"Past due to you: as a micro or small supplier you can claim interest under MSMED s.16","OK")))))))))))</f>
        <v/>
      </c>
      <c r="P314">
        <f>IF(C314="","",IFERROR(VLOOKUP(C314,'Parties'!$B$13:$Q$112,2,FALSE),"?"))</f>
        <v/>
      </c>
      <c r="Q314">
        <f>IF(D314="","",IFERROR(VLOOKUP(D314,Lists!$A$2:$D$9,3,FALSE),"?"))</f>
        <v/>
      </c>
      <c r="R314">
        <f>IF(D314="","",IFERROR(VLOOKUP(D314,Lists!$A$2:$D$9,4,FALSE),"?"))</f>
        <v/>
      </c>
      <c r="S314">
        <f>IF(P314="Debtor",I314,IF(P314="Creditor",J314,0))</f>
        <v/>
      </c>
      <c r="T314">
        <f>IF(P314="Debtor",J314,IF(P314="Creditor",I314,0))</f>
        <v/>
      </c>
      <c r="U314">
        <f>IF(OR(S314=0,B314=""),0,IFERROR(VLOOKUP(C314,'Parties'!$B$13:$Q$112,13,FALSE),0)+SUMIFS($S$7:$S$506,$C$7:$C$506,C314,$B$7:$B$506,"&lt;"&amp;B314)+SUMIFS(S$7:S314,C$7:C314,C314,B$7:B314,B314))</f>
        <v/>
      </c>
      <c r="V314">
        <f>IF(S314=0,0,IFERROR(VLOOKUP(C314,'Parties'!$B$13:$Q$112,14,FALSE),0)+SUMIFS($T$7:$T$506,$C$7:$C$506,C314,$B$7:$B$506,"&lt;="&amp;'Outstanding'!$E$5))</f>
        <v/>
      </c>
      <c r="W314">
        <f>IF(OR('Outstanding'!$E$5="",S314=0,B314="",B314&gt;'Outstanding'!$E$5),0,MAX(0,MIN(S314,U314-V314)))</f>
        <v/>
      </c>
      <c r="X314">
        <f>IF(C314="",0,IFERROR(VLOOKUP(C314,'Parties'!$B$13:$Q$112,15,FALSE),0))</f>
        <v/>
      </c>
      <c r="Y314">
        <f>IF(C314="","",IFERROR(VLOOKUP(C314,'Parties'!$B$13:$Q$112,16,FALSE),0))</f>
        <v/>
      </c>
      <c r="Z314">
        <f>IF(OR(S314=0,B314="",Y314=""),"",IF(AND(F314&lt;&gt;"",D314="Purchase bill"),F314,B314)+Y314)</f>
        <v/>
      </c>
      <c r="AA314">
        <f>IF(OR(W314=0,Z314=""),0,MAX(0,'Outstanding'!$E$5-Z314))</f>
        <v/>
      </c>
      <c r="AB314">
        <f>IF(AND(X314=1,AA314&gt;0),W314*((1+3*N('Parties'!$E$10)/12)^(AA314*12/365)-1),0)</f>
        <v/>
      </c>
      <c r="AC314">
        <f>IF(W314=0,"",'Outstanding'!$E$5-B314)</f>
        <v/>
      </c>
      <c r="AD314">
        <f>IF(S314=0,0,IFERROR(VLOOKUP(C314,'Parties'!$B$13:$Q$112,14,FALSE),0)+SUMIFS($T$7:$T$506,$C$7:$C$506,C314,$B$7:$B$506,"&lt;="&amp;'Parties'!$E$8))</f>
        <v/>
      </c>
      <c r="AE314">
        <f>IF(OR('Parties'!$E$8="",S314=0,B314="",B314&gt;'Parties'!$E$8),0,MAX(0,MIN(S314,U314-AD314)))</f>
        <v/>
      </c>
      <c r="AF314">
        <f>IF(AND(P314="Creditor",X314=1,AE314&gt;0,Z314&lt;&gt;""),IF(Z314&lt;='Parties'!$E$8,AE314,0),0)</f>
        <v/>
      </c>
      <c r="AG314">
        <f>IF(OR(AE314=0,Z314=""),0,MAX(0,'Parties'!$E$8-Z314))</f>
        <v/>
      </c>
      <c r="AH314">
        <f>IF(AND(P314="Creditor",X314=1,AG314&gt;0),AE314*((1+3*N('Parties'!$E$10)/12)^(AG314*12/365)-1),0)</f>
        <v/>
      </c>
      <c r="AI314">
        <f>IF(AND(C314&lt;&gt;"",C314='Ledger Account'!$D$4,B314&lt;&gt;"",B314&gt;='Ledger Account'!$D$5,B314&lt;='Ledger Account'!$D$6),1,0)</f>
        <v/>
      </c>
      <c r="AJ314">
        <f>IF(AI314=1,SUM(AI$7:AI314),"")</f>
        <v/>
      </c>
      <c r="AK314">
        <f>IF(OR(N314="",N314="OK"),0,1)</f>
        <v/>
      </c>
    </row>
    <row r="315">
      <c r="B315" s="24" t="n"/>
      <c r="C315" s="14" t="n"/>
      <c r="D315" s="14" t="n"/>
      <c r="E315" s="20" t="n"/>
      <c r="F315" s="24" t="n"/>
      <c r="G315" s="14" t="n"/>
      <c r="H315" s="22" t="n"/>
      <c r="I315" s="25">
        <f>IF(Q315="D",N(H315),0)</f>
        <v/>
      </c>
      <c r="J315" s="25">
        <f>IF(Q315="C",N(H315),0)</f>
        <v/>
      </c>
      <c r="K315" s="26">
        <f>IF(Z315="","",Z315)</f>
        <v/>
      </c>
      <c r="L315" s="27">
        <f>W315</f>
        <v/>
      </c>
      <c r="M315" s="28">
        <f>AA315</f>
        <v/>
      </c>
      <c r="N315" s="23">
        <f>IF(AND(B315="",C315="",D315="",N(H315)=0),"",IF(B315="","Enter the date",IF(C315="","Pick the party",IF(P315="?","Add this party on the Parties sheet first",IF(D315="","Pick the entry type",IF(Q315="?","Pick the entry type from the list",IF(N(H315)=0,"Enter the amount",IF(AND(R315&lt;&gt;"Any",R315&lt;&gt;P315),"Sales, receipts and credit notes are for debtors; purchases, payments and debit notes for creditors",IF(AND(F315&lt;&gt;"",D315&lt;&gt;"Purchase bill"),"The received-on date is only for purchase bills",IF(AND(P315="Creditor",X315=1,AA315&gt;0),"Past due to a micro or small supplier: interest runs under MSMED s.16, and if unpaid at year end it is not deductible that year, s.37(2)(g)",IF(AND(P315="Debtor",X315=1,AA315&gt;0),"Past due to you: as a micro or small supplier you can claim interest under MSMED s.16","OK")))))))))))</f>
        <v/>
      </c>
      <c r="P315">
        <f>IF(C315="","",IFERROR(VLOOKUP(C315,'Parties'!$B$13:$Q$112,2,FALSE),"?"))</f>
        <v/>
      </c>
      <c r="Q315">
        <f>IF(D315="","",IFERROR(VLOOKUP(D315,Lists!$A$2:$D$9,3,FALSE),"?"))</f>
        <v/>
      </c>
      <c r="R315">
        <f>IF(D315="","",IFERROR(VLOOKUP(D315,Lists!$A$2:$D$9,4,FALSE),"?"))</f>
        <v/>
      </c>
      <c r="S315">
        <f>IF(P315="Debtor",I315,IF(P315="Creditor",J315,0))</f>
        <v/>
      </c>
      <c r="T315">
        <f>IF(P315="Debtor",J315,IF(P315="Creditor",I315,0))</f>
        <v/>
      </c>
      <c r="U315">
        <f>IF(OR(S315=0,B315=""),0,IFERROR(VLOOKUP(C315,'Parties'!$B$13:$Q$112,13,FALSE),0)+SUMIFS($S$7:$S$506,$C$7:$C$506,C315,$B$7:$B$506,"&lt;"&amp;B315)+SUMIFS(S$7:S315,C$7:C315,C315,B$7:B315,B315))</f>
        <v/>
      </c>
      <c r="V315">
        <f>IF(S315=0,0,IFERROR(VLOOKUP(C315,'Parties'!$B$13:$Q$112,14,FALSE),0)+SUMIFS($T$7:$T$506,$C$7:$C$506,C315,$B$7:$B$506,"&lt;="&amp;'Outstanding'!$E$5))</f>
        <v/>
      </c>
      <c r="W315">
        <f>IF(OR('Outstanding'!$E$5="",S315=0,B315="",B315&gt;'Outstanding'!$E$5),0,MAX(0,MIN(S315,U315-V315)))</f>
        <v/>
      </c>
      <c r="X315">
        <f>IF(C315="",0,IFERROR(VLOOKUP(C315,'Parties'!$B$13:$Q$112,15,FALSE),0))</f>
        <v/>
      </c>
      <c r="Y315">
        <f>IF(C315="","",IFERROR(VLOOKUP(C315,'Parties'!$B$13:$Q$112,16,FALSE),0))</f>
        <v/>
      </c>
      <c r="Z315">
        <f>IF(OR(S315=0,B315="",Y315=""),"",IF(AND(F315&lt;&gt;"",D315="Purchase bill"),F315,B315)+Y315)</f>
        <v/>
      </c>
      <c r="AA315">
        <f>IF(OR(W315=0,Z315=""),0,MAX(0,'Outstanding'!$E$5-Z315))</f>
        <v/>
      </c>
      <c r="AB315">
        <f>IF(AND(X315=1,AA315&gt;0),W315*((1+3*N('Parties'!$E$10)/12)^(AA315*12/365)-1),0)</f>
        <v/>
      </c>
      <c r="AC315">
        <f>IF(W315=0,"",'Outstanding'!$E$5-B315)</f>
        <v/>
      </c>
      <c r="AD315">
        <f>IF(S315=0,0,IFERROR(VLOOKUP(C315,'Parties'!$B$13:$Q$112,14,FALSE),0)+SUMIFS($T$7:$T$506,$C$7:$C$506,C315,$B$7:$B$506,"&lt;="&amp;'Parties'!$E$8))</f>
        <v/>
      </c>
      <c r="AE315">
        <f>IF(OR('Parties'!$E$8="",S315=0,B315="",B315&gt;'Parties'!$E$8),0,MAX(0,MIN(S315,U315-AD315)))</f>
        <v/>
      </c>
      <c r="AF315">
        <f>IF(AND(P315="Creditor",X315=1,AE315&gt;0,Z315&lt;&gt;""),IF(Z315&lt;='Parties'!$E$8,AE315,0),0)</f>
        <v/>
      </c>
      <c r="AG315">
        <f>IF(OR(AE315=0,Z315=""),0,MAX(0,'Parties'!$E$8-Z315))</f>
        <v/>
      </c>
      <c r="AH315">
        <f>IF(AND(P315="Creditor",X315=1,AG315&gt;0),AE315*((1+3*N('Parties'!$E$10)/12)^(AG315*12/365)-1),0)</f>
        <v/>
      </c>
      <c r="AI315">
        <f>IF(AND(C315&lt;&gt;"",C315='Ledger Account'!$D$4,B315&lt;&gt;"",B315&gt;='Ledger Account'!$D$5,B315&lt;='Ledger Account'!$D$6),1,0)</f>
        <v/>
      </c>
      <c r="AJ315">
        <f>IF(AI315=1,SUM(AI$7:AI315),"")</f>
        <v/>
      </c>
      <c r="AK315">
        <f>IF(OR(N315="",N315="OK"),0,1)</f>
        <v/>
      </c>
    </row>
    <row r="316">
      <c r="B316" s="24" t="n"/>
      <c r="C316" s="14" t="n"/>
      <c r="D316" s="14" t="n"/>
      <c r="E316" s="20" t="n"/>
      <c r="F316" s="24" t="n"/>
      <c r="G316" s="14" t="n"/>
      <c r="H316" s="22" t="n"/>
      <c r="I316" s="25">
        <f>IF(Q316="D",N(H316),0)</f>
        <v/>
      </c>
      <c r="J316" s="25">
        <f>IF(Q316="C",N(H316),0)</f>
        <v/>
      </c>
      <c r="K316" s="26">
        <f>IF(Z316="","",Z316)</f>
        <v/>
      </c>
      <c r="L316" s="27">
        <f>W316</f>
        <v/>
      </c>
      <c r="M316" s="28">
        <f>AA316</f>
        <v/>
      </c>
      <c r="N316" s="23">
        <f>IF(AND(B316="",C316="",D316="",N(H316)=0),"",IF(B316="","Enter the date",IF(C316="","Pick the party",IF(P316="?","Add this party on the Parties sheet first",IF(D316="","Pick the entry type",IF(Q316="?","Pick the entry type from the list",IF(N(H316)=0,"Enter the amount",IF(AND(R316&lt;&gt;"Any",R316&lt;&gt;P316),"Sales, receipts and credit notes are for debtors; purchases, payments and debit notes for creditors",IF(AND(F316&lt;&gt;"",D316&lt;&gt;"Purchase bill"),"The received-on date is only for purchase bills",IF(AND(P316="Creditor",X316=1,AA316&gt;0),"Past due to a micro or small supplier: interest runs under MSMED s.16, and if unpaid at year end it is not deductible that year, s.37(2)(g)",IF(AND(P316="Debtor",X316=1,AA316&gt;0),"Past due to you: as a micro or small supplier you can claim interest under MSMED s.16","OK")))))))))))</f>
        <v/>
      </c>
      <c r="P316">
        <f>IF(C316="","",IFERROR(VLOOKUP(C316,'Parties'!$B$13:$Q$112,2,FALSE),"?"))</f>
        <v/>
      </c>
      <c r="Q316">
        <f>IF(D316="","",IFERROR(VLOOKUP(D316,Lists!$A$2:$D$9,3,FALSE),"?"))</f>
        <v/>
      </c>
      <c r="R316">
        <f>IF(D316="","",IFERROR(VLOOKUP(D316,Lists!$A$2:$D$9,4,FALSE),"?"))</f>
        <v/>
      </c>
      <c r="S316">
        <f>IF(P316="Debtor",I316,IF(P316="Creditor",J316,0))</f>
        <v/>
      </c>
      <c r="T316">
        <f>IF(P316="Debtor",J316,IF(P316="Creditor",I316,0))</f>
        <v/>
      </c>
      <c r="U316">
        <f>IF(OR(S316=0,B316=""),0,IFERROR(VLOOKUP(C316,'Parties'!$B$13:$Q$112,13,FALSE),0)+SUMIFS($S$7:$S$506,$C$7:$C$506,C316,$B$7:$B$506,"&lt;"&amp;B316)+SUMIFS(S$7:S316,C$7:C316,C316,B$7:B316,B316))</f>
        <v/>
      </c>
      <c r="V316">
        <f>IF(S316=0,0,IFERROR(VLOOKUP(C316,'Parties'!$B$13:$Q$112,14,FALSE),0)+SUMIFS($T$7:$T$506,$C$7:$C$506,C316,$B$7:$B$506,"&lt;="&amp;'Outstanding'!$E$5))</f>
        <v/>
      </c>
      <c r="W316">
        <f>IF(OR('Outstanding'!$E$5="",S316=0,B316="",B316&gt;'Outstanding'!$E$5),0,MAX(0,MIN(S316,U316-V316)))</f>
        <v/>
      </c>
      <c r="X316">
        <f>IF(C316="",0,IFERROR(VLOOKUP(C316,'Parties'!$B$13:$Q$112,15,FALSE),0))</f>
        <v/>
      </c>
      <c r="Y316">
        <f>IF(C316="","",IFERROR(VLOOKUP(C316,'Parties'!$B$13:$Q$112,16,FALSE),0))</f>
        <v/>
      </c>
      <c r="Z316">
        <f>IF(OR(S316=0,B316="",Y316=""),"",IF(AND(F316&lt;&gt;"",D316="Purchase bill"),F316,B316)+Y316)</f>
        <v/>
      </c>
      <c r="AA316">
        <f>IF(OR(W316=0,Z316=""),0,MAX(0,'Outstanding'!$E$5-Z316))</f>
        <v/>
      </c>
      <c r="AB316">
        <f>IF(AND(X316=1,AA316&gt;0),W316*((1+3*N('Parties'!$E$10)/12)^(AA316*12/365)-1),0)</f>
        <v/>
      </c>
      <c r="AC316">
        <f>IF(W316=0,"",'Outstanding'!$E$5-B316)</f>
        <v/>
      </c>
      <c r="AD316">
        <f>IF(S316=0,0,IFERROR(VLOOKUP(C316,'Parties'!$B$13:$Q$112,14,FALSE),0)+SUMIFS($T$7:$T$506,$C$7:$C$506,C316,$B$7:$B$506,"&lt;="&amp;'Parties'!$E$8))</f>
        <v/>
      </c>
      <c r="AE316">
        <f>IF(OR('Parties'!$E$8="",S316=0,B316="",B316&gt;'Parties'!$E$8),0,MAX(0,MIN(S316,U316-AD316)))</f>
        <v/>
      </c>
      <c r="AF316">
        <f>IF(AND(P316="Creditor",X316=1,AE316&gt;0,Z316&lt;&gt;""),IF(Z316&lt;='Parties'!$E$8,AE316,0),0)</f>
        <v/>
      </c>
      <c r="AG316">
        <f>IF(OR(AE316=0,Z316=""),0,MAX(0,'Parties'!$E$8-Z316))</f>
        <v/>
      </c>
      <c r="AH316">
        <f>IF(AND(P316="Creditor",X316=1,AG316&gt;0),AE316*((1+3*N('Parties'!$E$10)/12)^(AG316*12/365)-1),0)</f>
        <v/>
      </c>
      <c r="AI316">
        <f>IF(AND(C316&lt;&gt;"",C316='Ledger Account'!$D$4,B316&lt;&gt;"",B316&gt;='Ledger Account'!$D$5,B316&lt;='Ledger Account'!$D$6),1,0)</f>
        <v/>
      </c>
      <c r="AJ316">
        <f>IF(AI316=1,SUM(AI$7:AI316),"")</f>
        <v/>
      </c>
      <c r="AK316">
        <f>IF(OR(N316="",N316="OK"),0,1)</f>
        <v/>
      </c>
    </row>
    <row r="317">
      <c r="B317" s="24" t="n"/>
      <c r="C317" s="14" t="n"/>
      <c r="D317" s="14" t="n"/>
      <c r="E317" s="20" t="n"/>
      <c r="F317" s="24" t="n"/>
      <c r="G317" s="14" t="n"/>
      <c r="H317" s="22" t="n"/>
      <c r="I317" s="25">
        <f>IF(Q317="D",N(H317),0)</f>
        <v/>
      </c>
      <c r="J317" s="25">
        <f>IF(Q317="C",N(H317),0)</f>
        <v/>
      </c>
      <c r="K317" s="26">
        <f>IF(Z317="","",Z317)</f>
        <v/>
      </c>
      <c r="L317" s="27">
        <f>W317</f>
        <v/>
      </c>
      <c r="M317" s="28">
        <f>AA317</f>
        <v/>
      </c>
      <c r="N317" s="23">
        <f>IF(AND(B317="",C317="",D317="",N(H317)=0),"",IF(B317="","Enter the date",IF(C317="","Pick the party",IF(P317="?","Add this party on the Parties sheet first",IF(D317="","Pick the entry type",IF(Q317="?","Pick the entry type from the list",IF(N(H317)=0,"Enter the amount",IF(AND(R317&lt;&gt;"Any",R317&lt;&gt;P317),"Sales, receipts and credit notes are for debtors; purchases, payments and debit notes for creditors",IF(AND(F317&lt;&gt;"",D317&lt;&gt;"Purchase bill"),"The received-on date is only for purchase bills",IF(AND(P317="Creditor",X317=1,AA317&gt;0),"Past due to a micro or small supplier: interest runs under MSMED s.16, and if unpaid at year end it is not deductible that year, s.37(2)(g)",IF(AND(P317="Debtor",X317=1,AA317&gt;0),"Past due to you: as a micro or small supplier you can claim interest under MSMED s.16","OK")))))))))))</f>
        <v/>
      </c>
      <c r="P317">
        <f>IF(C317="","",IFERROR(VLOOKUP(C317,'Parties'!$B$13:$Q$112,2,FALSE),"?"))</f>
        <v/>
      </c>
      <c r="Q317">
        <f>IF(D317="","",IFERROR(VLOOKUP(D317,Lists!$A$2:$D$9,3,FALSE),"?"))</f>
        <v/>
      </c>
      <c r="R317">
        <f>IF(D317="","",IFERROR(VLOOKUP(D317,Lists!$A$2:$D$9,4,FALSE),"?"))</f>
        <v/>
      </c>
      <c r="S317">
        <f>IF(P317="Debtor",I317,IF(P317="Creditor",J317,0))</f>
        <v/>
      </c>
      <c r="T317">
        <f>IF(P317="Debtor",J317,IF(P317="Creditor",I317,0))</f>
        <v/>
      </c>
      <c r="U317">
        <f>IF(OR(S317=0,B317=""),0,IFERROR(VLOOKUP(C317,'Parties'!$B$13:$Q$112,13,FALSE),0)+SUMIFS($S$7:$S$506,$C$7:$C$506,C317,$B$7:$B$506,"&lt;"&amp;B317)+SUMIFS(S$7:S317,C$7:C317,C317,B$7:B317,B317))</f>
        <v/>
      </c>
      <c r="V317">
        <f>IF(S317=0,0,IFERROR(VLOOKUP(C317,'Parties'!$B$13:$Q$112,14,FALSE),0)+SUMIFS($T$7:$T$506,$C$7:$C$506,C317,$B$7:$B$506,"&lt;="&amp;'Outstanding'!$E$5))</f>
        <v/>
      </c>
      <c r="W317">
        <f>IF(OR('Outstanding'!$E$5="",S317=0,B317="",B317&gt;'Outstanding'!$E$5),0,MAX(0,MIN(S317,U317-V317)))</f>
        <v/>
      </c>
      <c r="X317">
        <f>IF(C317="",0,IFERROR(VLOOKUP(C317,'Parties'!$B$13:$Q$112,15,FALSE),0))</f>
        <v/>
      </c>
      <c r="Y317">
        <f>IF(C317="","",IFERROR(VLOOKUP(C317,'Parties'!$B$13:$Q$112,16,FALSE),0))</f>
        <v/>
      </c>
      <c r="Z317">
        <f>IF(OR(S317=0,B317="",Y317=""),"",IF(AND(F317&lt;&gt;"",D317="Purchase bill"),F317,B317)+Y317)</f>
        <v/>
      </c>
      <c r="AA317">
        <f>IF(OR(W317=0,Z317=""),0,MAX(0,'Outstanding'!$E$5-Z317))</f>
        <v/>
      </c>
      <c r="AB317">
        <f>IF(AND(X317=1,AA317&gt;0),W317*((1+3*N('Parties'!$E$10)/12)^(AA317*12/365)-1),0)</f>
        <v/>
      </c>
      <c r="AC317">
        <f>IF(W317=0,"",'Outstanding'!$E$5-B317)</f>
        <v/>
      </c>
      <c r="AD317">
        <f>IF(S317=0,0,IFERROR(VLOOKUP(C317,'Parties'!$B$13:$Q$112,14,FALSE),0)+SUMIFS($T$7:$T$506,$C$7:$C$506,C317,$B$7:$B$506,"&lt;="&amp;'Parties'!$E$8))</f>
        <v/>
      </c>
      <c r="AE317">
        <f>IF(OR('Parties'!$E$8="",S317=0,B317="",B317&gt;'Parties'!$E$8),0,MAX(0,MIN(S317,U317-AD317)))</f>
        <v/>
      </c>
      <c r="AF317">
        <f>IF(AND(P317="Creditor",X317=1,AE317&gt;0,Z317&lt;&gt;""),IF(Z317&lt;='Parties'!$E$8,AE317,0),0)</f>
        <v/>
      </c>
      <c r="AG317">
        <f>IF(OR(AE317=0,Z317=""),0,MAX(0,'Parties'!$E$8-Z317))</f>
        <v/>
      </c>
      <c r="AH317">
        <f>IF(AND(P317="Creditor",X317=1,AG317&gt;0),AE317*((1+3*N('Parties'!$E$10)/12)^(AG317*12/365)-1),0)</f>
        <v/>
      </c>
      <c r="AI317">
        <f>IF(AND(C317&lt;&gt;"",C317='Ledger Account'!$D$4,B317&lt;&gt;"",B317&gt;='Ledger Account'!$D$5,B317&lt;='Ledger Account'!$D$6),1,0)</f>
        <v/>
      </c>
      <c r="AJ317">
        <f>IF(AI317=1,SUM(AI$7:AI317),"")</f>
        <v/>
      </c>
      <c r="AK317">
        <f>IF(OR(N317="",N317="OK"),0,1)</f>
        <v/>
      </c>
    </row>
    <row r="318">
      <c r="B318" s="24" t="n"/>
      <c r="C318" s="14" t="n"/>
      <c r="D318" s="14" t="n"/>
      <c r="E318" s="20" t="n"/>
      <c r="F318" s="24" t="n"/>
      <c r="G318" s="14" t="n"/>
      <c r="H318" s="22" t="n"/>
      <c r="I318" s="25">
        <f>IF(Q318="D",N(H318),0)</f>
        <v/>
      </c>
      <c r="J318" s="25">
        <f>IF(Q318="C",N(H318),0)</f>
        <v/>
      </c>
      <c r="K318" s="26">
        <f>IF(Z318="","",Z318)</f>
        <v/>
      </c>
      <c r="L318" s="27">
        <f>W318</f>
        <v/>
      </c>
      <c r="M318" s="28">
        <f>AA318</f>
        <v/>
      </c>
      <c r="N318" s="23">
        <f>IF(AND(B318="",C318="",D318="",N(H318)=0),"",IF(B318="","Enter the date",IF(C318="","Pick the party",IF(P318="?","Add this party on the Parties sheet first",IF(D318="","Pick the entry type",IF(Q318="?","Pick the entry type from the list",IF(N(H318)=0,"Enter the amount",IF(AND(R318&lt;&gt;"Any",R318&lt;&gt;P318),"Sales, receipts and credit notes are for debtors; purchases, payments and debit notes for creditors",IF(AND(F318&lt;&gt;"",D318&lt;&gt;"Purchase bill"),"The received-on date is only for purchase bills",IF(AND(P318="Creditor",X318=1,AA318&gt;0),"Past due to a micro or small supplier: interest runs under MSMED s.16, and if unpaid at year end it is not deductible that year, s.37(2)(g)",IF(AND(P318="Debtor",X318=1,AA318&gt;0),"Past due to you: as a micro or small supplier you can claim interest under MSMED s.16","OK")))))))))))</f>
        <v/>
      </c>
      <c r="P318">
        <f>IF(C318="","",IFERROR(VLOOKUP(C318,'Parties'!$B$13:$Q$112,2,FALSE),"?"))</f>
        <v/>
      </c>
      <c r="Q318">
        <f>IF(D318="","",IFERROR(VLOOKUP(D318,Lists!$A$2:$D$9,3,FALSE),"?"))</f>
        <v/>
      </c>
      <c r="R318">
        <f>IF(D318="","",IFERROR(VLOOKUP(D318,Lists!$A$2:$D$9,4,FALSE),"?"))</f>
        <v/>
      </c>
      <c r="S318">
        <f>IF(P318="Debtor",I318,IF(P318="Creditor",J318,0))</f>
        <v/>
      </c>
      <c r="T318">
        <f>IF(P318="Debtor",J318,IF(P318="Creditor",I318,0))</f>
        <v/>
      </c>
      <c r="U318">
        <f>IF(OR(S318=0,B318=""),0,IFERROR(VLOOKUP(C318,'Parties'!$B$13:$Q$112,13,FALSE),0)+SUMIFS($S$7:$S$506,$C$7:$C$506,C318,$B$7:$B$506,"&lt;"&amp;B318)+SUMIFS(S$7:S318,C$7:C318,C318,B$7:B318,B318))</f>
        <v/>
      </c>
      <c r="V318">
        <f>IF(S318=0,0,IFERROR(VLOOKUP(C318,'Parties'!$B$13:$Q$112,14,FALSE),0)+SUMIFS($T$7:$T$506,$C$7:$C$506,C318,$B$7:$B$506,"&lt;="&amp;'Outstanding'!$E$5))</f>
        <v/>
      </c>
      <c r="W318">
        <f>IF(OR('Outstanding'!$E$5="",S318=0,B318="",B318&gt;'Outstanding'!$E$5),0,MAX(0,MIN(S318,U318-V318)))</f>
        <v/>
      </c>
      <c r="X318">
        <f>IF(C318="",0,IFERROR(VLOOKUP(C318,'Parties'!$B$13:$Q$112,15,FALSE),0))</f>
        <v/>
      </c>
      <c r="Y318">
        <f>IF(C318="","",IFERROR(VLOOKUP(C318,'Parties'!$B$13:$Q$112,16,FALSE),0))</f>
        <v/>
      </c>
      <c r="Z318">
        <f>IF(OR(S318=0,B318="",Y318=""),"",IF(AND(F318&lt;&gt;"",D318="Purchase bill"),F318,B318)+Y318)</f>
        <v/>
      </c>
      <c r="AA318">
        <f>IF(OR(W318=0,Z318=""),0,MAX(0,'Outstanding'!$E$5-Z318))</f>
        <v/>
      </c>
      <c r="AB318">
        <f>IF(AND(X318=1,AA318&gt;0),W318*((1+3*N('Parties'!$E$10)/12)^(AA318*12/365)-1),0)</f>
        <v/>
      </c>
      <c r="AC318">
        <f>IF(W318=0,"",'Outstanding'!$E$5-B318)</f>
        <v/>
      </c>
      <c r="AD318">
        <f>IF(S318=0,0,IFERROR(VLOOKUP(C318,'Parties'!$B$13:$Q$112,14,FALSE),0)+SUMIFS($T$7:$T$506,$C$7:$C$506,C318,$B$7:$B$506,"&lt;="&amp;'Parties'!$E$8))</f>
        <v/>
      </c>
      <c r="AE318">
        <f>IF(OR('Parties'!$E$8="",S318=0,B318="",B318&gt;'Parties'!$E$8),0,MAX(0,MIN(S318,U318-AD318)))</f>
        <v/>
      </c>
      <c r="AF318">
        <f>IF(AND(P318="Creditor",X318=1,AE318&gt;0,Z318&lt;&gt;""),IF(Z318&lt;='Parties'!$E$8,AE318,0),0)</f>
        <v/>
      </c>
      <c r="AG318">
        <f>IF(OR(AE318=0,Z318=""),0,MAX(0,'Parties'!$E$8-Z318))</f>
        <v/>
      </c>
      <c r="AH318">
        <f>IF(AND(P318="Creditor",X318=1,AG318&gt;0),AE318*((1+3*N('Parties'!$E$10)/12)^(AG318*12/365)-1),0)</f>
        <v/>
      </c>
      <c r="AI318">
        <f>IF(AND(C318&lt;&gt;"",C318='Ledger Account'!$D$4,B318&lt;&gt;"",B318&gt;='Ledger Account'!$D$5,B318&lt;='Ledger Account'!$D$6),1,0)</f>
        <v/>
      </c>
      <c r="AJ318">
        <f>IF(AI318=1,SUM(AI$7:AI318),"")</f>
        <v/>
      </c>
      <c r="AK318">
        <f>IF(OR(N318="",N318="OK"),0,1)</f>
        <v/>
      </c>
    </row>
    <row r="319">
      <c r="B319" s="24" t="n"/>
      <c r="C319" s="14" t="n"/>
      <c r="D319" s="14" t="n"/>
      <c r="E319" s="20" t="n"/>
      <c r="F319" s="24" t="n"/>
      <c r="G319" s="14" t="n"/>
      <c r="H319" s="22" t="n"/>
      <c r="I319" s="25">
        <f>IF(Q319="D",N(H319),0)</f>
        <v/>
      </c>
      <c r="J319" s="25">
        <f>IF(Q319="C",N(H319),0)</f>
        <v/>
      </c>
      <c r="K319" s="26">
        <f>IF(Z319="","",Z319)</f>
        <v/>
      </c>
      <c r="L319" s="27">
        <f>W319</f>
        <v/>
      </c>
      <c r="M319" s="28">
        <f>AA319</f>
        <v/>
      </c>
      <c r="N319" s="23">
        <f>IF(AND(B319="",C319="",D319="",N(H319)=0),"",IF(B319="","Enter the date",IF(C319="","Pick the party",IF(P319="?","Add this party on the Parties sheet first",IF(D319="","Pick the entry type",IF(Q319="?","Pick the entry type from the list",IF(N(H319)=0,"Enter the amount",IF(AND(R319&lt;&gt;"Any",R319&lt;&gt;P319),"Sales, receipts and credit notes are for debtors; purchases, payments and debit notes for creditors",IF(AND(F319&lt;&gt;"",D319&lt;&gt;"Purchase bill"),"The received-on date is only for purchase bills",IF(AND(P319="Creditor",X319=1,AA319&gt;0),"Past due to a micro or small supplier: interest runs under MSMED s.16, and if unpaid at year end it is not deductible that year, s.37(2)(g)",IF(AND(P319="Debtor",X319=1,AA319&gt;0),"Past due to you: as a micro or small supplier you can claim interest under MSMED s.16","OK")))))))))))</f>
        <v/>
      </c>
      <c r="P319">
        <f>IF(C319="","",IFERROR(VLOOKUP(C319,'Parties'!$B$13:$Q$112,2,FALSE),"?"))</f>
        <v/>
      </c>
      <c r="Q319">
        <f>IF(D319="","",IFERROR(VLOOKUP(D319,Lists!$A$2:$D$9,3,FALSE),"?"))</f>
        <v/>
      </c>
      <c r="R319">
        <f>IF(D319="","",IFERROR(VLOOKUP(D319,Lists!$A$2:$D$9,4,FALSE),"?"))</f>
        <v/>
      </c>
      <c r="S319">
        <f>IF(P319="Debtor",I319,IF(P319="Creditor",J319,0))</f>
        <v/>
      </c>
      <c r="T319">
        <f>IF(P319="Debtor",J319,IF(P319="Creditor",I319,0))</f>
        <v/>
      </c>
      <c r="U319">
        <f>IF(OR(S319=0,B319=""),0,IFERROR(VLOOKUP(C319,'Parties'!$B$13:$Q$112,13,FALSE),0)+SUMIFS($S$7:$S$506,$C$7:$C$506,C319,$B$7:$B$506,"&lt;"&amp;B319)+SUMIFS(S$7:S319,C$7:C319,C319,B$7:B319,B319))</f>
        <v/>
      </c>
      <c r="V319">
        <f>IF(S319=0,0,IFERROR(VLOOKUP(C319,'Parties'!$B$13:$Q$112,14,FALSE),0)+SUMIFS($T$7:$T$506,$C$7:$C$506,C319,$B$7:$B$506,"&lt;="&amp;'Outstanding'!$E$5))</f>
        <v/>
      </c>
      <c r="W319">
        <f>IF(OR('Outstanding'!$E$5="",S319=0,B319="",B319&gt;'Outstanding'!$E$5),0,MAX(0,MIN(S319,U319-V319)))</f>
        <v/>
      </c>
      <c r="X319">
        <f>IF(C319="",0,IFERROR(VLOOKUP(C319,'Parties'!$B$13:$Q$112,15,FALSE),0))</f>
        <v/>
      </c>
      <c r="Y319">
        <f>IF(C319="","",IFERROR(VLOOKUP(C319,'Parties'!$B$13:$Q$112,16,FALSE),0))</f>
        <v/>
      </c>
      <c r="Z319">
        <f>IF(OR(S319=0,B319="",Y319=""),"",IF(AND(F319&lt;&gt;"",D319="Purchase bill"),F319,B319)+Y319)</f>
        <v/>
      </c>
      <c r="AA319">
        <f>IF(OR(W319=0,Z319=""),0,MAX(0,'Outstanding'!$E$5-Z319))</f>
        <v/>
      </c>
      <c r="AB319">
        <f>IF(AND(X319=1,AA319&gt;0),W319*((1+3*N('Parties'!$E$10)/12)^(AA319*12/365)-1),0)</f>
        <v/>
      </c>
      <c r="AC319">
        <f>IF(W319=0,"",'Outstanding'!$E$5-B319)</f>
        <v/>
      </c>
      <c r="AD319">
        <f>IF(S319=0,0,IFERROR(VLOOKUP(C319,'Parties'!$B$13:$Q$112,14,FALSE),0)+SUMIFS($T$7:$T$506,$C$7:$C$506,C319,$B$7:$B$506,"&lt;="&amp;'Parties'!$E$8))</f>
        <v/>
      </c>
      <c r="AE319">
        <f>IF(OR('Parties'!$E$8="",S319=0,B319="",B319&gt;'Parties'!$E$8),0,MAX(0,MIN(S319,U319-AD319)))</f>
        <v/>
      </c>
      <c r="AF319">
        <f>IF(AND(P319="Creditor",X319=1,AE319&gt;0,Z319&lt;&gt;""),IF(Z319&lt;='Parties'!$E$8,AE319,0),0)</f>
        <v/>
      </c>
      <c r="AG319">
        <f>IF(OR(AE319=0,Z319=""),0,MAX(0,'Parties'!$E$8-Z319))</f>
        <v/>
      </c>
      <c r="AH319">
        <f>IF(AND(P319="Creditor",X319=1,AG319&gt;0),AE319*((1+3*N('Parties'!$E$10)/12)^(AG319*12/365)-1),0)</f>
        <v/>
      </c>
      <c r="AI319">
        <f>IF(AND(C319&lt;&gt;"",C319='Ledger Account'!$D$4,B319&lt;&gt;"",B319&gt;='Ledger Account'!$D$5,B319&lt;='Ledger Account'!$D$6),1,0)</f>
        <v/>
      </c>
      <c r="AJ319">
        <f>IF(AI319=1,SUM(AI$7:AI319),"")</f>
        <v/>
      </c>
      <c r="AK319">
        <f>IF(OR(N319="",N319="OK"),0,1)</f>
        <v/>
      </c>
    </row>
    <row r="320">
      <c r="B320" s="24" t="n"/>
      <c r="C320" s="14" t="n"/>
      <c r="D320" s="14" t="n"/>
      <c r="E320" s="20" t="n"/>
      <c r="F320" s="24" t="n"/>
      <c r="G320" s="14" t="n"/>
      <c r="H320" s="22" t="n"/>
      <c r="I320" s="25">
        <f>IF(Q320="D",N(H320),0)</f>
        <v/>
      </c>
      <c r="J320" s="25">
        <f>IF(Q320="C",N(H320),0)</f>
        <v/>
      </c>
      <c r="K320" s="26">
        <f>IF(Z320="","",Z320)</f>
        <v/>
      </c>
      <c r="L320" s="27">
        <f>W320</f>
        <v/>
      </c>
      <c r="M320" s="28">
        <f>AA320</f>
        <v/>
      </c>
      <c r="N320" s="23">
        <f>IF(AND(B320="",C320="",D320="",N(H320)=0),"",IF(B320="","Enter the date",IF(C320="","Pick the party",IF(P320="?","Add this party on the Parties sheet first",IF(D320="","Pick the entry type",IF(Q320="?","Pick the entry type from the list",IF(N(H320)=0,"Enter the amount",IF(AND(R320&lt;&gt;"Any",R320&lt;&gt;P320),"Sales, receipts and credit notes are for debtors; purchases, payments and debit notes for creditors",IF(AND(F320&lt;&gt;"",D320&lt;&gt;"Purchase bill"),"The received-on date is only for purchase bills",IF(AND(P320="Creditor",X320=1,AA320&gt;0),"Past due to a micro or small supplier: interest runs under MSMED s.16, and if unpaid at year end it is not deductible that year, s.37(2)(g)",IF(AND(P320="Debtor",X320=1,AA320&gt;0),"Past due to you: as a micro or small supplier you can claim interest under MSMED s.16","OK")))))))))))</f>
        <v/>
      </c>
      <c r="P320">
        <f>IF(C320="","",IFERROR(VLOOKUP(C320,'Parties'!$B$13:$Q$112,2,FALSE),"?"))</f>
        <v/>
      </c>
      <c r="Q320">
        <f>IF(D320="","",IFERROR(VLOOKUP(D320,Lists!$A$2:$D$9,3,FALSE),"?"))</f>
        <v/>
      </c>
      <c r="R320">
        <f>IF(D320="","",IFERROR(VLOOKUP(D320,Lists!$A$2:$D$9,4,FALSE),"?"))</f>
        <v/>
      </c>
      <c r="S320">
        <f>IF(P320="Debtor",I320,IF(P320="Creditor",J320,0))</f>
        <v/>
      </c>
      <c r="T320">
        <f>IF(P320="Debtor",J320,IF(P320="Creditor",I320,0))</f>
        <v/>
      </c>
      <c r="U320">
        <f>IF(OR(S320=0,B320=""),0,IFERROR(VLOOKUP(C320,'Parties'!$B$13:$Q$112,13,FALSE),0)+SUMIFS($S$7:$S$506,$C$7:$C$506,C320,$B$7:$B$506,"&lt;"&amp;B320)+SUMIFS(S$7:S320,C$7:C320,C320,B$7:B320,B320))</f>
        <v/>
      </c>
      <c r="V320">
        <f>IF(S320=0,0,IFERROR(VLOOKUP(C320,'Parties'!$B$13:$Q$112,14,FALSE),0)+SUMIFS($T$7:$T$506,$C$7:$C$506,C320,$B$7:$B$506,"&lt;="&amp;'Outstanding'!$E$5))</f>
        <v/>
      </c>
      <c r="W320">
        <f>IF(OR('Outstanding'!$E$5="",S320=0,B320="",B320&gt;'Outstanding'!$E$5),0,MAX(0,MIN(S320,U320-V320)))</f>
        <v/>
      </c>
      <c r="X320">
        <f>IF(C320="",0,IFERROR(VLOOKUP(C320,'Parties'!$B$13:$Q$112,15,FALSE),0))</f>
        <v/>
      </c>
      <c r="Y320">
        <f>IF(C320="","",IFERROR(VLOOKUP(C320,'Parties'!$B$13:$Q$112,16,FALSE),0))</f>
        <v/>
      </c>
      <c r="Z320">
        <f>IF(OR(S320=0,B320="",Y320=""),"",IF(AND(F320&lt;&gt;"",D320="Purchase bill"),F320,B320)+Y320)</f>
        <v/>
      </c>
      <c r="AA320">
        <f>IF(OR(W320=0,Z320=""),0,MAX(0,'Outstanding'!$E$5-Z320))</f>
        <v/>
      </c>
      <c r="AB320">
        <f>IF(AND(X320=1,AA320&gt;0),W320*((1+3*N('Parties'!$E$10)/12)^(AA320*12/365)-1),0)</f>
        <v/>
      </c>
      <c r="AC320">
        <f>IF(W320=0,"",'Outstanding'!$E$5-B320)</f>
        <v/>
      </c>
      <c r="AD320">
        <f>IF(S320=0,0,IFERROR(VLOOKUP(C320,'Parties'!$B$13:$Q$112,14,FALSE),0)+SUMIFS($T$7:$T$506,$C$7:$C$506,C320,$B$7:$B$506,"&lt;="&amp;'Parties'!$E$8))</f>
        <v/>
      </c>
      <c r="AE320">
        <f>IF(OR('Parties'!$E$8="",S320=0,B320="",B320&gt;'Parties'!$E$8),0,MAX(0,MIN(S320,U320-AD320)))</f>
        <v/>
      </c>
      <c r="AF320">
        <f>IF(AND(P320="Creditor",X320=1,AE320&gt;0,Z320&lt;&gt;""),IF(Z320&lt;='Parties'!$E$8,AE320,0),0)</f>
        <v/>
      </c>
      <c r="AG320">
        <f>IF(OR(AE320=0,Z320=""),0,MAX(0,'Parties'!$E$8-Z320))</f>
        <v/>
      </c>
      <c r="AH320">
        <f>IF(AND(P320="Creditor",X320=1,AG320&gt;0),AE320*((1+3*N('Parties'!$E$10)/12)^(AG320*12/365)-1),0)</f>
        <v/>
      </c>
      <c r="AI320">
        <f>IF(AND(C320&lt;&gt;"",C320='Ledger Account'!$D$4,B320&lt;&gt;"",B320&gt;='Ledger Account'!$D$5,B320&lt;='Ledger Account'!$D$6),1,0)</f>
        <v/>
      </c>
      <c r="AJ320">
        <f>IF(AI320=1,SUM(AI$7:AI320),"")</f>
        <v/>
      </c>
      <c r="AK320">
        <f>IF(OR(N320="",N320="OK"),0,1)</f>
        <v/>
      </c>
    </row>
    <row r="321">
      <c r="B321" s="24" t="n"/>
      <c r="C321" s="14" t="n"/>
      <c r="D321" s="14" t="n"/>
      <c r="E321" s="20" t="n"/>
      <c r="F321" s="24" t="n"/>
      <c r="G321" s="14" t="n"/>
      <c r="H321" s="22" t="n"/>
      <c r="I321" s="25">
        <f>IF(Q321="D",N(H321),0)</f>
        <v/>
      </c>
      <c r="J321" s="25">
        <f>IF(Q321="C",N(H321),0)</f>
        <v/>
      </c>
      <c r="K321" s="26">
        <f>IF(Z321="","",Z321)</f>
        <v/>
      </c>
      <c r="L321" s="27">
        <f>W321</f>
        <v/>
      </c>
      <c r="M321" s="28">
        <f>AA321</f>
        <v/>
      </c>
      <c r="N321" s="23">
        <f>IF(AND(B321="",C321="",D321="",N(H321)=0),"",IF(B321="","Enter the date",IF(C321="","Pick the party",IF(P321="?","Add this party on the Parties sheet first",IF(D321="","Pick the entry type",IF(Q321="?","Pick the entry type from the list",IF(N(H321)=0,"Enter the amount",IF(AND(R321&lt;&gt;"Any",R321&lt;&gt;P321),"Sales, receipts and credit notes are for debtors; purchases, payments and debit notes for creditors",IF(AND(F321&lt;&gt;"",D321&lt;&gt;"Purchase bill"),"The received-on date is only for purchase bills",IF(AND(P321="Creditor",X321=1,AA321&gt;0),"Past due to a micro or small supplier: interest runs under MSMED s.16, and if unpaid at year end it is not deductible that year, s.37(2)(g)",IF(AND(P321="Debtor",X321=1,AA321&gt;0),"Past due to you: as a micro or small supplier you can claim interest under MSMED s.16","OK")))))))))))</f>
        <v/>
      </c>
      <c r="P321">
        <f>IF(C321="","",IFERROR(VLOOKUP(C321,'Parties'!$B$13:$Q$112,2,FALSE),"?"))</f>
        <v/>
      </c>
      <c r="Q321">
        <f>IF(D321="","",IFERROR(VLOOKUP(D321,Lists!$A$2:$D$9,3,FALSE),"?"))</f>
        <v/>
      </c>
      <c r="R321">
        <f>IF(D321="","",IFERROR(VLOOKUP(D321,Lists!$A$2:$D$9,4,FALSE),"?"))</f>
        <v/>
      </c>
      <c r="S321">
        <f>IF(P321="Debtor",I321,IF(P321="Creditor",J321,0))</f>
        <v/>
      </c>
      <c r="T321">
        <f>IF(P321="Debtor",J321,IF(P321="Creditor",I321,0))</f>
        <v/>
      </c>
      <c r="U321">
        <f>IF(OR(S321=0,B321=""),0,IFERROR(VLOOKUP(C321,'Parties'!$B$13:$Q$112,13,FALSE),0)+SUMIFS($S$7:$S$506,$C$7:$C$506,C321,$B$7:$B$506,"&lt;"&amp;B321)+SUMIFS(S$7:S321,C$7:C321,C321,B$7:B321,B321))</f>
        <v/>
      </c>
      <c r="V321">
        <f>IF(S321=0,0,IFERROR(VLOOKUP(C321,'Parties'!$B$13:$Q$112,14,FALSE),0)+SUMIFS($T$7:$T$506,$C$7:$C$506,C321,$B$7:$B$506,"&lt;="&amp;'Outstanding'!$E$5))</f>
        <v/>
      </c>
      <c r="W321">
        <f>IF(OR('Outstanding'!$E$5="",S321=0,B321="",B321&gt;'Outstanding'!$E$5),0,MAX(0,MIN(S321,U321-V321)))</f>
        <v/>
      </c>
      <c r="X321">
        <f>IF(C321="",0,IFERROR(VLOOKUP(C321,'Parties'!$B$13:$Q$112,15,FALSE),0))</f>
        <v/>
      </c>
      <c r="Y321">
        <f>IF(C321="","",IFERROR(VLOOKUP(C321,'Parties'!$B$13:$Q$112,16,FALSE),0))</f>
        <v/>
      </c>
      <c r="Z321">
        <f>IF(OR(S321=0,B321="",Y321=""),"",IF(AND(F321&lt;&gt;"",D321="Purchase bill"),F321,B321)+Y321)</f>
        <v/>
      </c>
      <c r="AA321">
        <f>IF(OR(W321=0,Z321=""),0,MAX(0,'Outstanding'!$E$5-Z321))</f>
        <v/>
      </c>
      <c r="AB321">
        <f>IF(AND(X321=1,AA321&gt;0),W321*((1+3*N('Parties'!$E$10)/12)^(AA321*12/365)-1),0)</f>
        <v/>
      </c>
      <c r="AC321">
        <f>IF(W321=0,"",'Outstanding'!$E$5-B321)</f>
        <v/>
      </c>
      <c r="AD321">
        <f>IF(S321=0,0,IFERROR(VLOOKUP(C321,'Parties'!$B$13:$Q$112,14,FALSE),0)+SUMIFS($T$7:$T$506,$C$7:$C$506,C321,$B$7:$B$506,"&lt;="&amp;'Parties'!$E$8))</f>
        <v/>
      </c>
      <c r="AE321">
        <f>IF(OR('Parties'!$E$8="",S321=0,B321="",B321&gt;'Parties'!$E$8),0,MAX(0,MIN(S321,U321-AD321)))</f>
        <v/>
      </c>
      <c r="AF321">
        <f>IF(AND(P321="Creditor",X321=1,AE321&gt;0,Z321&lt;&gt;""),IF(Z321&lt;='Parties'!$E$8,AE321,0),0)</f>
        <v/>
      </c>
      <c r="AG321">
        <f>IF(OR(AE321=0,Z321=""),0,MAX(0,'Parties'!$E$8-Z321))</f>
        <v/>
      </c>
      <c r="AH321">
        <f>IF(AND(P321="Creditor",X321=1,AG321&gt;0),AE321*((1+3*N('Parties'!$E$10)/12)^(AG321*12/365)-1),0)</f>
        <v/>
      </c>
      <c r="AI321">
        <f>IF(AND(C321&lt;&gt;"",C321='Ledger Account'!$D$4,B321&lt;&gt;"",B321&gt;='Ledger Account'!$D$5,B321&lt;='Ledger Account'!$D$6),1,0)</f>
        <v/>
      </c>
      <c r="AJ321">
        <f>IF(AI321=1,SUM(AI$7:AI321),"")</f>
        <v/>
      </c>
      <c r="AK321">
        <f>IF(OR(N321="",N321="OK"),0,1)</f>
        <v/>
      </c>
    </row>
    <row r="322">
      <c r="B322" s="24" t="n"/>
      <c r="C322" s="14" t="n"/>
      <c r="D322" s="14" t="n"/>
      <c r="E322" s="20" t="n"/>
      <c r="F322" s="24" t="n"/>
      <c r="G322" s="14" t="n"/>
      <c r="H322" s="22" t="n"/>
      <c r="I322" s="25">
        <f>IF(Q322="D",N(H322),0)</f>
        <v/>
      </c>
      <c r="J322" s="25">
        <f>IF(Q322="C",N(H322),0)</f>
        <v/>
      </c>
      <c r="K322" s="26">
        <f>IF(Z322="","",Z322)</f>
        <v/>
      </c>
      <c r="L322" s="27">
        <f>W322</f>
        <v/>
      </c>
      <c r="M322" s="28">
        <f>AA322</f>
        <v/>
      </c>
      <c r="N322" s="23">
        <f>IF(AND(B322="",C322="",D322="",N(H322)=0),"",IF(B322="","Enter the date",IF(C322="","Pick the party",IF(P322="?","Add this party on the Parties sheet first",IF(D322="","Pick the entry type",IF(Q322="?","Pick the entry type from the list",IF(N(H322)=0,"Enter the amount",IF(AND(R322&lt;&gt;"Any",R322&lt;&gt;P322),"Sales, receipts and credit notes are for debtors; purchases, payments and debit notes for creditors",IF(AND(F322&lt;&gt;"",D322&lt;&gt;"Purchase bill"),"The received-on date is only for purchase bills",IF(AND(P322="Creditor",X322=1,AA322&gt;0),"Past due to a micro or small supplier: interest runs under MSMED s.16, and if unpaid at year end it is not deductible that year, s.37(2)(g)",IF(AND(P322="Debtor",X322=1,AA322&gt;0),"Past due to you: as a micro or small supplier you can claim interest under MSMED s.16","OK")))))))))))</f>
        <v/>
      </c>
      <c r="P322">
        <f>IF(C322="","",IFERROR(VLOOKUP(C322,'Parties'!$B$13:$Q$112,2,FALSE),"?"))</f>
        <v/>
      </c>
      <c r="Q322">
        <f>IF(D322="","",IFERROR(VLOOKUP(D322,Lists!$A$2:$D$9,3,FALSE),"?"))</f>
        <v/>
      </c>
      <c r="R322">
        <f>IF(D322="","",IFERROR(VLOOKUP(D322,Lists!$A$2:$D$9,4,FALSE),"?"))</f>
        <v/>
      </c>
      <c r="S322">
        <f>IF(P322="Debtor",I322,IF(P322="Creditor",J322,0))</f>
        <v/>
      </c>
      <c r="T322">
        <f>IF(P322="Debtor",J322,IF(P322="Creditor",I322,0))</f>
        <v/>
      </c>
      <c r="U322">
        <f>IF(OR(S322=0,B322=""),0,IFERROR(VLOOKUP(C322,'Parties'!$B$13:$Q$112,13,FALSE),0)+SUMIFS($S$7:$S$506,$C$7:$C$506,C322,$B$7:$B$506,"&lt;"&amp;B322)+SUMIFS(S$7:S322,C$7:C322,C322,B$7:B322,B322))</f>
        <v/>
      </c>
      <c r="V322">
        <f>IF(S322=0,0,IFERROR(VLOOKUP(C322,'Parties'!$B$13:$Q$112,14,FALSE),0)+SUMIFS($T$7:$T$506,$C$7:$C$506,C322,$B$7:$B$506,"&lt;="&amp;'Outstanding'!$E$5))</f>
        <v/>
      </c>
      <c r="W322">
        <f>IF(OR('Outstanding'!$E$5="",S322=0,B322="",B322&gt;'Outstanding'!$E$5),0,MAX(0,MIN(S322,U322-V322)))</f>
        <v/>
      </c>
      <c r="X322">
        <f>IF(C322="",0,IFERROR(VLOOKUP(C322,'Parties'!$B$13:$Q$112,15,FALSE),0))</f>
        <v/>
      </c>
      <c r="Y322">
        <f>IF(C322="","",IFERROR(VLOOKUP(C322,'Parties'!$B$13:$Q$112,16,FALSE),0))</f>
        <v/>
      </c>
      <c r="Z322">
        <f>IF(OR(S322=0,B322="",Y322=""),"",IF(AND(F322&lt;&gt;"",D322="Purchase bill"),F322,B322)+Y322)</f>
        <v/>
      </c>
      <c r="AA322">
        <f>IF(OR(W322=0,Z322=""),0,MAX(0,'Outstanding'!$E$5-Z322))</f>
        <v/>
      </c>
      <c r="AB322">
        <f>IF(AND(X322=1,AA322&gt;0),W322*((1+3*N('Parties'!$E$10)/12)^(AA322*12/365)-1),0)</f>
        <v/>
      </c>
      <c r="AC322">
        <f>IF(W322=0,"",'Outstanding'!$E$5-B322)</f>
        <v/>
      </c>
      <c r="AD322">
        <f>IF(S322=0,0,IFERROR(VLOOKUP(C322,'Parties'!$B$13:$Q$112,14,FALSE),0)+SUMIFS($T$7:$T$506,$C$7:$C$506,C322,$B$7:$B$506,"&lt;="&amp;'Parties'!$E$8))</f>
        <v/>
      </c>
      <c r="AE322">
        <f>IF(OR('Parties'!$E$8="",S322=0,B322="",B322&gt;'Parties'!$E$8),0,MAX(0,MIN(S322,U322-AD322)))</f>
        <v/>
      </c>
      <c r="AF322">
        <f>IF(AND(P322="Creditor",X322=1,AE322&gt;0,Z322&lt;&gt;""),IF(Z322&lt;='Parties'!$E$8,AE322,0),0)</f>
        <v/>
      </c>
      <c r="AG322">
        <f>IF(OR(AE322=0,Z322=""),0,MAX(0,'Parties'!$E$8-Z322))</f>
        <v/>
      </c>
      <c r="AH322">
        <f>IF(AND(P322="Creditor",X322=1,AG322&gt;0),AE322*((1+3*N('Parties'!$E$10)/12)^(AG322*12/365)-1),0)</f>
        <v/>
      </c>
      <c r="AI322">
        <f>IF(AND(C322&lt;&gt;"",C322='Ledger Account'!$D$4,B322&lt;&gt;"",B322&gt;='Ledger Account'!$D$5,B322&lt;='Ledger Account'!$D$6),1,0)</f>
        <v/>
      </c>
      <c r="AJ322">
        <f>IF(AI322=1,SUM(AI$7:AI322),"")</f>
        <v/>
      </c>
      <c r="AK322">
        <f>IF(OR(N322="",N322="OK"),0,1)</f>
        <v/>
      </c>
    </row>
    <row r="323">
      <c r="B323" s="24" t="n"/>
      <c r="C323" s="14" t="n"/>
      <c r="D323" s="14" t="n"/>
      <c r="E323" s="20" t="n"/>
      <c r="F323" s="24" t="n"/>
      <c r="G323" s="14" t="n"/>
      <c r="H323" s="22" t="n"/>
      <c r="I323" s="25">
        <f>IF(Q323="D",N(H323),0)</f>
        <v/>
      </c>
      <c r="J323" s="25">
        <f>IF(Q323="C",N(H323),0)</f>
        <v/>
      </c>
      <c r="K323" s="26">
        <f>IF(Z323="","",Z323)</f>
        <v/>
      </c>
      <c r="L323" s="27">
        <f>W323</f>
        <v/>
      </c>
      <c r="M323" s="28">
        <f>AA323</f>
        <v/>
      </c>
      <c r="N323" s="23">
        <f>IF(AND(B323="",C323="",D323="",N(H323)=0),"",IF(B323="","Enter the date",IF(C323="","Pick the party",IF(P323="?","Add this party on the Parties sheet first",IF(D323="","Pick the entry type",IF(Q323="?","Pick the entry type from the list",IF(N(H323)=0,"Enter the amount",IF(AND(R323&lt;&gt;"Any",R323&lt;&gt;P323),"Sales, receipts and credit notes are for debtors; purchases, payments and debit notes for creditors",IF(AND(F323&lt;&gt;"",D323&lt;&gt;"Purchase bill"),"The received-on date is only for purchase bills",IF(AND(P323="Creditor",X323=1,AA323&gt;0),"Past due to a micro or small supplier: interest runs under MSMED s.16, and if unpaid at year end it is not deductible that year, s.37(2)(g)",IF(AND(P323="Debtor",X323=1,AA323&gt;0),"Past due to you: as a micro or small supplier you can claim interest under MSMED s.16","OK")))))))))))</f>
        <v/>
      </c>
      <c r="P323">
        <f>IF(C323="","",IFERROR(VLOOKUP(C323,'Parties'!$B$13:$Q$112,2,FALSE),"?"))</f>
        <v/>
      </c>
      <c r="Q323">
        <f>IF(D323="","",IFERROR(VLOOKUP(D323,Lists!$A$2:$D$9,3,FALSE),"?"))</f>
        <v/>
      </c>
      <c r="R323">
        <f>IF(D323="","",IFERROR(VLOOKUP(D323,Lists!$A$2:$D$9,4,FALSE),"?"))</f>
        <v/>
      </c>
      <c r="S323">
        <f>IF(P323="Debtor",I323,IF(P323="Creditor",J323,0))</f>
        <v/>
      </c>
      <c r="T323">
        <f>IF(P323="Debtor",J323,IF(P323="Creditor",I323,0))</f>
        <v/>
      </c>
      <c r="U323">
        <f>IF(OR(S323=0,B323=""),0,IFERROR(VLOOKUP(C323,'Parties'!$B$13:$Q$112,13,FALSE),0)+SUMIFS($S$7:$S$506,$C$7:$C$506,C323,$B$7:$B$506,"&lt;"&amp;B323)+SUMIFS(S$7:S323,C$7:C323,C323,B$7:B323,B323))</f>
        <v/>
      </c>
      <c r="V323">
        <f>IF(S323=0,0,IFERROR(VLOOKUP(C323,'Parties'!$B$13:$Q$112,14,FALSE),0)+SUMIFS($T$7:$T$506,$C$7:$C$506,C323,$B$7:$B$506,"&lt;="&amp;'Outstanding'!$E$5))</f>
        <v/>
      </c>
      <c r="W323">
        <f>IF(OR('Outstanding'!$E$5="",S323=0,B323="",B323&gt;'Outstanding'!$E$5),0,MAX(0,MIN(S323,U323-V323)))</f>
        <v/>
      </c>
      <c r="X323">
        <f>IF(C323="",0,IFERROR(VLOOKUP(C323,'Parties'!$B$13:$Q$112,15,FALSE),0))</f>
        <v/>
      </c>
      <c r="Y323">
        <f>IF(C323="","",IFERROR(VLOOKUP(C323,'Parties'!$B$13:$Q$112,16,FALSE),0))</f>
        <v/>
      </c>
      <c r="Z323">
        <f>IF(OR(S323=0,B323="",Y323=""),"",IF(AND(F323&lt;&gt;"",D323="Purchase bill"),F323,B323)+Y323)</f>
        <v/>
      </c>
      <c r="AA323">
        <f>IF(OR(W323=0,Z323=""),0,MAX(0,'Outstanding'!$E$5-Z323))</f>
        <v/>
      </c>
      <c r="AB323">
        <f>IF(AND(X323=1,AA323&gt;0),W323*((1+3*N('Parties'!$E$10)/12)^(AA323*12/365)-1),0)</f>
        <v/>
      </c>
      <c r="AC323">
        <f>IF(W323=0,"",'Outstanding'!$E$5-B323)</f>
        <v/>
      </c>
      <c r="AD323">
        <f>IF(S323=0,0,IFERROR(VLOOKUP(C323,'Parties'!$B$13:$Q$112,14,FALSE),0)+SUMIFS($T$7:$T$506,$C$7:$C$506,C323,$B$7:$B$506,"&lt;="&amp;'Parties'!$E$8))</f>
        <v/>
      </c>
      <c r="AE323">
        <f>IF(OR('Parties'!$E$8="",S323=0,B323="",B323&gt;'Parties'!$E$8),0,MAX(0,MIN(S323,U323-AD323)))</f>
        <v/>
      </c>
      <c r="AF323">
        <f>IF(AND(P323="Creditor",X323=1,AE323&gt;0,Z323&lt;&gt;""),IF(Z323&lt;='Parties'!$E$8,AE323,0),0)</f>
        <v/>
      </c>
      <c r="AG323">
        <f>IF(OR(AE323=0,Z323=""),0,MAX(0,'Parties'!$E$8-Z323))</f>
        <v/>
      </c>
      <c r="AH323">
        <f>IF(AND(P323="Creditor",X323=1,AG323&gt;0),AE323*((1+3*N('Parties'!$E$10)/12)^(AG323*12/365)-1),0)</f>
        <v/>
      </c>
      <c r="AI323">
        <f>IF(AND(C323&lt;&gt;"",C323='Ledger Account'!$D$4,B323&lt;&gt;"",B323&gt;='Ledger Account'!$D$5,B323&lt;='Ledger Account'!$D$6),1,0)</f>
        <v/>
      </c>
      <c r="AJ323">
        <f>IF(AI323=1,SUM(AI$7:AI323),"")</f>
        <v/>
      </c>
      <c r="AK323">
        <f>IF(OR(N323="",N323="OK"),0,1)</f>
        <v/>
      </c>
    </row>
    <row r="324">
      <c r="B324" s="24" t="n"/>
      <c r="C324" s="14" t="n"/>
      <c r="D324" s="14" t="n"/>
      <c r="E324" s="20" t="n"/>
      <c r="F324" s="24" t="n"/>
      <c r="G324" s="14" t="n"/>
      <c r="H324" s="22" t="n"/>
      <c r="I324" s="25">
        <f>IF(Q324="D",N(H324),0)</f>
        <v/>
      </c>
      <c r="J324" s="25">
        <f>IF(Q324="C",N(H324),0)</f>
        <v/>
      </c>
      <c r="K324" s="26">
        <f>IF(Z324="","",Z324)</f>
        <v/>
      </c>
      <c r="L324" s="27">
        <f>W324</f>
        <v/>
      </c>
      <c r="M324" s="28">
        <f>AA324</f>
        <v/>
      </c>
      <c r="N324" s="23">
        <f>IF(AND(B324="",C324="",D324="",N(H324)=0),"",IF(B324="","Enter the date",IF(C324="","Pick the party",IF(P324="?","Add this party on the Parties sheet first",IF(D324="","Pick the entry type",IF(Q324="?","Pick the entry type from the list",IF(N(H324)=0,"Enter the amount",IF(AND(R324&lt;&gt;"Any",R324&lt;&gt;P324),"Sales, receipts and credit notes are for debtors; purchases, payments and debit notes for creditors",IF(AND(F324&lt;&gt;"",D324&lt;&gt;"Purchase bill"),"The received-on date is only for purchase bills",IF(AND(P324="Creditor",X324=1,AA324&gt;0),"Past due to a micro or small supplier: interest runs under MSMED s.16, and if unpaid at year end it is not deductible that year, s.37(2)(g)",IF(AND(P324="Debtor",X324=1,AA324&gt;0),"Past due to you: as a micro or small supplier you can claim interest under MSMED s.16","OK")))))))))))</f>
        <v/>
      </c>
      <c r="P324">
        <f>IF(C324="","",IFERROR(VLOOKUP(C324,'Parties'!$B$13:$Q$112,2,FALSE),"?"))</f>
        <v/>
      </c>
      <c r="Q324">
        <f>IF(D324="","",IFERROR(VLOOKUP(D324,Lists!$A$2:$D$9,3,FALSE),"?"))</f>
        <v/>
      </c>
      <c r="R324">
        <f>IF(D324="","",IFERROR(VLOOKUP(D324,Lists!$A$2:$D$9,4,FALSE),"?"))</f>
        <v/>
      </c>
      <c r="S324">
        <f>IF(P324="Debtor",I324,IF(P324="Creditor",J324,0))</f>
        <v/>
      </c>
      <c r="T324">
        <f>IF(P324="Debtor",J324,IF(P324="Creditor",I324,0))</f>
        <v/>
      </c>
      <c r="U324">
        <f>IF(OR(S324=0,B324=""),0,IFERROR(VLOOKUP(C324,'Parties'!$B$13:$Q$112,13,FALSE),0)+SUMIFS($S$7:$S$506,$C$7:$C$506,C324,$B$7:$B$506,"&lt;"&amp;B324)+SUMIFS(S$7:S324,C$7:C324,C324,B$7:B324,B324))</f>
        <v/>
      </c>
      <c r="V324">
        <f>IF(S324=0,0,IFERROR(VLOOKUP(C324,'Parties'!$B$13:$Q$112,14,FALSE),0)+SUMIFS($T$7:$T$506,$C$7:$C$506,C324,$B$7:$B$506,"&lt;="&amp;'Outstanding'!$E$5))</f>
        <v/>
      </c>
      <c r="W324">
        <f>IF(OR('Outstanding'!$E$5="",S324=0,B324="",B324&gt;'Outstanding'!$E$5),0,MAX(0,MIN(S324,U324-V324)))</f>
        <v/>
      </c>
      <c r="X324">
        <f>IF(C324="",0,IFERROR(VLOOKUP(C324,'Parties'!$B$13:$Q$112,15,FALSE),0))</f>
        <v/>
      </c>
      <c r="Y324">
        <f>IF(C324="","",IFERROR(VLOOKUP(C324,'Parties'!$B$13:$Q$112,16,FALSE),0))</f>
        <v/>
      </c>
      <c r="Z324">
        <f>IF(OR(S324=0,B324="",Y324=""),"",IF(AND(F324&lt;&gt;"",D324="Purchase bill"),F324,B324)+Y324)</f>
        <v/>
      </c>
      <c r="AA324">
        <f>IF(OR(W324=0,Z324=""),0,MAX(0,'Outstanding'!$E$5-Z324))</f>
        <v/>
      </c>
      <c r="AB324">
        <f>IF(AND(X324=1,AA324&gt;0),W324*((1+3*N('Parties'!$E$10)/12)^(AA324*12/365)-1),0)</f>
        <v/>
      </c>
      <c r="AC324">
        <f>IF(W324=0,"",'Outstanding'!$E$5-B324)</f>
        <v/>
      </c>
      <c r="AD324">
        <f>IF(S324=0,0,IFERROR(VLOOKUP(C324,'Parties'!$B$13:$Q$112,14,FALSE),0)+SUMIFS($T$7:$T$506,$C$7:$C$506,C324,$B$7:$B$506,"&lt;="&amp;'Parties'!$E$8))</f>
        <v/>
      </c>
      <c r="AE324">
        <f>IF(OR('Parties'!$E$8="",S324=0,B324="",B324&gt;'Parties'!$E$8),0,MAX(0,MIN(S324,U324-AD324)))</f>
        <v/>
      </c>
      <c r="AF324">
        <f>IF(AND(P324="Creditor",X324=1,AE324&gt;0,Z324&lt;&gt;""),IF(Z324&lt;='Parties'!$E$8,AE324,0),0)</f>
        <v/>
      </c>
      <c r="AG324">
        <f>IF(OR(AE324=0,Z324=""),0,MAX(0,'Parties'!$E$8-Z324))</f>
        <v/>
      </c>
      <c r="AH324">
        <f>IF(AND(P324="Creditor",X324=1,AG324&gt;0),AE324*((1+3*N('Parties'!$E$10)/12)^(AG324*12/365)-1),0)</f>
        <v/>
      </c>
      <c r="AI324">
        <f>IF(AND(C324&lt;&gt;"",C324='Ledger Account'!$D$4,B324&lt;&gt;"",B324&gt;='Ledger Account'!$D$5,B324&lt;='Ledger Account'!$D$6),1,0)</f>
        <v/>
      </c>
      <c r="AJ324">
        <f>IF(AI324=1,SUM(AI$7:AI324),"")</f>
        <v/>
      </c>
      <c r="AK324">
        <f>IF(OR(N324="",N324="OK"),0,1)</f>
        <v/>
      </c>
    </row>
    <row r="325">
      <c r="B325" s="24" t="n"/>
      <c r="C325" s="14" t="n"/>
      <c r="D325" s="14" t="n"/>
      <c r="E325" s="20" t="n"/>
      <c r="F325" s="24" t="n"/>
      <c r="G325" s="14" t="n"/>
      <c r="H325" s="22" t="n"/>
      <c r="I325" s="25">
        <f>IF(Q325="D",N(H325),0)</f>
        <v/>
      </c>
      <c r="J325" s="25">
        <f>IF(Q325="C",N(H325),0)</f>
        <v/>
      </c>
      <c r="K325" s="26">
        <f>IF(Z325="","",Z325)</f>
        <v/>
      </c>
      <c r="L325" s="27">
        <f>W325</f>
        <v/>
      </c>
      <c r="M325" s="28">
        <f>AA325</f>
        <v/>
      </c>
      <c r="N325" s="23">
        <f>IF(AND(B325="",C325="",D325="",N(H325)=0),"",IF(B325="","Enter the date",IF(C325="","Pick the party",IF(P325="?","Add this party on the Parties sheet first",IF(D325="","Pick the entry type",IF(Q325="?","Pick the entry type from the list",IF(N(H325)=0,"Enter the amount",IF(AND(R325&lt;&gt;"Any",R325&lt;&gt;P325),"Sales, receipts and credit notes are for debtors; purchases, payments and debit notes for creditors",IF(AND(F325&lt;&gt;"",D325&lt;&gt;"Purchase bill"),"The received-on date is only for purchase bills",IF(AND(P325="Creditor",X325=1,AA325&gt;0),"Past due to a micro or small supplier: interest runs under MSMED s.16, and if unpaid at year end it is not deductible that year, s.37(2)(g)",IF(AND(P325="Debtor",X325=1,AA325&gt;0),"Past due to you: as a micro or small supplier you can claim interest under MSMED s.16","OK")))))))))))</f>
        <v/>
      </c>
      <c r="P325">
        <f>IF(C325="","",IFERROR(VLOOKUP(C325,'Parties'!$B$13:$Q$112,2,FALSE),"?"))</f>
        <v/>
      </c>
      <c r="Q325">
        <f>IF(D325="","",IFERROR(VLOOKUP(D325,Lists!$A$2:$D$9,3,FALSE),"?"))</f>
        <v/>
      </c>
      <c r="R325">
        <f>IF(D325="","",IFERROR(VLOOKUP(D325,Lists!$A$2:$D$9,4,FALSE),"?"))</f>
        <v/>
      </c>
      <c r="S325">
        <f>IF(P325="Debtor",I325,IF(P325="Creditor",J325,0))</f>
        <v/>
      </c>
      <c r="T325">
        <f>IF(P325="Debtor",J325,IF(P325="Creditor",I325,0))</f>
        <v/>
      </c>
      <c r="U325">
        <f>IF(OR(S325=0,B325=""),0,IFERROR(VLOOKUP(C325,'Parties'!$B$13:$Q$112,13,FALSE),0)+SUMIFS($S$7:$S$506,$C$7:$C$506,C325,$B$7:$B$506,"&lt;"&amp;B325)+SUMIFS(S$7:S325,C$7:C325,C325,B$7:B325,B325))</f>
        <v/>
      </c>
      <c r="V325">
        <f>IF(S325=0,0,IFERROR(VLOOKUP(C325,'Parties'!$B$13:$Q$112,14,FALSE),0)+SUMIFS($T$7:$T$506,$C$7:$C$506,C325,$B$7:$B$506,"&lt;="&amp;'Outstanding'!$E$5))</f>
        <v/>
      </c>
      <c r="W325">
        <f>IF(OR('Outstanding'!$E$5="",S325=0,B325="",B325&gt;'Outstanding'!$E$5),0,MAX(0,MIN(S325,U325-V325)))</f>
        <v/>
      </c>
      <c r="X325">
        <f>IF(C325="",0,IFERROR(VLOOKUP(C325,'Parties'!$B$13:$Q$112,15,FALSE),0))</f>
        <v/>
      </c>
      <c r="Y325">
        <f>IF(C325="","",IFERROR(VLOOKUP(C325,'Parties'!$B$13:$Q$112,16,FALSE),0))</f>
        <v/>
      </c>
      <c r="Z325">
        <f>IF(OR(S325=0,B325="",Y325=""),"",IF(AND(F325&lt;&gt;"",D325="Purchase bill"),F325,B325)+Y325)</f>
        <v/>
      </c>
      <c r="AA325">
        <f>IF(OR(W325=0,Z325=""),0,MAX(0,'Outstanding'!$E$5-Z325))</f>
        <v/>
      </c>
      <c r="AB325">
        <f>IF(AND(X325=1,AA325&gt;0),W325*((1+3*N('Parties'!$E$10)/12)^(AA325*12/365)-1),0)</f>
        <v/>
      </c>
      <c r="AC325">
        <f>IF(W325=0,"",'Outstanding'!$E$5-B325)</f>
        <v/>
      </c>
      <c r="AD325">
        <f>IF(S325=0,0,IFERROR(VLOOKUP(C325,'Parties'!$B$13:$Q$112,14,FALSE),0)+SUMIFS($T$7:$T$506,$C$7:$C$506,C325,$B$7:$B$506,"&lt;="&amp;'Parties'!$E$8))</f>
        <v/>
      </c>
      <c r="AE325">
        <f>IF(OR('Parties'!$E$8="",S325=0,B325="",B325&gt;'Parties'!$E$8),0,MAX(0,MIN(S325,U325-AD325)))</f>
        <v/>
      </c>
      <c r="AF325">
        <f>IF(AND(P325="Creditor",X325=1,AE325&gt;0,Z325&lt;&gt;""),IF(Z325&lt;='Parties'!$E$8,AE325,0),0)</f>
        <v/>
      </c>
      <c r="AG325">
        <f>IF(OR(AE325=0,Z325=""),0,MAX(0,'Parties'!$E$8-Z325))</f>
        <v/>
      </c>
      <c r="AH325">
        <f>IF(AND(P325="Creditor",X325=1,AG325&gt;0),AE325*((1+3*N('Parties'!$E$10)/12)^(AG325*12/365)-1),0)</f>
        <v/>
      </c>
      <c r="AI325">
        <f>IF(AND(C325&lt;&gt;"",C325='Ledger Account'!$D$4,B325&lt;&gt;"",B325&gt;='Ledger Account'!$D$5,B325&lt;='Ledger Account'!$D$6),1,0)</f>
        <v/>
      </c>
      <c r="AJ325">
        <f>IF(AI325=1,SUM(AI$7:AI325),"")</f>
        <v/>
      </c>
      <c r="AK325">
        <f>IF(OR(N325="",N325="OK"),0,1)</f>
        <v/>
      </c>
    </row>
    <row r="326">
      <c r="B326" s="24" t="n"/>
      <c r="C326" s="14" t="n"/>
      <c r="D326" s="14" t="n"/>
      <c r="E326" s="20" t="n"/>
      <c r="F326" s="24" t="n"/>
      <c r="G326" s="14" t="n"/>
      <c r="H326" s="22" t="n"/>
      <c r="I326" s="25">
        <f>IF(Q326="D",N(H326),0)</f>
        <v/>
      </c>
      <c r="J326" s="25">
        <f>IF(Q326="C",N(H326),0)</f>
        <v/>
      </c>
      <c r="K326" s="26">
        <f>IF(Z326="","",Z326)</f>
        <v/>
      </c>
      <c r="L326" s="27">
        <f>W326</f>
        <v/>
      </c>
      <c r="M326" s="28">
        <f>AA326</f>
        <v/>
      </c>
      <c r="N326" s="23">
        <f>IF(AND(B326="",C326="",D326="",N(H326)=0),"",IF(B326="","Enter the date",IF(C326="","Pick the party",IF(P326="?","Add this party on the Parties sheet first",IF(D326="","Pick the entry type",IF(Q326="?","Pick the entry type from the list",IF(N(H326)=0,"Enter the amount",IF(AND(R326&lt;&gt;"Any",R326&lt;&gt;P326),"Sales, receipts and credit notes are for debtors; purchases, payments and debit notes for creditors",IF(AND(F326&lt;&gt;"",D326&lt;&gt;"Purchase bill"),"The received-on date is only for purchase bills",IF(AND(P326="Creditor",X326=1,AA326&gt;0),"Past due to a micro or small supplier: interest runs under MSMED s.16, and if unpaid at year end it is not deductible that year, s.37(2)(g)",IF(AND(P326="Debtor",X326=1,AA326&gt;0),"Past due to you: as a micro or small supplier you can claim interest under MSMED s.16","OK")))))))))))</f>
        <v/>
      </c>
      <c r="P326">
        <f>IF(C326="","",IFERROR(VLOOKUP(C326,'Parties'!$B$13:$Q$112,2,FALSE),"?"))</f>
        <v/>
      </c>
      <c r="Q326">
        <f>IF(D326="","",IFERROR(VLOOKUP(D326,Lists!$A$2:$D$9,3,FALSE),"?"))</f>
        <v/>
      </c>
      <c r="R326">
        <f>IF(D326="","",IFERROR(VLOOKUP(D326,Lists!$A$2:$D$9,4,FALSE),"?"))</f>
        <v/>
      </c>
      <c r="S326">
        <f>IF(P326="Debtor",I326,IF(P326="Creditor",J326,0))</f>
        <v/>
      </c>
      <c r="T326">
        <f>IF(P326="Debtor",J326,IF(P326="Creditor",I326,0))</f>
        <v/>
      </c>
      <c r="U326">
        <f>IF(OR(S326=0,B326=""),0,IFERROR(VLOOKUP(C326,'Parties'!$B$13:$Q$112,13,FALSE),0)+SUMIFS($S$7:$S$506,$C$7:$C$506,C326,$B$7:$B$506,"&lt;"&amp;B326)+SUMIFS(S$7:S326,C$7:C326,C326,B$7:B326,B326))</f>
        <v/>
      </c>
      <c r="V326">
        <f>IF(S326=0,0,IFERROR(VLOOKUP(C326,'Parties'!$B$13:$Q$112,14,FALSE),0)+SUMIFS($T$7:$T$506,$C$7:$C$506,C326,$B$7:$B$506,"&lt;="&amp;'Outstanding'!$E$5))</f>
        <v/>
      </c>
      <c r="W326">
        <f>IF(OR('Outstanding'!$E$5="",S326=0,B326="",B326&gt;'Outstanding'!$E$5),0,MAX(0,MIN(S326,U326-V326)))</f>
        <v/>
      </c>
      <c r="X326">
        <f>IF(C326="",0,IFERROR(VLOOKUP(C326,'Parties'!$B$13:$Q$112,15,FALSE),0))</f>
        <v/>
      </c>
      <c r="Y326">
        <f>IF(C326="","",IFERROR(VLOOKUP(C326,'Parties'!$B$13:$Q$112,16,FALSE),0))</f>
        <v/>
      </c>
      <c r="Z326">
        <f>IF(OR(S326=0,B326="",Y326=""),"",IF(AND(F326&lt;&gt;"",D326="Purchase bill"),F326,B326)+Y326)</f>
        <v/>
      </c>
      <c r="AA326">
        <f>IF(OR(W326=0,Z326=""),0,MAX(0,'Outstanding'!$E$5-Z326))</f>
        <v/>
      </c>
      <c r="AB326">
        <f>IF(AND(X326=1,AA326&gt;0),W326*((1+3*N('Parties'!$E$10)/12)^(AA326*12/365)-1),0)</f>
        <v/>
      </c>
      <c r="AC326">
        <f>IF(W326=0,"",'Outstanding'!$E$5-B326)</f>
        <v/>
      </c>
      <c r="AD326">
        <f>IF(S326=0,0,IFERROR(VLOOKUP(C326,'Parties'!$B$13:$Q$112,14,FALSE),0)+SUMIFS($T$7:$T$506,$C$7:$C$506,C326,$B$7:$B$506,"&lt;="&amp;'Parties'!$E$8))</f>
        <v/>
      </c>
      <c r="AE326">
        <f>IF(OR('Parties'!$E$8="",S326=0,B326="",B326&gt;'Parties'!$E$8),0,MAX(0,MIN(S326,U326-AD326)))</f>
        <v/>
      </c>
      <c r="AF326">
        <f>IF(AND(P326="Creditor",X326=1,AE326&gt;0,Z326&lt;&gt;""),IF(Z326&lt;='Parties'!$E$8,AE326,0),0)</f>
        <v/>
      </c>
      <c r="AG326">
        <f>IF(OR(AE326=0,Z326=""),0,MAX(0,'Parties'!$E$8-Z326))</f>
        <v/>
      </c>
      <c r="AH326">
        <f>IF(AND(P326="Creditor",X326=1,AG326&gt;0),AE326*((1+3*N('Parties'!$E$10)/12)^(AG326*12/365)-1),0)</f>
        <v/>
      </c>
      <c r="AI326">
        <f>IF(AND(C326&lt;&gt;"",C326='Ledger Account'!$D$4,B326&lt;&gt;"",B326&gt;='Ledger Account'!$D$5,B326&lt;='Ledger Account'!$D$6),1,0)</f>
        <v/>
      </c>
      <c r="AJ326">
        <f>IF(AI326=1,SUM(AI$7:AI326),"")</f>
        <v/>
      </c>
      <c r="AK326">
        <f>IF(OR(N326="",N326="OK"),0,1)</f>
        <v/>
      </c>
    </row>
    <row r="327">
      <c r="B327" s="24" t="n"/>
      <c r="C327" s="14" t="n"/>
      <c r="D327" s="14" t="n"/>
      <c r="E327" s="20" t="n"/>
      <c r="F327" s="24" t="n"/>
      <c r="G327" s="14" t="n"/>
      <c r="H327" s="22" t="n"/>
      <c r="I327" s="25">
        <f>IF(Q327="D",N(H327),0)</f>
        <v/>
      </c>
      <c r="J327" s="25">
        <f>IF(Q327="C",N(H327),0)</f>
        <v/>
      </c>
      <c r="K327" s="26">
        <f>IF(Z327="","",Z327)</f>
        <v/>
      </c>
      <c r="L327" s="27">
        <f>W327</f>
        <v/>
      </c>
      <c r="M327" s="28">
        <f>AA327</f>
        <v/>
      </c>
      <c r="N327" s="23">
        <f>IF(AND(B327="",C327="",D327="",N(H327)=0),"",IF(B327="","Enter the date",IF(C327="","Pick the party",IF(P327="?","Add this party on the Parties sheet first",IF(D327="","Pick the entry type",IF(Q327="?","Pick the entry type from the list",IF(N(H327)=0,"Enter the amount",IF(AND(R327&lt;&gt;"Any",R327&lt;&gt;P327),"Sales, receipts and credit notes are for debtors; purchases, payments and debit notes for creditors",IF(AND(F327&lt;&gt;"",D327&lt;&gt;"Purchase bill"),"The received-on date is only for purchase bills",IF(AND(P327="Creditor",X327=1,AA327&gt;0),"Past due to a micro or small supplier: interest runs under MSMED s.16, and if unpaid at year end it is not deductible that year, s.37(2)(g)",IF(AND(P327="Debtor",X327=1,AA327&gt;0),"Past due to you: as a micro or small supplier you can claim interest under MSMED s.16","OK")))))))))))</f>
        <v/>
      </c>
      <c r="P327">
        <f>IF(C327="","",IFERROR(VLOOKUP(C327,'Parties'!$B$13:$Q$112,2,FALSE),"?"))</f>
        <v/>
      </c>
      <c r="Q327">
        <f>IF(D327="","",IFERROR(VLOOKUP(D327,Lists!$A$2:$D$9,3,FALSE),"?"))</f>
        <v/>
      </c>
      <c r="R327">
        <f>IF(D327="","",IFERROR(VLOOKUP(D327,Lists!$A$2:$D$9,4,FALSE),"?"))</f>
        <v/>
      </c>
      <c r="S327">
        <f>IF(P327="Debtor",I327,IF(P327="Creditor",J327,0))</f>
        <v/>
      </c>
      <c r="T327">
        <f>IF(P327="Debtor",J327,IF(P327="Creditor",I327,0))</f>
        <v/>
      </c>
      <c r="U327">
        <f>IF(OR(S327=0,B327=""),0,IFERROR(VLOOKUP(C327,'Parties'!$B$13:$Q$112,13,FALSE),0)+SUMIFS($S$7:$S$506,$C$7:$C$506,C327,$B$7:$B$506,"&lt;"&amp;B327)+SUMIFS(S$7:S327,C$7:C327,C327,B$7:B327,B327))</f>
        <v/>
      </c>
      <c r="V327">
        <f>IF(S327=0,0,IFERROR(VLOOKUP(C327,'Parties'!$B$13:$Q$112,14,FALSE),0)+SUMIFS($T$7:$T$506,$C$7:$C$506,C327,$B$7:$B$506,"&lt;="&amp;'Outstanding'!$E$5))</f>
        <v/>
      </c>
      <c r="W327">
        <f>IF(OR('Outstanding'!$E$5="",S327=0,B327="",B327&gt;'Outstanding'!$E$5),0,MAX(0,MIN(S327,U327-V327)))</f>
        <v/>
      </c>
      <c r="X327">
        <f>IF(C327="",0,IFERROR(VLOOKUP(C327,'Parties'!$B$13:$Q$112,15,FALSE),0))</f>
        <v/>
      </c>
      <c r="Y327">
        <f>IF(C327="","",IFERROR(VLOOKUP(C327,'Parties'!$B$13:$Q$112,16,FALSE),0))</f>
        <v/>
      </c>
      <c r="Z327">
        <f>IF(OR(S327=0,B327="",Y327=""),"",IF(AND(F327&lt;&gt;"",D327="Purchase bill"),F327,B327)+Y327)</f>
        <v/>
      </c>
      <c r="AA327">
        <f>IF(OR(W327=0,Z327=""),0,MAX(0,'Outstanding'!$E$5-Z327))</f>
        <v/>
      </c>
      <c r="AB327">
        <f>IF(AND(X327=1,AA327&gt;0),W327*((1+3*N('Parties'!$E$10)/12)^(AA327*12/365)-1),0)</f>
        <v/>
      </c>
      <c r="AC327">
        <f>IF(W327=0,"",'Outstanding'!$E$5-B327)</f>
        <v/>
      </c>
      <c r="AD327">
        <f>IF(S327=0,0,IFERROR(VLOOKUP(C327,'Parties'!$B$13:$Q$112,14,FALSE),0)+SUMIFS($T$7:$T$506,$C$7:$C$506,C327,$B$7:$B$506,"&lt;="&amp;'Parties'!$E$8))</f>
        <v/>
      </c>
      <c r="AE327">
        <f>IF(OR('Parties'!$E$8="",S327=0,B327="",B327&gt;'Parties'!$E$8),0,MAX(0,MIN(S327,U327-AD327)))</f>
        <v/>
      </c>
      <c r="AF327">
        <f>IF(AND(P327="Creditor",X327=1,AE327&gt;0,Z327&lt;&gt;""),IF(Z327&lt;='Parties'!$E$8,AE327,0),0)</f>
        <v/>
      </c>
      <c r="AG327">
        <f>IF(OR(AE327=0,Z327=""),0,MAX(0,'Parties'!$E$8-Z327))</f>
        <v/>
      </c>
      <c r="AH327">
        <f>IF(AND(P327="Creditor",X327=1,AG327&gt;0),AE327*((1+3*N('Parties'!$E$10)/12)^(AG327*12/365)-1),0)</f>
        <v/>
      </c>
      <c r="AI327">
        <f>IF(AND(C327&lt;&gt;"",C327='Ledger Account'!$D$4,B327&lt;&gt;"",B327&gt;='Ledger Account'!$D$5,B327&lt;='Ledger Account'!$D$6),1,0)</f>
        <v/>
      </c>
      <c r="AJ327">
        <f>IF(AI327=1,SUM(AI$7:AI327),"")</f>
        <v/>
      </c>
      <c r="AK327">
        <f>IF(OR(N327="",N327="OK"),0,1)</f>
        <v/>
      </c>
    </row>
    <row r="328">
      <c r="B328" s="24" t="n"/>
      <c r="C328" s="14" t="n"/>
      <c r="D328" s="14" t="n"/>
      <c r="E328" s="20" t="n"/>
      <c r="F328" s="24" t="n"/>
      <c r="G328" s="14" t="n"/>
      <c r="H328" s="22" t="n"/>
      <c r="I328" s="25">
        <f>IF(Q328="D",N(H328),0)</f>
        <v/>
      </c>
      <c r="J328" s="25">
        <f>IF(Q328="C",N(H328),0)</f>
        <v/>
      </c>
      <c r="K328" s="26">
        <f>IF(Z328="","",Z328)</f>
        <v/>
      </c>
      <c r="L328" s="27">
        <f>W328</f>
        <v/>
      </c>
      <c r="M328" s="28">
        <f>AA328</f>
        <v/>
      </c>
      <c r="N328" s="23">
        <f>IF(AND(B328="",C328="",D328="",N(H328)=0),"",IF(B328="","Enter the date",IF(C328="","Pick the party",IF(P328="?","Add this party on the Parties sheet first",IF(D328="","Pick the entry type",IF(Q328="?","Pick the entry type from the list",IF(N(H328)=0,"Enter the amount",IF(AND(R328&lt;&gt;"Any",R328&lt;&gt;P328),"Sales, receipts and credit notes are for debtors; purchases, payments and debit notes for creditors",IF(AND(F328&lt;&gt;"",D328&lt;&gt;"Purchase bill"),"The received-on date is only for purchase bills",IF(AND(P328="Creditor",X328=1,AA328&gt;0),"Past due to a micro or small supplier: interest runs under MSMED s.16, and if unpaid at year end it is not deductible that year, s.37(2)(g)",IF(AND(P328="Debtor",X328=1,AA328&gt;0),"Past due to you: as a micro or small supplier you can claim interest under MSMED s.16","OK")))))))))))</f>
        <v/>
      </c>
      <c r="P328">
        <f>IF(C328="","",IFERROR(VLOOKUP(C328,'Parties'!$B$13:$Q$112,2,FALSE),"?"))</f>
        <v/>
      </c>
      <c r="Q328">
        <f>IF(D328="","",IFERROR(VLOOKUP(D328,Lists!$A$2:$D$9,3,FALSE),"?"))</f>
        <v/>
      </c>
      <c r="R328">
        <f>IF(D328="","",IFERROR(VLOOKUP(D328,Lists!$A$2:$D$9,4,FALSE),"?"))</f>
        <v/>
      </c>
      <c r="S328">
        <f>IF(P328="Debtor",I328,IF(P328="Creditor",J328,0))</f>
        <v/>
      </c>
      <c r="T328">
        <f>IF(P328="Debtor",J328,IF(P328="Creditor",I328,0))</f>
        <v/>
      </c>
      <c r="U328">
        <f>IF(OR(S328=0,B328=""),0,IFERROR(VLOOKUP(C328,'Parties'!$B$13:$Q$112,13,FALSE),0)+SUMIFS($S$7:$S$506,$C$7:$C$506,C328,$B$7:$B$506,"&lt;"&amp;B328)+SUMIFS(S$7:S328,C$7:C328,C328,B$7:B328,B328))</f>
        <v/>
      </c>
      <c r="V328">
        <f>IF(S328=0,0,IFERROR(VLOOKUP(C328,'Parties'!$B$13:$Q$112,14,FALSE),0)+SUMIFS($T$7:$T$506,$C$7:$C$506,C328,$B$7:$B$506,"&lt;="&amp;'Outstanding'!$E$5))</f>
        <v/>
      </c>
      <c r="W328">
        <f>IF(OR('Outstanding'!$E$5="",S328=0,B328="",B328&gt;'Outstanding'!$E$5),0,MAX(0,MIN(S328,U328-V328)))</f>
        <v/>
      </c>
      <c r="X328">
        <f>IF(C328="",0,IFERROR(VLOOKUP(C328,'Parties'!$B$13:$Q$112,15,FALSE),0))</f>
        <v/>
      </c>
      <c r="Y328">
        <f>IF(C328="","",IFERROR(VLOOKUP(C328,'Parties'!$B$13:$Q$112,16,FALSE),0))</f>
        <v/>
      </c>
      <c r="Z328">
        <f>IF(OR(S328=0,B328="",Y328=""),"",IF(AND(F328&lt;&gt;"",D328="Purchase bill"),F328,B328)+Y328)</f>
        <v/>
      </c>
      <c r="AA328">
        <f>IF(OR(W328=0,Z328=""),0,MAX(0,'Outstanding'!$E$5-Z328))</f>
        <v/>
      </c>
      <c r="AB328">
        <f>IF(AND(X328=1,AA328&gt;0),W328*((1+3*N('Parties'!$E$10)/12)^(AA328*12/365)-1),0)</f>
        <v/>
      </c>
      <c r="AC328">
        <f>IF(W328=0,"",'Outstanding'!$E$5-B328)</f>
        <v/>
      </c>
      <c r="AD328">
        <f>IF(S328=0,0,IFERROR(VLOOKUP(C328,'Parties'!$B$13:$Q$112,14,FALSE),0)+SUMIFS($T$7:$T$506,$C$7:$C$506,C328,$B$7:$B$506,"&lt;="&amp;'Parties'!$E$8))</f>
        <v/>
      </c>
      <c r="AE328">
        <f>IF(OR('Parties'!$E$8="",S328=0,B328="",B328&gt;'Parties'!$E$8),0,MAX(0,MIN(S328,U328-AD328)))</f>
        <v/>
      </c>
      <c r="AF328">
        <f>IF(AND(P328="Creditor",X328=1,AE328&gt;0,Z328&lt;&gt;""),IF(Z328&lt;='Parties'!$E$8,AE328,0),0)</f>
        <v/>
      </c>
      <c r="AG328">
        <f>IF(OR(AE328=0,Z328=""),0,MAX(0,'Parties'!$E$8-Z328))</f>
        <v/>
      </c>
      <c r="AH328">
        <f>IF(AND(P328="Creditor",X328=1,AG328&gt;0),AE328*((1+3*N('Parties'!$E$10)/12)^(AG328*12/365)-1),0)</f>
        <v/>
      </c>
      <c r="AI328">
        <f>IF(AND(C328&lt;&gt;"",C328='Ledger Account'!$D$4,B328&lt;&gt;"",B328&gt;='Ledger Account'!$D$5,B328&lt;='Ledger Account'!$D$6),1,0)</f>
        <v/>
      </c>
      <c r="AJ328">
        <f>IF(AI328=1,SUM(AI$7:AI328),"")</f>
        <v/>
      </c>
      <c r="AK328">
        <f>IF(OR(N328="",N328="OK"),0,1)</f>
        <v/>
      </c>
    </row>
    <row r="329">
      <c r="B329" s="24" t="n"/>
      <c r="C329" s="14" t="n"/>
      <c r="D329" s="14" t="n"/>
      <c r="E329" s="20" t="n"/>
      <c r="F329" s="24" t="n"/>
      <c r="G329" s="14" t="n"/>
      <c r="H329" s="22" t="n"/>
      <c r="I329" s="25">
        <f>IF(Q329="D",N(H329),0)</f>
        <v/>
      </c>
      <c r="J329" s="25">
        <f>IF(Q329="C",N(H329),0)</f>
        <v/>
      </c>
      <c r="K329" s="26">
        <f>IF(Z329="","",Z329)</f>
        <v/>
      </c>
      <c r="L329" s="27">
        <f>W329</f>
        <v/>
      </c>
      <c r="M329" s="28">
        <f>AA329</f>
        <v/>
      </c>
      <c r="N329" s="23">
        <f>IF(AND(B329="",C329="",D329="",N(H329)=0),"",IF(B329="","Enter the date",IF(C329="","Pick the party",IF(P329="?","Add this party on the Parties sheet first",IF(D329="","Pick the entry type",IF(Q329="?","Pick the entry type from the list",IF(N(H329)=0,"Enter the amount",IF(AND(R329&lt;&gt;"Any",R329&lt;&gt;P329),"Sales, receipts and credit notes are for debtors; purchases, payments and debit notes for creditors",IF(AND(F329&lt;&gt;"",D329&lt;&gt;"Purchase bill"),"The received-on date is only for purchase bills",IF(AND(P329="Creditor",X329=1,AA329&gt;0),"Past due to a micro or small supplier: interest runs under MSMED s.16, and if unpaid at year end it is not deductible that year, s.37(2)(g)",IF(AND(P329="Debtor",X329=1,AA329&gt;0),"Past due to you: as a micro or small supplier you can claim interest under MSMED s.16","OK")))))))))))</f>
        <v/>
      </c>
      <c r="P329">
        <f>IF(C329="","",IFERROR(VLOOKUP(C329,'Parties'!$B$13:$Q$112,2,FALSE),"?"))</f>
        <v/>
      </c>
      <c r="Q329">
        <f>IF(D329="","",IFERROR(VLOOKUP(D329,Lists!$A$2:$D$9,3,FALSE),"?"))</f>
        <v/>
      </c>
      <c r="R329">
        <f>IF(D329="","",IFERROR(VLOOKUP(D329,Lists!$A$2:$D$9,4,FALSE),"?"))</f>
        <v/>
      </c>
      <c r="S329">
        <f>IF(P329="Debtor",I329,IF(P329="Creditor",J329,0))</f>
        <v/>
      </c>
      <c r="T329">
        <f>IF(P329="Debtor",J329,IF(P329="Creditor",I329,0))</f>
        <v/>
      </c>
      <c r="U329">
        <f>IF(OR(S329=0,B329=""),0,IFERROR(VLOOKUP(C329,'Parties'!$B$13:$Q$112,13,FALSE),0)+SUMIFS($S$7:$S$506,$C$7:$C$506,C329,$B$7:$B$506,"&lt;"&amp;B329)+SUMIFS(S$7:S329,C$7:C329,C329,B$7:B329,B329))</f>
        <v/>
      </c>
      <c r="V329">
        <f>IF(S329=0,0,IFERROR(VLOOKUP(C329,'Parties'!$B$13:$Q$112,14,FALSE),0)+SUMIFS($T$7:$T$506,$C$7:$C$506,C329,$B$7:$B$506,"&lt;="&amp;'Outstanding'!$E$5))</f>
        <v/>
      </c>
      <c r="W329">
        <f>IF(OR('Outstanding'!$E$5="",S329=0,B329="",B329&gt;'Outstanding'!$E$5),0,MAX(0,MIN(S329,U329-V329)))</f>
        <v/>
      </c>
      <c r="X329">
        <f>IF(C329="",0,IFERROR(VLOOKUP(C329,'Parties'!$B$13:$Q$112,15,FALSE),0))</f>
        <v/>
      </c>
      <c r="Y329">
        <f>IF(C329="","",IFERROR(VLOOKUP(C329,'Parties'!$B$13:$Q$112,16,FALSE),0))</f>
        <v/>
      </c>
      <c r="Z329">
        <f>IF(OR(S329=0,B329="",Y329=""),"",IF(AND(F329&lt;&gt;"",D329="Purchase bill"),F329,B329)+Y329)</f>
        <v/>
      </c>
      <c r="AA329">
        <f>IF(OR(W329=0,Z329=""),0,MAX(0,'Outstanding'!$E$5-Z329))</f>
        <v/>
      </c>
      <c r="AB329">
        <f>IF(AND(X329=1,AA329&gt;0),W329*((1+3*N('Parties'!$E$10)/12)^(AA329*12/365)-1),0)</f>
        <v/>
      </c>
      <c r="AC329">
        <f>IF(W329=0,"",'Outstanding'!$E$5-B329)</f>
        <v/>
      </c>
      <c r="AD329">
        <f>IF(S329=0,0,IFERROR(VLOOKUP(C329,'Parties'!$B$13:$Q$112,14,FALSE),0)+SUMIFS($T$7:$T$506,$C$7:$C$506,C329,$B$7:$B$506,"&lt;="&amp;'Parties'!$E$8))</f>
        <v/>
      </c>
      <c r="AE329">
        <f>IF(OR('Parties'!$E$8="",S329=0,B329="",B329&gt;'Parties'!$E$8),0,MAX(0,MIN(S329,U329-AD329)))</f>
        <v/>
      </c>
      <c r="AF329">
        <f>IF(AND(P329="Creditor",X329=1,AE329&gt;0,Z329&lt;&gt;""),IF(Z329&lt;='Parties'!$E$8,AE329,0),0)</f>
        <v/>
      </c>
      <c r="AG329">
        <f>IF(OR(AE329=0,Z329=""),0,MAX(0,'Parties'!$E$8-Z329))</f>
        <v/>
      </c>
      <c r="AH329">
        <f>IF(AND(P329="Creditor",X329=1,AG329&gt;0),AE329*((1+3*N('Parties'!$E$10)/12)^(AG329*12/365)-1),0)</f>
        <v/>
      </c>
      <c r="AI329">
        <f>IF(AND(C329&lt;&gt;"",C329='Ledger Account'!$D$4,B329&lt;&gt;"",B329&gt;='Ledger Account'!$D$5,B329&lt;='Ledger Account'!$D$6),1,0)</f>
        <v/>
      </c>
      <c r="AJ329">
        <f>IF(AI329=1,SUM(AI$7:AI329),"")</f>
        <v/>
      </c>
      <c r="AK329">
        <f>IF(OR(N329="",N329="OK"),0,1)</f>
        <v/>
      </c>
    </row>
    <row r="330">
      <c r="B330" s="24" t="n"/>
      <c r="C330" s="14" t="n"/>
      <c r="D330" s="14" t="n"/>
      <c r="E330" s="20" t="n"/>
      <c r="F330" s="24" t="n"/>
      <c r="G330" s="14" t="n"/>
      <c r="H330" s="22" t="n"/>
      <c r="I330" s="25">
        <f>IF(Q330="D",N(H330),0)</f>
        <v/>
      </c>
      <c r="J330" s="25">
        <f>IF(Q330="C",N(H330),0)</f>
        <v/>
      </c>
      <c r="K330" s="26">
        <f>IF(Z330="","",Z330)</f>
        <v/>
      </c>
      <c r="L330" s="27">
        <f>W330</f>
        <v/>
      </c>
      <c r="M330" s="28">
        <f>AA330</f>
        <v/>
      </c>
      <c r="N330" s="23">
        <f>IF(AND(B330="",C330="",D330="",N(H330)=0),"",IF(B330="","Enter the date",IF(C330="","Pick the party",IF(P330="?","Add this party on the Parties sheet first",IF(D330="","Pick the entry type",IF(Q330="?","Pick the entry type from the list",IF(N(H330)=0,"Enter the amount",IF(AND(R330&lt;&gt;"Any",R330&lt;&gt;P330),"Sales, receipts and credit notes are for debtors; purchases, payments and debit notes for creditors",IF(AND(F330&lt;&gt;"",D330&lt;&gt;"Purchase bill"),"The received-on date is only for purchase bills",IF(AND(P330="Creditor",X330=1,AA330&gt;0),"Past due to a micro or small supplier: interest runs under MSMED s.16, and if unpaid at year end it is not deductible that year, s.37(2)(g)",IF(AND(P330="Debtor",X330=1,AA330&gt;0),"Past due to you: as a micro or small supplier you can claim interest under MSMED s.16","OK")))))))))))</f>
        <v/>
      </c>
      <c r="P330">
        <f>IF(C330="","",IFERROR(VLOOKUP(C330,'Parties'!$B$13:$Q$112,2,FALSE),"?"))</f>
        <v/>
      </c>
      <c r="Q330">
        <f>IF(D330="","",IFERROR(VLOOKUP(D330,Lists!$A$2:$D$9,3,FALSE),"?"))</f>
        <v/>
      </c>
      <c r="R330">
        <f>IF(D330="","",IFERROR(VLOOKUP(D330,Lists!$A$2:$D$9,4,FALSE),"?"))</f>
        <v/>
      </c>
      <c r="S330">
        <f>IF(P330="Debtor",I330,IF(P330="Creditor",J330,0))</f>
        <v/>
      </c>
      <c r="T330">
        <f>IF(P330="Debtor",J330,IF(P330="Creditor",I330,0))</f>
        <v/>
      </c>
      <c r="U330">
        <f>IF(OR(S330=0,B330=""),0,IFERROR(VLOOKUP(C330,'Parties'!$B$13:$Q$112,13,FALSE),0)+SUMIFS($S$7:$S$506,$C$7:$C$506,C330,$B$7:$B$506,"&lt;"&amp;B330)+SUMIFS(S$7:S330,C$7:C330,C330,B$7:B330,B330))</f>
        <v/>
      </c>
      <c r="V330">
        <f>IF(S330=0,0,IFERROR(VLOOKUP(C330,'Parties'!$B$13:$Q$112,14,FALSE),0)+SUMIFS($T$7:$T$506,$C$7:$C$506,C330,$B$7:$B$506,"&lt;="&amp;'Outstanding'!$E$5))</f>
        <v/>
      </c>
      <c r="W330">
        <f>IF(OR('Outstanding'!$E$5="",S330=0,B330="",B330&gt;'Outstanding'!$E$5),0,MAX(0,MIN(S330,U330-V330)))</f>
        <v/>
      </c>
      <c r="X330">
        <f>IF(C330="",0,IFERROR(VLOOKUP(C330,'Parties'!$B$13:$Q$112,15,FALSE),0))</f>
        <v/>
      </c>
      <c r="Y330">
        <f>IF(C330="","",IFERROR(VLOOKUP(C330,'Parties'!$B$13:$Q$112,16,FALSE),0))</f>
        <v/>
      </c>
      <c r="Z330">
        <f>IF(OR(S330=0,B330="",Y330=""),"",IF(AND(F330&lt;&gt;"",D330="Purchase bill"),F330,B330)+Y330)</f>
        <v/>
      </c>
      <c r="AA330">
        <f>IF(OR(W330=0,Z330=""),0,MAX(0,'Outstanding'!$E$5-Z330))</f>
        <v/>
      </c>
      <c r="AB330">
        <f>IF(AND(X330=1,AA330&gt;0),W330*((1+3*N('Parties'!$E$10)/12)^(AA330*12/365)-1),0)</f>
        <v/>
      </c>
      <c r="AC330">
        <f>IF(W330=0,"",'Outstanding'!$E$5-B330)</f>
        <v/>
      </c>
      <c r="AD330">
        <f>IF(S330=0,0,IFERROR(VLOOKUP(C330,'Parties'!$B$13:$Q$112,14,FALSE),0)+SUMIFS($T$7:$T$506,$C$7:$C$506,C330,$B$7:$B$506,"&lt;="&amp;'Parties'!$E$8))</f>
        <v/>
      </c>
      <c r="AE330">
        <f>IF(OR('Parties'!$E$8="",S330=0,B330="",B330&gt;'Parties'!$E$8),0,MAX(0,MIN(S330,U330-AD330)))</f>
        <v/>
      </c>
      <c r="AF330">
        <f>IF(AND(P330="Creditor",X330=1,AE330&gt;0,Z330&lt;&gt;""),IF(Z330&lt;='Parties'!$E$8,AE330,0),0)</f>
        <v/>
      </c>
      <c r="AG330">
        <f>IF(OR(AE330=0,Z330=""),0,MAX(0,'Parties'!$E$8-Z330))</f>
        <v/>
      </c>
      <c r="AH330">
        <f>IF(AND(P330="Creditor",X330=1,AG330&gt;0),AE330*((1+3*N('Parties'!$E$10)/12)^(AG330*12/365)-1),0)</f>
        <v/>
      </c>
      <c r="AI330">
        <f>IF(AND(C330&lt;&gt;"",C330='Ledger Account'!$D$4,B330&lt;&gt;"",B330&gt;='Ledger Account'!$D$5,B330&lt;='Ledger Account'!$D$6),1,0)</f>
        <v/>
      </c>
      <c r="AJ330">
        <f>IF(AI330=1,SUM(AI$7:AI330),"")</f>
        <v/>
      </c>
      <c r="AK330">
        <f>IF(OR(N330="",N330="OK"),0,1)</f>
        <v/>
      </c>
    </row>
    <row r="331">
      <c r="B331" s="24" t="n"/>
      <c r="C331" s="14" t="n"/>
      <c r="D331" s="14" t="n"/>
      <c r="E331" s="20" t="n"/>
      <c r="F331" s="24" t="n"/>
      <c r="G331" s="14" t="n"/>
      <c r="H331" s="22" t="n"/>
      <c r="I331" s="25">
        <f>IF(Q331="D",N(H331),0)</f>
        <v/>
      </c>
      <c r="J331" s="25">
        <f>IF(Q331="C",N(H331),0)</f>
        <v/>
      </c>
      <c r="K331" s="26">
        <f>IF(Z331="","",Z331)</f>
        <v/>
      </c>
      <c r="L331" s="27">
        <f>W331</f>
        <v/>
      </c>
      <c r="M331" s="28">
        <f>AA331</f>
        <v/>
      </c>
      <c r="N331" s="23">
        <f>IF(AND(B331="",C331="",D331="",N(H331)=0),"",IF(B331="","Enter the date",IF(C331="","Pick the party",IF(P331="?","Add this party on the Parties sheet first",IF(D331="","Pick the entry type",IF(Q331="?","Pick the entry type from the list",IF(N(H331)=0,"Enter the amount",IF(AND(R331&lt;&gt;"Any",R331&lt;&gt;P331),"Sales, receipts and credit notes are for debtors; purchases, payments and debit notes for creditors",IF(AND(F331&lt;&gt;"",D331&lt;&gt;"Purchase bill"),"The received-on date is only for purchase bills",IF(AND(P331="Creditor",X331=1,AA331&gt;0),"Past due to a micro or small supplier: interest runs under MSMED s.16, and if unpaid at year end it is not deductible that year, s.37(2)(g)",IF(AND(P331="Debtor",X331=1,AA331&gt;0),"Past due to you: as a micro or small supplier you can claim interest under MSMED s.16","OK")))))))))))</f>
        <v/>
      </c>
      <c r="P331">
        <f>IF(C331="","",IFERROR(VLOOKUP(C331,'Parties'!$B$13:$Q$112,2,FALSE),"?"))</f>
        <v/>
      </c>
      <c r="Q331">
        <f>IF(D331="","",IFERROR(VLOOKUP(D331,Lists!$A$2:$D$9,3,FALSE),"?"))</f>
        <v/>
      </c>
      <c r="R331">
        <f>IF(D331="","",IFERROR(VLOOKUP(D331,Lists!$A$2:$D$9,4,FALSE),"?"))</f>
        <v/>
      </c>
      <c r="S331">
        <f>IF(P331="Debtor",I331,IF(P331="Creditor",J331,0))</f>
        <v/>
      </c>
      <c r="T331">
        <f>IF(P331="Debtor",J331,IF(P331="Creditor",I331,0))</f>
        <v/>
      </c>
      <c r="U331">
        <f>IF(OR(S331=0,B331=""),0,IFERROR(VLOOKUP(C331,'Parties'!$B$13:$Q$112,13,FALSE),0)+SUMIFS($S$7:$S$506,$C$7:$C$506,C331,$B$7:$B$506,"&lt;"&amp;B331)+SUMIFS(S$7:S331,C$7:C331,C331,B$7:B331,B331))</f>
        <v/>
      </c>
      <c r="V331">
        <f>IF(S331=0,0,IFERROR(VLOOKUP(C331,'Parties'!$B$13:$Q$112,14,FALSE),0)+SUMIFS($T$7:$T$506,$C$7:$C$506,C331,$B$7:$B$506,"&lt;="&amp;'Outstanding'!$E$5))</f>
        <v/>
      </c>
      <c r="W331">
        <f>IF(OR('Outstanding'!$E$5="",S331=0,B331="",B331&gt;'Outstanding'!$E$5),0,MAX(0,MIN(S331,U331-V331)))</f>
        <v/>
      </c>
      <c r="X331">
        <f>IF(C331="",0,IFERROR(VLOOKUP(C331,'Parties'!$B$13:$Q$112,15,FALSE),0))</f>
        <v/>
      </c>
      <c r="Y331">
        <f>IF(C331="","",IFERROR(VLOOKUP(C331,'Parties'!$B$13:$Q$112,16,FALSE),0))</f>
        <v/>
      </c>
      <c r="Z331">
        <f>IF(OR(S331=0,B331="",Y331=""),"",IF(AND(F331&lt;&gt;"",D331="Purchase bill"),F331,B331)+Y331)</f>
        <v/>
      </c>
      <c r="AA331">
        <f>IF(OR(W331=0,Z331=""),0,MAX(0,'Outstanding'!$E$5-Z331))</f>
        <v/>
      </c>
      <c r="AB331">
        <f>IF(AND(X331=1,AA331&gt;0),W331*((1+3*N('Parties'!$E$10)/12)^(AA331*12/365)-1),0)</f>
        <v/>
      </c>
      <c r="AC331">
        <f>IF(W331=0,"",'Outstanding'!$E$5-B331)</f>
        <v/>
      </c>
      <c r="AD331">
        <f>IF(S331=0,0,IFERROR(VLOOKUP(C331,'Parties'!$B$13:$Q$112,14,FALSE),0)+SUMIFS($T$7:$T$506,$C$7:$C$506,C331,$B$7:$B$506,"&lt;="&amp;'Parties'!$E$8))</f>
        <v/>
      </c>
      <c r="AE331">
        <f>IF(OR('Parties'!$E$8="",S331=0,B331="",B331&gt;'Parties'!$E$8),0,MAX(0,MIN(S331,U331-AD331)))</f>
        <v/>
      </c>
      <c r="AF331">
        <f>IF(AND(P331="Creditor",X331=1,AE331&gt;0,Z331&lt;&gt;""),IF(Z331&lt;='Parties'!$E$8,AE331,0),0)</f>
        <v/>
      </c>
      <c r="AG331">
        <f>IF(OR(AE331=0,Z331=""),0,MAX(0,'Parties'!$E$8-Z331))</f>
        <v/>
      </c>
      <c r="AH331">
        <f>IF(AND(P331="Creditor",X331=1,AG331&gt;0),AE331*((1+3*N('Parties'!$E$10)/12)^(AG331*12/365)-1),0)</f>
        <v/>
      </c>
      <c r="AI331">
        <f>IF(AND(C331&lt;&gt;"",C331='Ledger Account'!$D$4,B331&lt;&gt;"",B331&gt;='Ledger Account'!$D$5,B331&lt;='Ledger Account'!$D$6),1,0)</f>
        <v/>
      </c>
      <c r="AJ331">
        <f>IF(AI331=1,SUM(AI$7:AI331),"")</f>
        <v/>
      </c>
      <c r="AK331">
        <f>IF(OR(N331="",N331="OK"),0,1)</f>
        <v/>
      </c>
    </row>
    <row r="332">
      <c r="B332" s="24" t="n"/>
      <c r="C332" s="14" t="n"/>
      <c r="D332" s="14" t="n"/>
      <c r="E332" s="20" t="n"/>
      <c r="F332" s="24" t="n"/>
      <c r="G332" s="14" t="n"/>
      <c r="H332" s="22" t="n"/>
      <c r="I332" s="25">
        <f>IF(Q332="D",N(H332),0)</f>
        <v/>
      </c>
      <c r="J332" s="25">
        <f>IF(Q332="C",N(H332),0)</f>
        <v/>
      </c>
      <c r="K332" s="26">
        <f>IF(Z332="","",Z332)</f>
        <v/>
      </c>
      <c r="L332" s="27">
        <f>W332</f>
        <v/>
      </c>
      <c r="M332" s="28">
        <f>AA332</f>
        <v/>
      </c>
      <c r="N332" s="23">
        <f>IF(AND(B332="",C332="",D332="",N(H332)=0),"",IF(B332="","Enter the date",IF(C332="","Pick the party",IF(P332="?","Add this party on the Parties sheet first",IF(D332="","Pick the entry type",IF(Q332="?","Pick the entry type from the list",IF(N(H332)=0,"Enter the amount",IF(AND(R332&lt;&gt;"Any",R332&lt;&gt;P332),"Sales, receipts and credit notes are for debtors; purchases, payments and debit notes for creditors",IF(AND(F332&lt;&gt;"",D332&lt;&gt;"Purchase bill"),"The received-on date is only for purchase bills",IF(AND(P332="Creditor",X332=1,AA332&gt;0),"Past due to a micro or small supplier: interest runs under MSMED s.16, and if unpaid at year end it is not deductible that year, s.37(2)(g)",IF(AND(P332="Debtor",X332=1,AA332&gt;0),"Past due to you: as a micro or small supplier you can claim interest under MSMED s.16","OK")))))))))))</f>
        <v/>
      </c>
      <c r="P332">
        <f>IF(C332="","",IFERROR(VLOOKUP(C332,'Parties'!$B$13:$Q$112,2,FALSE),"?"))</f>
        <v/>
      </c>
      <c r="Q332">
        <f>IF(D332="","",IFERROR(VLOOKUP(D332,Lists!$A$2:$D$9,3,FALSE),"?"))</f>
        <v/>
      </c>
      <c r="R332">
        <f>IF(D332="","",IFERROR(VLOOKUP(D332,Lists!$A$2:$D$9,4,FALSE),"?"))</f>
        <v/>
      </c>
      <c r="S332">
        <f>IF(P332="Debtor",I332,IF(P332="Creditor",J332,0))</f>
        <v/>
      </c>
      <c r="T332">
        <f>IF(P332="Debtor",J332,IF(P332="Creditor",I332,0))</f>
        <v/>
      </c>
      <c r="U332">
        <f>IF(OR(S332=0,B332=""),0,IFERROR(VLOOKUP(C332,'Parties'!$B$13:$Q$112,13,FALSE),0)+SUMIFS($S$7:$S$506,$C$7:$C$506,C332,$B$7:$B$506,"&lt;"&amp;B332)+SUMIFS(S$7:S332,C$7:C332,C332,B$7:B332,B332))</f>
        <v/>
      </c>
      <c r="V332">
        <f>IF(S332=0,0,IFERROR(VLOOKUP(C332,'Parties'!$B$13:$Q$112,14,FALSE),0)+SUMIFS($T$7:$T$506,$C$7:$C$506,C332,$B$7:$B$506,"&lt;="&amp;'Outstanding'!$E$5))</f>
        <v/>
      </c>
      <c r="W332">
        <f>IF(OR('Outstanding'!$E$5="",S332=0,B332="",B332&gt;'Outstanding'!$E$5),0,MAX(0,MIN(S332,U332-V332)))</f>
        <v/>
      </c>
      <c r="X332">
        <f>IF(C332="",0,IFERROR(VLOOKUP(C332,'Parties'!$B$13:$Q$112,15,FALSE),0))</f>
        <v/>
      </c>
      <c r="Y332">
        <f>IF(C332="","",IFERROR(VLOOKUP(C332,'Parties'!$B$13:$Q$112,16,FALSE),0))</f>
        <v/>
      </c>
      <c r="Z332">
        <f>IF(OR(S332=0,B332="",Y332=""),"",IF(AND(F332&lt;&gt;"",D332="Purchase bill"),F332,B332)+Y332)</f>
        <v/>
      </c>
      <c r="AA332">
        <f>IF(OR(W332=0,Z332=""),0,MAX(0,'Outstanding'!$E$5-Z332))</f>
        <v/>
      </c>
      <c r="AB332">
        <f>IF(AND(X332=1,AA332&gt;0),W332*((1+3*N('Parties'!$E$10)/12)^(AA332*12/365)-1),0)</f>
        <v/>
      </c>
      <c r="AC332">
        <f>IF(W332=0,"",'Outstanding'!$E$5-B332)</f>
        <v/>
      </c>
      <c r="AD332">
        <f>IF(S332=0,0,IFERROR(VLOOKUP(C332,'Parties'!$B$13:$Q$112,14,FALSE),0)+SUMIFS($T$7:$T$506,$C$7:$C$506,C332,$B$7:$B$506,"&lt;="&amp;'Parties'!$E$8))</f>
        <v/>
      </c>
      <c r="AE332">
        <f>IF(OR('Parties'!$E$8="",S332=0,B332="",B332&gt;'Parties'!$E$8),0,MAX(0,MIN(S332,U332-AD332)))</f>
        <v/>
      </c>
      <c r="AF332">
        <f>IF(AND(P332="Creditor",X332=1,AE332&gt;0,Z332&lt;&gt;""),IF(Z332&lt;='Parties'!$E$8,AE332,0),0)</f>
        <v/>
      </c>
      <c r="AG332">
        <f>IF(OR(AE332=0,Z332=""),0,MAX(0,'Parties'!$E$8-Z332))</f>
        <v/>
      </c>
      <c r="AH332">
        <f>IF(AND(P332="Creditor",X332=1,AG332&gt;0),AE332*((1+3*N('Parties'!$E$10)/12)^(AG332*12/365)-1),0)</f>
        <v/>
      </c>
      <c r="AI332">
        <f>IF(AND(C332&lt;&gt;"",C332='Ledger Account'!$D$4,B332&lt;&gt;"",B332&gt;='Ledger Account'!$D$5,B332&lt;='Ledger Account'!$D$6),1,0)</f>
        <v/>
      </c>
      <c r="AJ332">
        <f>IF(AI332=1,SUM(AI$7:AI332),"")</f>
        <v/>
      </c>
      <c r="AK332">
        <f>IF(OR(N332="",N332="OK"),0,1)</f>
        <v/>
      </c>
    </row>
    <row r="333">
      <c r="B333" s="24" t="n"/>
      <c r="C333" s="14" t="n"/>
      <c r="D333" s="14" t="n"/>
      <c r="E333" s="20" t="n"/>
      <c r="F333" s="24" t="n"/>
      <c r="G333" s="14" t="n"/>
      <c r="H333" s="22" t="n"/>
      <c r="I333" s="25">
        <f>IF(Q333="D",N(H333),0)</f>
        <v/>
      </c>
      <c r="J333" s="25">
        <f>IF(Q333="C",N(H333),0)</f>
        <v/>
      </c>
      <c r="K333" s="26">
        <f>IF(Z333="","",Z333)</f>
        <v/>
      </c>
      <c r="L333" s="27">
        <f>W333</f>
        <v/>
      </c>
      <c r="M333" s="28">
        <f>AA333</f>
        <v/>
      </c>
      <c r="N333" s="23">
        <f>IF(AND(B333="",C333="",D333="",N(H333)=0),"",IF(B333="","Enter the date",IF(C333="","Pick the party",IF(P333="?","Add this party on the Parties sheet first",IF(D333="","Pick the entry type",IF(Q333="?","Pick the entry type from the list",IF(N(H333)=0,"Enter the amount",IF(AND(R333&lt;&gt;"Any",R333&lt;&gt;P333),"Sales, receipts and credit notes are for debtors; purchases, payments and debit notes for creditors",IF(AND(F333&lt;&gt;"",D333&lt;&gt;"Purchase bill"),"The received-on date is only for purchase bills",IF(AND(P333="Creditor",X333=1,AA333&gt;0),"Past due to a micro or small supplier: interest runs under MSMED s.16, and if unpaid at year end it is not deductible that year, s.37(2)(g)",IF(AND(P333="Debtor",X333=1,AA333&gt;0),"Past due to you: as a micro or small supplier you can claim interest under MSMED s.16","OK")))))))))))</f>
        <v/>
      </c>
      <c r="P333">
        <f>IF(C333="","",IFERROR(VLOOKUP(C333,'Parties'!$B$13:$Q$112,2,FALSE),"?"))</f>
        <v/>
      </c>
      <c r="Q333">
        <f>IF(D333="","",IFERROR(VLOOKUP(D333,Lists!$A$2:$D$9,3,FALSE),"?"))</f>
        <v/>
      </c>
      <c r="R333">
        <f>IF(D333="","",IFERROR(VLOOKUP(D333,Lists!$A$2:$D$9,4,FALSE),"?"))</f>
        <v/>
      </c>
      <c r="S333">
        <f>IF(P333="Debtor",I333,IF(P333="Creditor",J333,0))</f>
        <v/>
      </c>
      <c r="T333">
        <f>IF(P333="Debtor",J333,IF(P333="Creditor",I333,0))</f>
        <v/>
      </c>
      <c r="U333">
        <f>IF(OR(S333=0,B333=""),0,IFERROR(VLOOKUP(C333,'Parties'!$B$13:$Q$112,13,FALSE),0)+SUMIFS($S$7:$S$506,$C$7:$C$506,C333,$B$7:$B$506,"&lt;"&amp;B333)+SUMIFS(S$7:S333,C$7:C333,C333,B$7:B333,B333))</f>
        <v/>
      </c>
      <c r="V333">
        <f>IF(S333=0,0,IFERROR(VLOOKUP(C333,'Parties'!$B$13:$Q$112,14,FALSE),0)+SUMIFS($T$7:$T$506,$C$7:$C$506,C333,$B$7:$B$506,"&lt;="&amp;'Outstanding'!$E$5))</f>
        <v/>
      </c>
      <c r="W333">
        <f>IF(OR('Outstanding'!$E$5="",S333=0,B333="",B333&gt;'Outstanding'!$E$5),0,MAX(0,MIN(S333,U333-V333)))</f>
        <v/>
      </c>
      <c r="X333">
        <f>IF(C333="",0,IFERROR(VLOOKUP(C333,'Parties'!$B$13:$Q$112,15,FALSE),0))</f>
        <v/>
      </c>
      <c r="Y333">
        <f>IF(C333="","",IFERROR(VLOOKUP(C333,'Parties'!$B$13:$Q$112,16,FALSE),0))</f>
        <v/>
      </c>
      <c r="Z333">
        <f>IF(OR(S333=0,B333="",Y333=""),"",IF(AND(F333&lt;&gt;"",D333="Purchase bill"),F333,B333)+Y333)</f>
        <v/>
      </c>
      <c r="AA333">
        <f>IF(OR(W333=0,Z333=""),0,MAX(0,'Outstanding'!$E$5-Z333))</f>
        <v/>
      </c>
      <c r="AB333">
        <f>IF(AND(X333=1,AA333&gt;0),W333*((1+3*N('Parties'!$E$10)/12)^(AA333*12/365)-1),0)</f>
        <v/>
      </c>
      <c r="AC333">
        <f>IF(W333=0,"",'Outstanding'!$E$5-B333)</f>
        <v/>
      </c>
      <c r="AD333">
        <f>IF(S333=0,0,IFERROR(VLOOKUP(C333,'Parties'!$B$13:$Q$112,14,FALSE),0)+SUMIFS($T$7:$T$506,$C$7:$C$506,C333,$B$7:$B$506,"&lt;="&amp;'Parties'!$E$8))</f>
        <v/>
      </c>
      <c r="AE333">
        <f>IF(OR('Parties'!$E$8="",S333=0,B333="",B333&gt;'Parties'!$E$8),0,MAX(0,MIN(S333,U333-AD333)))</f>
        <v/>
      </c>
      <c r="AF333">
        <f>IF(AND(P333="Creditor",X333=1,AE333&gt;0,Z333&lt;&gt;""),IF(Z333&lt;='Parties'!$E$8,AE333,0),0)</f>
        <v/>
      </c>
      <c r="AG333">
        <f>IF(OR(AE333=0,Z333=""),0,MAX(0,'Parties'!$E$8-Z333))</f>
        <v/>
      </c>
      <c r="AH333">
        <f>IF(AND(P333="Creditor",X333=1,AG333&gt;0),AE333*((1+3*N('Parties'!$E$10)/12)^(AG333*12/365)-1),0)</f>
        <v/>
      </c>
      <c r="AI333">
        <f>IF(AND(C333&lt;&gt;"",C333='Ledger Account'!$D$4,B333&lt;&gt;"",B333&gt;='Ledger Account'!$D$5,B333&lt;='Ledger Account'!$D$6),1,0)</f>
        <v/>
      </c>
      <c r="AJ333">
        <f>IF(AI333=1,SUM(AI$7:AI333),"")</f>
        <v/>
      </c>
      <c r="AK333">
        <f>IF(OR(N333="",N333="OK"),0,1)</f>
        <v/>
      </c>
    </row>
    <row r="334">
      <c r="B334" s="24" t="n"/>
      <c r="C334" s="14" t="n"/>
      <c r="D334" s="14" t="n"/>
      <c r="E334" s="20" t="n"/>
      <c r="F334" s="24" t="n"/>
      <c r="G334" s="14" t="n"/>
      <c r="H334" s="22" t="n"/>
      <c r="I334" s="25">
        <f>IF(Q334="D",N(H334),0)</f>
        <v/>
      </c>
      <c r="J334" s="25">
        <f>IF(Q334="C",N(H334),0)</f>
        <v/>
      </c>
      <c r="K334" s="26">
        <f>IF(Z334="","",Z334)</f>
        <v/>
      </c>
      <c r="L334" s="27">
        <f>W334</f>
        <v/>
      </c>
      <c r="M334" s="28">
        <f>AA334</f>
        <v/>
      </c>
      <c r="N334" s="23">
        <f>IF(AND(B334="",C334="",D334="",N(H334)=0),"",IF(B334="","Enter the date",IF(C334="","Pick the party",IF(P334="?","Add this party on the Parties sheet first",IF(D334="","Pick the entry type",IF(Q334="?","Pick the entry type from the list",IF(N(H334)=0,"Enter the amount",IF(AND(R334&lt;&gt;"Any",R334&lt;&gt;P334),"Sales, receipts and credit notes are for debtors; purchases, payments and debit notes for creditors",IF(AND(F334&lt;&gt;"",D334&lt;&gt;"Purchase bill"),"The received-on date is only for purchase bills",IF(AND(P334="Creditor",X334=1,AA334&gt;0),"Past due to a micro or small supplier: interest runs under MSMED s.16, and if unpaid at year end it is not deductible that year, s.37(2)(g)",IF(AND(P334="Debtor",X334=1,AA334&gt;0),"Past due to you: as a micro or small supplier you can claim interest under MSMED s.16","OK")))))))))))</f>
        <v/>
      </c>
      <c r="P334">
        <f>IF(C334="","",IFERROR(VLOOKUP(C334,'Parties'!$B$13:$Q$112,2,FALSE),"?"))</f>
        <v/>
      </c>
      <c r="Q334">
        <f>IF(D334="","",IFERROR(VLOOKUP(D334,Lists!$A$2:$D$9,3,FALSE),"?"))</f>
        <v/>
      </c>
      <c r="R334">
        <f>IF(D334="","",IFERROR(VLOOKUP(D334,Lists!$A$2:$D$9,4,FALSE),"?"))</f>
        <v/>
      </c>
      <c r="S334">
        <f>IF(P334="Debtor",I334,IF(P334="Creditor",J334,0))</f>
        <v/>
      </c>
      <c r="T334">
        <f>IF(P334="Debtor",J334,IF(P334="Creditor",I334,0))</f>
        <v/>
      </c>
      <c r="U334">
        <f>IF(OR(S334=0,B334=""),0,IFERROR(VLOOKUP(C334,'Parties'!$B$13:$Q$112,13,FALSE),0)+SUMIFS($S$7:$S$506,$C$7:$C$506,C334,$B$7:$B$506,"&lt;"&amp;B334)+SUMIFS(S$7:S334,C$7:C334,C334,B$7:B334,B334))</f>
        <v/>
      </c>
      <c r="V334">
        <f>IF(S334=0,0,IFERROR(VLOOKUP(C334,'Parties'!$B$13:$Q$112,14,FALSE),0)+SUMIFS($T$7:$T$506,$C$7:$C$506,C334,$B$7:$B$506,"&lt;="&amp;'Outstanding'!$E$5))</f>
        <v/>
      </c>
      <c r="W334">
        <f>IF(OR('Outstanding'!$E$5="",S334=0,B334="",B334&gt;'Outstanding'!$E$5),0,MAX(0,MIN(S334,U334-V334)))</f>
        <v/>
      </c>
      <c r="X334">
        <f>IF(C334="",0,IFERROR(VLOOKUP(C334,'Parties'!$B$13:$Q$112,15,FALSE),0))</f>
        <v/>
      </c>
      <c r="Y334">
        <f>IF(C334="","",IFERROR(VLOOKUP(C334,'Parties'!$B$13:$Q$112,16,FALSE),0))</f>
        <v/>
      </c>
      <c r="Z334">
        <f>IF(OR(S334=0,B334="",Y334=""),"",IF(AND(F334&lt;&gt;"",D334="Purchase bill"),F334,B334)+Y334)</f>
        <v/>
      </c>
      <c r="AA334">
        <f>IF(OR(W334=0,Z334=""),0,MAX(0,'Outstanding'!$E$5-Z334))</f>
        <v/>
      </c>
      <c r="AB334">
        <f>IF(AND(X334=1,AA334&gt;0),W334*((1+3*N('Parties'!$E$10)/12)^(AA334*12/365)-1),0)</f>
        <v/>
      </c>
      <c r="AC334">
        <f>IF(W334=0,"",'Outstanding'!$E$5-B334)</f>
        <v/>
      </c>
      <c r="AD334">
        <f>IF(S334=0,0,IFERROR(VLOOKUP(C334,'Parties'!$B$13:$Q$112,14,FALSE),0)+SUMIFS($T$7:$T$506,$C$7:$C$506,C334,$B$7:$B$506,"&lt;="&amp;'Parties'!$E$8))</f>
        <v/>
      </c>
      <c r="AE334">
        <f>IF(OR('Parties'!$E$8="",S334=0,B334="",B334&gt;'Parties'!$E$8),0,MAX(0,MIN(S334,U334-AD334)))</f>
        <v/>
      </c>
      <c r="AF334">
        <f>IF(AND(P334="Creditor",X334=1,AE334&gt;0,Z334&lt;&gt;""),IF(Z334&lt;='Parties'!$E$8,AE334,0),0)</f>
        <v/>
      </c>
      <c r="AG334">
        <f>IF(OR(AE334=0,Z334=""),0,MAX(0,'Parties'!$E$8-Z334))</f>
        <v/>
      </c>
      <c r="AH334">
        <f>IF(AND(P334="Creditor",X334=1,AG334&gt;0),AE334*((1+3*N('Parties'!$E$10)/12)^(AG334*12/365)-1),0)</f>
        <v/>
      </c>
      <c r="AI334">
        <f>IF(AND(C334&lt;&gt;"",C334='Ledger Account'!$D$4,B334&lt;&gt;"",B334&gt;='Ledger Account'!$D$5,B334&lt;='Ledger Account'!$D$6),1,0)</f>
        <v/>
      </c>
      <c r="AJ334">
        <f>IF(AI334=1,SUM(AI$7:AI334),"")</f>
        <v/>
      </c>
      <c r="AK334">
        <f>IF(OR(N334="",N334="OK"),0,1)</f>
        <v/>
      </c>
    </row>
    <row r="335">
      <c r="B335" s="24" t="n"/>
      <c r="C335" s="14" t="n"/>
      <c r="D335" s="14" t="n"/>
      <c r="E335" s="20" t="n"/>
      <c r="F335" s="24" t="n"/>
      <c r="G335" s="14" t="n"/>
      <c r="H335" s="22" t="n"/>
      <c r="I335" s="25">
        <f>IF(Q335="D",N(H335),0)</f>
        <v/>
      </c>
      <c r="J335" s="25">
        <f>IF(Q335="C",N(H335),0)</f>
        <v/>
      </c>
      <c r="K335" s="26">
        <f>IF(Z335="","",Z335)</f>
        <v/>
      </c>
      <c r="L335" s="27">
        <f>W335</f>
        <v/>
      </c>
      <c r="M335" s="28">
        <f>AA335</f>
        <v/>
      </c>
      <c r="N335" s="23">
        <f>IF(AND(B335="",C335="",D335="",N(H335)=0),"",IF(B335="","Enter the date",IF(C335="","Pick the party",IF(P335="?","Add this party on the Parties sheet first",IF(D335="","Pick the entry type",IF(Q335="?","Pick the entry type from the list",IF(N(H335)=0,"Enter the amount",IF(AND(R335&lt;&gt;"Any",R335&lt;&gt;P335),"Sales, receipts and credit notes are for debtors; purchases, payments and debit notes for creditors",IF(AND(F335&lt;&gt;"",D335&lt;&gt;"Purchase bill"),"The received-on date is only for purchase bills",IF(AND(P335="Creditor",X335=1,AA335&gt;0),"Past due to a micro or small supplier: interest runs under MSMED s.16, and if unpaid at year end it is not deductible that year, s.37(2)(g)",IF(AND(P335="Debtor",X335=1,AA335&gt;0),"Past due to you: as a micro or small supplier you can claim interest under MSMED s.16","OK")))))))))))</f>
        <v/>
      </c>
      <c r="P335">
        <f>IF(C335="","",IFERROR(VLOOKUP(C335,'Parties'!$B$13:$Q$112,2,FALSE),"?"))</f>
        <v/>
      </c>
      <c r="Q335">
        <f>IF(D335="","",IFERROR(VLOOKUP(D335,Lists!$A$2:$D$9,3,FALSE),"?"))</f>
        <v/>
      </c>
      <c r="R335">
        <f>IF(D335="","",IFERROR(VLOOKUP(D335,Lists!$A$2:$D$9,4,FALSE),"?"))</f>
        <v/>
      </c>
      <c r="S335">
        <f>IF(P335="Debtor",I335,IF(P335="Creditor",J335,0))</f>
        <v/>
      </c>
      <c r="T335">
        <f>IF(P335="Debtor",J335,IF(P335="Creditor",I335,0))</f>
        <v/>
      </c>
      <c r="U335">
        <f>IF(OR(S335=0,B335=""),0,IFERROR(VLOOKUP(C335,'Parties'!$B$13:$Q$112,13,FALSE),0)+SUMIFS($S$7:$S$506,$C$7:$C$506,C335,$B$7:$B$506,"&lt;"&amp;B335)+SUMIFS(S$7:S335,C$7:C335,C335,B$7:B335,B335))</f>
        <v/>
      </c>
      <c r="V335">
        <f>IF(S335=0,0,IFERROR(VLOOKUP(C335,'Parties'!$B$13:$Q$112,14,FALSE),0)+SUMIFS($T$7:$T$506,$C$7:$C$506,C335,$B$7:$B$506,"&lt;="&amp;'Outstanding'!$E$5))</f>
        <v/>
      </c>
      <c r="W335">
        <f>IF(OR('Outstanding'!$E$5="",S335=0,B335="",B335&gt;'Outstanding'!$E$5),0,MAX(0,MIN(S335,U335-V335)))</f>
        <v/>
      </c>
      <c r="X335">
        <f>IF(C335="",0,IFERROR(VLOOKUP(C335,'Parties'!$B$13:$Q$112,15,FALSE),0))</f>
        <v/>
      </c>
      <c r="Y335">
        <f>IF(C335="","",IFERROR(VLOOKUP(C335,'Parties'!$B$13:$Q$112,16,FALSE),0))</f>
        <v/>
      </c>
      <c r="Z335">
        <f>IF(OR(S335=0,B335="",Y335=""),"",IF(AND(F335&lt;&gt;"",D335="Purchase bill"),F335,B335)+Y335)</f>
        <v/>
      </c>
      <c r="AA335">
        <f>IF(OR(W335=0,Z335=""),0,MAX(0,'Outstanding'!$E$5-Z335))</f>
        <v/>
      </c>
      <c r="AB335">
        <f>IF(AND(X335=1,AA335&gt;0),W335*((1+3*N('Parties'!$E$10)/12)^(AA335*12/365)-1),0)</f>
        <v/>
      </c>
      <c r="AC335">
        <f>IF(W335=0,"",'Outstanding'!$E$5-B335)</f>
        <v/>
      </c>
      <c r="AD335">
        <f>IF(S335=0,0,IFERROR(VLOOKUP(C335,'Parties'!$B$13:$Q$112,14,FALSE),0)+SUMIFS($T$7:$T$506,$C$7:$C$506,C335,$B$7:$B$506,"&lt;="&amp;'Parties'!$E$8))</f>
        <v/>
      </c>
      <c r="AE335">
        <f>IF(OR('Parties'!$E$8="",S335=0,B335="",B335&gt;'Parties'!$E$8),0,MAX(0,MIN(S335,U335-AD335)))</f>
        <v/>
      </c>
      <c r="AF335">
        <f>IF(AND(P335="Creditor",X335=1,AE335&gt;0,Z335&lt;&gt;""),IF(Z335&lt;='Parties'!$E$8,AE335,0),0)</f>
        <v/>
      </c>
      <c r="AG335">
        <f>IF(OR(AE335=0,Z335=""),0,MAX(0,'Parties'!$E$8-Z335))</f>
        <v/>
      </c>
      <c r="AH335">
        <f>IF(AND(P335="Creditor",X335=1,AG335&gt;0),AE335*((1+3*N('Parties'!$E$10)/12)^(AG335*12/365)-1),0)</f>
        <v/>
      </c>
      <c r="AI335">
        <f>IF(AND(C335&lt;&gt;"",C335='Ledger Account'!$D$4,B335&lt;&gt;"",B335&gt;='Ledger Account'!$D$5,B335&lt;='Ledger Account'!$D$6),1,0)</f>
        <v/>
      </c>
      <c r="AJ335">
        <f>IF(AI335=1,SUM(AI$7:AI335),"")</f>
        <v/>
      </c>
      <c r="AK335">
        <f>IF(OR(N335="",N335="OK"),0,1)</f>
        <v/>
      </c>
    </row>
    <row r="336">
      <c r="B336" s="24" t="n"/>
      <c r="C336" s="14" t="n"/>
      <c r="D336" s="14" t="n"/>
      <c r="E336" s="20" t="n"/>
      <c r="F336" s="24" t="n"/>
      <c r="G336" s="14" t="n"/>
      <c r="H336" s="22" t="n"/>
      <c r="I336" s="25">
        <f>IF(Q336="D",N(H336),0)</f>
        <v/>
      </c>
      <c r="J336" s="25">
        <f>IF(Q336="C",N(H336),0)</f>
        <v/>
      </c>
      <c r="K336" s="26">
        <f>IF(Z336="","",Z336)</f>
        <v/>
      </c>
      <c r="L336" s="27">
        <f>W336</f>
        <v/>
      </c>
      <c r="M336" s="28">
        <f>AA336</f>
        <v/>
      </c>
      <c r="N336" s="23">
        <f>IF(AND(B336="",C336="",D336="",N(H336)=0),"",IF(B336="","Enter the date",IF(C336="","Pick the party",IF(P336="?","Add this party on the Parties sheet first",IF(D336="","Pick the entry type",IF(Q336="?","Pick the entry type from the list",IF(N(H336)=0,"Enter the amount",IF(AND(R336&lt;&gt;"Any",R336&lt;&gt;P336),"Sales, receipts and credit notes are for debtors; purchases, payments and debit notes for creditors",IF(AND(F336&lt;&gt;"",D336&lt;&gt;"Purchase bill"),"The received-on date is only for purchase bills",IF(AND(P336="Creditor",X336=1,AA336&gt;0),"Past due to a micro or small supplier: interest runs under MSMED s.16, and if unpaid at year end it is not deductible that year, s.37(2)(g)",IF(AND(P336="Debtor",X336=1,AA336&gt;0),"Past due to you: as a micro or small supplier you can claim interest under MSMED s.16","OK")))))))))))</f>
        <v/>
      </c>
      <c r="P336">
        <f>IF(C336="","",IFERROR(VLOOKUP(C336,'Parties'!$B$13:$Q$112,2,FALSE),"?"))</f>
        <v/>
      </c>
      <c r="Q336">
        <f>IF(D336="","",IFERROR(VLOOKUP(D336,Lists!$A$2:$D$9,3,FALSE),"?"))</f>
        <v/>
      </c>
      <c r="R336">
        <f>IF(D336="","",IFERROR(VLOOKUP(D336,Lists!$A$2:$D$9,4,FALSE),"?"))</f>
        <v/>
      </c>
      <c r="S336">
        <f>IF(P336="Debtor",I336,IF(P336="Creditor",J336,0))</f>
        <v/>
      </c>
      <c r="T336">
        <f>IF(P336="Debtor",J336,IF(P336="Creditor",I336,0))</f>
        <v/>
      </c>
      <c r="U336">
        <f>IF(OR(S336=0,B336=""),0,IFERROR(VLOOKUP(C336,'Parties'!$B$13:$Q$112,13,FALSE),0)+SUMIFS($S$7:$S$506,$C$7:$C$506,C336,$B$7:$B$506,"&lt;"&amp;B336)+SUMIFS(S$7:S336,C$7:C336,C336,B$7:B336,B336))</f>
        <v/>
      </c>
      <c r="V336">
        <f>IF(S336=0,0,IFERROR(VLOOKUP(C336,'Parties'!$B$13:$Q$112,14,FALSE),0)+SUMIFS($T$7:$T$506,$C$7:$C$506,C336,$B$7:$B$506,"&lt;="&amp;'Outstanding'!$E$5))</f>
        <v/>
      </c>
      <c r="W336">
        <f>IF(OR('Outstanding'!$E$5="",S336=0,B336="",B336&gt;'Outstanding'!$E$5),0,MAX(0,MIN(S336,U336-V336)))</f>
        <v/>
      </c>
      <c r="X336">
        <f>IF(C336="",0,IFERROR(VLOOKUP(C336,'Parties'!$B$13:$Q$112,15,FALSE),0))</f>
        <v/>
      </c>
      <c r="Y336">
        <f>IF(C336="","",IFERROR(VLOOKUP(C336,'Parties'!$B$13:$Q$112,16,FALSE),0))</f>
        <v/>
      </c>
      <c r="Z336">
        <f>IF(OR(S336=0,B336="",Y336=""),"",IF(AND(F336&lt;&gt;"",D336="Purchase bill"),F336,B336)+Y336)</f>
        <v/>
      </c>
      <c r="AA336">
        <f>IF(OR(W336=0,Z336=""),0,MAX(0,'Outstanding'!$E$5-Z336))</f>
        <v/>
      </c>
      <c r="AB336">
        <f>IF(AND(X336=1,AA336&gt;0),W336*((1+3*N('Parties'!$E$10)/12)^(AA336*12/365)-1),0)</f>
        <v/>
      </c>
      <c r="AC336">
        <f>IF(W336=0,"",'Outstanding'!$E$5-B336)</f>
        <v/>
      </c>
      <c r="AD336">
        <f>IF(S336=0,0,IFERROR(VLOOKUP(C336,'Parties'!$B$13:$Q$112,14,FALSE),0)+SUMIFS($T$7:$T$506,$C$7:$C$506,C336,$B$7:$B$506,"&lt;="&amp;'Parties'!$E$8))</f>
        <v/>
      </c>
      <c r="AE336">
        <f>IF(OR('Parties'!$E$8="",S336=0,B336="",B336&gt;'Parties'!$E$8),0,MAX(0,MIN(S336,U336-AD336)))</f>
        <v/>
      </c>
      <c r="AF336">
        <f>IF(AND(P336="Creditor",X336=1,AE336&gt;0,Z336&lt;&gt;""),IF(Z336&lt;='Parties'!$E$8,AE336,0),0)</f>
        <v/>
      </c>
      <c r="AG336">
        <f>IF(OR(AE336=0,Z336=""),0,MAX(0,'Parties'!$E$8-Z336))</f>
        <v/>
      </c>
      <c r="AH336">
        <f>IF(AND(P336="Creditor",X336=1,AG336&gt;0),AE336*((1+3*N('Parties'!$E$10)/12)^(AG336*12/365)-1),0)</f>
        <v/>
      </c>
      <c r="AI336">
        <f>IF(AND(C336&lt;&gt;"",C336='Ledger Account'!$D$4,B336&lt;&gt;"",B336&gt;='Ledger Account'!$D$5,B336&lt;='Ledger Account'!$D$6),1,0)</f>
        <v/>
      </c>
      <c r="AJ336">
        <f>IF(AI336=1,SUM(AI$7:AI336),"")</f>
        <v/>
      </c>
      <c r="AK336">
        <f>IF(OR(N336="",N336="OK"),0,1)</f>
        <v/>
      </c>
    </row>
    <row r="337">
      <c r="B337" s="24" t="n"/>
      <c r="C337" s="14" t="n"/>
      <c r="D337" s="14" t="n"/>
      <c r="E337" s="20" t="n"/>
      <c r="F337" s="24" t="n"/>
      <c r="G337" s="14" t="n"/>
      <c r="H337" s="22" t="n"/>
      <c r="I337" s="25">
        <f>IF(Q337="D",N(H337),0)</f>
        <v/>
      </c>
      <c r="J337" s="25">
        <f>IF(Q337="C",N(H337),0)</f>
        <v/>
      </c>
      <c r="K337" s="26">
        <f>IF(Z337="","",Z337)</f>
        <v/>
      </c>
      <c r="L337" s="27">
        <f>W337</f>
        <v/>
      </c>
      <c r="M337" s="28">
        <f>AA337</f>
        <v/>
      </c>
      <c r="N337" s="23">
        <f>IF(AND(B337="",C337="",D337="",N(H337)=0),"",IF(B337="","Enter the date",IF(C337="","Pick the party",IF(P337="?","Add this party on the Parties sheet first",IF(D337="","Pick the entry type",IF(Q337="?","Pick the entry type from the list",IF(N(H337)=0,"Enter the amount",IF(AND(R337&lt;&gt;"Any",R337&lt;&gt;P337),"Sales, receipts and credit notes are for debtors; purchases, payments and debit notes for creditors",IF(AND(F337&lt;&gt;"",D337&lt;&gt;"Purchase bill"),"The received-on date is only for purchase bills",IF(AND(P337="Creditor",X337=1,AA337&gt;0),"Past due to a micro or small supplier: interest runs under MSMED s.16, and if unpaid at year end it is not deductible that year, s.37(2)(g)",IF(AND(P337="Debtor",X337=1,AA337&gt;0),"Past due to you: as a micro or small supplier you can claim interest under MSMED s.16","OK")))))))))))</f>
        <v/>
      </c>
      <c r="P337">
        <f>IF(C337="","",IFERROR(VLOOKUP(C337,'Parties'!$B$13:$Q$112,2,FALSE),"?"))</f>
        <v/>
      </c>
      <c r="Q337">
        <f>IF(D337="","",IFERROR(VLOOKUP(D337,Lists!$A$2:$D$9,3,FALSE),"?"))</f>
        <v/>
      </c>
      <c r="R337">
        <f>IF(D337="","",IFERROR(VLOOKUP(D337,Lists!$A$2:$D$9,4,FALSE),"?"))</f>
        <v/>
      </c>
      <c r="S337">
        <f>IF(P337="Debtor",I337,IF(P337="Creditor",J337,0))</f>
        <v/>
      </c>
      <c r="T337">
        <f>IF(P337="Debtor",J337,IF(P337="Creditor",I337,0))</f>
        <v/>
      </c>
      <c r="U337">
        <f>IF(OR(S337=0,B337=""),0,IFERROR(VLOOKUP(C337,'Parties'!$B$13:$Q$112,13,FALSE),0)+SUMIFS($S$7:$S$506,$C$7:$C$506,C337,$B$7:$B$506,"&lt;"&amp;B337)+SUMIFS(S$7:S337,C$7:C337,C337,B$7:B337,B337))</f>
        <v/>
      </c>
      <c r="V337">
        <f>IF(S337=0,0,IFERROR(VLOOKUP(C337,'Parties'!$B$13:$Q$112,14,FALSE),0)+SUMIFS($T$7:$T$506,$C$7:$C$506,C337,$B$7:$B$506,"&lt;="&amp;'Outstanding'!$E$5))</f>
        <v/>
      </c>
      <c r="W337">
        <f>IF(OR('Outstanding'!$E$5="",S337=0,B337="",B337&gt;'Outstanding'!$E$5),0,MAX(0,MIN(S337,U337-V337)))</f>
        <v/>
      </c>
      <c r="X337">
        <f>IF(C337="",0,IFERROR(VLOOKUP(C337,'Parties'!$B$13:$Q$112,15,FALSE),0))</f>
        <v/>
      </c>
      <c r="Y337">
        <f>IF(C337="","",IFERROR(VLOOKUP(C337,'Parties'!$B$13:$Q$112,16,FALSE),0))</f>
        <v/>
      </c>
      <c r="Z337">
        <f>IF(OR(S337=0,B337="",Y337=""),"",IF(AND(F337&lt;&gt;"",D337="Purchase bill"),F337,B337)+Y337)</f>
        <v/>
      </c>
      <c r="AA337">
        <f>IF(OR(W337=0,Z337=""),0,MAX(0,'Outstanding'!$E$5-Z337))</f>
        <v/>
      </c>
      <c r="AB337">
        <f>IF(AND(X337=1,AA337&gt;0),W337*((1+3*N('Parties'!$E$10)/12)^(AA337*12/365)-1),0)</f>
        <v/>
      </c>
      <c r="AC337">
        <f>IF(W337=0,"",'Outstanding'!$E$5-B337)</f>
        <v/>
      </c>
      <c r="AD337">
        <f>IF(S337=0,0,IFERROR(VLOOKUP(C337,'Parties'!$B$13:$Q$112,14,FALSE),0)+SUMIFS($T$7:$T$506,$C$7:$C$506,C337,$B$7:$B$506,"&lt;="&amp;'Parties'!$E$8))</f>
        <v/>
      </c>
      <c r="AE337">
        <f>IF(OR('Parties'!$E$8="",S337=0,B337="",B337&gt;'Parties'!$E$8),0,MAX(0,MIN(S337,U337-AD337)))</f>
        <v/>
      </c>
      <c r="AF337">
        <f>IF(AND(P337="Creditor",X337=1,AE337&gt;0,Z337&lt;&gt;""),IF(Z337&lt;='Parties'!$E$8,AE337,0),0)</f>
        <v/>
      </c>
      <c r="AG337">
        <f>IF(OR(AE337=0,Z337=""),0,MAX(0,'Parties'!$E$8-Z337))</f>
        <v/>
      </c>
      <c r="AH337">
        <f>IF(AND(P337="Creditor",X337=1,AG337&gt;0),AE337*((1+3*N('Parties'!$E$10)/12)^(AG337*12/365)-1),0)</f>
        <v/>
      </c>
      <c r="AI337">
        <f>IF(AND(C337&lt;&gt;"",C337='Ledger Account'!$D$4,B337&lt;&gt;"",B337&gt;='Ledger Account'!$D$5,B337&lt;='Ledger Account'!$D$6),1,0)</f>
        <v/>
      </c>
      <c r="AJ337">
        <f>IF(AI337=1,SUM(AI$7:AI337),"")</f>
        <v/>
      </c>
      <c r="AK337">
        <f>IF(OR(N337="",N337="OK"),0,1)</f>
        <v/>
      </c>
    </row>
    <row r="338">
      <c r="B338" s="24" t="n"/>
      <c r="C338" s="14" t="n"/>
      <c r="D338" s="14" t="n"/>
      <c r="E338" s="20" t="n"/>
      <c r="F338" s="24" t="n"/>
      <c r="G338" s="14" t="n"/>
      <c r="H338" s="22" t="n"/>
      <c r="I338" s="25">
        <f>IF(Q338="D",N(H338),0)</f>
        <v/>
      </c>
      <c r="J338" s="25">
        <f>IF(Q338="C",N(H338),0)</f>
        <v/>
      </c>
      <c r="K338" s="26">
        <f>IF(Z338="","",Z338)</f>
        <v/>
      </c>
      <c r="L338" s="27">
        <f>W338</f>
        <v/>
      </c>
      <c r="M338" s="28">
        <f>AA338</f>
        <v/>
      </c>
      <c r="N338" s="23">
        <f>IF(AND(B338="",C338="",D338="",N(H338)=0),"",IF(B338="","Enter the date",IF(C338="","Pick the party",IF(P338="?","Add this party on the Parties sheet first",IF(D338="","Pick the entry type",IF(Q338="?","Pick the entry type from the list",IF(N(H338)=0,"Enter the amount",IF(AND(R338&lt;&gt;"Any",R338&lt;&gt;P338),"Sales, receipts and credit notes are for debtors; purchases, payments and debit notes for creditors",IF(AND(F338&lt;&gt;"",D338&lt;&gt;"Purchase bill"),"The received-on date is only for purchase bills",IF(AND(P338="Creditor",X338=1,AA338&gt;0),"Past due to a micro or small supplier: interest runs under MSMED s.16, and if unpaid at year end it is not deductible that year, s.37(2)(g)",IF(AND(P338="Debtor",X338=1,AA338&gt;0),"Past due to you: as a micro or small supplier you can claim interest under MSMED s.16","OK")))))))))))</f>
        <v/>
      </c>
      <c r="P338">
        <f>IF(C338="","",IFERROR(VLOOKUP(C338,'Parties'!$B$13:$Q$112,2,FALSE),"?"))</f>
        <v/>
      </c>
      <c r="Q338">
        <f>IF(D338="","",IFERROR(VLOOKUP(D338,Lists!$A$2:$D$9,3,FALSE),"?"))</f>
        <v/>
      </c>
      <c r="R338">
        <f>IF(D338="","",IFERROR(VLOOKUP(D338,Lists!$A$2:$D$9,4,FALSE),"?"))</f>
        <v/>
      </c>
      <c r="S338">
        <f>IF(P338="Debtor",I338,IF(P338="Creditor",J338,0))</f>
        <v/>
      </c>
      <c r="T338">
        <f>IF(P338="Debtor",J338,IF(P338="Creditor",I338,0))</f>
        <v/>
      </c>
      <c r="U338">
        <f>IF(OR(S338=0,B338=""),0,IFERROR(VLOOKUP(C338,'Parties'!$B$13:$Q$112,13,FALSE),0)+SUMIFS($S$7:$S$506,$C$7:$C$506,C338,$B$7:$B$506,"&lt;"&amp;B338)+SUMIFS(S$7:S338,C$7:C338,C338,B$7:B338,B338))</f>
        <v/>
      </c>
      <c r="V338">
        <f>IF(S338=0,0,IFERROR(VLOOKUP(C338,'Parties'!$B$13:$Q$112,14,FALSE),0)+SUMIFS($T$7:$T$506,$C$7:$C$506,C338,$B$7:$B$506,"&lt;="&amp;'Outstanding'!$E$5))</f>
        <v/>
      </c>
      <c r="W338">
        <f>IF(OR('Outstanding'!$E$5="",S338=0,B338="",B338&gt;'Outstanding'!$E$5),0,MAX(0,MIN(S338,U338-V338)))</f>
        <v/>
      </c>
      <c r="X338">
        <f>IF(C338="",0,IFERROR(VLOOKUP(C338,'Parties'!$B$13:$Q$112,15,FALSE),0))</f>
        <v/>
      </c>
      <c r="Y338">
        <f>IF(C338="","",IFERROR(VLOOKUP(C338,'Parties'!$B$13:$Q$112,16,FALSE),0))</f>
        <v/>
      </c>
      <c r="Z338">
        <f>IF(OR(S338=0,B338="",Y338=""),"",IF(AND(F338&lt;&gt;"",D338="Purchase bill"),F338,B338)+Y338)</f>
        <v/>
      </c>
      <c r="AA338">
        <f>IF(OR(W338=0,Z338=""),0,MAX(0,'Outstanding'!$E$5-Z338))</f>
        <v/>
      </c>
      <c r="AB338">
        <f>IF(AND(X338=1,AA338&gt;0),W338*((1+3*N('Parties'!$E$10)/12)^(AA338*12/365)-1),0)</f>
        <v/>
      </c>
      <c r="AC338">
        <f>IF(W338=0,"",'Outstanding'!$E$5-B338)</f>
        <v/>
      </c>
      <c r="AD338">
        <f>IF(S338=0,0,IFERROR(VLOOKUP(C338,'Parties'!$B$13:$Q$112,14,FALSE),0)+SUMIFS($T$7:$T$506,$C$7:$C$506,C338,$B$7:$B$506,"&lt;="&amp;'Parties'!$E$8))</f>
        <v/>
      </c>
      <c r="AE338">
        <f>IF(OR('Parties'!$E$8="",S338=0,B338="",B338&gt;'Parties'!$E$8),0,MAX(0,MIN(S338,U338-AD338)))</f>
        <v/>
      </c>
      <c r="AF338">
        <f>IF(AND(P338="Creditor",X338=1,AE338&gt;0,Z338&lt;&gt;""),IF(Z338&lt;='Parties'!$E$8,AE338,0),0)</f>
        <v/>
      </c>
      <c r="AG338">
        <f>IF(OR(AE338=0,Z338=""),0,MAX(0,'Parties'!$E$8-Z338))</f>
        <v/>
      </c>
      <c r="AH338">
        <f>IF(AND(P338="Creditor",X338=1,AG338&gt;0),AE338*((1+3*N('Parties'!$E$10)/12)^(AG338*12/365)-1),0)</f>
        <v/>
      </c>
      <c r="AI338">
        <f>IF(AND(C338&lt;&gt;"",C338='Ledger Account'!$D$4,B338&lt;&gt;"",B338&gt;='Ledger Account'!$D$5,B338&lt;='Ledger Account'!$D$6),1,0)</f>
        <v/>
      </c>
      <c r="AJ338">
        <f>IF(AI338=1,SUM(AI$7:AI338),"")</f>
        <v/>
      </c>
      <c r="AK338">
        <f>IF(OR(N338="",N338="OK"),0,1)</f>
        <v/>
      </c>
    </row>
    <row r="339">
      <c r="B339" s="24" t="n"/>
      <c r="C339" s="14" t="n"/>
      <c r="D339" s="14" t="n"/>
      <c r="E339" s="20" t="n"/>
      <c r="F339" s="24" t="n"/>
      <c r="G339" s="14" t="n"/>
      <c r="H339" s="22" t="n"/>
      <c r="I339" s="25">
        <f>IF(Q339="D",N(H339),0)</f>
        <v/>
      </c>
      <c r="J339" s="25">
        <f>IF(Q339="C",N(H339),0)</f>
        <v/>
      </c>
      <c r="K339" s="26">
        <f>IF(Z339="","",Z339)</f>
        <v/>
      </c>
      <c r="L339" s="27">
        <f>W339</f>
        <v/>
      </c>
      <c r="M339" s="28">
        <f>AA339</f>
        <v/>
      </c>
      <c r="N339" s="23">
        <f>IF(AND(B339="",C339="",D339="",N(H339)=0),"",IF(B339="","Enter the date",IF(C339="","Pick the party",IF(P339="?","Add this party on the Parties sheet first",IF(D339="","Pick the entry type",IF(Q339="?","Pick the entry type from the list",IF(N(H339)=0,"Enter the amount",IF(AND(R339&lt;&gt;"Any",R339&lt;&gt;P339),"Sales, receipts and credit notes are for debtors; purchases, payments and debit notes for creditors",IF(AND(F339&lt;&gt;"",D339&lt;&gt;"Purchase bill"),"The received-on date is only for purchase bills",IF(AND(P339="Creditor",X339=1,AA339&gt;0),"Past due to a micro or small supplier: interest runs under MSMED s.16, and if unpaid at year end it is not deductible that year, s.37(2)(g)",IF(AND(P339="Debtor",X339=1,AA339&gt;0),"Past due to you: as a micro or small supplier you can claim interest under MSMED s.16","OK")))))))))))</f>
        <v/>
      </c>
      <c r="P339">
        <f>IF(C339="","",IFERROR(VLOOKUP(C339,'Parties'!$B$13:$Q$112,2,FALSE),"?"))</f>
        <v/>
      </c>
      <c r="Q339">
        <f>IF(D339="","",IFERROR(VLOOKUP(D339,Lists!$A$2:$D$9,3,FALSE),"?"))</f>
        <v/>
      </c>
      <c r="R339">
        <f>IF(D339="","",IFERROR(VLOOKUP(D339,Lists!$A$2:$D$9,4,FALSE),"?"))</f>
        <v/>
      </c>
      <c r="S339">
        <f>IF(P339="Debtor",I339,IF(P339="Creditor",J339,0))</f>
        <v/>
      </c>
      <c r="T339">
        <f>IF(P339="Debtor",J339,IF(P339="Creditor",I339,0))</f>
        <v/>
      </c>
      <c r="U339">
        <f>IF(OR(S339=0,B339=""),0,IFERROR(VLOOKUP(C339,'Parties'!$B$13:$Q$112,13,FALSE),0)+SUMIFS($S$7:$S$506,$C$7:$C$506,C339,$B$7:$B$506,"&lt;"&amp;B339)+SUMIFS(S$7:S339,C$7:C339,C339,B$7:B339,B339))</f>
        <v/>
      </c>
      <c r="V339">
        <f>IF(S339=0,0,IFERROR(VLOOKUP(C339,'Parties'!$B$13:$Q$112,14,FALSE),0)+SUMIFS($T$7:$T$506,$C$7:$C$506,C339,$B$7:$B$506,"&lt;="&amp;'Outstanding'!$E$5))</f>
        <v/>
      </c>
      <c r="W339">
        <f>IF(OR('Outstanding'!$E$5="",S339=0,B339="",B339&gt;'Outstanding'!$E$5),0,MAX(0,MIN(S339,U339-V339)))</f>
        <v/>
      </c>
      <c r="X339">
        <f>IF(C339="",0,IFERROR(VLOOKUP(C339,'Parties'!$B$13:$Q$112,15,FALSE),0))</f>
        <v/>
      </c>
      <c r="Y339">
        <f>IF(C339="","",IFERROR(VLOOKUP(C339,'Parties'!$B$13:$Q$112,16,FALSE),0))</f>
        <v/>
      </c>
      <c r="Z339">
        <f>IF(OR(S339=0,B339="",Y339=""),"",IF(AND(F339&lt;&gt;"",D339="Purchase bill"),F339,B339)+Y339)</f>
        <v/>
      </c>
      <c r="AA339">
        <f>IF(OR(W339=0,Z339=""),0,MAX(0,'Outstanding'!$E$5-Z339))</f>
        <v/>
      </c>
      <c r="AB339">
        <f>IF(AND(X339=1,AA339&gt;0),W339*((1+3*N('Parties'!$E$10)/12)^(AA339*12/365)-1),0)</f>
        <v/>
      </c>
      <c r="AC339">
        <f>IF(W339=0,"",'Outstanding'!$E$5-B339)</f>
        <v/>
      </c>
      <c r="AD339">
        <f>IF(S339=0,0,IFERROR(VLOOKUP(C339,'Parties'!$B$13:$Q$112,14,FALSE),0)+SUMIFS($T$7:$T$506,$C$7:$C$506,C339,$B$7:$B$506,"&lt;="&amp;'Parties'!$E$8))</f>
        <v/>
      </c>
      <c r="AE339">
        <f>IF(OR('Parties'!$E$8="",S339=0,B339="",B339&gt;'Parties'!$E$8),0,MAX(0,MIN(S339,U339-AD339)))</f>
        <v/>
      </c>
      <c r="AF339">
        <f>IF(AND(P339="Creditor",X339=1,AE339&gt;0,Z339&lt;&gt;""),IF(Z339&lt;='Parties'!$E$8,AE339,0),0)</f>
        <v/>
      </c>
      <c r="AG339">
        <f>IF(OR(AE339=0,Z339=""),0,MAX(0,'Parties'!$E$8-Z339))</f>
        <v/>
      </c>
      <c r="AH339">
        <f>IF(AND(P339="Creditor",X339=1,AG339&gt;0),AE339*((1+3*N('Parties'!$E$10)/12)^(AG339*12/365)-1),0)</f>
        <v/>
      </c>
      <c r="AI339">
        <f>IF(AND(C339&lt;&gt;"",C339='Ledger Account'!$D$4,B339&lt;&gt;"",B339&gt;='Ledger Account'!$D$5,B339&lt;='Ledger Account'!$D$6),1,0)</f>
        <v/>
      </c>
      <c r="AJ339">
        <f>IF(AI339=1,SUM(AI$7:AI339),"")</f>
        <v/>
      </c>
      <c r="AK339">
        <f>IF(OR(N339="",N339="OK"),0,1)</f>
        <v/>
      </c>
    </row>
    <row r="340">
      <c r="B340" s="24" t="n"/>
      <c r="C340" s="14" t="n"/>
      <c r="D340" s="14" t="n"/>
      <c r="E340" s="20" t="n"/>
      <c r="F340" s="24" t="n"/>
      <c r="G340" s="14" t="n"/>
      <c r="H340" s="22" t="n"/>
      <c r="I340" s="25">
        <f>IF(Q340="D",N(H340),0)</f>
        <v/>
      </c>
      <c r="J340" s="25">
        <f>IF(Q340="C",N(H340),0)</f>
        <v/>
      </c>
      <c r="K340" s="26">
        <f>IF(Z340="","",Z340)</f>
        <v/>
      </c>
      <c r="L340" s="27">
        <f>W340</f>
        <v/>
      </c>
      <c r="M340" s="28">
        <f>AA340</f>
        <v/>
      </c>
      <c r="N340" s="23">
        <f>IF(AND(B340="",C340="",D340="",N(H340)=0),"",IF(B340="","Enter the date",IF(C340="","Pick the party",IF(P340="?","Add this party on the Parties sheet first",IF(D340="","Pick the entry type",IF(Q340="?","Pick the entry type from the list",IF(N(H340)=0,"Enter the amount",IF(AND(R340&lt;&gt;"Any",R340&lt;&gt;P340),"Sales, receipts and credit notes are for debtors; purchases, payments and debit notes for creditors",IF(AND(F340&lt;&gt;"",D340&lt;&gt;"Purchase bill"),"The received-on date is only for purchase bills",IF(AND(P340="Creditor",X340=1,AA340&gt;0),"Past due to a micro or small supplier: interest runs under MSMED s.16, and if unpaid at year end it is not deductible that year, s.37(2)(g)",IF(AND(P340="Debtor",X340=1,AA340&gt;0),"Past due to you: as a micro or small supplier you can claim interest under MSMED s.16","OK")))))))))))</f>
        <v/>
      </c>
      <c r="P340">
        <f>IF(C340="","",IFERROR(VLOOKUP(C340,'Parties'!$B$13:$Q$112,2,FALSE),"?"))</f>
        <v/>
      </c>
      <c r="Q340">
        <f>IF(D340="","",IFERROR(VLOOKUP(D340,Lists!$A$2:$D$9,3,FALSE),"?"))</f>
        <v/>
      </c>
      <c r="R340">
        <f>IF(D340="","",IFERROR(VLOOKUP(D340,Lists!$A$2:$D$9,4,FALSE),"?"))</f>
        <v/>
      </c>
      <c r="S340">
        <f>IF(P340="Debtor",I340,IF(P340="Creditor",J340,0))</f>
        <v/>
      </c>
      <c r="T340">
        <f>IF(P340="Debtor",J340,IF(P340="Creditor",I340,0))</f>
        <v/>
      </c>
      <c r="U340">
        <f>IF(OR(S340=0,B340=""),0,IFERROR(VLOOKUP(C340,'Parties'!$B$13:$Q$112,13,FALSE),0)+SUMIFS($S$7:$S$506,$C$7:$C$506,C340,$B$7:$B$506,"&lt;"&amp;B340)+SUMIFS(S$7:S340,C$7:C340,C340,B$7:B340,B340))</f>
        <v/>
      </c>
      <c r="V340">
        <f>IF(S340=0,0,IFERROR(VLOOKUP(C340,'Parties'!$B$13:$Q$112,14,FALSE),0)+SUMIFS($T$7:$T$506,$C$7:$C$506,C340,$B$7:$B$506,"&lt;="&amp;'Outstanding'!$E$5))</f>
        <v/>
      </c>
      <c r="W340">
        <f>IF(OR('Outstanding'!$E$5="",S340=0,B340="",B340&gt;'Outstanding'!$E$5),0,MAX(0,MIN(S340,U340-V340)))</f>
        <v/>
      </c>
      <c r="X340">
        <f>IF(C340="",0,IFERROR(VLOOKUP(C340,'Parties'!$B$13:$Q$112,15,FALSE),0))</f>
        <v/>
      </c>
      <c r="Y340">
        <f>IF(C340="","",IFERROR(VLOOKUP(C340,'Parties'!$B$13:$Q$112,16,FALSE),0))</f>
        <v/>
      </c>
      <c r="Z340">
        <f>IF(OR(S340=0,B340="",Y340=""),"",IF(AND(F340&lt;&gt;"",D340="Purchase bill"),F340,B340)+Y340)</f>
        <v/>
      </c>
      <c r="AA340">
        <f>IF(OR(W340=0,Z340=""),0,MAX(0,'Outstanding'!$E$5-Z340))</f>
        <v/>
      </c>
      <c r="AB340">
        <f>IF(AND(X340=1,AA340&gt;0),W340*((1+3*N('Parties'!$E$10)/12)^(AA340*12/365)-1),0)</f>
        <v/>
      </c>
      <c r="AC340">
        <f>IF(W340=0,"",'Outstanding'!$E$5-B340)</f>
        <v/>
      </c>
      <c r="AD340">
        <f>IF(S340=0,0,IFERROR(VLOOKUP(C340,'Parties'!$B$13:$Q$112,14,FALSE),0)+SUMIFS($T$7:$T$506,$C$7:$C$506,C340,$B$7:$B$506,"&lt;="&amp;'Parties'!$E$8))</f>
        <v/>
      </c>
      <c r="AE340">
        <f>IF(OR('Parties'!$E$8="",S340=0,B340="",B340&gt;'Parties'!$E$8),0,MAX(0,MIN(S340,U340-AD340)))</f>
        <v/>
      </c>
      <c r="AF340">
        <f>IF(AND(P340="Creditor",X340=1,AE340&gt;0,Z340&lt;&gt;""),IF(Z340&lt;='Parties'!$E$8,AE340,0),0)</f>
        <v/>
      </c>
      <c r="AG340">
        <f>IF(OR(AE340=0,Z340=""),0,MAX(0,'Parties'!$E$8-Z340))</f>
        <v/>
      </c>
      <c r="AH340">
        <f>IF(AND(P340="Creditor",X340=1,AG340&gt;0),AE340*((1+3*N('Parties'!$E$10)/12)^(AG340*12/365)-1),0)</f>
        <v/>
      </c>
      <c r="AI340">
        <f>IF(AND(C340&lt;&gt;"",C340='Ledger Account'!$D$4,B340&lt;&gt;"",B340&gt;='Ledger Account'!$D$5,B340&lt;='Ledger Account'!$D$6),1,0)</f>
        <v/>
      </c>
      <c r="AJ340">
        <f>IF(AI340=1,SUM(AI$7:AI340),"")</f>
        <v/>
      </c>
      <c r="AK340">
        <f>IF(OR(N340="",N340="OK"),0,1)</f>
        <v/>
      </c>
    </row>
    <row r="341">
      <c r="B341" s="24" t="n"/>
      <c r="C341" s="14" t="n"/>
      <c r="D341" s="14" t="n"/>
      <c r="E341" s="20" t="n"/>
      <c r="F341" s="24" t="n"/>
      <c r="G341" s="14" t="n"/>
      <c r="H341" s="22" t="n"/>
      <c r="I341" s="25">
        <f>IF(Q341="D",N(H341),0)</f>
        <v/>
      </c>
      <c r="J341" s="25">
        <f>IF(Q341="C",N(H341),0)</f>
        <v/>
      </c>
      <c r="K341" s="26">
        <f>IF(Z341="","",Z341)</f>
        <v/>
      </c>
      <c r="L341" s="27">
        <f>W341</f>
        <v/>
      </c>
      <c r="M341" s="28">
        <f>AA341</f>
        <v/>
      </c>
      <c r="N341" s="23">
        <f>IF(AND(B341="",C341="",D341="",N(H341)=0),"",IF(B341="","Enter the date",IF(C341="","Pick the party",IF(P341="?","Add this party on the Parties sheet first",IF(D341="","Pick the entry type",IF(Q341="?","Pick the entry type from the list",IF(N(H341)=0,"Enter the amount",IF(AND(R341&lt;&gt;"Any",R341&lt;&gt;P341),"Sales, receipts and credit notes are for debtors; purchases, payments and debit notes for creditors",IF(AND(F341&lt;&gt;"",D341&lt;&gt;"Purchase bill"),"The received-on date is only for purchase bills",IF(AND(P341="Creditor",X341=1,AA341&gt;0),"Past due to a micro or small supplier: interest runs under MSMED s.16, and if unpaid at year end it is not deductible that year, s.37(2)(g)",IF(AND(P341="Debtor",X341=1,AA341&gt;0),"Past due to you: as a micro or small supplier you can claim interest under MSMED s.16","OK")))))))))))</f>
        <v/>
      </c>
      <c r="P341">
        <f>IF(C341="","",IFERROR(VLOOKUP(C341,'Parties'!$B$13:$Q$112,2,FALSE),"?"))</f>
        <v/>
      </c>
      <c r="Q341">
        <f>IF(D341="","",IFERROR(VLOOKUP(D341,Lists!$A$2:$D$9,3,FALSE),"?"))</f>
        <v/>
      </c>
      <c r="R341">
        <f>IF(D341="","",IFERROR(VLOOKUP(D341,Lists!$A$2:$D$9,4,FALSE),"?"))</f>
        <v/>
      </c>
      <c r="S341">
        <f>IF(P341="Debtor",I341,IF(P341="Creditor",J341,0))</f>
        <v/>
      </c>
      <c r="T341">
        <f>IF(P341="Debtor",J341,IF(P341="Creditor",I341,0))</f>
        <v/>
      </c>
      <c r="U341">
        <f>IF(OR(S341=0,B341=""),0,IFERROR(VLOOKUP(C341,'Parties'!$B$13:$Q$112,13,FALSE),0)+SUMIFS($S$7:$S$506,$C$7:$C$506,C341,$B$7:$B$506,"&lt;"&amp;B341)+SUMIFS(S$7:S341,C$7:C341,C341,B$7:B341,B341))</f>
        <v/>
      </c>
      <c r="V341">
        <f>IF(S341=0,0,IFERROR(VLOOKUP(C341,'Parties'!$B$13:$Q$112,14,FALSE),0)+SUMIFS($T$7:$T$506,$C$7:$C$506,C341,$B$7:$B$506,"&lt;="&amp;'Outstanding'!$E$5))</f>
        <v/>
      </c>
      <c r="W341">
        <f>IF(OR('Outstanding'!$E$5="",S341=0,B341="",B341&gt;'Outstanding'!$E$5),0,MAX(0,MIN(S341,U341-V341)))</f>
        <v/>
      </c>
      <c r="X341">
        <f>IF(C341="",0,IFERROR(VLOOKUP(C341,'Parties'!$B$13:$Q$112,15,FALSE),0))</f>
        <v/>
      </c>
      <c r="Y341">
        <f>IF(C341="","",IFERROR(VLOOKUP(C341,'Parties'!$B$13:$Q$112,16,FALSE),0))</f>
        <v/>
      </c>
      <c r="Z341">
        <f>IF(OR(S341=0,B341="",Y341=""),"",IF(AND(F341&lt;&gt;"",D341="Purchase bill"),F341,B341)+Y341)</f>
        <v/>
      </c>
      <c r="AA341">
        <f>IF(OR(W341=0,Z341=""),0,MAX(0,'Outstanding'!$E$5-Z341))</f>
        <v/>
      </c>
      <c r="AB341">
        <f>IF(AND(X341=1,AA341&gt;0),W341*((1+3*N('Parties'!$E$10)/12)^(AA341*12/365)-1),0)</f>
        <v/>
      </c>
      <c r="AC341">
        <f>IF(W341=0,"",'Outstanding'!$E$5-B341)</f>
        <v/>
      </c>
      <c r="AD341">
        <f>IF(S341=0,0,IFERROR(VLOOKUP(C341,'Parties'!$B$13:$Q$112,14,FALSE),0)+SUMIFS($T$7:$T$506,$C$7:$C$506,C341,$B$7:$B$506,"&lt;="&amp;'Parties'!$E$8))</f>
        <v/>
      </c>
      <c r="AE341">
        <f>IF(OR('Parties'!$E$8="",S341=0,B341="",B341&gt;'Parties'!$E$8),0,MAX(0,MIN(S341,U341-AD341)))</f>
        <v/>
      </c>
      <c r="AF341">
        <f>IF(AND(P341="Creditor",X341=1,AE341&gt;0,Z341&lt;&gt;""),IF(Z341&lt;='Parties'!$E$8,AE341,0),0)</f>
        <v/>
      </c>
      <c r="AG341">
        <f>IF(OR(AE341=0,Z341=""),0,MAX(0,'Parties'!$E$8-Z341))</f>
        <v/>
      </c>
      <c r="AH341">
        <f>IF(AND(P341="Creditor",X341=1,AG341&gt;0),AE341*((1+3*N('Parties'!$E$10)/12)^(AG341*12/365)-1),0)</f>
        <v/>
      </c>
      <c r="AI341">
        <f>IF(AND(C341&lt;&gt;"",C341='Ledger Account'!$D$4,B341&lt;&gt;"",B341&gt;='Ledger Account'!$D$5,B341&lt;='Ledger Account'!$D$6),1,0)</f>
        <v/>
      </c>
      <c r="AJ341">
        <f>IF(AI341=1,SUM(AI$7:AI341),"")</f>
        <v/>
      </c>
      <c r="AK341">
        <f>IF(OR(N341="",N341="OK"),0,1)</f>
        <v/>
      </c>
    </row>
    <row r="342">
      <c r="B342" s="24" t="n"/>
      <c r="C342" s="14" t="n"/>
      <c r="D342" s="14" t="n"/>
      <c r="E342" s="20" t="n"/>
      <c r="F342" s="24" t="n"/>
      <c r="G342" s="14" t="n"/>
      <c r="H342" s="22" t="n"/>
      <c r="I342" s="25">
        <f>IF(Q342="D",N(H342),0)</f>
        <v/>
      </c>
      <c r="J342" s="25">
        <f>IF(Q342="C",N(H342),0)</f>
        <v/>
      </c>
      <c r="K342" s="26">
        <f>IF(Z342="","",Z342)</f>
        <v/>
      </c>
      <c r="L342" s="27">
        <f>W342</f>
        <v/>
      </c>
      <c r="M342" s="28">
        <f>AA342</f>
        <v/>
      </c>
      <c r="N342" s="23">
        <f>IF(AND(B342="",C342="",D342="",N(H342)=0),"",IF(B342="","Enter the date",IF(C342="","Pick the party",IF(P342="?","Add this party on the Parties sheet first",IF(D342="","Pick the entry type",IF(Q342="?","Pick the entry type from the list",IF(N(H342)=0,"Enter the amount",IF(AND(R342&lt;&gt;"Any",R342&lt;&gt;P342),"Sales, receipts and credit notes are for debtors; purchases, payments and debit notes for creditors",IF(AND(F342&lt;&gt;"",D342&lt;&gt;"Purchase bill"),"The received-on date is only for purchase bills",IF(AND(P342="Creditor",X342=1,AA342&gt;0),"Past due to a micro or small supplier: interest runs under MSMED s.16, and if unpaid at year end it is not deductible that year, s.37(2)(g)",IF(AND(P342="Debtor",X342=1,AA342&gt;0),"Past due to you: as a micro or small supplier you can claim interest under MSMED s.16","OK")))))))))))</f>
        <v/>
      </c>
      <c r="P342">
        <f>IF(C342="","",IFERROR(VLOOKUP(C342,'Parties'!$B$13:$Q$112,2,FALSE),"?"))</f>
        <v/>
      </c>
      <c r="Q342">
        <f>IF(D342="","",IFERROR(VLOOKUP(D342,Lists!$A$2:$D$9,3,FALSE),"?"))</f>
        <v/>
      </c>
      <c r="R342">
        <f>IF(D342="","",IFERROR(VLOOKUP(D342,Lists!$A$2:$D$9,4,FALSE),"?"))</f>
        <v/>
      </c>
      <c r="S342">
        <f>IF(P342="Debtor",I342,IF(P342="Creditor",J342,0))</f>
        <v/>
      </c>
      <c r="T342">
        <f>IF(P342="Debtor",J342,IF(P342="Creditor",I342,0))</f>
        <v/>
      </c>
      <c r="U342">
        <f>IF(OR(S342=0,B342=""),0,IFERROR(VLOOKUP(C342,'Parties'!$B$13:$Q$112,13,FALSE),0)+SUMIFS($S$7:$S$506,$C$7:$C$506,C342,$B$7:$B$506,"&lt;"&amp;B342)+SUMIFS(S$7:S342,C$7:C342,C342,B$7:B342,B342))</f>
        <v/>
      </c>
      <c r="V342">
        <f>IF(S342=0,0,IFERROR(VLOOKUP(C342,'Parties'!$B$13:$Q$112,14,FALSE),0)+SUMIFS($T$7:$T$506,$C$7:$C$506,C342,$B$7:$B$506,"&lt;="&amp;'Outstanding'!$E$5))</f>
        <v/>
      </c>
      <c r="W342">
        <f>IF(OR('Outstanding'!$E$5="",S342=0,B342="",B342&gt;'Outstanding'!$E$5),0,MAX(0,MIN(S342,U342-V342)))</f>
        <v/>
      </c>
      <c r="X342">
        <f>IF(C342="",0,IFERROR(VLOOKUP(C342,'Parties'!$B$13:$Q$112,15,FALSE),0))</f>
        <v/>
      </c>
      <c r="Y342">
        <f>IF(C342="","",IFERROR(VLOOKUP(C342,'Parties'!$B$13:$Q$112,16,FALSE),0))</f>
        <v/>
      </c>
      <c r="Z342">
        <f>IF(OR(S342=0,B342="",Y342=""),"",IF(AND(F342&lt;&gt;"",D342="Purchase bill"),F342,B342)+Y342)</f>
        <v/>
      </c>
      <c r="AA342">
        <f>IF(OR(W342=0,Z342=""),0,MAX(0,'Outstanding'!$E$5-Z342))</f>
        <v/>
      </c>
      <c r="AB342">
        <f>IF(AND(X342=1,AA342&gt;0),W342*((1+3*N('Parties'!$E$10)/12)^(AA342*12/365)-1),0)</f>
        <v/>
      </c>
      <c r="AC342">
        <f>IF(W342=0,"",'Outstanding'!$E$5-B342)</f>
        <v/>
      </c>
      <c r="AD342">
        <f>IF(S342=0,0,IFERROR(VLOOKUP(C342,'Parties'!$B$13:$Q$112,14,FALSE),0)+SUMIFS($T$7:$T$506,$C$7:$C$506,C342,$B$7:$B$506,"&lt;="&amp;'Parties'!$E$8))</f>
        <v/>
      </c>
      <c r="AE342">
        <f>IF(OR('Parties'!$E$8="",S342=0,B342="",B342&gt;'Parties'!$E$8),0,MAX(0,MIN(S342,U342-AD342)))</f>
        <v/>
      </c>
      <c r="AF342">
        <f>IF(AND(P342="Creditor",X342=1,AE342&gt;0,Z342&lt;&gt;""),IF(Z342&lt;='Parties'!$E$8,AE342,0),0)</f>
        <v/>
      </c>
      <c r="AG342">
        <f>IF(OR(AE342=0,Z342=""),0,MAX(0,'Parties'!$E$8-Z342))</f>
        <v/>
      </c>
      <c r="AH342">
        <f>IF(AND(P342="Creditor",X342=1,AG342&gt;0),AE342*((1+3*N('Parties'!$E$10)/12)^(AG342*12/365)-1),0)</f>
        <v/>
      </c>
      <c r="AI342">
        <f>IF(AND(C342&lt;&gt;"",C342='Ledger Account'!$D$4,B342&lt;&gt;"",B342&gt;='Ledger Account'!$D$5,B342&lt;='Ledger Account'!$D$6),1,0)</f>
        <v/>
      </c>
      <c r="AJ342">
        <f>IF(AI342=1,SUM(AI$7:AI342),"")</f>
        <v/>
      </c>
      <c r="AK342">
        <f>IF(OR(N342="",N342="OK"),0,1)</f>
        <v/>
      </c>
    </row>
    <row r="343">
      <c r="B343" s="24" t="n"/>
      <c r="C343" s="14" t="n"/>
      <c r="D343" s="14" t="n"/>
      <c r="E343" s="20" t="n"/>
      <c r="F343" s="24" t="n"/>
      <c r="G343" s="14" t="n"/>
      <c r="H343" s="22" t="n"/>
      <c r="I343" s="25">
        <f>IF(Q343="D",N(H343),0)</f>
        <v/>
      </c>
      <c r="J343" s="25">
        <f>IF(Q343="C",N(H343),0)</f>
        <v/>
      </c>
      <c r="K343" s="26">
        <f>IF(Z343="","",Z343)</f>
        <v/>
      </c>
      <c r="L343" s="27">
        <f>W343</f>
        <v/>
      </c>
      <c r="M343" s="28">
        <f>AA343</f>
        <v/>
      </c>
      <c r="N343" s="23">
        <f>IF(AND(B343="",C343="",D343="",N(H343)=0),"",IF(B343="","Enter the date",IF(C343="","Pick the party",IF(P343="?","Add this party on the Parties sheet first",IF(D343="","Pick the entry type",IF(Q343="?","Pick the entry type from the list",IF(N(H343)=0,"Enter the amount",IF(AND(R343&lt;&gt;"Any",R343&lt;&gt;P343),"Sales, receipts and credit notes are for debtors; purchases, payments and debit notes for creditors",IF(AND(F343&lt;&gt;"",D343&lt;&gt;"Purchase bill"),"The received-on date is only for purchase bills",IF(AND(P343="Creditor",X343=1,AA343&gt;0),"Past due to a micro or small supplier: interest runs under MSMED s.16, and if unpaid at year end it is not deductible that year, s.37(2)(g)",IF(AND(P343="Debtor",X343=1,AA343&gt;0),"Past due to you: as a micro or small supplier you can claim interest under MSMED s.16","OK")))))))))))</f>
        <v/>
      </c>
      <c r="P343">
        <f>IF(C343="","",IFERROR(VLOOKUP(C343,'Parties'!$B$13:$Q$112,2,FALSE),"?"))</f>
        <v/>
      </c>
      <c r="Q343">
        <f>IF(D343="","",IFERROR(VLOOKUP(D343,Lists!$A$2:$D$9,3,FALSE),"?"))</f>
        <v/>
      </c>
      <c r="R343">
        <f>IF(D343="","",IFERROR(VLOOKUP(D343,Lists!$A$2:$D$9,4,FALSE),"?"))</f>
        <v/>
      </c>
      <c r="S343">
        <f>IF(P343="Debtor",I343,IF(P343="Creditor",J343,0))</f>
        <v/>
      </c>
      <c r="T343">
        <f>IF(P343="Debtor",J343,IF(P343="Creditor",I343,0))</f>
        <v/>
      </c>
      <c r="U343">
        <f>IF(OR(S343=0,B343=""),0,IFERROR(VLOOKUP(C343,'Parties'!$B$13:$Q$112,13,FALSE),0)+SUMIFS($S$7:$S$506,$C$7:$C$506,C343,$B$7:$B$506,"&lt;"&amp;B343)+SUMIFS(S$7:S343,C$7:C343,C343,B$7:B343,B343))</f>
        <v/>
      </c>
      <c r="V343">
        <f>IF(S343=0,0,IFERROR(VLOOKUP(C343,'Parties'!$B$13:$Q$112,14,FALSE),0)+SUMIFS($T$7:$T$506,$C$7:$C$506,C343,$B$7:$B$506,"&lt;="&amp;'Outstanding'!$E$5))</f>
        <v/>
      </c>
      <c r="W343">
        <f>IF(OR('Outstanding'!$E$5="",S343=0,B343="",B343&gt;'Outstanding'!$E$5),0,MAX(0,MIN(S343,U343-V343)))</f>
        <v/>
      </c>
      <c r="X343">
        <f>IF(C343="",0,IFERROR(VLOOKUP(C343,'Parties'!$B$13:$Q$112,15,FALSE),0))</f>
        <v/>
      </c>
      <c r="Y343">
        <f>IF(C343="","",IFERROR(VLOOKUP(C343,'Parties'!$B$13:$Q$112,16,FALSE),0))</f>
        <v/>
      </c>
      <c r="Z343">
        <f>IF(OR(S343=0,B343="",Y343=""),"",IF(AND(F343&lt;&gt;"",D343="Purchase bill"),F343,B343)+Y343)</f>
        <v/>
      </c>
      <c r="AA343">
        <f>IF(OR(W343=0,Z343=""),0,MAX(0,'Outstanding'!$E$5-Z343))</f>
        <v/>
      </c>
      <c r="AB343">
        <f>IF(AND(X343=1,AA343&gt;0),W343*((1+3*N('Parties'!$E$10)/12)^(AA343*12/365)-1),0)</f>
        <v/>
      </c>
      <c r="AC343">
        <f>IF(W343=0,"",'Outstanding'!$E$5-B343)</f>
        <v/>
      </c>
      <c r="AD343">
        <f>IF(S343=0,0,IFERROR(VLOOKUP(C343,'Parties'!$B$13:$Q$112,14,FALSE),0)+SUMIFS($T$7:$T$506,$C$7:$C$506,C343,$B$7:$B$506,"&lt;="&amp;'Parties'!$E$8))</f>
        <v/>
      </c>
      <c r="AE343">
        <f>IF(OR('Parties'!$E$8="",S343=0,B343="",B343&gt;'Parties'!$E$8),0,MAX(0,MIN(S343,U343-AD343)))</f>
        <v/>
      </c>
      <c r="AF343">
        <f>IF(AND(P343="Creditor",X343=1,AE343&gt;0,Z343&lt;&gt;""),IF(Z343&lt;='Parties'!$E$8,AE343,0),0)</f>
        <v/>
      </c>
      <c r="AG343">
        <f>IF(OR(AE343=0,Z343=""),0,MAX(0,'Parties'!$E$8-Z343))</f>
        <v/>
      </c>
      <c r="AH343">
        <f>IF(AND(P343="Creditor",X343=1,AG343&gt;0),AE343*((1+3*N('Parties'!$E$10)/12)^(AG343*12/365)-1),0)</f>
        <v/>
      </c>
      <c r="AI343">
        <f>IF(AND(C343&lt;&gt;"",C343='Ledger Account'!$D$4,B343&lt;&gt;"",B343&gt;='Ledger Account'!$D$5,B343&lt;='Ledger Account'!$D$6),1,0)</f>
        <v/>
      </c>
      <c r="AJ343">
        <f>IF(AI343=1,SUM(AI$7:AI343),"")</f>
        <v/>
      </c>
      <c r="AK343">
        <f>IF(OR(N343="",N343="OK"),0,1)</f>
        <v/>
      </c>
    </row>
    <row r="344">
      <c r="B344" s="24" t="n"/>
      <c r="C344" s="14" t="n"/>
      <c r="D344" s="14" t="n"/>
      <c r="E344" s="20" t="n"/>
      <c r="F344" s="24" t="n"/>
      <c r="G344" s="14" t="n"/>
      <c r="H344" s="22" t="n"/>
      <c r="I344" s="25">
        <f>IF(Q344="D",N(H344),0)</f>
        <v/>
      </c>
      <c r="J344" s="25">
        <f>IF(Q344="C",N(H344),0)</f>
        <v/>
      </c>
      <c r="K344" s="26">
        <f>IF(Z344="","",Z344)</f>
        <v/>
      </c>
      <c r="L344" s="27">
        <f>W344</f>
        <v/>
      </c>
      <c r="M344" s="28">
        <f>AA344</f>
        <v/>
      </c>
      <c r="N344" s="23">
        <f>IF(AND(B344="",C344="",D344="",N(H344)=0),"",IF(B344="","Enter the date",IF(C344="","Pick the party",IF(P344="?","Add this party on the Parties sheet first",IF(D344="","Pick the entry type",IF(Q344="?","Pick the entry type from the list",IF(N(H344)=0,"Enter the amount",IF(AND(R344&lt;&gt;"Any",R344&lt;&gt;P344),"Sales, receipts and credit notes are for debtors; purchases, payments and debit notes for creditors",IF(AND(F344&lt;&gt;"",D344&lt;&gt;"Purchase bill"),"The received-on date is only for purchase bills",IF(AND(P344="Creditor",X344=1,AA344&gt;0),"Past due to a micro or small supplier: interest runs under MSMED s.16, and if unpaid at year end it is not deductible that year, s.37(2)(g)",IF(AND(P344="Debtor",X344=1,AA344&gt;0),"Past due to you: as a micro or small supplier you can claim interest under MSMED s.16","OK")))))))))))</f>
        <v/>
      </c>
      <c r="P344">
        <f>IF(C344="","",IFERROR(VLOOKUP(C344,'Parties'!$B$13:$Q$112,2,FALSE),"?"))</f>
        <v/>
      </c>
      <c r="Q344">
        <f>IF(D344="","",IFERROR(VLOOKUP(D344,Lists!$A$2:$D$9,3,FALSE),"?"))</f>
        <v/>
      </c>
      <c r="R344">
        <f>IF(D344="","",IFERROR(VLOOKUP(D344,Lists!$A$2:$D$9,4,FALSE),"?"))</f>
        <v/>
      </c>
      <c r="S344">
        <f>IF(P344="Debtor",I344,IF(P344="Creditor",J344,0))</f>
        <v/>
      </c>
      <c r="T344">
        <f>IF(P344="Debtor",J344,IF(P344="Creditor",I344,0))</f>
        <v/>
      </c>
      <c r="U344">
        <f>IF(OR(S344=0,B344=""),0,IFERROR(VLOOKUP(C344,'Parties'!$B$13:$Q$112,13,FALSE),0)+SUMIFS($S$7:$S$506,$C$7:$C$506,C344,$B$7:$B$506,"&lt;"&amp;B344)+SUMIFS(S$7:S344,C$7:C344,C344,B$7:B344,B344))</f>
        <v/>
      </c>
      <c r="V344">
        <f>IF(S344=0,0,IFERROR(VLOOKUP(C344,'Parties'!$B$13:$Q$112,14,FALSE),0)+SUMIFS($T$7:$T$506,$C$7:$C$506,C344,$B$7:$B$506,"&lt;="&amp;'Outstanding'!$E$5))</f>
        <v/>
      </c>
      <c r="W344">
        <f>IF(OR('Outstanding'!$E$5="",S344=0,B344="",B344&gt;'Outstanding'!$E$5),0,MAX(0,MIN(S344,U344-V344)))</f>
        <v/>
      </c>
      <c r="X344">
        <f>IF(C344="",0,IFERROR(VLOOKUP(C344,'Parties'!$B$13:$Q$112,15,FALSE),0))</f>
        <v/>
      </c>
      <c r="Y344">
        <f>IF(C344="","",IFERROR(VLOOKUP(C344,'Parties'!$B$13:$Q$112,16,FALSE),0))</f>
        <v/>
      </c>
      <c r="Z344">
        <f>IF(OR(S344=0,B344="",Y344=""),"",IF(AND(F344&lt;&gt;"",D344="Purchase bill"),F344,B344)+Y344)</f>
        <v/>
      </c>
      <c r="AA344">
        <f>IF(OR(W344=0,Z344=""),0,MAX(0,'Outstanding'!$E$5-Z344))</f>
        <v/>
      </c>
      <c r="AB344">
        <f>IF(AND(X344=1,AA344&gt;0),W344*((1+3*N('Parties'!$E$10)/12)^(AA344*12/365)-1),0)</f>
        <v/>
      </c>
      <c r="AC344">
        <f>IF(W344=0,"",'Outstanding'!$E$5-B344)</f>
        <v/>
      </c>
      <c r="AD344">
        <f>IF(S344=0,0,IFERROR(VLOOKUP(C344,'Parties'!$B$13:$Q$112,14,FALSE),0)+SUMIFS($T$7:$T$506,$C$7:$C$506,C344,$B$7:$B$506,"&lt;="&amp;'Parties'!$E$8))</f>
        <v/>
      </c>
      <c r="AE344">
        <f>IF(OR('Parties'!$E$8="",S344=0,B344="",B344&gt;'Parties'!$E$8),0,MAX(0,MIN(S344,U344-AD344)))</f>
        <v/>
      </c>
      <c r="AF344">
        <f>IF(AND(P344="Creditor",X344=1,AE344&gt;0,Z344&lt;&gt;""),IF(Z344&lt;='Parties'!$E$8,AE344,0),0)</f>
        <v/>
      </c>
      <c r="AG344">
        <f>IF(OR(AE344=0,Z344=""),0,MAX(0,'Parties'!$E$8-Z344))</f>
        <v/>
      </c>
      <c r="AH344">
        <f>IF(AND(P344="Creditor",X344=1,AG344&gt;0),AE344*((1+3*N('Parties'!$E$10)/12)^(AG344*12/365)-1),0)</f>
        <v/>
      </c>
      <c r="AI344">
        <f>IF(AND(C344&lt;&gt;"",C344='Ledger Account'!$D$4,B344&lt;&gt;"",B344&gt;='Ledger Account'!$D$5,B344&lt;='Ledger Account'!$D$6),1,0)</f>
        <v/>
      </c>
      <c r="AJ344">
        <f>IF(AI344=1,SUM(AI$7:AI344),"")</f>
        <v/>
      </c>
      <c r="AK344">
        <f>IF(OR(N344="",N344="OK"),0,1)</f>
        <v/>
      </c>
    </row>
    <row r="345">
      <c r="B345" s="24" t="n"/>
      <c r="C345" s="14" t="n"/>
      <c r="D345" s="14" t="n"/>
      <c r="E345" s="20" t="n"/>
      <c r="F345" s="24" t="n"/>
      <c r="G345" s="14" t="n"/>
      <c r="H345" s="22" t="n"/>
      <c r="I345" s="25">
        <f>IF(Q345="D",N(H345),0)</f>
        <v/>
      </c>
      <c r="J345" s="25">
        <f>IF(Q345="C",N(H345),0)</f>
        <v/>
      </c>
      <c r="K345" s="26">
        <f>IF(Z345="","",Z345)</f>
        <v/>
      </c>
      <c r="L345" s="27">
        <f>W345</f>
        <v/>
      </c>
      <c r="M345" s="28">
        <f>AA345</f>
        <v/>
      </c>
      <c r="N345" s="23">
        <f>IF(AND(B345="",C345="",D345="",N(H345)=0),"",IF(B345="","Enter the date",IF(C345="","Pick the party",IF(P345="?","Add this party on the Parties sheet first",IF(D345="","Pick the entry type",IF(Q345="?","Pick the entry type from the list",IF(N(H345)=0,"Enter the amount",IF(AND(R345&lt;&gt;"Any",R345&lt;&gt;P345),"Sales, receipts and credit notes are for debtors; purchases, payments and debit notes for creditors",IF(AND(F345&lt;&gt;"",D345&lt;&gt;"Purchase bill"),"The received-on date is only for purchase bills",IF(AND(P345="Creditor",X345=1,AA345&gt;0),"Past due to a micro or small supplier: interest runs under MSMED s.16, and if unpaid at year end it is not deductible that year, s.37(2)(g)",IF(AND(P345="Debtor",X345=1,AA345&gt;0),"Past due to you: as a micro or small supplier you can claim interest under MSMED s.16","OK")))))))))))</f>
        <v/>
      </c>
      <c r="P345">
        <f>IF(C345="","",IFERROR(VLOOKUP(C345,'Parties'!$B$13:$Q$112,2,FALSE),"?"))</f>
        <v/>
      </c>
      <c r="Q345">
        <f>IF(D345="","",IFERROR(VLOOKUP(D345,Lists!$A$2:$D$9,3,FALSE),"?"))</f>
        <v/>
      </c>
      <c r="R345">
        <f>IF(D345="","",IFERROR(VLOOKUP(D345,Lists!$A$2:$D$9,4,FALSE),"?"))</f>
        <v/>
      </c>
      <c r="S345">
        <f>IF(P345="Debtor",I345,IF(P345="Creditor",J345,0))</f>
        <v/>
      </c>
      <c r="T345">
        <f>IF(P345="Debtor",J345,IF(P345="Creditor",I345,0))</f>
        <v/>
      </c>
      <c r="U345">
        <f>IF(OR(S345=0,B345=""),0,IFERROR(VLOOKUP(C345,'Parties'!$B$13:$Q$112,13,FALSE),0)+SUMIFS($S$7:$S$506,$C$7:$C$506,C345,$B$7:$B$506,"&lt;"&amp;B345)+SUMIFS(S$7:S345,C$7:C345,C345,B$7:B345,B345))</f>
        <v/>
      </c>
      <c r="V345">
        <f>IF(S345=0,0,IFERROR(VLOOKUP(C345,'Parties'!$B$13:$Q$112,14,FALSE),0)+SUMIFS($T$7:$T$506,$C$7:$C$506,C345,$B$7:$B$506,"&lt;="&amp;'Outstanding'!$E$5))</f>
        <v/>
      </c>
      <c r="W345">
        <f>IF(OR('Outstanding'!$E$5="",S345=0,B345="",B345&gt;'Outstanding'!$E$5),0,MAX(0,MIN(S345,U345-V345)))</f>
        <v/>
      </c>
      <c r="X345">
        <f>IF(C345="",0,IFERROR(VLOOKUP(C345,'Parties'!$B$13:$Q$112,15,FALSE),0))</f>
        <v/>
      </c>
      <c r="Y345">
        <f>IF(C345="","",IFERROR(VLOOKUP(C345,'Parties'!$B$13:$Q$112,16,FALSE),0))</f>
        <v/>
      </c>
      <c r="Z345">
        <f>IF(OR(S345=0,B345="",Y345=""),"",IF(AND(F345&lt;&gt;"",D345="Purchase bill"),F345,B345)+Y345)</f>
        <v/>
      </c>
      <c r="AA345">
        <f>IF(OR(W345=0,Z345=""),0,MAX(0,'Outstanding'!$E$5-Z345))</f>
        <v/>
      </c>
      <c r="AB345">
        <f>IF(AND(X345=1,AA345&gt;0),W345*((1+3*N('Parties'!$E$10)/12)^(AA345*12/365)-1),0)</f>
        <v/>
      </c>
      <c r="AC345">
        <f>IF(W345=0,"",'Outstanding'!$E$5-B345)</f>
        <v/>
      </c>
      <c r="AD345">
        <f>IF(S345=0,0,IFERROR(VLOOKUP(C345,'Parties'!$B$13:$Q$112,14,FALSE),0)+SUMIFS($T$7:$T$506,$C$7:$C$506,C345,$B$7:$B$506,"&lt;="&amp;'Parties'!$E$8))</f>
        <v/>
      </c>
      <c r="AE345">
        <f>IF(OR('Parties'!$E$8="",S345=0,B345="",B345&gt;'Parties'!$E$8),0,MAX(0,MIN(S345,U345-AD345)))</f>
        <v/>
      </c>
      <c r="AF345">
        <f>IF(AND(P345="Creditor",X345=1,AE345&gt;0,Z345&lt;&gt;""),IF(Z345&lt;='Parties'!$E$8,AE345,0),0)</f>
        <v/>
      </c>
      <c r="AG345">
        <f>IF(OR(AE345=0,Z345=""),0,MAX(0,'Parties'!$E$8-Z345))</f>
        <v/>
      </c>
      <c r="AH345">
        <f>IF(AND(P345="Creditor",X345=1,AG345&gt;0),AE345*((1+3*N('Parties'!$E$10)/12)^(AG345*12/365)-1),0)</f>
        <v/>
      </c>
      <c r="AI345">
        <f>IF(AND(C345&lt;&gt;"",C345='Ledger Account'!$D$4,B345&lt;&gt;"",B345&gt;='Ledger Account'!$D$5,B345&lt;='Ledger Account'!$D$6),1,0)</f>
        <v/>
      </c>
      <c r="AJ345">
        <f>IF(AI345=1,SUM(AI$7:AI345),"")</f>
        <v/>
      </c>
      <c r="AK345">
        <f>IF(OR(N345="",N345="OK"),0,1)</f>
        <v/>
      </c>
    </row>
    <row r="346">
      <c r="B346" s="24" t="n"/>
      <c r="C346" s="14" t="n"/>
      <c r="D346" s="14" t="n"/>
      <c r="E346" s="20" t="n"/>
      <c r="F346" s="24" t="n"/>
      <c r="G346" s="14" t="n"/>
      <c r="H346" s="22" t="n"/>
      <c r="I346" s="25">
        <f>IF(Q346="D",N(H346),0)</f>
        <v/>
      </c>
      <c r="J346" s="25">
        <f>IF(Q346="C",N(H346),0)</f>
        <v/>
      </c>
      <c r="K346" s="26">
        <f>IF(Z346="","",Z346)</f>
        <v/>
      </c>
      <c r="L346" s="27">
        <f>W346</f>
        <v/>
      </c>
      <c r="M346" s="28">
        <f>AA346</f>
        <v/>
      </c>
      <c r="N346" s="23">
        <f>IF(AND(B346="",C346="",D346="",N(H346)=0),"",IF(B346="","Enter the date",IF(C346="","Pick the party",IF(P346="?","Add this party on the Parties sheet first",IF(D346="","Pick the entry type",IF(Q346="?","Pick the entry type from the list",IF(N(H346)=0,"Enter the amount",IF(AND(R346&lt;&gt;"Any",R346&lt;&gt;P346),"Sales, receipts and credit notes are for debtors; purchases, payments and debit notes for creditors",IF(AND(F346&lt;&gt;"",D346&lt;&gt;"Purchase bill"),"The received-on date is only for purchase bills",IF(AND(P346="Creditor",X346=1,AA346&gt;0),"Past due to a micro or small supplier: interest runs under MSMED s.16, and if unpaid at year end it is not deductible that year, s.37(2)(g)",IF(AND(P346="Debtor",X346=1,AA346&gt;0),"Past due to you: as a micro or small supplier you can claim interest under MSMED s.16","OK")))))))))))</f>
        <v/>
      </c>
      <c r="P346">
        <f>IF(C346="","",IFERROR(VLOOKUP(C346,'Parties'!$B$13:$Q$112,2,FALSE),"?"))</f>
        <v/>
      </c>
      <c r="Q346">
        <f>IF(D346="","",IFERROR(VLOOKUP(D346,Lists!$A$2:$D$9,3,FALSE),"?"))</f>
        <v/>
      </c>
      <c r="R346">
        <f>IF(D346="","",IFERROR(VLOOKUP(D346,Lists!$A$2:$D$9,4,FALSE),"?"))</f>
        <v/>
      </c>
      <c r="S346">
        <f>IF(P346="Debtor",I346,IF(P346="Creditor",J346,0))</f>
        <v/>
      </c>
      <c r="T346">
        <f>IF(P346="Debtor",J346,IF(P346="Creditor",I346,0))</f>
        <v/>
      </c>
      <c r="U346">
        <f>IF(OR(S346=0,B346=""),0,IFERROR(VLOOKUP(C346,'Parties'!$B$13:$Q$112,13,FALSE),0)+SUMIFS($S$7:$S$506,$C$7:$C$506,C346,$B$7:$B$506,"&lt;"&amp;B346)+SUMIFS(S$7:S346,C$7:C346,C346,B$7:B346,B346))</f>
        <v/>
      </c>
      <c r="V346">
        <f>IF(S346=0,0,IFERROR(VLOOKUP(C346,'Parties'!$B$13:$Q$112,14,FALSE),0)+SUMIFS($T$7:$T$506,$C$7:$C$506,C346,$B$7:$B$506,"&lt;="&amp;'Outstanding'!$E$5))</f>
        <v/>
      </c>
      <c r="W346">
        <f>IF(OR('Outstanding'!$E$5="",S346=0,B346="",B346&gt;'Outstanding'!$E$5),0,MAX(0,MIN(S346,U346-V346)))</f>
        <v/>
      </c>
      <c r="X346">
        <f>IF(C346="",0,IFERROR(VLOOKUP(C346,'Parties'!$B$13:$Q$112,15,FALSE),0))</f>
        <v/>
      </c>
      <c r="Y346">
        <f>IF(C346="","",IFERROR(VLOOKUP(C346,'Parties'!$B$13:$Q$112,16,FALSE),0))</f>
        <v/>
      </c>
      <c r="Z346">
        <f>IF(OR(S346=0,B346="",Y346=""),"",IF(AND(F346&lt;&gt;"",D346="Purchase bill"),F346,B346)+Y346)</f>
        <v/>
      </c>
      <c r="AA346">
        <f>IF(OR(W346=0,Z346=""),0,MAX(0,'Outstanding'!$E$5-Z346))</f>
        <v/>
      </c>
      <c r="AB346">
        <f>IF(AND(X346=1,AA346&gt;0),W346*((1+3*N('Parties'!$E$10)/12)^(AA346*12/365)-1),0)</f>
        <v/>
      </c>
      <c r="AC346">
        <f>IF(W346=0,"",'Outstanding'!$E$5-B346)</f>
        <v/>
      </c>
      <c r="AD346">
        <f>IF(S346=0,0,IFERROR(VLOOKUP(C346,'Parties'!$B$13:$Q$112,14,FALSE),0)+SUMIFS($T$7:$T$506,$C$7:$C$506,C346,$B$7:$B$506,"&lt;="&amp;'Parties'!$E$8))</f>
        <v/>
      </c>
      <c r="AE346">
        <f>IF(OR('Parties'!$E$8="",S346=0,B346="",B346&gt;'Parties'!$E$8),0,MAX(0,MIN(S346,U346-AD346)))</f>
        <v/>
      </c>
      <c r="AF346">
        <f>IF(AND(P346="Creditor",X346=1,AE346&gt;0,Z346&lt;&gt;""),IF(Z346&lt;='Parties'!$E$8,AE346,0),0)</f>
        <v/>
      </c>
      <c r="AG346">
        <f>IF(OR(AE346=0,Z346=""),0,MAX(0,'Parties'!$E$8-Z346))</f>
        <v/>
      </c>
      <c r="AH346">
        <f>IF(AND(P346="Creditor",X346=1,AG346&gt;0),AE346*((1+3*N('Parties'!$E$10)/12)^(AG346*12/365)-1),0)</f>
        <v/>
      </c>
      <c r="AI346">
        <f>IF(AND(C346&lt;&gt;"",C346='Ledger Account'!$D$4,B346&lt;&gt;"",B346&gt;='Ledger Account'!$D$5,B346&lt;='Ledger Account'!$D$6),1,0)</f>
        <v/>
      </c>
      <c r="AJ346">
        <f>IF(AI346=1,SUM(AI$7:AI346),"")</f>
        <v/>
      </c>
      <c r="AK346">
        <f>IF(OR(N346="",N346="OK"),0,1)</f>
        <v/>
      </c>
    </row>
    <row r="347">
      <c r="B347" s="24" t="n"/>
      <c r="C347" s="14" t="n"/>
      <c r="D347" s="14" t="n"/>
      <c r="E347" s="20" t="n"/>
      <c r="F347" s="24" t="n"/>
      <c r="G347" s="14" t="n"/>
      <c r="H347" s="22" t="n"/>
      <c r="I347" s="25">
        <f>IF(Q347="D",N(H347),0)</f>
        <v/>
      </c>
      <c r="J347" s="25">
        <f>IF(Q347="C",N(H347),0)</f>
        <v/>
      </c>
      <c r="K347" s="26">
        <f>IF(Z347="","",Z347)</f>
        <v/>
      </c>
      <c r="L347" s="27">
        <f>W347</f>
        <v/>
      </c>
      <c r="M347" s="28">
        <f>AA347</f>
        <v/>
      </c>
      <c r="N347" s="23">
        <f>IF(AND(B347="",C347="",D347="",N(H347)=0),"",IF(B347="","Enter the date",IF(C347="","Pick the party",IF(P347="?","Add this party on the Parties sheet first",IF(D347="","Pick the entry type",IF(Q347="?","Pick the entry type from the list",IF(N(H347)=0,"Enter the amount",IF(AND(R347&lt;&gt;"Any",R347&lt;&gt;P347),"Sales, receipts and credit notes are for debtors; purchases, payments and debit notes for creditors",IF(AND(F347&lt;&gt;"",D347&lt;&gt;"Purchase bill"),"The received-on date is only for purchase bills",IF(AND(P347="Creditor",X347=1,AA347&gt;0),"Past due to a micro or small supplier: interest runs under MSMED s.16, and if unpaid at year end it is not deductible that year, s.37(2)(g)",IF(AND(P347="Debtor",X347=1,AA347&gt;0),"Past due to you: as a micro or small supplier you can claim interest under MSMED s.16","OK")))))))))))</f>
        <v/>
      </c>
      <c r="P347">
        <f>IF(C347="","",IFERROR(VLOOKUP(C347,'Parties'!$B$13:$Q$112,2,FALSE),"?"))</f>
        <v/>
      </c>
      <c r="Q347">
        <f>IF(D347="","",IFERROR(VLOOKUP(D347,Lists!$A$2:$D$9,3,FALSE),"?"))</f>
        <v/>
      </c>
      <c r="R347">
        <f>IF(D347="","",IFERROR(VLOOKUP(D347,Lists!$A$2:$D$9,4,FALSE),"?"))</f>
        <v/>
      </c>
      <c r="S347">
        <f>IF(P347="Debtor",I347,IF(P347="Creditor",J347,0))</f>
        <v/>
      </c>
      <c r="T347">
        <f>IF(P347="Debtor",J347,IF(P347="Creditor",I347,0))</f>
        <v/>
      </c>
      <c r="U347">
        <f>IF(OR(S347=0,B347=""),0,IFERROR(VLOOKUP(C347,'Parties'!$B$13:$Q$112,13,FALSE),0)+SUMIFS($S$7:$S$506,$C$7:$C$506,C347,$B$7:$B$506,"&lt;"&amp;B347)+SUMIFS(S$7:S347,C$7:C347,C347,B$7:B347,B347))</f>
        <v/>
      </c>
      <c r="V347">
        <f>IF(S347=0,0,IFERROR(VLOOKUP(C347,'Parties'!$B$13:$Q$112,14,FALSE),0)+SUMIFS($T$7:$T$506,$C$7:$C$506,C347,$B$7:$B$506,"&lt;="&amp;'Outstanding'!$E$5))</f>
        <v/>
      </c>
      <c r="W347">
        <f>IF(OR('Outstanding'!$E$5="",S347=0,B347="",B347&gt;'Outstanding'!$E$5),0,MAX(0,MIN(S347,U347-V347)))</f>
        <v/>
      </c>
      <c r="X347">
        <f>IF(C347="",0,IFERROR(VLOOKUP(C347,'Parties'!$B$13:$Q$112,15,FALSE),0))</f>
        <v/>
      </c>
      <c r="Y347">
        <f>IF(C347="","",IFERROR(VLOOKUP(C347,'Parties'!$B$13:$Q$112,16,FALSE),0))</f>
        <v/>
      </c>
      <c r="Z347">
        <f>IF(OR(S347=0,B347="",Y347=""),"",IF(AND(F347&lt;&gt;"",D347="Purchase bill"),F347,B347)+Y347)</f>
        <v/>
      </c>
      <c r="AA347">
        <f>IF(OR(W347=0,Z347=""),0,MAX(0,'Outstanding'!$E$5-Z347))</f>
        <v/>
      </c>
      <c r="AB347">
        <f>IF(AND(X347=1,AA347&gt;0),W347*((1+3*N('Parties'!$E$10)/12)^(AA347*12/365)-1),0)</f>
        <v/>
      </c>
      <c r="AC347">
        <f>IF(W347=0,"",'Outstanding'!$E$5-B347)</f>
        <v/>
      </c>
      <c r="AD347">
        <f>IF(S347=0,0,IFERROR(VLOOKUP(C347,'Parties'!$B$13:$Q$112,14,FALSE),0)+SUMIFS($T$7:$T$506,$C$7:$C$506,C347,$B$7:$B$506,"&lt;="&amp;'Parties'!$E$8))</f>
        <v/>
      </c>
      <c r="AE347">
        <f>IF(OR('Parties'!$E$8="",S347=0,B347="",B347&gt;'Parties'!$E$8),0,MAX(0,MIN(S347,U347-AD347)))</f>
        <v/>
      </c>
      <c r="AF347">
        <f>IF(AND(P347="Creditor",X347=1,AE347&gt;0,Z347&lt;&gt;""),IF(Z347&lt;='Parties'!$E$8,AE347,0),0)</f>
        <v/>
      </c>
      <c r="AG347">
        <f>IF(OR(AE347=0,Z347=""),0,MAX(0,'Parties'!$E$8-Z347))</f>
        <v/>
      </c>
      <c r="AH347">
        <f>IF(AND(P347="Creditor",X347=1,AG347&gt;0),AE347*((1+3*N('Parties'!$E$10)/12)^(AG347*12/365)-1),0)</f>
        <v/>
      </c>
      <c r="AI347">
        <f>IF(AND(C347&lt;&gt;"",C347='Ledger Account'!$D$4,B347&lt;&gt;"",B347&gt;='Ledger Account'!$D$5,B347&lt;='Ledger Account'!$D$6),1,0)</f>
        <v/>
      </c>
      <c r="AJ347">
        <f>IF(AI347=1,SUM(AI$7:AI347),"")</f>
        <v/>
      </c>
      <c r="AK347">
        <f>IF(OR(N347="",N347="OK"),0,1)</f>
        <v/>
      </c>
    </row>
    <row r="348">
      <c r="B348" s="24" t="n"/>
      <c r="C348" s="14" t="n"/>
      <c r="D348" s="14" t="n"/>
      <c r="E348" s="20" t="n"/>
      <c r="F348" s="24" t="n"/>
      <c r="G348" s="14" t="n"/>
      <c r="H348" s="22" t="n"/>
      <c r="I348" s="25">
        <f>IF(Q348="D",N(H348),0)</f>
        <v/>
      </c>
      <c r="J348" s="25">
        <f>IF(Q348="C",N(H348),0)</f>
        <v/>
      </c>
      <c r="K348" s="26">
        <f>IF(Z348="","",Z348)</f>
        <v/>
      </c>
      <c r="L348" s="27">
        <f>W348</f>
        <v/>
      </c>
      <c r="M348" s="28">
        <f>AA348</f>
        <v/>
      </c>
      <c r="N348" s="23">
        <f>IF(AND(B348="",C348="",D348="",N(H348)=0),"",IF(B348="","Enter the date",IF(C348="","Pick the party",IF(P348="?","Add this party on the Parties sheet first",IF(D348="","Pick the entry type",IF(Q348="?","Pick the entry type from the list",IF(N(H348)=0,"Enter the amount",IF(AND(R348&lt;&gt;"Any",R348&lt;&gt;P348),"Sales, receipts and credit notes are for debtors; purchases, payments and debit notes for creditors",IF(AND(F348&lt;&gt;"",D348&lt;&gt;"Purchase bill"),"The received-on date is only for purchase bills",IF(AND(P348="Creditor",X348=1,AA348&gt;0),"Past due to a micro or small supplier: interest runs under MSMED s.16, and if unpaid at year end it is not deductible that year, s.37(2)(g)",IF(AND(P348="Debtor",X348=1,AA348&gt;0),"Past due to you: as a micro or small supplier you can claim interest under MSMED s.16","OK")))))))))))</f>
        <v/>
      </c>
      <c r="P348">
        <f>IF(C348="","",IFERROR(VLOOKUP(C348,'Parties'!$B$13:$Q$112,2,FALSE),"?"))</f>
        <v/>
      </c>
      <c r="Q348">
        <f>IF(D348="","",IFERROR(VLOOKUP(D348,Lists!$A$2:$D$9,3,FALSE),"?"))</f>
        <v/>
      </c>
      <c r="R348">
        <f>IF(D348="","",IFERROR(VLOOKUP(D348,Lists!$A$2:$D$9,4,FALSE),"?"))</f>
        <v/>
      </c>
      <c r="S348">
        <f>IF(P348="Debtor",I348,IF(P348="Creditor",J348,0))</f>
        <v/>
      </c>
      <c r="T348">
        <f>IF(P348="Debtor",J348,IF(P348="Creditor",I348,0))</f>
        <v/>
      </c>
      <c r="U348">
        <f>IF(OR(S348=0,B348=""),0,IFERROR(VLOOKUP(C348,'Parties'!$B$13:$Q$112,13,FALSE),0)+SUMIFS($S$7:$S$506,$C$7:$C$506,C348,$B$7:$B$506,"&lt;"&amp;B348)+SUMIFS(S$7:S348,C$7:C348,C348,B$7:B348,B348))</f>
        <v/>
      </c>
      <c r="V348">
        <f>IF(S348=0,0,IFERROR(VLOOKUP(C348,'Parties'!$B$13:$Q$112,14,FALSE),0)+SUMIFS($T$7:$T$506,$C$7:$C$506,C348,$B$7:$B$506,"&lt;="&amp;'Outstanding'!$E$5))</f>
        <v/>
      </c>
      <c r="W348">
        <f>IF(OR('Outstanding'!$E$5="",S348=0,B348="",B348&gt;'Outstanding'!$E$5),0,MAX(0,MIN(S348,U348-V348)))</f>
        <v/>
      </c>
      <c r="X348">
        <f>IF(C348="",0,IFERROR(VLOOKUP(C348,'Parties'!$B$13:$Q$112,15,FALSE),0))</f>
        <v/>
      </c>
      <c r="Y348">
        <f>IF(C348="","",IFERROR(VLOOKUP(C348,'Parties'!$B$13:$Q$112,16,FALSE),0))</f>
        <v/>
      </c>
      <c r="Z348">
        <f>IF(OR(S348=0,B348="",Y348=""),"",IF(AND(F348&lt;&gt;"",D348="Purchase bill"),F348,B348)+Y348)</f>
        <v/>
      </c>
      <c r="AA348">
        <f>IF(OR(W348=0,Z348=""),0,MAX(0,'Outstanding'!$E$5-Z348))</f>
        <v/>
      </c>
      <c r="AB348">
        <f>IF(AND(X348=1,AA348&gt;0),W348*((1+3*N('Parties'!$E$10)/12)^(AA348*12/365)-1),0)</f>
        <v/>
      </c>
      <c r="AC348">
        <f>IF(W348=0,"",'Outstanding'!$E$5-B348)</f>
        <v/>
      </c>
      <c r="AD348">
        <f>IF(S348=0,0,IFERROR(VLOOKUP(C348,'Parties'!$B$13:$Q$112,14,FALSE),0)+SUMIFS($T$7:$T$506,$C$7:$C$506,C348,$B$7:$B$506,"&lt;="&amp;'Parties'!$E$8))</f>
        <v/>
      </c>
      <c r="AE348">
        <f>IF(OR('Parties'!$E$8="",S348=0,B348="",B348&gt;'Parties'!$E$8),0,MAX(0,MIN(S348,U348-AD348)))</f>
        <v/>
      </c>
      <c r="AF348">
        <f>IF(AND(P348="Creditor",X348=1,AE348&gt;0,Z348&lt;&gt;""),IF(Z348&lt;='Parties'!$E$8,AE348,0),0)</f>
        <v/>
      </c>
      <c r="AG348">
        <f>IF(OR(AE348=0,Z348=""),0,MAX(0,'Parties'!$E$8-Z348))</f>
        <v/>
      </c>
      <c r="AH348">
        <f>IF(AND(P348="Creditor",X348=1,AG348&gt;0),AE348*((1+3*N('Parties'!$E$10)/12)^(AG348*12/365)-1),0)</f>
        <v/>
      </c>
      <c r="AI348">
        <f>IF(AND(C348&lt;&gt;"",C348='Ledger Account'!$D$4,B348&lt;&gt;"",B348&gt;='Ledger Account'!$D$5,B348&lt;='Ledger Account'!$D$6),1,0)</f>
        <v/>
      </c>
      <c r="AJ348">
        <f>IF(AI348=1,SUM(AI$7:AI348),"")</f>
        <v/>
      </c>
      <c r="AK348">
        <f>IF(OR(N348="",N348="OK"),0,1)</f>
        <v/>
      </c>
    </row>
    <row r="349">
      <c r="B349" s="24" t="n"/>
      <c r="C349" s="14" t="n"/>
      <c r="D349" s="14" t="n"/>
      <c r="E349" s="20" t="n"/>
      <c r="F349" s="24" t="n"/>
      <c r="G349" s="14" t="n"/>
      <c r="H349" s="22" t="n"/>
      <c r="I349" s="25">
        <f>IF(Q349="D",N(H349),0)</f>
        <v/>
      </c>
      <c r="J349" s="25">
        <f>IF(Q349="C",N(H349),0)</f>
        <v/>
      </c>
      <c r="K349" s="26">
        <f>IF(Z349="","",Z349)</f>
        <v/>
      </c>
      <c r="L349" s="27">
        <f>W349</f>
        <v/>
      </c>
      <c r="M349" s="28">
        <f>AA349</f>
        <v/>
      </c>
      <c r="N349" s="23">
        <f>IF(AND(B349="",C349="",D349="",N(H349)=0),"",IF(B349="","Enter the date",IF(C349="","Pick the party",IF(P349="?","Add this party on the Parties sheet first",IF(D349="","Pick the entry type",IF(Q349="?","Pick the entry type from the list",IF(N(H349)=0,"Enter the amount",IF(AND(R349&lt;&gt;"Any",R349&lt;&gt;P349),"Sales, receipts and credit notes are for debtors; purchases, payments and debit notes for creditors",IF(AND(F349&lt;&gt;"",D349&lt;&gt;"Purchase bill"),"The received-on date is only for purchase bills",IF(AND(P349="Creditor",X349=1,AA349&gt;0),"Past due to a micro or small supplier: interest runs under MSMED s.16, and if unpaid at year end it is not deductible that year, s.37(2)(g)",IF(AND(P349="Debtor",X349=1,AA349&gt;0),"Past due to you: as a micro or small supplier you can claim interest under MSMED s.16","OK")))))))))))</f>
        <v/>
      </c>
      <c r="P349">
        <f>IF(C349="","",IFERROR(VLOOKUP(C349,'Parties'!$B$13:$Q$112,2,FALSE),"?"))</f>
        <v/>
      </c>
      <c r="Q349">
        <f>IF(D349="","",IFERROR(VLOOKUP(D349,Lists!$A$2:$D$9,3,FALSE),"?"))</f>
        <v/>
      </c>
      <c r="R349">
        <f>IF(D349="","",IFERROR(VLOOKUP(D349,Lists!$A$2:$D$9,4,FALSE),"?"))</f>
        <v/>
      </c>
      <c r="S349">
        <f>IF(P349="Debtor",I349,IF(P349="Creditor",J349,0))</f>
        <v/>
      </c>
      <c r="T349">
        <f>IF(P349="Debtor",J349,IF(P349="Creditor",I349,0))</f>
        <v/>
      </c>
      <c r="U349">
        <f>IF(OR(S349=0,B349=""),0,IFERROR(VLOOKUP(C349,'Parties'!$B$13:$Q$112,13,FALSE),0)+SUMIFS($S$7:$S$506,$C$7:$C$506,C349,$B$7:$B$506,"&lt;"&amp;B349)+SUMIFS(S$7:S349,C$7:C349,C349,B$7:B349,B349))</f>
        <v/>
      </c>
      <c r="V349">
        <f>IF(S349=0,0,IFERROR(VLOOKUP(C349,'Parties'!$B$13:$Q$112,14,FALSE),0)+SUMIFS($T$7:$T$506,$C$7:$C$506,C349,$B$7:$B$506,"&lt;="&amp;'Outstanding'!$E$5))</f>
        <v/>
      </c>
      <c r="W349">
        <f>IF(OR('Outstanding'!$E$5="",S349=0,B349="",B349&gt;'Outstanding'!$E$5),0,MAX(0,MIN(S349,U349-V349)))</f>
        <v/>
      </c>
      <c r="X349">
        <f>IF(C349="",0,IFERROR(VLOOKUP(C349,'Parties'!$B$13:$Q$112,15,FALSE),0))</f>
        <v/>
      </c>
      <c r="Y349">
        <f>IF(C349="","",IFERROR(VLOOKUP(C349,'Parties'!$B$13:$Q$112,16,FALSE),0))</f>
        <v/>
      </c>
      <c r="Z349">
        <f>IF(OR(S349=0,B349="",Y349=""),"",IF(AND(F349&lt;&gt;"",D349="Purchase bill"),F349,B349)+Y349)</f>
        <v/>
      </c>
      <c r="AA349">
        <f>IF(OR(W349=0,Z349=""),0,MAX(0,'Outstanding'!$E$5-Z349))</f>
        <v/>
      </c>
      <c r="AB349">
        <f>IF(AND(X349=1,AA349&gt;0),W349*((1+3*N('Parties'!$E$10)/12)^(AA349*12/365)-1),0)</f>
        <v/>
      </c>
      <c r="AC349">
        <f>IF(W349=0,"",'Outstanding'!$E$5-B349)</f>
        <v/>
      </c>
      <c r="AD349">
        <f>IF(S349=0,0,IFERROR(VLOOKUP(C349,'Parties'!$B$13:$Q$112,14,FALSE),0)+SUMIFS($T$7:$T$506,$C$7:$C$506,C349,$B$7:$B$506,"&lt;="&amp;'Parties'!$E$8))</f>
        <v/>
      </c>
      <c r="AE349">
        <f>IF(OR('Parties'!$E$8="",S349=0,B349="",B349&gt;'Parties'!$E$8),0,MAX(0,MIN(S349,U349-AD349)))</f>
        <v/>
      </c>
      <c r="AF349">
        <f>IF(AND(P349="Creditor",X349=1,AE349&gt;0,Z349&lt;&gt;""),IF(Z349&lt;='Parties'!$E$8,AE349,0),0)</f>
        <v/>
      </c>
      <c r="AG349">
        <f>IF(OR(AE349=0,Z349=""),0,MAX(0,'Parties'!$E$8-Z349))</f>
        <v/>
      </c>
      <c r="AH349">
        <f>IF(AND(P349="Creditor",X349=1,AG349&gt;0),AE349*((1+3*N('Parties'!$E$10)/12)^(AG349*12/365)-1),0)</f>
        <v/>
      </c>
      <c r="AI349">
        <f>IF(AND(C349&lt;&gt;"",C349='Ledger Account'!$D$4,B349&lt;&gt;"",B349&gt;='Ledger Account'!$D$5,B349&lt;='Ledger Account'!$D$6),1,0)</f>
        <v/>
      </c>
      <c r="AJ349">
        <f>IF(AI349=1,SUM(AI$7:AI349),"")</f>
        <v/>
      </c>
      <c r="AK349">
        <f>IF(OR(N349="",N349="OK"),0,1)</f>
        <v/>
      </c>
    </row>
    <row r="350">
      <c r="B350" s="24" t="n"/>
      <c r="C350" s="14" t="n"/>
      <c r="D350" s="14" t="n"/>
      <c r="E350" s="20" t="n"/>
      <c r="F350" s="24" t="n"/>
      <c r="G350" s="14" t="n"/>
      <c r="H350" s="22" t="n"/>
      <c r="I350" s="25">
        <f>IF(Q350="D",N(H350),0)</f>
        <v/>
      </c>
      <c r="J350" s="25">
        <f>IF(Q350="C",N(H350),0)</f>
        <v/>
      </c>
      <c r="K350" s="26">
        <f>IF(Z350="","",Z350)</f>
        <v/>
      </c>
      <c r="L350" s="27">
        <f>W350</f>
        <v/>
      </c>
      <c r="M350" s="28">
        <f>AA350</f>
        <v/>
      </c>
      <c r="N350" s="23">
        <f>IF(AND(B350="",C350="",D350="",N(H350)=0),"",IF(B350="","Enter the date",IF(C350="","Pick the party",IF(P350="?","Add this party on the Parties sheet first",IF(D350="","Pick the entry type",IF(Q350="?","Pick the entry type from the list",IF(N(H350)=0,"Enter the amount",IF(AND(R350&lt;&gt;"Any",R350&lt;&gt;P350),"Sales, receipts and credit notes are for debtors; purchases, payments and debit notes for creditors",IF(AND(F350&lt;&gt;"",D350&lt;&gt;"Purchase bill"),"The received-on date is only for purchase bills",IF(AND(P350="Creditor",X350=1,AA350&gt;0),"Past due to a micro or small supplier: interest runs under MSMED s.16, and if unpaid at year end it is not deductible that year, s.37(2)(g)",IF(AND(P350="Debtor",X350=1,AA350&gt;0),"Past due to you: as a micro or small supplier you can claim interest under MSMED s.16","OK")))))))))))</f>
        <v/>
      </c>
      <c r="P350">
        <f>IF(C350="","",IFERROR(VLOOKUP(C350,'Parties'!$B$13:$Q$112,2,FALSE),"?"))</f>
        <v/>
      </c>
      <c r="Q350">
        <f>IF(D350="","",IFERROR(VLOOKUP(D350,Lists!$A$2:$D$9,3,FALSE),"?"))</f>
        <v/>
      </c>
      <c r="R350">
        <f>IF(D350="","",IFERROR(VLOOKUP(D350,Lists!$A$2:$D$9,4,FALSE),"?"))</f>
        <v/>
      </c>
      <c r="S350">
        <f>IF(P350="Debtor",I350,IF(P350="Creditor",J350,0))</f>
        <v/>
      </c>
      <c r="T350">
        <f>IF(P350="Debtor",J350,IF(P350="Creditor",I350,0))</f>
        <v/>
      </c>
      <c r="U350">
        <f>IF(OR(S350=0,B350=""),0,IFERROR(VLOOKUP(C350,'Parties'!$B$13:$Q$112,13,FALSE),0)+SUMIFS($S$7:$S$506,$C$7:$C$506,C350,$B$7:$B$506,"&lt;"&amp;B350)+SUMIFS(S$7:S350,C$7:C350,C350,B$7:B350,B350))</f>
        <v/>
      </c>
      <c r="V350">
        <f>IF(S350=0,0,IFERROR(VLOOKUP(C350,'Parties'!$B$13:$Q$112,14,FALSE),0)+SUMIFS($T$7:$T$506,$C$7:$C$506,C350,$B$7:$B$506,"&lt;="&amp;'Outstanding'!$E$5))</f>
        <v/>
      </c>
      <c r="W350">
        <f>IF(OR('Outstanding'!$E$5="",S350=0,B350="",B350&gt;'Outstanding'!$E$5),0,MAX(0,MIN(S350,U350-V350)))</f>
        <v/>
      </c>
      <c r="X350">
        <f>IF(C350="",0,IFERROR(VLOOKUP(C350,'Parties'!$B$13:$Q$112,15,FALSE),0))</f>
        <v/>
      </c>
      <c r="Y350">
        <f>IF(C350="","",IFERROR(VLOOKUP(C350,'Parties'!$B$13:$Q$112,16,FALSE),0))</f>
        <v/>
      </c>
      <c r="Z350">
        <f>IF(OR(S350=0,B350="",Y350=""),"",IF(AND(F350&lt;&gt;"",D350="Purchase bill"),F350,B350)+Y350)</f>
        <v/>
      </c>
      <c r="AA350">
        <f>IF(OR(W350=0,Z350=""),0,MAX(0,'Outstanding'!$E$5-Z350))</f>
        <v/>
      </c>
      <c r="AB350">
        <f>IF(AND(X350=1,AA350&gt;0),W350*((1+3*N('Parties'!$E$10)/12)^(AA350*12/365)-1),0)</f>
        <v/>
      </c>
      <c r="AC350">
        <f>IF(W350=0,"",'Outstanding'!$E$5-B350)</f>
        <v/>
      </c>
      <c r="AD350">
        <f>IF(S350=0,0,IFERROR(VLOOKUP(C350,'Parties'!$B$13:$Q$112,14,FALSE),0)+SUMIFS($T$7:$T$506,$C$7:$C$506,C350,$B$7:$B$506,"&lt;="&amp;'Parties'!$E$8))</f>
        <v/>
      </c>
      <c r="AE350">
        <f>IF(OR('Parties'!$E$8="",S350=0,B350="",B350&gt;'Parties'!$E$8),0,MAX(0,MIN(S350,U350-AD350)))</f>
        <v/>
      </c>
      <c r="AF350">
        <f>IF(AND(P350="Creditor",X350=1,AE350&gt;0,Z350&lt;&gt;""),IF(Z350&lt;='Parties'!$E$8,AE350,0),0)</f>
        <v/>
      </c>
      <c r="AG350">
        <f>IF(OR(AE350=0,Z350=""),0,MAX(0,'Parties'!$E$8-Z350))</f>
        <v/>
      </c>
      <c r="AH350">
        <f>IF(AND(P350="Creditor",X350=1,AG350&gt;0),AE350*((1+3*N('Parties'!$E$10)/12)^(AG350*12/365)-1),0)</f>
        <v/>
      </c>
      <c r="AI350">
        <f>IF(AND(C350&lt;&gt;"",C350='Ledger Account'!$D$4,B350&lt;&gt;"",B350&gt;='Ledger Account'!$D$5,B350&lt;='Ledger Account'!$D$6),1,0)</f>
        <v/>
      </c>
      <c r="AJ350">
        <f>IF(AI350=1,SUM(AI$7:AI350),"")</f>
        <v/>
      </c>
      <c r="AK350">
        <f>IF(OR(N350="",N350="OK"),0,1)</f>
        <v/>
      </c>
    </row>
    <row r="351">
      <c r="B351" s="24" t="n"/>
      <c r="C351" s="14" t="n"/>
      <c r="D351" s="14" t="n"/>
      <c r="E351" s="20" t="n"/>
      <c r="F351" s="24" t="n"/>
      <c r="G351" s="14" t="n"/>
      <c r="H351" s="22" t="n"/>
      <c r="I351" s="25">
        <f>IF(Q351="D",N(H351),0)</f>
        <v/>
      </c>
      <c r="J351" s="25">
        <f>IF(Q351="C",N(H351),0)</f>
        <v/>
      </c>
      <c r="K351" s="26">
        <f>IF(Z351="","",Z351)</f>
        <v/>
      </c>
      <c r="L351" s="27">
        <f>W351</f>
        <v/>
      </c>
      <c r="M351" s="28">
        <f>AA351</f>
        <v/>
      </c>
      <c r="N351" s="23">
        <f>IF(AND(B351="",C351="",D351="",N(H351)=0),"",IF(B351="","Enter the date",IF(C351="","Pick the party",IF(P351="?","Add this party on the Parties sheet first",IF(D351="","Pick the entry type",IF(Q351="?","Pick the entry type from the list",IF(N(H351)=0,"Enter the amount",IF(AND(R351&lt;&gt;"Any",R351&lt;&gt;P351),"Sales, receipts and credit notes are for debtors; purchases, payments and debit notes for creditors",IF(AND(F351&lt;&gt;"",D351&lt;&gt;"Purchase bill"),"The received-on date is only for purchase bills",IF(AND(P351="Creditor",X351=1,AA351&gt;0),"Past due to a micro or small supplier: interest runs under MSMED s.16, and if unpaid at year end it is not deductible that year, s.37(2)(g)",IF(AND(P351="Debtor",X351=1,AA351&gt;0),"Past due to you: as a micro or small supplier you can claim interest under MSMED s.16","OK")))))))))))</f>
        <v/>
      </c>
      <c r="P351">
        <f>IF(C351="","",IFERROR(VLOOKUP(C351,'Parties'!$B$13:$Q$112,2,FALSE),"?"))</f>
        <v/>
      </c>
      <c r="Q351">
        <f>IF(D351="","",IFERROR(VLOOKUP(D351,Lists!$A$2:$D$9,3,FALSE),"?"))</f>
        <v/>
      </c>
      <c r="R351">
        <f>IF(D351="","",IFERROR(VLOOKUP(D351,Lists!$A$2:$D$9,4,FALSE),"?"))</f>
        <v/>
      </c>
      <c r="S351">
        <f>IF(P351="Debtor",I351,IF(P351="Creditor",J351,0))</f>
        <v/>
      </c>
      <c r="T351">
        <f>IF(P351="Debtor",J351,IF(P351="Creditor",I351,0))</f>
        <v/>
      </c>
      <c r="U351">
        <f>IF(OR(S351=0,B351=""),0,IFERROR(VLOOKUP(C351,'Parties'!$B$13:$Q$112,13,FALSE),0)+SUMIFS($S$7:$S$506,$C$7:$C$506,C351,$B$7:$B$506,"&lt;"&amp;B351)+SUMIFS(S$7:S351,C$7:C351,C351,B$7:B351,B351))</f>
        <v/>
      </c>
      <c r="V351">
        <f>IF(S351=0,0,IFERROR(VLOOKUP(C351,'Parties'!$B$13:$Q$112,14,FALSE),0)+SUMIFS($T$7:$T$506,$C$7:$C$506,C351,$B$7:$B$506,"&lt;="&amp;'Outstanding'!$E$5))</f>
        <v/>
      </c>
      <c r="W351">
        <f>IF(OR('Outstanding'!$E$5="",S351=0,B351="",B351&gt;'Outstanding'!$E$5),0,MAX(0,MIN(S351,U351-V351)))</f>
        <v/>
      </c>
      <c r="X351">
        <f>IF(C351="",0,IFERROR(VLOOKUP(C351,'Parties'!$B$13:$Q$112,15,FALSE),0))</f>
        <v/>
      </c>
      <c r="Y351">
        <f>IF(C351="","",IFERROR(VLOOKUP(C351,'Parties'!$B$13:$Q$112,16,FALSE),0))</f>
        <v/>
      </c>
      <c r="Z351">
        <f>IF(OR(S351=0,B351="",Y351=""),"",IF(AND(F351&lt;&gt;"",D351="Purchase bill"),F351,B351)+Y351)</f>
        <v/>
      </c>
      <c r="AA351">
        <f>IF(OR(W351=0,Z351=""),0,MAX(0,'Outstanding'!$E$5-Z351))</f>
        <v/>
      </c>
      <c r="AB351">
        <f>IF(AND(X351=1,AA351&gt;0),W351*((1+3*N('Parties'!$E$10)/12)^(AA351*12/365)-1),0)</f>
        <v/>
      </c>
      <c r="AC351">
        <f>IF(W351=0,"",'Outstanding'!$E$5-B351)</f>
        <v/>
      </c>
      <c r="AD351">
        <f>IF(S351=0,0,IFERROR(VLOOKUP(C351,'Parties'!$B$13:$Q$112,14,FALSE),0)+SUMIFS($T$7:$T$506,$C$7:$C$506,C351,$B$7:$B$506,"&lt;="&amp;'Parties'!$E$8))</f>
        <v/>
      </c>
      <c r="AE351">
        <f>IF(OR('Parties'!$E$8="",S351=0,B351="",B351&gt;'Parties'!$E$8),0,MAX(0,MIN(S351,U351-AD351)))</f>
        <v/>
      </c>
      <c r="AF351">
        <f>IF(AND(P351="Creditor",X351=1,AE351&gt;0,Z351&lt;&gt;""),IF(Z351&lt;='Parties'!$E$8,AE351,0),0)</f>
        <v/>
      </c>
      <c r="AG351">
        <f>IF(OR(AE351=0,Z351=""),0,MAX(0,'Parties'!$E$8-Z351))</f>
        <v/>
      </c>
      <c r="AH351">
        <f>IF(AND(P351="Creditor",X351=1,AG351&gt;0),AE351*((1+3*N('Parties'!$E$10)/12)^(AG351*12/365)-1),0)</f>
        <v/>
      </c>
      <c r="AI351">
        <f>IF(AND(C351&lt;&gt;"",C351='Ledger Account'!$D$4,B351&lt;&gt;"",B351&gt;='Ledger Account'!$D$5,B351&lt;='Ledger Account'!$D$6),1,0)</f>
        <v/>
      </c>
      <c r="AJ351">
        <f>IF(AI351=1,SUM(AI$7:AI351),"")</f>
        <v/>
      </c>
      <c r="AK351">
        <f>IF(OR(N351="",N351="OK"),0,1)</f>
        <v/>
      </c>
    </row>
    <row r="352">
      <c r="B352" s="24" t="n"/>
      <c r="C352" s="14" t="n"/>
      <c r="D352" s="14" t="n"/>
      <c r="E352" s="20" t="n"/>
      <c r="F352" s="24" t="n"/>
      <c r="G352" s="14" t="n"/>
      <c r="H352" s="22" t="n"/>
      <c r="I352" s="25">
        <f>IF(Q352="D",N(H352),0)</f>
        <v/>
      </c>
      <c r="J352" s="25">
        <f>IF(Q352="C",N(H352),0)</f>
        <v/>
      </c>
      <c r="K352" s="26">
        <f>IF(Z352="","",Z352)</f>
        <v/>
      </c>
      <c r="L352" s="27">
        <f>W352</f>
        <v/>
      </c>
      <c r="M352" s="28">
        <f>AA352</f>
        <v/>
      </c>
      <c r="N352" s="23">
        <f>IF(AND(B352="",C352="",D352="",N(H352)=0),"",IF(B352="","Enter the date",IF(C352="","Pick the party",IF(P352="?","Add this party on the Parties sheet first",IF(D352="","Pick the entry type",IF(Q352="?","Pick the entry type from the list",IF(N(H352)=0,"Enter the amount",IF(AND(R352&lt;&gt;"Any",R352&lt;&gt;P352),"Sales, receipts and credit notes are for debtors; purchases, payments and debit notes for creditors",IF(AND(F352&lt;&gt;"",D352&lt;&gt;"Purchase bill"),"The received-on date is only for purchase bills",IF(AND(P352="Creditor",X352=1,AA352&gt;0),"Past due to a micro or small supplier: interest runs under MSMED s.16, and if unpaid at year end it is not deductible that year, s.37(2)(g)",IF(AND(P352="Debtor",X352=1,AA352&gt;0),"Past due to you: as a micro or small supplier you can claim interest under MSMED s.16","OK")))))))))))</f>
        <v/>
      </c>
      <c r="P352">
        <f>IF(C352="","",IFERROR(VLOOKUP(C352,'Parties'!$B$13:$Q$112,2,FALSE),"?"))</f>
        <v/>
      </c>
      <c r="Q352">
        <f>IF(D352="","",IFERROR(VLOOKUP(D352,Lists!$A$2:$D$9,3,FALSE),"?"))</f>
        <v/>
      </c>
      <c r="R352">
        <f>IF(D352="","",IFERROR(VLOOKUP(D352,Lists!$A$2:$D$9,4,FALSE),"?"))</f>
        <v/>
      </c>
      <c r="S352">
        <f>IF(P352="Debtor",I352,IF(P352="Creditor",J352,0))</f>
        <v/>
      </c>
      <c r="T352">
        <f>IF(P352="Debtor",J352,IF(P352="Creditor",I352,0))</f>
        <v/>
      </c>
      <c r="U352">
        <f>IF(OR(S352=0,B352=""),0,IFERROR(VLOOKUP(C352,'Parties'!$B$13:$Q$112,13,FALSE),0)+SUMIFS($S$7:$S$506,$C$7:$C$506,C352,$B$7:$B$506,"&lt;"&amp;B352)+SUMIFS(S$7:S352,C$7:C352,C352,B$7:B352,B352))</f>
        <v/>
      </c>
      <c r="V352">
        <f>IF(S352=0,0,IFERROR(VLOOKUP(C352,'Parties'!$B$13:$Q$112,14,FALSE),0)+SUMIFS($T$7:$T$506,$C$7:$C$506,C352,$B$7:$B$506,"&lt;="&amp;'Outstanding'!$E$5))</f>
        <v/>
      </c>
      <c r="W352">
        <f>IF(OR('Outstanding'!$E$5="",S352=0,B352="",B352&gt;'Outstanding'!$E$5),0,MAX(0,MIN(S352,U352-V352)))</f>
        <v/>
      </c>
      <c r="X352">
        <f>IF(C352="",0,IFERROR(VLOOKUP(C352,'Parties'!$B$13:$Q$112,15,FALSE),0))</f>
        <v/>
      </c>
      <c r="Y352">
        <f>IF(C352="","",IFERROR(VLOOKUP(C352,'Parties'!$B$13:$Q$112,16,FALSE),0))</f>
        <v/>
      </c>
      <c r="Z352">
        <f>IF(OR(S352=0,B352="",Y352=""),"",IF(AND(F352&lt;&gt;"",D352="Purchase bill"),F352,B352)+Y352)</f>
        <v/>
      </c>
      <c r="AA352">
        <f>IF(OR(W352=0,Z352=""),0,MAX(0,'Outstanding'!$E$5-Z352))</f>
        <v/>
      </c>
      <c r="AB352">
        <f>IF(AND(X352=1,AA352&gt;0),W352*((1+3*N('Parties'!$E$10)/12)^(AA352*12/365)-1),0)</f>
        <v/>
      </c>
      <c r="AC352">
        <f>IF(W352=0,"",'Outstanding'!$E$5-B352)</f>
        <v/>
      </c>
      <c r="AD352">
        <f>IF(S352=0,0,IFERROR(VLOOKUP(C352,'Parties'!$B$13:$Q$112,14,FALSE),0)+SUMIFS($T$7:$T$506,$C$7:$C$506,C352,$B$7:$B$506,"&lt;="&amp;'Parties'!$E$8))</f>
        <v/>
      </c>
      <c r="AE352">
        <f>IF(OR('Parties'!$E$8="",S352=0,B352="",B352&gt;'Parties'!$E$8),0,MAX(0,MIN(S352,U352-AD352)))</f>
        <v/>
      </c>
      <c r="AF352">
        <f>IF(AND(P352="Creditor",X352=1,AE352&gt;0,Z352&lt;&gt;""),IF(Z352&lt;='Parties'!$E$8,AE352,0),0)</f>
        <v/>
      </c>
      <c r="AG352">
        <f>IF(OR(AE352=0,Z352=""),0,MAX(0,'Parties'!$E$8-Z352))</f>
        <v/>
      </c>
      <c r="AH352">
        <f>IF(AND(P352="Creditor",X352=1,AG352&gt;0),AE352*((1+3*N('Parties'!$E$10)/12)^(AG352*12/365)-1),0)</f>
        <v/>
      </c>
      <c r="AI352">
        <f>IF(AND(C352&lt;&gt;"",C352='Ledger Account'!$D$4,B352&lt;&gt;"",B352&gt;='Ledger Account'!$D$5,B352&lt;='Ledger Account'!$D$6),1,0)</f>
        <v/>
      </c>
      <c r="AJ352">
        <f>IF(AI352=1,SUM(AI$7:AI352),"")</f>
        <v/>
      </c>
      <c r="AK352">
        <f>IF(OR(N352="",N352="OK"),0,1)</f>
        <v/>
      </c>
    </row>
    <row r="353">
      <c r="B353" s="24" t="n"/>
      <c r="C353" s="14" t="n"/>
      <c r="D353" s="14" t="n"/>
      <c r="E353" s="20" t="n"/>
      <c r="F353" s="24" t="n"/>
      <c r="G353" s="14" t="n"/>
      <c r="H353" s="22" t="n"/>
      <c r="I353" s="25">
        <f>IF(Q353="D",N(H353),0)</f>
        <v/>
      </c>
      <c r="J353" s="25">
        <f>IF(Q353="C",N(H353),0)</f>
        <v/>
      </c>
      <c r="K353" s="26">
        <f>IF(Z353="","",Z353)</f>
        <v/>
      </c>
      <c r="L353" s="27">
        <f>W353</f>
        <v/>
      </c>
      <c r="M353" s="28">
        <f>AA353</f>
        <v/>
      </c>
      <c r="N353" s="23">
        <f>IF(AND(B353="",C353="",D353="",N(H353)=0),"",IF(B353="","Enter the date",IF(C353="","Pick the party",IF(P353="?","Add this party on the Parties sheet first",IF(D353="","Pick the entry type",IF(Q353="?","Pick the entry type from the list",IF(N(H353)=0,"Enter the amount",IF(AND(R353&lt;&gt;"Any",R353&lt;&gt;P353),"Sales, receipts and credit notes are for debtors; purchases, payments and debit notes for creditors",IF(AND(F353&lt;&gt;"",D353&lt;&gt;"Purchase bill"),"The received-on date is only for purchase bills",IF(AND(P353="Creditor",X353=1,AA353&gt;0),"Past due to a micro or small supplier: interest runs under MSMED s.16, and if unpaid at year end it is not deductible that year, s.37(2)(g)",IF(AND(P353="Debtor",X353=1,AA353&gt;0),"Past due to you: as a micro or small supplier you can claim interest under MSMED s.16","OK")))))))))))</f>
        <v/>
      </c>
      <c r="P353">
        <f>IF(C353="","",IFERROR(VLOOKUP(C353,'Parties'!$B$13:$Q$112,2,FALSE),"?"))</f>
        <v/>
      </c>
      <c r="Q353">
        <f>IF(D353="","",IFERROR(VLOOKUP(D353,Lists!$A$2:$D$9,3,FALSE),"?"))</f>
        <v/>
      </c>
      <c r="R353">
        <f>IF(D353="","",IFERROR(VLOOKUP(D353,Lists!$A$2:$D$9,4,FALSE),"?"))</f>
        <v/>
      </c>
      <c r="S353">
        <f>IF(P353="Debtor",I353,IF(P353="Creditor",J353,0))</f>
        <v/>
      </c>
      <c r="T353">
        <f>IF(P353="Debtor",J353,IF(P353="Creditor",I353,0))</f>
        <v/>
      </c>
      <c r="U353">
        <f>IF(OR(S353=0,B353=""),0,IFERROR(VLOOKUP(C353,'Parties'!$B$13:$Q$112,13,FALSE),0)+SUMIFS($S$7:$S$506,$C$7:$C$506,C353,$B$7:$B$506,"&lt;"&amp;B353)+SUMIFS(S$7:S353,C$7:C353,C353,B$7:B353,B353))</f>
        <v/>
      </c>
      <c r="V353">
        <f>IF(S353=0,0,IFERROR(VLOOKUP(C353,'Parties'!$B$13:$Q$112,14,FALSE),0)+SUMIFS($T$7:$T$506,$C$7:$C$506,C353,$B$7:$B$506,"&lt;="&amp;'Outstanding'!$E$5))</f>
        <v/>
      </c>
      <c r="W353">
        <f>IF(OR('Outstanding'!$E$5="",S353=0,B353="",B353&gt;'Outstanding'!$E$5),0,MAX(0,MIN(S353,U353-V353)))</f>
        <v/>
      </c>
      <c r="X353">
        <f>IF(C353="",0,IFERROR(VLOOKUP(C353,'Parties'!$B$13:$Q$112,15,FALSE),0))</f>
        <v/>
      </c>
      <c r="Y353">
        <f>IF(C353="","",IFERROR(VLOOKUP(C353,'Parties'!$B$13:$Q$112,16,FALSE),0))</f>
        <v/>
      </c>
      <c r="Z353">
        <f>IF(OR(S353=0,B353="",Y353=""),"",IF(AND(F353&lt;&gt;"",D353="Purchase bill"),F353,B353)+Y353)</f>
        <v/>
      </c>
      <c r="AA353">
        <f>IF(OR(W353=0,Z353=""),0,MAX(0,'Outstanding'!$E$5-Z353))</f>
        <v/>
      </c>
      <c r="AB353">
        <f>IF(AND(X353=1,AA353&gt;0),W353*((1+3*N('Parties'!$E$10)/12)^(AA353*12/365)-1),0)</f>
        <v/>
      </c>
      <c r="AC353">
        <f>IF(W353=0,"",'Outstanding'!$E$5-B353)</f>
        <v/>
      </c>
      <c r="AD353">
        <f>IF(S353=0,0,IFERROR(VLOOKUP(C353,'Parties'!$B$13:$Q$112,14,FALSE),0)+SUMIFS($T$7:$T$506,$C$7:$C$506,C353,$B$7:$B$506,"&lt;="&amp;'Parties'!$E$8))</f>
        <v/>
      </c>
      <c r="AE353">
        <f>IF(OR('Parties'!$E$8="",S353=0,B353="",B353&gt;'Parties'!$E$8),0,MAX(0,MIN(S353,U353-AD353)))</f>
        <v/>
      </c>
      <c r="AF353">
        <f>IF(AND(P353="Creditor",X353=1,AE353&gt;0,Z353&lt;&gt;""),IF(Z353&lt;='Parties'!$E$8,AE353,0),0)</f>
        <v/>
      </c>
      <c r="AG353">
        <f>IF(OR(AE353=0,Z353=""),0,MAX(0,'Parties'!$E$8-Z353))</f>
        <v/>
      </c>
      <c r="AH353">
        <f>IF(AND(P353="Creditor",X353=1,AG353&gt;0),AE353*((1+3*N('Parties'!$E$10)/12)^(AG353*12/365)-1),0)</f>
        <v/>
      </c>
      <c r="AI353">
        <f>IF(AND(C353&lt;&gt;"",C353='Ledger Account'!$D$4,B353&lt;&gt;"",B353&gt;='Ledger Account'!$D$5,B353&lt;='Ledger Account'!$D$6),1,0)</f>
        <v/>
      </c>
      <c r="AJ353">
        <f>IF(AI353=1,SUM(AI$7:AI353),"")</f>
        <v/>
      </c>
      <c r="AK353">
        <f>IF(OR(N353="",N353="OK"),0,1)</f>
        <v/>
      </c>
    </row>
    <row r="354">
      <c r="B354" s="24" t="n"/>
      <c r="C354" s="14" t="n"/>
      <c r="D354" s="14" t="n"/>
      <c r="E354" s="20" t="n"/>
      <c r="F354" s="24" t="n"/>
      <c r="G354" s="14" t="n"/>
      <c r="H354" s="22" t="n"/>
      <c r="I354" s="25">
        <f>IF(Q354="D",N(H354),0)</f>
        <v/>
      </c>
      <c r="J354" s="25">
        <f>IF(Q354="C",N(H354),0)</f>
        <v/>
      </c>
      <c r="K354" s="26">
        <f>IF(Z354="","",Z354)</f>
        <v/>
      </c>
      <c r="L354" s="27">
        <f>W354</f>
        <v/>
      </c>
      <c r="M354" s="28">
        <f>AA354</f>
        <v/>
      </c>
      <c r="N354" s="23">
        <f>IF(AND(B354="",C354="",D354="",N(H354)=0),"",IF(B354="","Enter the date",IF(C354="","Pick the party",IF(P354="?","Add this party on the Parties sheet first",IF(D354="","Pick the entry type",IF(Q354="?","Pick the entry type from the list",IF(N(H354)=0,"Enter the amount",IF(AND(R354&lt;&gt;"Any",R354&lt;&gt;P354),"Sales, receipts and credit notes are for debtors; purchases, payments and debit notes for creditors",IF(AND(F354&lt;&gt;"",D354&lt;&gt;"Purchase bill"),"The received-on date is only for purchase bills",IF(AND(P354="Creditor",X354=1,AA354&gt;0),"Past due to a micro or small supplier: interest runs under MSMED s.16, and if unpaid at year end it is not deductible that year, s.37(2)(g)",IF(AND(P354="Debtor",X354=1,AA354&gt;0),"Past due to you: as a micro or small supplier you can claim interest under MSMED s.16","OK")))))))))))</f>
        <v/>
      </c>
      <c r="P354">
        <f>IF(C354="","",IFERROR(VLOOKUP(C354,'Parties'!$B$13:$Q$112,2,FALSE),"?"))</f>
        <v/>
      </c>
      <c r="Q354">
        <f>IF(D354="","",IFERROR(VLOOKUP(D354,Lists!$A$2:$D$9,3,FALSE),"?"))</f>
        <v/>
      </c>
      <c r="R354">
        <f>IF(D354="","",IFERROR(VLOOKUP(D354,Lists!$A$2:$D$9,4,FALSE),"?"))</f>
        <v/>
      </c>
      <c r="S354">
        <f>IF(P354="Debtor",I354,IF(P354="Creditor",J354,0))</f>
        <v/>
      </c>
      <c r="T354">
        <f>IF(P354="Debtor",J354,IF(P354="Creditor",I354,0))</f>
        <v/>
      </c>
      <c r="U354">
        <f>IF(OR(S354=0,B354=""),0,IFERROR(VLOOKUP(C354,'Parties'!$B$13:$Q$112,13,FALSE),0)+SUMIFS($S$7:$S$506,$C$7:$C$506,C354,$B$7:$B$506,"&lt;"&amp;B354)+SUMIFS(S$7:S354,C$7:C354,C354,B$7:B354,B354))</f>
        <v/>
      </c>
      <c r="V354">
        <f>IF(S354=0,0,IFERROR(VLOOKUP(C354,'Parties'!$B$13:$Q$112,14,FALSE),0)+SUMIFS($T$7:$T$506,$C$7:$C$506,C354,$B$7:$B$506,"&lt;="&amp;'Outstanding'!$E$5))</f>
        <v/>
      </c>
      <c r="W354">
        <f>IF(OR('Outstanding'!$E$5="",S354=0,B354="",B354&gt;'Outstanding'!$E$5),0,MAX(0,MIN(S354,U354-V354)))</f>
        <v/>
      </c>
      <c r="X354">
        <f>IF(C354="",0,IFERROR(VLOOKUP(C354,'Parties'!$B$13:$Q$112,15,FALSE),0))</f>
        <v/>
      </c>
      <c r="Y354">
        <f>IF(C354="","",IFERROR(VLOOKUP(C354,'Parties'!$B$13:$Q$112,16,FALSE),0))</f>
        <v/>
      </c>
      <c r="Z354">
        <f>IF(OR(S354=0,B354="",Y354=""),"",IF(AND(F354&lt;&gt;"",D354="Purchase bill"),F354,B354)+Y354)</f>
        <v/>
      </c>
      <c r="AA354">
        <f>IF(OR(W354=0,Z354=""),0,MAX(0,'Outstanding'!$E$5-Z354))</f>
        <v/>
      </c>
      <c r="AB354">
        <f>IF(AND(X354=1,AA354&gt;0),W354*((1+3*N('Parties'!$E$10)/12)^(AA354*12/365)-1),0)</f>
        <v/>
      </c>
      <c r="AC354">
        <f>IF(W354=0,"",'Outstanding'!$E$5-B354)</f>
        <v/>
      </c>
      <c r="AD354">
        <f>IF(S354=0,0,IFERROR(VLOOKUP(C354,'Parties'!$B$13:$Q$112,14,FALSE),0)+SUMIFS($T$7:$T$506,$C$7:$C$506,C354,$B$7:$B$506,"&lt;="&amp;'Parties'!$E$8))</f>
        <v/>
      </c>
      <c r="AE354">
        <f>IF(OR('Parties'!$E$8="",S354=0,B354="",B354&gt;'Parties'!$E$8),0,MAX(0,MIN(S354,U354-AD354)))</f>
        <v/>
      </c>
      <c r="AF354">
        <f>IF(AND(P354="Creditor",X354=1,AE354&gt;0,Z354&lt;&gt;""),IF(Z354&lt;='Parties'!$E$8,AE354,0),0)</f>
        <v/>
      </c>
      <c r="AG354">
        <f>IF(OR(AE354=0,Z354=""),0,MAX(0,'Parties'!$E$8-Z354))</f>
        <v/>
      </c>
      <c r="AH354">
        <f>IF(AND(P354="Creditor",X354=1,AG354&gt;0),AE354*((1+3*N('Parties'!$E$10)/12)^(AG354*12/365)-1),0)</f>
        <v/>
      </c>
      <c r="AI354">
        <f>IF(AND(C354&lt;&gt;"",C354='Ledger Account'!$D$4,B354&lt;&gt;"",B354&gt;='Ledger Account'!$D$5,B354&lt;='Ledger Account'!$D$6),1,0)</f>
        <v/>
      </c>
      <c r="AJ354">
        <f>IF(AI354=1,SUM(AI$7:AI354),"")</f>
        <v/>
      </c>
      <c r="AK354">
        <f>IF(OR(N354="",N354="OK"),0,1)</f>
        <v/>
      </c>
    </row>
    <row r="355">
      <c r="B355" s="24" t="n"/>
      <c r="C355" s="14" t="n"/>
      <c r="D355" s="14" t="n"/>
      <c r="E355" s="20" t="n"/>
      <c r="F355" s="24" t="n"/>
      <c r="G355" s="14" t="n"/>
      <c r="H355" s="22" t="n"/>
      <c r="I355" s="25">
        <f>IF(Q355="D",N(H355),0)</f>
        <v/>
      </c>
      <c r="J355" s="25">
        <f>IF(Q355="C",N(H355),0)</f>
        <v/>
      </c>
      <c r="K355" s="26">
        <f>IF(Z355="","",Z355)</f>
        <v/>
      </c>
      <c r="L355" s="27">
        <f>W355</f>
        <v/>
      </c>
      <c r="M355" s="28">
        <f>AA355</f>
        <v/>
      </c>
      <c r="N355" s="23">
        <f>IF(AND(B355="",C355="",D355="",N(H355)=0),"",IF(B355="","Enter the date",IF(C355="","Pick the party",IF(P355="?","Add this party on the Parties sheet first",IF(D355="","Pick the entry type",IF(Q355="?","Pick the entry type from the list",IF(N(H355)=0,"Enter the amount",IF(AND(R355&lt;&gt;"Any",R355&lt;&gt;P355),"Sales, receipts and credit notes are for debtors; purchases, payments and debit notes for creditors",IF(AND(F355&lt;&gt;"",D355&lt;&gt;"Purchase bill"),"The received-on date is only for purchase bills",IF(AND(P355="Creditor",X355=1,AA355&gt;0),"Past due to a micro or small supplier: interest runs under MSMED s.16, and if unpaid at year end it is not deductible that year, s.37(2)(g)",IF(AND(P355="Debtor",X355=1,AA355&gt;0),"Past due to you: as a micro or small supplier you can claim interest under MSMED s.16","OK")))))))))))</f>
        <v/>
      </c>
      <c r="P355">
        <f>IF(C355="","",IFERROR(VLOOKUP(C355,'Parties'!$B$13:$Q$112,2,FALSE),"?"))</f>
        <v/>
      </c>
      <c r="Q355">
        <f>IF(D355="","",IFERROR(VLOOKUP(D355,Lists!$A$2:$D$9,3,FALSE),"?"))</f>
        <v/>
      </c>
      <c r="R355">
        <f>IF(D355="","",IFERROR(VLOOKUP(D355,Lists!$A$2:$D$9,4,FALSE),"?"))</f>
        <v/>
      </c>
      <c r="S355">
        <f>IF(P355="Debtor",I355,IF(P355="Creditor",J355,0))</f>
        <v/>
      </c>
      <c r="T355">
        <f>IF(P355="Debtor",J355,IF(P355="Creditor",I355,0))</f>
        <v/>
      </c>
      <c r="U355">
        <f>IF(OR(S355=0,B355=""),0,IFERROR(VLOOKUP(C355,'Parties'!$B$13:$Q$112,13,FALSE),0)+SUMIFS($S$7:$S$506,$C$7:$C$506,C355,$B$7:$B$506,"&lt;"&amp;B355)+SUMIFS(S$7:S355,C$7:C355,C355,B$7:B355,B355))</f>
        <v/>
      </c>
      <c r="V355">
        <f>IF(S355=0,0,IFERROR(VLOOKUP(C355,'Parties'!$B$13:$Q$112,14,FALSE),0)+SUMIFS($T$7:$T$506,$C$7:$C$506,C355,$B$7:$B$506,"&lt;="&amp;'Outstanding'!$E$5))</f>
        <v/>
      </c>
      <c r="W355">
        <f>IF(OR('Outstanding'!$E$5="",S355=0,B355="",B355&gt;'Outstanding'!$E$5),0,MAX(0,MIN(S355,U355-V355)))</f>
        <v/>
      </c>
      <c r="X355">
        <f>IF(C355="",0,IFERROR(VLOOKUP(C355,'Parties'!$B$13:$Q$112,15,FALSE),0))</f>
        <v/>
      </c>
      <c r="Y355">
        <f>IF(C355="","",IFERROR(VLOOKUP(C355,'Parties'!$B$13:$Q$112,16,FALSE),0))</f>
        <v/>
      </c>
      <c r="Z355">
        <f>IF(OR(S355=0,B355="",Y355=""),"",IF(AND(F355&lt;&gt;"",D355="Purchase bill"),F355,B355)+Y355)</f>
        <v/>
      </c>
      <c r="AA355">
        <f>IF(OR(W355=0,Z355=""),0,MAX(0,'Outstanding'!$E$5-Z355))</f>
        <v/>
      </c>
      <c r="AB355">
        <f>IF(AND(X355=1,AA355&gt;0),W355*((1+3*N('Parties'!$E$10)/12)^(AA355*12/365)-1),0)</f>
        <v/>
      </c>
      <c r="AC355">
        <f>IF(W355=0,"",'Outstanding'!$E$5-B355)</f>
        <v/>
      </c>
      <c r="AD355">
        <f>IF(S355=0,0,IFERROR(VLOOKUP(C355,'Parties'!$B$13:$Q$112,14,FALSE),0)+SUMIFS($T$7:$T$506,$C$7:$C$506,C355,$B$7:$B$506,"&lt;="&amp;'Parties'!$E$8))</f>
        <v/>
      </c>
      <c r="AE355">
        <f>IF(OR('Parties'!$E$8="",S355=0,B355="",B355&gt;'Parties'!$E$8),0,MAX(0,MIN(S355,U355-AD355)))</f>
        <v/>
      </c>
      <c r="AF355">
        <f>IF(AND(P355="Creditor",X355=1,AE355&gt;0,Z355&lt;&gt;""),IF(Z355&lt;='Parties'!$E$8,AE355,0),0)</f>
        <v/>
      </c>
      <c r="AG355">
        <f>IF(OR(AE355=0,Z355=""),0,MAX(0,'Parties'!$E$8-Z355))</f>
        <v/>
      </c>
      <c r="AH355">
        <f>IF(AND(P355="Creditor",X355=1,AG355&gt;0),AE355*((1+3*N('Parties'!$E$10)/12)^(AG355*12/365)-1),0)</f>
        <v/>
      </c>
      <c r="AI355">
        <f>IF(AND(C355&lt;&gt;"",C355='Ledger Account'!$D$4,B355&lt;&gt;"",B355&gt;='Ledger Account'!$D$5,B355&lt;='Ledger Account'!$D$6),1,0)</f>
        <v/>
      </c>
      <c r="AJ355">
        <f>IF(AI355=1,SUM(AI$7:AI355),"")</f>
        <v/>
      </c>
      <c r="AK355">
        <f>IF(OR(N355="",N355="OK"),0,1)</f>
        <v/>
      </c>
    </row>
    <row r="356">
      <c r="B356" s="24" t="n"/>
      <c r="C356" s="14" t="n"/>
      <c r="D356" s="14" t="n"/>
      <c r="E356" s="20" t="n"/>
      <c r="F356" s="24" t="n"/>
      <c r="G356" s="14" t="n"/>
      <c r="H356" s="22" t="n"/>
      <c r="I356" s="25">
        <f>IF(Q356="D",N(H356),0)</f>
        <v/>
      </c>
      <c r="J356" s="25">
        <f>IF(Q356="C",N(H356),0)</f>
        <v/>
      </c>
      <c r="K356" s="26">
        <f>IF(Z356="","",Z356)</f>
        <v/>
      </c>
      <c r="L356" s="27">
        <f>W356</f>
        <v/>
      </c>
      <c r="M356" s="28">
        <f>AA356</f>
        <v/>
      </c>
      <c r="N356" s="23">
        <f>IF(AND(B356="",C356="",D356="",N(H356)=0),"",IF(B356="","Enter the date",IF(C356="","Pick the party",IF(P356="?","Add this party on the Parties sheet first",IF(D356="","Pick the entry type",IF(Q356="?","Pick the entry type from the list",IF(N(H356)=0,"Enter the amount",IF(AND(R356&lt;&gt;"Any",R356&lt;&gt;P356),"Sales, receipts and credit notes are for debtors; purchases, payments and debit notes for creditors",IF(AND(F356&lt;&gt;"",D356&lt;&gt;"Purchase bill"),"The received-on date is only for purchase bills",IF(AND(P356="Creditor",X356=1,AA356&gt;0),"Past due to a micro or small supplier: interest runs under MSMED s.16, and if unpaid at year end it is not deductible that year, s.37(2)(g)",IF(AND(P356="Debtor",X356=1,AA356&gt;0),"Past due to you: as a micro or small supplier you can claim interest under MSMED s.16","OK")))))))))))</f>
        <v/>
      </c>
      <c r="P356">
        <f>IF(C356="","",IFERROR(VLOOKUP(C356,'Parties'!$B$13:$Q$112,2,FALSE),"?"))</f>
        <v/>
      </c>
      <c r="Q356">
        <f>IF(D356="","",IFERROR(VLOOKUP(D356,Lists!$A$2:$D$9,3,FALSE),"?"))</f>
        <v/>
      </c>
      <c r="R356">
        <f>IF(D356="","",IFERROR(VLOOKUP(D356,Lists!$A$2:$D$9,4,FALSE),"?"))</f>
        <v/>
      </c>
      <c r="S356">
        <f>IF(P356="Debtor",I356,IF(P356="Creditor",J356,0))</f>
        <v/>
      </c>
      <c r="T356">
        <f>IF(P356="Debtor",J356,IF(P356="Creditor",I356,0))</f>
        <v/>
      </c>
      <c r="U356">
        <f>IF(OR(S356=0,B356=""),0,IFERROR(VLOOKUP(C356,'Parties'!$B$13:$Q$112,13,FALSE),0)+SUMIFS($S$7:$S$506,$C$7:$C$506,C356,$B$7:$B$506,"&lt;"&amp;B356)+SUMIFS(S$7:S356,C$7:C356,C356,B$7:B356,B356))</f>
        <v/>
      </c>
      <c r="V356">
        <f>IF(S356=0,0,IFERROR(VLOOKUP(C356,'Parties'!$B$13:$Q$112,14,FALSE),0)+SUMIFS($T$7:$T$506,$C$7:$C$506,C356,$B$7:$B$506,"&lt;="&amp;'Outstanding'!$E$5))</f>
        <v/>
      </c>
      <c r="W356">
        <f>IF(OR('Outstanding'!$E$5="",S356=0,B356="",B356&gt;'Outstanding'!$E$5),0,MAX(0,MIN(S356,U356-V356)))</f>
        <v/>
      </c>
      <c r="X356">
        <f>IF(C356="",0,IFERROR(VLOOKUP(C356,'Parties'!$B$13:$Q$112,15,FALSE),0))</f>
        <v/>
      </c>
      <c r="Y356">
        <f>IF(C356="","",IFERROR(VLOOKUP(C356,'Parties'!$B$13:$Q$112,16,FALSE),0))</f>
        <v/>
      </c>
      <c r="Z356">
        <f>IF(OR(S356=0,B356="",Y356=""),"",IF(AND(F356&lt;&gt;"",D356="Purchase bill"),F356,B356)+Y356)</f>
        <v/>
      </c>
      <c r="AA356">
        <f>IF(OR(W356=0,Z356=""),0,MAX(0,'Outstanding'!$E$5-Z356))</f>
        <v/>
      </c>
      <c r="AB356">
        <f>IF(AND(X356=1,AA356&gt;0),W356*((1+3*N('Parties'!$E$10)/12)^(AA356*12/365)-1),0)</f>
        <v/>
      </c>
      <c r="AC356">
        <f>IF(W356=0,"",'Outstanding'!$E$5-B356)</f>
        <v/>
      </c>
      <c r="AD356">
        <f>IF(S356=0,0,IFERROR(VLOOKUP(C356,'Parties'!$B$13:$Q$112,14,FALSE),0)+SUMIFS($T$7:$T$506,$C$7:$C$506,C356,$B$7:$B$506,"&lt;="&amp;'Parties'!$E$8))</f>
        <v/>
      </c>
      <c r="AE356">
        <f>IF(OR('Parties'!$E$8="",S356=0,B356="",B356&gt;'Parties'!$E$8),0,MAX(0,MIN(S356,U356-AD356)))</f>
        <v/>
      </c>
      <c r="AF356">
        <f>IF(AND(P356="Creditor",X356=1,AE356&gt;0,Z356&lt;&gt;""),IF(Z356&lt;='Parties'!$E$8,AE356,0),0)</f>
        <v/>
      </c>
      <c r="AG356">
        <f>IF(OR(AE356=0,Z356=""),0,MAX(0,'Parties'!$E$8-Z356))</f>
        <v/>
      </c>
      <c r="AH356">
        <f>IF(AND(P356="Creditor",X356=1,AG356&gt;0),AE356*((1+3*N('Parties'!$E$10)/12)^(AG356*12/365)-1),0)</f>
        <v/>
      </c>
      <c r="AI356">
        <f>IF(AND(C356&lt;&gt;"",C356='Ledger Account'!$D$4,B356&lt;&gt;"",B356&gt;='Ledger Account'!$D$5,B356&lt;='Ledger Account'!$D$6),1,0)</f>
        <v/>
      </c>
      <c r="AJ356">
        <f>IF(AI356=1,SUM(AI$7:AI356),"")</f>
        <v/>
      </c>
      <c r="AK356">
        <f>IF(OR(N356="",N356="OK"),0,1)</f>
        <v/>
      </c>
    </row>
    <row r="357">
      <c r="B357" s="24" t="n"/>
      <c r="C357" s="14" t="n"/>
      <c r="D357" s="14" t="n"/>
      <c r="E357" s="20" t="n"/>
      <c r="F357" s="24" t="n"/>
      <c r="G357" s="14" t="n"/>
      <c r="H357" s="22" t="n"/>
      <c r="I357" s="25">
        <f>IF(Q357="D",N(H357),0)</f>
        <v/>
      </c>
      <c r="J357" s="25">
        <f>IF(Q357="C",N(H357),0)</f>
        <v/>
      </c>
      <c r="K357" s="26">
        <f>IF(Z357="","",Z357)</f>
        <v/>
      </c>
      <c r="L357" s="27">
        <f>W357</f>
        <v/>
      </c>
      <c r="M357" s="28">
        <f>AA357</f>
        <v/>
      </c>
      <c r="N357" s="23">
        <f>IF(AND(B357="",C357="",D357="",N(H357)=0),"",IF(B357="","Enter the date",IF(C357="","Pick the party",IF(P357="?","Add this party on the Parties sheet first",IF(D357="","Pick the entry type",IF(Q357="?","Pick the entry type from the list",IF(N(H357)=0,"Enter the amount",IF(AND(R357&lt;&gt;"Any",R357&lt;&gt;P357),"Sales, receipts and credit notes are for debtors; purchases, payments and debit notes for creditors",IF(AND(F357&lt;&gt;"",D357&lt;&gt;"Purchase bill"),"The received-on date is only for purchase bills",IF(AND(P357="Creditor",X357=1,AA357&gt;0),"Past due to a micro or small supplier: interest runs under MSMED s.16, and if unpaid at year end it is not deductible that year, s.37(2)(g)",IF(AND(P357="Debtor",X357=1,AA357&gt;0),"Past due to you: as a micro or small supplier you can claim interest under MSMED s.16","OK")))))))))))</f>
        <v/>
      </c>
      <c r="P357">
        <f>IF(C357="","",IFERROR(VLOOKUP(C357,'Parties'!$B$13:$Q$112,2,FALSE),"?"))</f>
        <v/>
      </c>
      <c r="Q357">
        <f>IF(D357="","",IFERROR(VLOOKUP(D357,Lists!$A$2:$D$9,3,FALSE),"?"))</f>
        <v/>
      </c>
      <c r="R357">
        <f>IF(D357="","",IFERROR(VLOOKUP(D357,Lists!$A$2:$D$9,4,FALSE),"?"))</f>
        <v/>
      </c>
      <c r="S357">
        <f>IF(P357="Debtor",I357,IF(P357="Creditor",J357,0))</f>
        <v/>
      </c>
      <c r="T357">
        <f>IF(P357="Debtor",J357,IF(P357="Creditor",I357,0))</f>
        <v/>
      </c>
      <c r="U357">
        <f>IF(OR(S357=0,B357=""),0,IFERROR(VLOOKUP(C357,'Parties'!$B$13:$Q$112,13,FALSE),0)+SUMIFS($S$7:$S$506,$C$7:$C$506,C357,$B$7:$B$506,"&lt;"&amp;B357)+SUMIFS(S$7:S357,C$7:C357,C357,B$7:B357,B357))</f>
        <v/>
      </c>
      <c r="V357">
        <f>IF(S357=0,0,IFERROR(VLOOKUP(C357,'Parties'!$B$13:$Q$112,14,FALSE),0)+SUMIFS($T$7:$T$506,$C$7:$C$506,C357,$B$7:$B$506,"&lt;="&amp;'Outstanding'!$E$5))</f>
        <v/>
      </c>
      <c r="W357">
        <f>IF(OR('Outstanding'!$E$5="",S357=0,B357="",B357&gt;'Outstanding'!$E$5),0,MAX(0,MIN(S357,U357-V357)))</f>
        <v/>
      </c>
      <c r="X357">
        <f>IF(C357="",0,IFERROR(VLOOKUP(C357,'Parties'!$B$13:$Q$112,15,FALSE),0))</f>
        <v/>
      </c>
      <c r="Y357">
        <f>IF(C357="","",IFERROR(VLOOKUP(C357,'Parties'!$B$13:$Q$112,16,FALSE),0))</f>
        <v/>
      </c>
      <c r="Z357">
        <f>IF(OR(S357=0,B357="",Y357=""),"",IF(AND(F357&lt;&gt;"",D357="Purchase bill"),F357,B357)+Y357)</f>
        <v/>
      </c>
      <c r="AA357">
        <f>IF(OR(W357=0,Z357=""),0,MAX(0,'Outstanding'!$E$5-Z357))</f>
        <v/>
      </c>
      <c r="AB357">
        <f>IF(AND(X357=1,AA357&gt;0),W357*((1+3*N('Parties'!$E$10)/12)^(AA357*12/365)-1),0)</f>
        <v/>
      </c>
      <c r="AC357">
        <f>IF(W357=0,"",'Outstanding'!$E$5-B357)</f>
        <v/>
      </c>
      <c r="AD357">
        <f>IF(S357=0,0,IFERROR(VLOOKUP(C357,'Parties'!$B$13:$Q$112,14,FALSE),0)+SUMIFS($T$7:$T$506,$C$7:$C$506,C357,$B$7:$B$506,"&lt;="&amp;'Parties'!$E$8))</f>
        <v/>
      </c>
      <c r="AE357">
        <f>IF(OR('Parties'!$E$8="",S357=0,B357="",B357&gt;'Parties'!$E$8),0,MAX(0,MIN(S357,U357-AD357)))</f>
        <v/>
      </c>
      <c r="AF357">
        <f>IF(AND(P357="Creditor",X357=1,AE357&gt;0,Z357&lt;&gt;""),IF(Z357&lt;='Parties'!$E$8,AE357,0),0)</f>
        <v/>
      </c>
      <c r="AG357">
        <f>IF(OR(AE357=0,Z357=""),0,MAX(0,'Parties'!$E$8-Z357))</f>
        <v/>
      </c>
      <c r="AH357">
        <f>IF(AND(P357="Creditor",X357=1,AG357&gt;0),AE357*((1+3*N('Parties'!$E$10)/12)^(AG357*12/365)-1),0)</f>
        <v/>
      </c>
      <c r="AI357">
        <f>IF(AND(C357&lt;&gt;"",C357='Ledger Account'!$D$4,B357&lt;&gt;"",B357&gt;='Ledger Account'!$D$5,B357&lt;='Ledger Account'!$D$6),1,0)</f>
        <v/>
      </c>
      <c r="AJ357">
        <f>IF(AI357=1,SUM(AI$7:AI357),"")</f>
        <v/>
      </c>
      <c r="AK357">
        <f>IF(OR(N357="",N357="OK"),0,1)</f>
        <v/>
      </c>
    </row>
    <row r="358">
      <c r="B358" s="24" t="n"/>
      <c r="C358" s="14" t="n"/>
      <c r="D358" s="14" t="n"/>
      <c r="E358" s="20" t="n"/>
      <c r="F358" s="24" t="n"/>
      <c r="G358" s="14" t="n"/>
      <c r="H358" s="22" t="n"/>
      <c r="I358" s="25">
        <f>IF(Q358="D",N(H358),0)</f>
        <v/>
      </c>
      <c r="J358" s="25">
        <f>IF(Q358="C",N(H358),0)</f>
        <v/>
      </c>
      <c r="K358" s="26">
        <f>IF(Z358="","",Z358)</f>
        <v/>
      </c>
      <c r="L358" s="27">
        <f>W358</f>
        <v/>
      </c>
      <c r="M358" s="28">
        <f>AA358</f>
        <v/>
      </c>
      <c r="N358" s="23">
        <f>IF(AND(B358="",C358="",D358="",N(H358)=0),"",IF(B358="","Enter the date",IF(C358="","Pick the party",IF(P358="?","Add this party on the Parties sheet first",IF(D358="","Pick the entry type",IF(Q358="?","Pick the entry type from the list",IF(N(H358)=0,"Enter the amount",IF(AND(R358&lt;&gt;"Any",R358&lt;&gt;P358),"Sales, receipts and credit notes are for debtors; purchases, payments and debit notes for creditors",IF(AND(F358&lt;&gt;"",D358&lt;&gt;"Purchase bill"),"The received-on date is only for purchase bills",IF(AND(P358="Creditor",X358=1,AA358&gt;0),"Past due to a micro or small supplier: interest runs under MSMED s.16, and if unpaid at year end it is not deductible that year, s.37(2)(g)",IF(AND(P358="Debtor",X358=1,AA358&gt;0),"Past due to you: as a micro or small supplier you can claim interest under MSMED s.16","OK")))))))))))</f>
        <v/>
      </c>
      <c r="P358">
        <f>IF(C358="","",IFERROR(VLOOKUP(C358,'Parties'!$B$13:$Q$112,2,FALSE),"?"))</f>
        <v/>
      </c>
      <c r="Q358">
        <f>IF(D358="","",IFERROR(VLOOKUP(D358,Lists!$A$2:$D$9,3,FALSE),"?"))</f>
        <v/>
      </c>
      <c r="R358">
        <f>IF(D358="","",IFERROR(VLOOKUP(D358,Lists!$A$2:$D$9,4,FALSE),"?"))</f>
        <v/>
      </c>
      <c r="S358">
        <f>IF(P358="Debtor",I358,IF(P358="Creditor",J358,0))</f>
        <v/>
      </c>
      <c r="T358">
        <f>IF(P358="Debtor",J358,IF(P358="Creditor",I358,0))</f>
        <v/>
      </c>
      <c r="U358">
        <f>IF(OR(S358=0,B358=""),0,IFERROR(VLOOKUP(C358,'Parties'!$B$13:$Q$112,13,FALSE),0)+SUMIFS($S$7:$S$506,$C$7:$C$506,C358,$B$7:$B$506,"&lt;"&amp;B358)+SUMIFS(S$7:S358,C$7:C358,C358,B$7:B358,B358))</f>
        <v/>
      </c>
      <c r="V358">
        <f>IF(S358=0,0,IFERROR(VLOOKUP(C358,'Parties'!$B$13:$Q$112,14,FALSE),0)+SUMIFS($T$7:$T$506,$C$7:$C$506,C358,$B$7:$B$506,"&lt;="&amp;'Outstanding'!$E$5))</f>
        <v/>
      </c>
      <c r="W358">
        <f>IF(OR('Outstanding'!$E$5="",S358=0,B358="",B358&gt;'Outstanding'!$E$5),0,MAX(0,MIN(S358,U358-V358)))</f>
        <v/>
      </c>
      <c r="X358">
        <f>IF(C358="",0,IFERROR(VLOOKUP(C358,'Parties'!$B$13:$Q$112,15,FALSE),0))</f>
        <v/>
      </c>
      <c r="Y358">
        <f>IF(C358="","",IFERROR(VLOOKUP(C358,'Parties'!$B$13:$Q$112,16,FALSE),0))</f>
        <v/>
      </c>
      <c r="Z358">
        <f>IF(OR(S358=0,B358="",Y358=""),"",IF(AND(F358&lt;&gt;"",D358="Purchase bill"),F358,B358)+Y358)</f>
        <v/>
      </c>
      <c r="AA358">
        <f>IF(OR(W358=0,Z358=""),0,MAX(0,'Outstanding'!$E$5-Z358))</f>
        <v/>
      </c>
      <c r="AB358">
        <f>IF(AND(X358=1,AA358&gt;0),W358*((1+3*N('Parties'!$E$10)/12)^(AA358*12/365)-1),0)</f>
        <v/>
      </c>
      <c r="AC358">
        <f>IF(W358=0,"",'Outstanding'!$E$5-B358)</f>
        <v/>
      </c>
      <c r="AD358">
        <f>IF(S358=0,0,IFERROR(VLOOKUP(C358,'Parties'!$B$13:$Q$112,14,FALSE),0)+SUMIFS($T$7:$T$506,$C$7:$C$506,C358,$B$7:$B$506,"&lt;="&amp;'Parties'!$E$8))</f>
        <v/>
      </c>
      <c r="AE358">
        <f>IF(OR('Parties'!$E$8="",S358=0,B358="",B358&gt;'Parties'!$E$8),0,MAX(0,MIN(S358,U358-AD358)))</f>
        <v/>
      </c>
      <c r="AF358">
        <f>IF(AND(P358="Creditor",X358=1,AE358&gt;0,Z358&lt;&gt;""),IF(Z358&lt;='Parties'!$E$8,AE358,0),0)</f>
        <v/>
      </c>
      <c r="AG358">
        <f>IF(OR(AE358=0,Z358=""),0,MAX(0,'Parties'!$E$8-Z358))</f>
        <v/>
      </c>
      <c r="AH358">
        <f>IF(AND(P358="Creditor",X358=1,AG358&gt;0),AE358*((1+3*N('Parties'!$E$10)/12)^(AG358*12/365)-1),0)</f>
        <v/>
      </c>
      <c r="AI358">
        <f>IF(AND(C358&lt;&gt;"",C358='Ledger Account'!$D$4,B358&lt;&gt;"",B358&gt;='Ledger Account'!$D$5,B358&lt;='Ledger Account'!$D$6),1,0)</f>
        <v/>
      </c>
      <c r="AJ358">
        <f>IF(AI358=1,SUM(AI$7:AI358),"")</f>
        <v/>
      </c>
      <c r="AK358">
        <f>IF(OR(N358="",N358="OK"),0,1)</f>
        <v/>
      </c>
    </row>
    <row r="359">
      <c r="B359" s="24" t="n"/>
      <c r="C359" s="14" t="n"/>
      <c r="D359" s="14" t="n"/>
      <c r="E359" s="20" t="n"/>
      <c r="F359" s="24" t="n"/>
      <c r="G359" s="14" t="n"/>
      <c r="H359" s="22" t="n"/>
      <c r="I359" s="25">
        <f>IF(Q359="D",N(H359),0)</f>
        <v/>
      </c>
      <c r="J359" s="25">
        <f>IF(Q359="C",N(H359),0)</f>
        <v/>
      </c>
      <c r="K359" s="26">
        <f>IF(Z359="","",Z359)</f>
        <v/>
      </c>
      <c r="L359" s="27">
        <f>W359</f>
        <v/>
      </c>
      <c r="M359" s="28">
        <f>AA359</f>
        <v/>
      </c>
      <c r="N359" s="23">
        <f>IF(AND(B359="",C359="",D359="",N(H359)=0),"",IF(B359="","Enter the date",IF(C359="","Pick the party",IF(P359="?","Add this party on the Parties sheet first",IF(D359="","Pick the entry type",IF(Q359="?","Pick the entry type from the list",IF(N(H359)=0,"Enter the amount",IF(AND(R359&lt;&gt;"Any",R359&lt;&gt;P359),"Sales, receipts and credit notes are for debtors; purchases, payments and debit notes for creditors",IF(AND(F359&lt;&gt;"",D359&lt;&gt;"Purchase bill"),"The received-on date is only for purchase bills",IF(AND(P359="Creditor",X359=1,AA359&gt;0),"Past due to a micro or small supplier: interest runs under MSMED s.16, and if unpaid at year end it is not deductible that year, s.37(2)(g)",IF(AND(P359="Debtor",X359=1,AA359&gt;0),"Past due to you: as a micro or small supplier you can claim interest under MSMED s.16","OK")))))))))))</f>
        <v/>
      </c>
      <c r="P359">
        <f>IF(C359="","",IFERROR(VLOOKUP(C359,'Parties'!$B$13:$Q$112,2,FALSE),"?"))</f>
        <v/>
      </c>
      <c r="Q359">
        <f>IF(D359="","",IFERROR(VLOOKUP(D359,Lists!$A$2:$D$9,3,FALSE),"?"))</f>
        <v/>
      </c>
      <c r="R359">
        <f>IF(D359="","",IFERROR(VLOOKUP(D359,Lists!$A$2:$D$9,4,FALSE),"?"))</f>
        <v/>
      </c>
      <c r="S359">
        <f>IF(P359="Debtor",I359,IF(P359="Creditor",J359,0))</f>
        <v/>
      </c>
      <c r="T359">
        <f>IF(P359="Debtor",J359,IF(P359="Creditor",I359,0))</f>
        <v/>
      </c>
      <c r="U359">
        <f>IF(OR(S359=0,B359=""),0,IFERROR(VLOOKUP(C359,'Parties'!$B$13:$Q$112,13,FALSE),0)+SUMIFS($S$7:$S$506,$C$7:$C$506,C359,$B$7:$B$506,"&lt;"&amp;B359)+SUMIFS(S$7:S359,C$7:C359,C359,B$7:B359,B359))</f>
        <v/>
      </c>
      <c r="V359">
        <f>IF(S359=0,0,IFERROR(VLOOKUP(C359,'Parties'!$B$13:$Q$112,14,FALSE),0)+SUMIFS($T$7:$T$506,$C$7:$C$506,C359,$B$7:$B$506,"&lt;="&amp;'Outstanding'!$E$5))</f>
        <v/>
      </c>
      <c r="W359">
        <f>IF(OR('Outstanding'!$E$5="",S359=0,B359="",B359&gt;'Outstanding'!$E$5),0,MAX(0,MIN(S359,U359-V359)))</f>
        <v/>
      </c>
      <c r="X359">
        <f>IF(C359="",0,IFERROR(VLOOKUP(C359,'Parties'!$B$13:$Q$112,15,FALSE),0))</f>
        <v/>
      </c>
      <c r="Y359">
        <f>IF(C359="","",IFERROR(VLOOKUP(C359,'Parties'!$B$13:$Q$112,16,FALSE),0))</f>
        <v/>
      </c>
      <c r="Z359">
        <f>IF(OR(S359=0,B359="",Y359=""),"",IF(AND(F359&lt;&gt;"",D359="Purchase bill"),F359,B359)+Y359)</f>
        <v/>
      </c>
      <c r="AA359">
        <f>IF(OR(W359=0,Z359=""),0,MAX(0,'Outstanding'!$E$5-Z359))</f>
        <v/>
      </c>
      <c r="AB359">
        <f>IF(AND(X359=1,AA359&gt;0),W359*((1+3*N('Parties'!$E$10)/12)^(AA359*12/365)-1),0)</f>
        <v/>
      </c>
      <c r="AC359">
        <f>IF(W359=0,"",'Outstanding'!$E$5-B359)</f>
        <v/>
      </c>
      <c r="AD359">
        <f>IF(S359=0,0,IFERROR(VLOOKUP(C359,'Parties'!$B$13:$Q$112,14,FALSE),0)+SUMIFS($T$7:$T$506,$C$7:$C$506,C359,$B$7:$B$506,"&lt;="&amp;'Parties'!$E$8))</f>
        <v/>
      </c>
      <c r="AE359">
        <f>IF(OR('Parties'!$E$8="",S359=0,B359="",B359&gt;'Parties'!$E$8),0,MAX(0,MIN(S359,U359-AD359)))</f>
        <v/>
      </c>
      <c r="AF359">
        <f>IF(AND(P359="Creditor",X359=1,AE359&gt;0,Z359&lt;&gt;""),IF(Z359&lt;='Parties'!$E$8,AE359,0),0)</f>
        <v/>
      </c>
      <c r="AG359">
        <f>IF(OR(AE359=0,Z359=""),0,MAX(0,'Parties'!$E$8-Z359))</f>
        <v/>
      </c>
      <c r="AH359">
        <f>IF(AND(P359="Creditor",X359=1,AG359&gt;0),AE359*((1+3*N('Parties'!$E$10)/12)^(AG359*12/365)-1),0)</f>
        <v/>
      </c>
      <c r="AI359">
        <f>IF(AND(C359&lt;&gt;"",C359='Ledger Account'!$D$4,B359&lt;&gt;"",B359&gt;='Ledger Account'!$D$5,B359&lt;='Ledger Account'!$D$6),1,0)</f>
        <v/>
      </c>
      <c r="AJ359">
        <f>IF(AI359=1,SUM(AI$7:AI359),"")</f>
        <v/>
      </c>
      <c r="AK359">
        <f>IF(OR(N359="",N359="OK"),0,1)</f>
        <v/>
      </c>
    </row>
    <row r="360">
      <c r="B360" s="24" t="n"/>
      <c r="C360" s="14" t="n"/>
      <c r="D360" s="14" t="n"/>
      <c r="E360" s="20" t="n"/>
      <c r="F360" s="24" t="n"/>
      <c r="G360" s="14" t="n"/>
      <c r="H360" s="22" t="n"/>
      <c r="I360" s="25">
        <f>IF(Q360="D",N(H360),0)</f>
        <v/>
      </c>
      <c r="J360" s="25">
        <f>IF(Q360="C",N(H360),0)</f>
        <v/>
      </c>
      <c r="K360" s="26">
        <f>IF(Z360="","",Z360)</f>
        <v/>
      </c>
      <c r="L360" s="27">
        <f>W360</f>
        <v/>
      </c>
      <c r="M360" s="28">
        <f>AA360</f>
        <v/>
      </c>
      <c r="N360" s="23">
        <f>IF(AND(B360="",C360="",D360="",N(H360)=0),"",IF(B360="","Enter the date",IF(C360="","Pick the party",IF(P360="?","Add this party on the Parties sheet first",IF(D360="","Pick the entry type",IF(Q360="?","Pick the entry type from the list",IF(N(H360)=0,"Enter the amount",IF(AND(R360&lt;&gt;"Any",R360&lt;&gt;P360),"Sales, receipts and credit notes are for debtors; purchases, payments and debit notes for creditors",IF(AND(F360&lt;&gt;"",D360&lt;&gt;"Purchase bill"),"The received-on date is only for purchase bills",IF(AND(P360="Creditor",X360=1,AA360&gt;0),"Past due to a micro or small supplier: interest runs under MSMED s.16, and if unpaid at year end it is not deductible that year, s.37(2)(g)",IF(AND(P360="Debtor",X360=1,AA360&gt;0),"Past due to you: as a micro or small supplier you can claim interest under MSMED s.16","OK")))))))))))</f>
        <v/>
      </c>
      <c r="P360">
        <f>IF(C360="","",IFERROR(VLOOKUP(C360,'Parties'!$B$13:$Q$112,2,FALSE),"?"))</f>
        <v/>
      </c>
      <c r="Q360">
        <f>IF(D360="","",IFERROR(VLOOKUP(D360,Lists!$A$2:$D$9,3,FALSE),"?"))</f>
        <v/>
      </c>
      <c r="R360">
        <f>IF(D360="","",IFERROR(VLOOKUP(D360,Lists!$A$2:$D$9,4,FALSE),"?"))</f>
        <v/>
      </c>
      <c r="S360">
        <f>IF(P360="Debtor",I360,IF(P360="Creditor",J360,0))</f>
        <v/>
      </c>
      <c r="T360">
        <f>IF(P360="Debtor",J360,IF(P360="Creditor",I360,0))</f>
        <v/>
      </c>
      <c r="U360">
        <f>IF(OR(S360=0,B360=""),0,IFERROR(VLOOKUP(C360,'Parties'!$B$13:$Q$112,13,FALSE),0)+SUMIFS($S$7:$S$506,$C$7:$C$506,C360,$B$7:$B$506,"&lt;"&amp;B360)+SUMIFS(S$7:S360,C$7:C360,C360,B$7:B360,B360))</f>
        <v/>
      </c>
      <c r="V360">
        <f>IF(S360=0,0,IFERROR(VLOOKUP(C360,'Parties'!$B$13:$Q$112,14,FALSE),0)+SUMIFS($T$7:$T$506,$C$7:$C$506,C360,$B$7:$B$506,"&lt;="&amp;'Outstanding'!$E$5))</f>
        <v/>
      </c>
      <c r="W360">
        <f>IF(OR('Outstanding'!$E$5="",S360=0,B360="",B360&gt;'Outstanding'!$E$5),0,MAX(0,MIN(S360,U360-V360)))</f>
        <v/>
      </c>
      <c r="X360">
        <f>IF(C360="",0,IFERROR(VLOOKUP(C360,'Parties'!$B$13:$Q$112,15,FALSE),0))</f>
        <v/>
      </c>
      <c r="Y360">
        <f>IF(C360="","",IFERROR(VLOOKUP(C360,'Parties'!$B$13:$Q$112,16,FALSE),0))</f>
        <v/>
      </c>
      <c r="Z360">
        <f>IF(OR(S360=0,B360="",Y360=""),"",IF(AND(F360&lt;&gt;"",D360="Purchase bill"),F360,B360)+Y360)</f>
        <v/>
      </c>
      <c r="AA360">
        <f>IF(OR(W360=0,Z360=""),0,MAX(0,'Outstanding'!$E$5-Z360))</f>
        <v/>
      </c>
      <c r="AB360">
        <f>IF(AND(X360=1,AA360&gt;0),W360*((1+3*N('Parties'!$E$10)/12)^(AA360*12/365)-1),0)</f>
        <v/>
      </c>
      <c r="AC360">
        <f>IF(W360=0,"",'Outstanding'!$E$5-B360)</f>
        <v/>
      </c>
      <c r="AD360">
        <f>IF(S360=0,0,IFERROR(VLOOKUP(C360,'Parties'!$B$13:$Q$112,14,FALSE),0)+SUMIFS($T$7:$T$506,$C$7:$C$506,C360,$B$7:$B$506,"&lt;="&amp;'Parties'!$E$8))</f>
        <v/>
      </c>
      <c r="AE360">
        <f>IF(OR('Parties'!$E$8="",S360=0,B360="",B360&gt;'Parties'!$E$8),0,MAX(0,MIN(S360,U360-AD360)))</f>
        <v/>
      </c>
      <c r="AF360">
        <f>IF(AND(P360="Creditor",X360=1,AE360&gt;0,Z360&lt;&gt;""),IF(Z360&lt;='Parties'!$E$8,AE360,0),0)</f>
        <v/>
      </c>
      <c r="AG360">
        <f>IF(OR(AE360=0,Z360=""),0,MAX(0,'Parties'!$E$8-Z360))</f>
        <v/>
      </c>
      <c r="AH360">
        <f>IF(AND(P360="Creditor",X360=1,AG360&gt;0),AE360*((1+3*N('Parties'!$E$10)/12)^(AG360*12/365)-1),0)</f>
        <v/>
      </c>
      <c r="AI360">
        <f>IF(AND(C360&lt;&gt;"",C360='Ledger Account'!$D$4,B360&lt;&gt;"",B360&gt;='Ledger Account'!$D$5,B360&lt;='Ledger Account'!$D$6),1,0)</f>
        <v/>
      </c>
      <c r="AJ360">
        <f>IF(AI360=1,SUM(AI$7:AI360),"")</f>
        <v/>
      </c>
      <c r="AK360">
        <f>IF(OR(N360="",N360="OK"),0,1)</f>
        <v/>
      </c>
    </row>
    <row r="361">
      <c r="B361" s="24" t="n"/>
      <c r="C361" s="14" t="n"/>
      <c r="D361" s="14" t="n"/>
      <c r="E361" s="20" t="n"/>
      <c r="F361" s="24" t="n"/>
      <c r="G361" s="14" t="n"/>
      <c r="H361" s="22" t="n"/>
      <c r="I361" s="25">
        <f>IF(Q361="D",N(H361),0)</f>
        <v/>
      </c>
      <c r="J361" s="25">
        <f>IF(Q361="C",N(H361),0)</f>
        <v/>
      </c>
      <c r="K361" s="26">
        <f>IF(Z361="","",Z361)</f>
        <v/>
      </c>
      <c r="L361" s="27">
        <f>W361</f>
        <v/>
      </c>
      <c r="M361" s="28">
        <f>AA361</f>
        <v/>
      </c>
      <c r="N361" s="23">
        <f>IF(AND(B361="",C361="",D361="",N(H361)=0),"",IF(B361="","Enter the date",IF(C361="","Pick the party",IF(P361="?","Add this party on the Parties sheet first",IF(D361="","Pick the entry type",IF(Q361="?","Pick the entry type from the list",IF(N(H361)=0,"Enter the amount",IF(AND(R361&lt;&gt;"Any",R361&lt;&gt;P361),"Sales, receipts and credit notes are for debtors; purchases, payments and debit notes for creditors",IF(AND(F361&lt;&gt;"",D361&lt;&gt;"Purchase bill"),"The received-on date is only for purchase bills",IF(AND(P361="Creditor",X361=1,AA361&gt;0),"Past due to a micro or small supplier: interest runs under MSMED s.16, and if unpaid at year end it is not deductible that year, s.37(2)(g)",IF(AND(P361="Debtor",X361=1,AA361&gt;0),"Past due to you: as a micro or small supplier you can claim interest under MSMED s.16","OK")))))))))))</f>
        <v/>
      </c>
      <c r="P361">
        <f>IF(C361="","",IFERROR(VLOOKUP(C361,'Parties'!$B$13:$Q$112,2,FALSE),"?"))</f>
        <v/>
      </c>
      <c r="Q361">
        <f>IF(D361="","",IFERROR(VLOOKUP(D361,Lists!$A$2:$D$9,3,FALSE),"?"))</f>
        <v/>
      </c>
      <c r="R361">
        <f>IF(D361="","",IFERROR(VLOOKUP(D361,Lists!$A$2:$D$9,4,FALSE),"?"))</f>
        <v/>
      </c>
      <c r="S361">
        <f>IF(P361="Debtor",I361,IF(P361="Creditor",J361,0))</f>
        <v/>
      </c>
      <c r="T361">
        <f>IF(P361="Debtor",J361,IF(P361="Creditor",I361,0))</f>
        <v/>
      </c>
      <c r="U361">
        <f>IF(OR(S361=0,B361=""),0,IFERROR(VLOOKUP(C361,'Parties'!$B$13:$Q$112,13,FALSE),0)+SUMIFS($S$7:$S$506,$C$7:$C$506,C361,$B$7:$B$506,"&lt;"&amp;B361)+SUMIFS(S$7:S361,C$7:C361,C361,B$7:B361,B361))</f>
        <v/>
      </c>
      <c r="V361">
        <f>IF(S361=0,0,IFERROR(VLOOKUP(C361,'Parties'!$B$13:$Q$112,14,FALSE),0)+SUMIFS($T$7:$T$506,$C$7:$C$506,C361,$B$7:$B$506,"&lt;="&amp;'Outstanding'!$E$5))</f>
        <v/>
      </c>
      <c r="W361">
        <f>IF(OR('Outstanding'!$E$5="",S361=0,B361="",B361&gt;'Outstanding'!$E$5),0,MAX(0,MIN(S361,U361-V361)))</f>
        <v/>
      </c>
      <c r="X361">
        <f>IF(C361="",0,IFERROR(VLOOKUP(C361,'Parties'!$B$13:$Q$112,15,FALSE),0))</f>
        <v/>
      </c>
      <c r="Y361">
        <f>IF(C361="","",IFERROR(VLOOKUP(C361,'Parties'!$B$13:$Q$112,16,FALSE),0))</f>
        <v/>
      </c>
      <c r="Z361">
        <f>IF(OR(S361=0,B361="",Y361=""),"",IF(AND(F361&lt;&gt;"",D361="Purchase bill"),F361,B361)+Y361)</f>
        <v/>
      </c>
      <c r="AA361">
        <f>IF(OR(W361=0,Z361=""),0,MAX(0,'Outstanding'!$E$5-Z361))</f>
        <v/>
      </c>
      <c r="AB361">
        <f>IF(AND(X361=1,AA361&gt;0),W361*((1+3*N('Parties'!$E$10)/12)^(AA361*12/365)-1),0)</f>
        <v/>
      </c>
      <c r="AC361">
        <f>IF(W361=0,"",'Outstanding'!$E$5-B361)</f>
        <v/>
      </c>
      <c r="AD361">
        <f>IF(S361=0,0,IFERROR(VLOOKUP(C361,'Parties'!$B$13:$Q$112,14,FALSE),0)+SUMIFS($T$7:$T$506,$C$7:$C$506,C361,$B$7:$B$506,"&lt;="&amp;'Parties'!$E$8))</f>
        <v/>
      </c>
      <c r="AE361">
        <f>IF(OR('Parties'!$E$8="",S361=0,B361="",B361&gt;'Parties'!$E$8),0,MAX(0,MIN(S361,U361-AD361)))</f>
        <v/>
      </c>
      <c r="AF361">
        <f>IF(AND(P361="Creditor",X361=1,AE361&gt;0,Z361&lt;&gt;""),IF(Z361&lt;='Parties'!$E$8,AE361,0),0)</f>
        <v/>
      </c>
      <c r="AG361">
        <f>IF(OR(AE361=0,Z361=""),0,MAX(0,'Parties'!$E$8-Z361))</f>
        <v/>
      </c>
      <c r="AH361">
        <f>IF(AND(P361="Creditor",X361=1,AG361&gt;0),AE361*((1+3*N('Parties'!$E$10)/12)^(AG361*12/365)-1),0)</f>
        <v/>
      </c>
      <c r="AI361">
        <f>IF(AND(C361&lt;&gt;"",C361='Ledger Account'!$D$4,B361&lt;&gt;"",B361&gt;='Ledger Account'!$D$5,B361&lt;='Ledger Account'!$D$6),1,0)</f>
        <v/>
      </c>
      <c r="AJ361">
        <f>IF(AI361=1,SUM(AI$7:AI361),"")</f>
        <v/>
      </c>
      <c r="AK361">
        <f>IF(OR(N361="",N361="OK"),0,1)</f>
        <v/>
      </c>
    </row>
    <row r="362">
      <c r="B362" s="24" t="n"/>
      <c r="C362" s="14" t="n"/>
      <c r="D362" s="14" t="n"/>
      <c r="E362" s="20" t="n"/>
      <c r="F362" s="24" t="n"/>
      <c r="G362" s="14" t="n"/>
      <c r="H362" s="22" t="n"/>
      <c r="I362" s="25">
        <f>IF(Q362="D",N(H362),0)</f>
        <v/>
      </c>
      <c r="J362" s="25">
        <f>IF(Q362="C",N(H362),0)</f>
        <v/>
      </c>
      <c r="K362" s="26">
        <f>IF(Z362="","",Z362)</f>
        <v/>
      </c>
      <c r="L362" s="27">
        <f>W362</f>
        <v/>
      </c>
      <c r="M362" s="28">
        <f>AA362</f>
        <v/>
      </c>
      <c r="N362" s="23">
        <f>IF(AND(B362="",C362="",D362="",N(H362)=0),"",IF(B362="","Enter the date",IF(C362="","Pick the party",IF(P362="?","Add this party on the Parties sheet first",IF(D362="","Pick the entry type",IF(Q362="?","Pick the entry type from the list",IF(N(H362)=0,"Enter the amount",IF(AND(R362&lt;&gt;"Any",R362&lt;&gt;P362),"Sales, receipts and credit notes are for debtors; purchases, payments and debit notes for creditors",IF(AND(F362&lt;&gt;"",D362&lt;&gt;"Purchase bill"),"The received-on date is only for purchase bills",IF(AND(P362="Creditor",X362=1,AA362&gt;0),"Past due to a micro or small supplier: interest runs under MSMED s.16, and if unpaid at year end it is not deductible that year, s.37(2)(g)",IF(AND(P362="Debtor",X362=1,AA362&gt;0),"Past due to you: as a micro or small supplier you can claim interest under MSMED s.16","OK")))))))))))</f>
        <v/>
      </c>
      <c r="P362">
        <f>IF(C362="","",IFERROR(VLOOKUP(C362,'Parties'!$B$13:$Q$112,2,FALSE),"?"))</f>
        <v/>
      </c>
      <c r="Q362">
        <f>IF(D362="","",IFERROR(VLOOKUP(D362,Lists!$A$2:$D$9,3,FALSE),"?"))</f>
        <v/>
      </c>
      <c r="R362">
        <f>IF(D362="","",IFERROR(VLOOKUP(D362,Lists!$A$2:$D$9,4,FALSE),"?"))</f>
        <v/>
      </c>
      <c r="S362">
        <f>IF(P362="Debtor",I362,IF(P362="Creditor",J362,0))</f>
        <v/>
      </c>
      <c r="T362">
        <f>IF(P362="Debtor",J362,IF(P362="Creditor",I362,0))</f>
        <v/>
      </c>
      <c r="U362">
        <f>IF(OR(S362=0,B362=""),0,IFERROR(VLOOKUP(C362,'Parties'!$B$13:$Q$112,13,FALSE),0)+SUMIFS($S$7:$S$506,$C$7:$C$506,C362,$B$7:$B$506,"&lt;"&amp;B362)+SUMIFS(S$7:S362,C$7:C362,C362,B$7:B362,B362))</f>
        <v/>
      </c>
      <c r="V362">
        <f>IF(S362=0,0,IFERROR(VLOOKUP(C362,'Parties'!$B$13:$Q$112,14,FALSE),0)+SUMIFS($T$7:$T$506,$C$7:$C$506,C362,$B$7:$B$506,"&lt;="&amp;'Outstanding'!$E$5))</f>
        <v/>
      </c>
      <c r="W362">
        <f>IF(OR('Outstanding'!$E$5="",S362=0,B362="",B362&gt;'Outstanding'!$E$5),0,MAX(0,MIN(S362,U362-V362)))</f>
        <v/>
      </c>
      <c r="X362">
        <f>IF(C362="",0,IFERROR(VLOOKUP(C362,'Parties'!$B$13:$Q$112,15,FALSE),0))</f>
        <v/>
      </c>
      <c r="Y362">
        <f>IF(C362="","",IFERROR(VLOOKUP(C362,'Parties'!$B$13:$Q$112,16,FALSE),0))</f>
        <v/>
      </c>
      <c r="Z362">
        <f>IF(OR(S362=0,B362="",Y362=""),"",IF(AND(F362&lt;&gt;"",D362="Purchase bill"),F362,B362)+Y362)</f>
        <v/>
      </c>
      <c r="AA362">
        <f>IF(OR(W362=0,Z362=""),0,MAX(0,'Outstanding'!$E$5-Z362))</f>
        <v/>
      </c>
      <c r="AB362">
        <f>IF(AND(X362=1,AA362&gt;0),W362*((1+3*N('Parties'!$E$10)/12)^(AA362*12/365)-1),0)</f>
        <v/>
      </c>
      <c r="AC362">
        <f>IF(W362=0,"",'Outstanding'!$E$5-B362)</f>
        <v/>
      </c>
      <c r="AD362">
        <f>IF(S362=0,0,IFERROR(VLOOKUP(C362,'Parties'!$B$13:$Q$112,14,FALSE),0)+SUMIFS($T$7:$T$506,$C$7:$C$506,C362,$B$7:$B$506,"&lt;="&amp;'Parties'!$E$8))</f>
        <v/>
      </c>
      <c r="AE362">
        <f>IF(OR('Parties'!$E$8="",S362=0,B362="",B362&gt;'Parties'!$E$8),0,MAX(0,MIN(S362,U362-AD362)))</f>
        <v/>
      </c>
      <c r="AF362">
        <f>IF(AND(P362="Creditor",X362=1,AE362&gt;0,Z362&lt;&gt;""),IF(Z362&lt;='Parties'!$E$8,AE362,0),0)</f>
        <v/>
      </c>
      <c r="AG362">
        <f>IF(OR(AE362=0,Z362=""),0,MAX(0,'Parties'!$E$8-Z362))</f>
        <v/>
      </c>
      <c r="AH362">
        <f>IF(AND(P362="Creditor",X362=1,AG362&gt;0),AE362*((1+3*N('Parties'!$E$10)/12)^(AG362*12/365)-1),0)</f>
        <v/>
      </c>
      <c r="AI362">
        <f>IF(AND(C362&lt;&gt;"",C362='Ledger Account'!$D$4,B362&lt;&gt;"",B362&gt;='Ledger Account'!$D$5,B362&lt;='Ledger Account'!$D$6),1,0)</f>
        <v/>
      </c>
      <c r="AJ362">
        <f>IF(AI362=1,SUM(AI$7:AI362),"")</f>
        <v/>
      </c>
      <c r="AK362">
        <f>IF(OR(N362="",N362="OK"),0,1)</f>
        <v/>
      </c>
    </row>
    <row r="363">
      <c r="B363" s="24" t="n"/>
      <c r="C363" s="14" t="n"/>
      <c r="D363" s="14" t="n"/>
      <c r="E363" s="20" t="n"/>
      <c r="F363" s="24" t="n"/>
      <c r="G363" s="14" t="n"/>
      <c r="H363" s="22" t="n"/>
      <c r="I363" s="25">
        <f>IF(Q363="D",N(H363),0)</f>
        <v/>
      </c>
      <c r="J363" s="25">
        <f>IF(Q363="C",N(H363),0)</f>
        <v/>
      </c>
      <c r="K363" s="26">
        <f>IF(Z363="","",Z363)</f>
        <v/>
      </c>
      <c r="L363" s="27">
        <f>W363</f>
        <v/>
      </c>
      <c r="M363" s="28">
        <f>AA363</f>
        <v/>
      </c>
      <c r="N363" s="23">
        <f>IF(AND(B363="",C363="",D363="",N(H363)=0),"",IF(B363="","Enter the date",IF(C363="","Pick the party",IF(P363="?","Add this party on the Parties sheet first",IF(D363="","Pick the entry type",IF(Q363="?","Pick the entry type from the list",IF(N(H363)=0,"Enter the amount",IF(AND(R363&lt;&gt;"Any",R363&lt;&gt;P363),"Sales, receipts and credit notes are for debtors; purchases, payments and debit notes for creditors",IF(AND(F363&lt;&gt;"",D363&lt;&gt;"Purchase bill"),"The received-on date is only for purchase bills",IF(AND(P363="Creditor",X363=1,AA363&gt;0),"Past due to a micro or small supplier: interest runs under MSMED s.16, and if unpaid at year end it is not deductible that year, s.37(2)(g)",IF(AND(P363="Debtor",X363=1,AA363&gt;0),"Past due to you: as a micro or small supplier you can claim interest under MSMED s.16","OK")))))))))))</f>
        <v/>
      </c>
      <c r="P363">
        <f>IF(C363="","",IFERROR(VLOOKUP(C363,'Parties'!$B$13:$Q$112,2,FALSE),"?"))</f>
        <v/>
      </c>
      <c r="Q363">
        <f>IF(D363="","",IFERROR(VLOOKUP(D363,Lists!$A$2:$D$9,3,FALSE),"?"))</f>
        <v/>
      </c>
      <c r="R363">
        <f>IF(D363="","",IFERROR(VLOOKUP(D363,Lists!$A$2:$D$9,4,FALSE),"?"))</f>
        <v/>
      </c>
      <c r="S363">
        <f>IF(P363="Debtor",I363,IF(P363="Creditor",J363,0))</f>
        <v/>
      </c>
      <c r="T363">
        <f>IF(P363="Debtor",J363,IF(P363="Creditor",I363,0))</f>
        <v/>
      </c>
      <c r="U363">
        <f>IF(OR(S363=0,B363=""),0,IFERROR(VLOOKUP(C363,'Parties'!$B$13:$Q$112,13,FALSE),0)+SUMIFS($S$7:$S$506,$C$7:$C$506,C363,$B$7:$B$506,"&lt;"&amp;B363)+SUMIFS(S$7:S363,C$7:C363,C363,B$7:B363,B363))</f>
        <v/>
      </c>
      <c r="V363">
        <f>IF(S363=0,0,IFERROR(VLOOKUP(C363,'Parties'!$B$13:$Q$112,14,FALSE),0)+SUMIFS($T$7:$T$506,$C$7:$C$506,C363,$B$7:$B$506,"&lt;="&amp;'Outstanding'!$E$5))</f>
        <v/>
      </c>
      <c r="W363">
        <f>IF(OR('Outstanding'!$E$5="",S363=0,B363="",B363&gt;'Outstanding'!$E$5),0,MAX(0,MIN(S363,U363-V363)))</f>
        <v/>
      </c>
      <c r="X363">
        <f>IF(C363="",0,IFERROR(VLOOKUP(C363,'Parties'!$B$13:$Q$112,15,FALSE),0))</f>
        <v/>
      </c>
      <c r="Y363">
        <f>IF(C363="","",IFERROR(VLOOKUP(C363,'Parties'!$B$13:$Q$112,16,FALSE),0))</f>
        <v/>
      </c>
      <c r="Z363">
        <f>IF(OR(S363=0,B363="",Y363=""),"",IF(AND(F363&lt;&gt;"",D363="Purchase bill"),F363,B363)+Y363)</f>
        <v/>
      </c>
      <c r="AA363">
        <f>IF(OR(W363=0,Z363=""),0,MAX(0,'Outstanding'!$E$5-Z363))</f>
        <v/>
      </c>
      <c r="AB363">
        <f>IF(AND(X363=1,AA363&gt;0),W363*((1+3*N('Parties'!$E$10)/12)^(AA363*12/365)-1),0)</f>
        <v/>
      </c>
      <c r="AC363">
        <f>IF(W363=0,"",'Outstanding'!$E$5-B363)</f>
        <v/>
      </c>
      <c r="AD363">
        <f>IF(S363=0,0,IFERROR(VLOOKUP(C363,'Parties'!$B$13:$Q$112,14,FALSE),0)+SUMIFS($T$7:$T$506,$C$7:$C$506,C363,$B$7:$B$506,"&lt;="&amp;'Parties'!$E$8))</f>
        <v/>
      </c>
      <c r="AE363">
        <f>IF(OR('Parties'!$E$8="",S363=0,B363="",B363&gt;'Parties'!$E$8),0,MAX(0,MIN(S363,U363-AD363)))</f>
        <v/>
      </c>
      <c r="AF363">
        <f>IF(AND(P363="Creditor",X363=1,AE363&gt;0,Z363&lt;&gt;""),IF(Z363&lt;='Parties'!$E$8,AE363,0),0)</f>
        <v/>
      </c>
      <c r="AG363">
        <f>IF(OR(AE363=0,Z363=""),0,MAX(0,'Parties'!$E$8-Z363))</f>
        <v/>
      </c>
      <c r="AH363">
        <f>IF(AND(P363="Creditor",X363=1,AG363&gt;0),AE363*((1+3*N('Parties'!$E$10)/12)^(AG363*12/365)-1),0)</f>
        <v/>
      </c>
      <c r="AI363">
        <f>IF(AND(C363&lt;&gt;"",C363='Ledger Account'!$D$4,B363&lt;&gt;"",B363&gt;='Ledger Account'!$D$5,B363&lt;='Ledger Account'!$D$6),1,0)</f>
        <v/>
      </c>
      <c r="AJ363">
        <f>IF(AI363=1,SUM(AI$7:AI363),"")</f>
        <v/>
      </c>
      <c r="AK363">
        <f>IF(OR(N363="",N363="OK"),0,1)</f>
        <v/>
      </c>
    </row>
    <row r="364">
      <c r="B364" s="24" t="n"/>
      <c r="C364" s="14" t="n"/>
      <c r="D364" s="14" t="n"/>
      <c r="E364" s="20" t="n"/>
      <c r="F364" s="24" t="n"/>
      <c r="G364" s="14" t="n"/>
      <c r="H364" s="22" t="n"/>
      <c r="I364" s="25">
        <f>IF(Q364="D",N(H364),0)</f>
        <v/>
      </c>
      <c r="J364" s="25">
        <f>IF(Q364="C",N(H364),0)</f>
        <v/>
      </c>
      <c r="K364" s="26">
        <f>IF(Z364="","",Z364)</f>
        <v/>
      </c>
      <c r="L364" s="27">
        <f>W364</f>
        <v/>
      </c>
      <c r="M364" s="28">
        <f>AA364</f>
        <v/>
      </c>
      <c r="N364" s="23">
        <f>IF(AND(B364="",C364="",D364="",N(H364)=0),"",IF(B364="","Enter the date",IF(C364="","Pick the party",IF(P364="?","Add this party on the Parties sheet first",IF(D364="","Pick the entry type",IF(Q364="?","Pick the entry type from the list",IF(N(H364)=0,"Enter the amount",IF(AND(R364&lt;&gt;"Any",R364&lt;&gt;P364),"Sales, receipts and credit notes are for debtors; purchases, payments and debit notes for creditors",IF(AND(F364&lt;&gt;"",D364&lt;&gt;"Purchase bill"),"The received-on date is only for purchase bills",IF(AND(P364="Creditor",X364=1,AA364&gt;0),"Past due to a micro or small supplier: interest runs under MSMED s.16, and if unpaid at year end it is not deductible that year, s.37(2)(g)",IF(AND(P364="Debtor",X364=1,AA364&gt;0),"Past due to you: as a micro or small supplier you can claim interest under MSMED s.16","OK")))))))))))</f>
        <v/>
      </c>
      <c r="P364">
        <f>IF(C364="","",IFERROR(VLOOKUP(C364,'Parties'!$B$13:$Q$112,2,FALSE),"?"))</f>
        <v/>
      </c>
      <c r="Q364">
        <f>IF(D364="","",IFERROR(VLOOKUP(D364,Lists!$A$2:$D$9,3,FALSE),"?"))</f>
        <v/>
      </c>
      <c r="R364">
        <f>IF(D364="","",IFERROR(VLOOKUP(D364,Lists!$A$2:$D$9,4,FALSE),"?"))</f>
        <v/>
      </c>
      <c r="S364">
        <f>IF(P364="Debtor",I364,IF(P364="Creditor",J364,0))</f>
        <v/>
      </c>
      <c r="T364">
        <f>IF(P364="Debtor",J364,IF(P364="Creditor",I364,0))</f>
        <v/>
      </c>
      <c r="U364">
        <f>IF(OR(S364=0,B364=""),0,IFERROR(VLOOKUP(C364,'Parties'!$B$13:$Q$112,13,FALSE),0)+SUMIFS($S$7:$S$506,$C$7:$C$506,C364,$B$7:$B$506,"&lt;"&amp;B364)+SUMIFS(S$7:S364,C$7:C364,C364,B$7:B364,B364))</f>
        <v/>
      </c>
      <c r="V364">
        <f>IF(S364=0,0,IFERROR(VLOOKUP(C364,'Parties'!$B$13:$Q$112,14,FALSE),0)+SUMIFS($T$7:$T$506,$C$7:$C$506,C364,$B$7:$B$506,"&lt;="&amp;'Outstanding'!$E$5))</f>
        <v/>
      </c>
      <c r="W364">
        <f>IF(OR('Outstanding'!$E$5="",S364=0,B364="",B364&gt;'Outstanding'!$E$5),0,MAX(0,MIN(S364,U364-V364)))</f>
        <v/>
      </c>
      <c r="X364">
        <f>IF(C364="",0,IFERROR(VLOOKUP(C364,'Parties'!$B$13:$Q$112,15,FALSE),0))</f>
        <v/>
      </c>
      <c r="Y364">
        <f>IF(C364="","",IFERROR(VLOOKUP(C364,'Parties'!$B$13:$Q$112,16,FALSE),0))</f>
        <v/>
      </c>
      <c r="Z364">
        <f>IF(OR(S364=0,B364="",Y364=""),"",IF(AND(F364&lt;&gt;"",D364="Purchase bill"),F364,B364)+Y364)</f>
        <v/>
      </c>
      <c r="AA364">
        <f>IF(OR(W364=0,Z364=""),0,MAX(0,'Outstanding'!$E$5-Z364))</f>
        <v/>
      </c>
      <c r="AB364">
        <f>IF(AND(X364=1,AA364&gt;0),W364*((1+3*N('Parties'!$E$10)/12)^(AA364*12/365)-1),0)</f>
        <v/>
      </c>
      <c r="AC364">
        <f>IF(W364=0,"",'Outstanding'!$E$5-B364)</f>
        <v/>
      </c>
      <c r="AD364">
        <f>IF(S364=0,0,IFERROR(VLOOKUP(C364,'Parties'!$B$13:$Q$112,14,FALSE),0)+SUMIFS($T$7:$T$506,$C$7:$C$506,C364,$B$7:$B$506,"&lt;="&amp;'Parties'!$E$8))</f>
        <v/>
      </c>
      <c r="AE364">
        <f>IF(OR('Parties'!$E$8="",S364=0,B364="",B364&gt;'Parties'!$E$8),0,MAX(0,MIN(S364,U364-AD364)))</f>
        <v/>
      </c>
      <c r="AF364">
        <f>IF(AND(P364="Creditor",X364=1,AE364&gt;0,Z364&lt;&gt;""),IF(Z364&lt;='Parties'!$E$8,AE364,0),0)</f>
        <v/>
      </c>
      <c r="AG364">
        <f>IF(OR(AE364=0,Z364=""),0,MAX(0,'Parties'!$E$8-Z364))</f>
        <v/>
      </c>
      <c r="AH364">
        <f>IF(AND(P364="Creditor",X364=1,AG364&gt;0),AE364*((1+3*N('Parties'!$E$10)/12)^(AG364*12/365)-1),0)</f>
        <v/>
      </c>
      <c r="AI364">
        <f>IF(AND(C364&lt;&gt;"",C364='Ledger Account'!$D$4,B364&lt;&gt;"",B364&gt;='Ledger Account'!$D$5,B364&lt;='Ledger Account'!$D$6),1,0)</f>
        <v/>
      </c>
      <c r="AJ364">
        <f>IF(AI364=1,SUM(AI$7:AI364),"")</f>
        <v/>
      </c>
      <c r="AK364">
        <f>IF(OR(N364="",N364="OK"),0,1)</f>
        <v/>
      </c>
    </row>
    <row r="365">
      <c r="B365" s="24" t="n"/>
      <c r="C365" s="14" t="n"/>
      <c r="D365" s="14" t="n"/>
      <c r="E365" s="20" t="n"/>
      <c r="F365" s="24" t="n"/>
      <c r="G365" s="14" t="n"/>
      <c r="H365" s="22" t="n"/>
      <c r="I365" s="25">
        <f>IF(Q365="D",N(H365),0)</f>
        <v/>
      </c>
      <c r="J365" s="25">
        <f>IF(Q365="C",N(H365),0)</f>
        <v/>
      </c>
      <c r="K365" s="26">
        <f>IF(Z365="","",Z365)</f>
        <v/>
      </c>
      <c r="L365" s="27">
        <f>W365</f>
        <v/>
      </c>
      <c r="M365" s="28">
        <f>AA365</f>
        <v/>
      </c>
      <c r="N365" s="23">
        <f>IF(AND(B365="",C365="",D365="",N(H365)=0),"",IF(B365="","Enter the date",IF(C365="","Pick the party",IF(P365="?","Add this party on the Parties sheet first",IF(D365="","Pick the entry type",IF(Q365="?","Pick the entry type from the list",IF(N(H365)=0,"Enter the amount",IF(AND(R365&lt;&gt;"Any",R365&lt;&gt;P365),"Sales, receipts and credit notes are for debtors; purchases, payments and debit notes for creditors",IF(AND(F365&lt;&gt;"",D365&lt;&gt;"Purchase bill"),"The received-on date is only for purchase bills",IF(AND(P365="Creditor",X365=1,AA365&gt;0),"Past due to a micro or small supplier: interest runs under MSMED s.16, and if unpaid at year end it is not deductible that year, s.37(2)(g)",IF(AND(P365="Debtor",X365=1,AA365&gt;0),"Past due to you: as a micro or small supplier you can claim interest under MSMED s.16","OK")))))))))))</f>
        <v/>
      </c>
      <c r="P365">
        <f>IF(C365="","",IFERROR(VLOOKUP(C365,'Parties'!$B$13:$Q$112,2,FALSE),"?"))</f>
        <v/>
      </c>
      <c r="Q365">
        <f>IF(D365="","",IFERROR(VLOOKUP(D365,Lists!$A$2:$D$9,3,FALSE),"?"))</f>
        <v/>
      </c>
      <c r="R365">
        <f>IF(D365="","",IFERROR(VLOOKUP(D365,Lists!$A$2:$D$9,4,FALSE),"?"))</f>
        <v/>
      </c>
      <c r="S365">
        <f>IF(P365="Debtor",I365,IF(P365="Creditor",J365,0))</f>
        <v/>
      </c>
      <c r="T365">
        <f>IF(P365="Debtor",J365,IF(P365="Creditor",I365,0))</f>
        <v/>
      </c>
      <c r="U365">
        <f>IF(OR(S365=0,B365=""),0,IFERROR(VLOOKUP(C365,'Parties'!$B$13:$Q$112,13,FALSE),0)+SUMIFS($S$7:$S$506,$C$7:$C$506,C365,$B$7:$B$506,"&lt;"&amp;B365)+SUMIFS(S$7:S365,C$7:C365,C365,B$7:B365,B365))</f>
        <v/>
      </c>
      <c r="V365">
        <f>IF(S365=0,0,IFERROR(VLOOKUP(C365,'Parties'!$B$13:$Q$112,14,FALSE),0)+SUMIFS($T$7:$T$506,$C$7:$C$506,C365,$B$7:$B$506,"&lt;="&amp;'Outstanding'!$E$5))</f>
        <v/>
      </c>
      <c r="W365">
        <f>IF(OR('Outstanding'!$E$5="",S365=0,B365="",B365&gt;'Outstanding'!$E$5),0,MAX(0,MIN(S365,U365-V365)))</f>
        <v/>
      </c>
      <c r="X365">
        <f>IF(C365="",0,IFERROR(VLOOKUP(C365,'Parties'!$B$13:$Q$112,15,FALSE),0))</f>
        <v/>
      </c>
      <c r="Y365">
        <f>IF(C365="","",IFERROR(VLOOKUP(C365,'Parties'!$B$13:$Q$112,16,FALSE),0))</f>
        <v/>
      </c>
      <c r="Z365">
        <f>IF(OR(S365=0,B365="",Y365=""),"",IF(AND(F365&lt;&gt;"",D365="Purchase bill"),F365,B365)+Y365)</f>
        <v/>
      </c>
      <c r="AA365">
        <f>IF(OR(W365=0,Z365=""),0,MAX(0,'Outstanding'!$E$5-Z365))</f>
        <v/>
      </c>
      <c r="AB365">
        <f>IF(AND(X365=1,AA365&gt;0),W365*((1+3*N('Parties'!$E$10)/12)^(AA365*12/365)-1),0)</f>
        <v/>
      </c>
      <c r="AC365">
        <f>IF(W365=0,"",'Outstanding'!$E$5-B365)</f>
        <v/>
      </c>
      <c r="AD365">
        <f>IF(S365=0,0,IFERROR(VLOOKUP(C365,'Parties'!$B$13:$Q$112,14,FALSE),0)+SUMIFS($T$7:$T$506,$C$7:$C$506,C365,$B$7:$B$506,"&lt;="&amp;'Parties'!$E$8))</f>
        <v/>
      </c>
      <c r="AE365">
        <f>IF(OR('Parties'!$E$8="",S365=0,B365="",B365&gt;'Parties'!$E$8),0,MAX(0,MIN(S365,U365-AD365)))</f>
        <v/>
      </c>
      <c r="AF365">
        <f>IF(AND(P365="Creditor",X365=1,AE365&gt;0,Z365&lt;&gt;""),IF(Z365&lt;='Parties'!$E$8,AE365,0),0)</f>
        <v/>
      </c>
      <c r="AG365">
        <f>IF(OR(AE365=0,Z365=""),0,MAX(0,'Parties'!$E$8-Z365))</f>
        <v/>
      </c>
      <c r="AH365">
        <f>IF(AND(P365="Creditor",X365=1,AG365&gt;0),AE365*((1+3*N('Parties'!$E$10)/12)^(AG365*12/365)-1),0)</f>
        <v/>
      </c>
      <c r="AI365">
        <f>IF(AND(C365&lt;&gt;"",C365='Ledger Account'!$D$4,B365&lt;&gt;"",B365&gt;='Ledger Account'!$D$5,B365&lt;='Ledger Account'!$D$6),1,0)</f>
        <v/>
      </c>
      <c r="AJ365">
        <f>IF(AI365=1,SUM(AI$7:AI365),"")</f>
        <v/>
      </c>
      <c r="AK365">
        <f>IF(OR(N365="",N365="OK"),0,1)</f>
        <v/>
      </c>
    </row>
    <row r="366">
      <c r="B366" s="24" t="n"/>
      <c r="C366" s="14" t="n"/>
      <c r="D366" s="14" t="n"/>
      <c r="E366" s="20" t="n"/>
      <c r="F366" s="24" t="n"/>
      <c r="G366" s="14" t="n"/>
      <c r="H366" s="22" t="n"/>
      <c r="I366" s="25">
        <f>IF(Q366="D",N(H366),0)</f>
        <v/>
      </c>
      <c r="J366" s="25">
        <f>IF(Q366="C",N(H366),0)</f>
        <v/>
      </c>
      <c r="K366" s="26">
        <f>IF(Z366="","",Z366)</f>
        <v/>
      </c>
      <c r="L366" s="27">
        <f>W366</f>
        <v/>
      </c>
      <c r="M366" s="28">
        <f>AA366</f>
        <v/>
      </c>
      <c r="N366" s="23">
        <f>IF(AND(B366="",C366="",D366="",N(H366)=0),"",IF(B366="","Enter the date",IF(C366="","Pick the party",IF(P366="?","Add this party on the Parties sheet first",IF(D366="","Pick the entry type",IF(Q366="?","Pick the entry type from the list",IF(N(H366)=0,"Enter the amount",IF(AND(R366&lt;&gt;"Any",R366&lt;&gt;P366),"Sales, receipts and credit notes are for debtors; purchases, payments and debit notes for creditors",IF(AND(F366&lt;&gt;"",D366&lt;&gt;"Purchase bill"),"The received-on date is only for purchase bills",IF(AND(P366="Creditor",X366=1,AA366&gt;0),"Past due to a micro or small supplier: interest runs under MSMED s.16, and if unpaid at year end it is not deductible that year, s.37(2)(g)",IF(AND(P366="Debtor",X366=1,AA366&gt;0),"Past due to you: as a micro or small supplier you can claim interest under MSMED s.16","OK")))))))))))</f>
        <v/>
      </c>
      <c r="P366">
        <f>IF(C366="","",IFERROR(VLOOKUP(C366,'Parties'!$B$13:$Q$112,2,FALSE),"?"))</f>
        <v/>
      </c>
      <c r="Q366">
        <f>IF(D366="","",IFERROR(VLOOKUP(D366,Lists!$A$2:$D$9,3,FALSE),"?"))</f>
        <v/>
      </c>
      <c r="R366">
        <f>IF(D366="","",IFERROR(VLOOKUP(D366,Lists!$A$2:$D$9,4,FALSE),"?"))</f>
        <v/>
      </c>
      <c r="S366">
        <f>IF(P366="Debtor",I366,IF(P366="Creditor",J366,0))</f>
        <v/>
      </c>
      <c r="T366">
        <f>IF(P366="Debtor",J366,IF(P366="Creditor",I366,0))</f>
        <v/>
      </c>
      <c r="U366">
        <f>IF(OR(S366=0,B366=""),0,IFERROR(VLOOKUP(C366,'Parties'!$B$13:$Q$112,13,FALSE),0)+SUMIFS($S$7:$S$506,$C$7:$C$506,C366,$B$7:$B$506,"&lt;"&amp;B366)+SUMIFS(S$7:S366,C$7:C366,C366,B$7:B366,B366))</f>
        <v/>
      </c>
      <c r="V366">
        <f>IF(S366=0,0,IFERROR(VLOOKUP(C366,'Parties'!$B$13:$Q$112,14,FALSE),0)+SUMIFS($T$7:$T$506,$C$7:$C$506,C366,$B$7:$B$506,"&lt;="&amp;'Outstanding'!$E$5))</f>
        <v/>
      </c>
      <c r="W366">
        <f>IF(OR('Outstanding'!$E$5="",S366=0,B366="",B366&gt;'Outstanding'!$E$5),0,MAX(0,MIN(S366,U366-V366)))</f>
        <v/>
      </c>
      <c r="X366">
        <f>IF(C366="",0,IFERROR(VLOOKUP(C366,'Parties'!$B$13:$Q$112,15,FALSE),0))</f>
        <v/>
      </c>
      <c r="Y366">
        <f>IF(C366="","",IFERROR(VLOOKUP(C366,'Parties'!$B$13:$Q$112,16,FALSE),0))</f>
        <v/>
      </c>
      <c r="Z366">
        <f>IF(OR(S366=0,B366="",Y366=""),"",IF(AND(F366&lt;&gt;"",D366="Purchase bill"),F366,B366)+Y366)</f>
        <v/>
      </c>
      <c r="AA366">
        <f>IF(OR(W366=0,Z366=""),0,MAX(0,'Outstanding'!$E$5-Z366))</f>
        <v/>
      </c>
      <c r="AB366">
        <f>IF(AND(X366=1,AA366&gt;0),W366*((1+3*N('Parties'!$E$10)/12)^(AA366*12/365)-1),0)</f>
        <v/>
      </c>
      <c r="AC366">
        <f>IF(W366=0,"",'Outstanding'!$E$5-B366)</f>
        <v/>
      </c>
      <c r="AD366">
        <f>IF(S366=0,0,IFERROR(VLOOKUP(C366,'Parties'!$B$13:$Q$112,14,FALSE),0)+SUMIFS($T$7:$T$506,$C$7:$C$506,C366,$B$7:$B$506,"&lt;="&amp;'Parties'!$E$8))</f>
        <v/>
      </c>
      <c r="AE366">
        <f>IF(OR('Parties'!$E$8="",S366=0,B366="",B366&gt;'Parties'!$E$8),0,MAX(0,MIN(S366,U366-AD366)))</f>
        <v/>
      </c>
      <c r="AF366">
        <f>IF(AND(P366="Creditor",X366=1,AE366&gt;0,Z366&lt;&gt;""),IF(Z366&lt;='Parties'!$E$8,AE366,0),0)</f>
        <v/>
      </c>
      <c r="AG366">
        <f>IF(OR(AE366=0,Z366=""),0,MAX(0,'Parties'!$E$8-Z366))</f>
        <v/>
      </c>
      <c r="AH366">
        <f>IF(AND(P366="Creditor",X366=1,AG366&gt;0),AE366*((1+3*N('Parties'!$E$10)/12)^(AG366*12/365)-1),0)</f>
        <v/>
      </c>
      <c r="AI366">
        <f>IF(AND(C366&lt;&gt;"",C366='Ledger Account'!$D$4,B366&lt;&gt;"",B366&gt;='Ledger Account'!$D$5,B366&lt;='Ledger Account'!$D$6),1,0)</f>
        <v/>
      </c>
      <c r="AJ366">
        <f>IF(AI366=1,SUM(AI$7:AI366),"")</f>
        <v/>
      </c>
      <c r="AK366">
        <f>IF(OR(N366="",N366="OK"),0,1)</f>
        <v/>
      </c>
    </row>
    <row r="367">
      <c r="B367" s="24" t="n"/>
      <c r="C367" s="14" t="n"/>
      <c r="D367" s="14" t="n"/>
      <c r="E367" s="20" t="n"/>
      <c r="F367" s="24" t="n"/>
      <c r="G367" s="14" t="n"/>
      <c r="H367" s="22" t="n"/>
      <c r="I367" s="25">
        <f>IF(Q367="D",N(H367),0)</f>
        <v/>
      </c>
      <c r="J367" s="25">
        <f>IF(Q367="C",N(H367),0)</f>
        <v/>
      </c>
      <c r="K367" s="26">
        <f>IF(Z367="","",Z367)</f>
        <v/>
      </c>
      <c r="L367" s="27">
        <f>W367</f>
        <v/>
      </c>
      <c r="M367" s="28">
        <f>AA367</f>
        <v/>
      </c>
      <c r="N367" s="23">
        <f>IF(AND(B367="",C367="",D367="",N(H367)=0),"",IF(B367="","Enter the date",IF(C367="","Pick the party",IF(P367="?","Add this party on the Parties sheet first",IF(D367="","Pick the entry type",IF(Q367="?","Pick the entry type from the list",IF(N(H367)=0,"Enter the amount",IF(AND(R367&lt;&gt;"Any",R367&lt;&gt;P367),"Sales, receipts and credit notes are for debtors; purchases, payments and debit notes for creditors",IF(AND(F367&lt;&gt;"",D367&lt;&gt;"Purchase bill"),"The received-on date is only for purchase bills",IF(AND(P367="Creditor",X367=1,AA367&gt;0),"Past due to a micro or small supplier: interest runs under MSMED s.16, and if unpaid at year end it is not deductible that year, s.37(2)(g)",IF(AND(P367="Debtor",X367=1,AA367&gt;0),"Past due to you: as a micro or small supplier you can claim interest under MSMED s.16","OK")))))))))))</f>
        <v/>
      </c>
      <c r="P367">
        <f>IF(C367="","",IFERROR(VLOOKUP(C367,'Parties'!$B$13:$Q$112,2,FALSE),"?"))</f>
        <v/>
      </c>
      <c r="Q367">
        <f>IF(D367="","",IFERROR(VLOOKUP(D367,Lists!$A$2:$D$9,3,FALSE),"?"))</f>
        <v/>
      </c>
      <c r="R367">
        <f>IF(D367="","",IFERROR(VLOOKUP(D367,Lists!$A$2:$D$9,4,FALSE),"?"))</f>
        <v/>
      </c>
      <c r="S367">
        <f>IF(P367="Debtor",I367,IF(P367="Creditor",J367,0))</f>
        <v/>
      </c>
      <c r="T367">
        <f>IF(P367="Debtor",J367,IF(P367="Creditor",I367,0))</f>
        <v/>
      </c>
      <c r="U367">
        <f>IF(OR(S367=0,B367=""),0,IFERROR(VLOOKUP(C367,'Parties'!$B$13:$Q$112,13,FALSE),0)+SUMIFS($S$7:$S$506,$C$7:$C$506,C367,$B$7:$B$506,"&lt;"&amp;B367)+SUMIFS(S$7:S367,C$7:C367,C367,B$7:B367,B367))</f>
        <v/>
      </c>
      <c r="V367">
        <f>IF(S367=0,0,IFERROR(VLOOKUP(C367,'Parties'!$B$13:$Q$112,14,FALSE),0)+SUMIFS($T$7:$T$506,$C$7:$C$506,C367,$B$7:$B$506,"&lt;="&amp;'Outstanding'!$E$5))</f>
        <v/>
      </c>
      <c r="W367">
        <f>IF(OR('Outstanding'!$E$5="",S367=0,B367="",B367&gt;'Outstanding'!$E$5),0,MAX(0,MIN(S367,U367-V367)))</f>
        <v/>
      </c>
      <c r="X367">
        <f>IF(C367="",0,IFERROR(VLOOKUP(C367,'Parties'!$B$13:$Q$112,15,FALSE),0))</f>
        <v/>
      </c>
      <c r="Y367">
        <f>IF(C367="","",IFERROR(VLOOKUP(C367,'Parties'!$B$13:$Q$112,16,FALSE),0))</f>
        <v/>
      </c>
      <c r="Z367">
        <f>IF(OR(S367=0,B367="",Y367=""),"",IF(AND(F367&lt;&gt;"",D367="Purchase bill"),F367,B367)+Y367)</f>
        <v/>
      </c>
      <c r="AA367">
        <f>IF(OR(W367=0,Z367=""),0,MAX(0,'Outstanding'!$E$5-Z367))</f>
        <v/>
      </c>
      <c r="AB367">
        <f>IF(AND(X367=1,AA367&gt;0),W367*((1+3*N('Parties'!$E$10)/12)^(AA367*12/365)-1),0)</f>
        <v/>
      </c>
      <c r="AC367">
        <f>IF(W367=0,"",'Outstanding'!$E$5-B367)</f>
        <v/>
      </c>
      <c r="AD367">
        <f>IF(S367=0,0,IFERROR(VLOOKUP(C367,'Parties'!$B$13:$Q$112,14,FALSE),0)+SUMIFS($T$7:$T$506,$C$7:$C$506,C367,$B$7:$B$506,"&lt;="&amp;'Parties'!$E$8))</f>
        <v/>
      </c>
      <c r="AE367">
        <f>IF(OR('Parties'!$E$8="",S367=0,B367="",B367&gt;'Parties'!$E$8),0,MAX(0,MIN(S367,U367-AD367)))</f>
        <v/>
      </c>
      <c r="AF367">
        <f>IF(AND(P367="Creditor",X367=1,AE367&gt;0,Z367&lt;&gt;""),IF(Z367&lt;='Parties'!$E$8,AE367,0),0)</f>
        <v/>
      </c>
      <c r="AG367">
        <f>IF(OR(AE367=0,Z367=""),0,MAX(0,'Parties'!$E$8-Z367))</f>
        <v/>
      </c>
      <c r="AH367">
        <f>IF(AND(P367="Creditor",X367=1,AG367&gt;0),AE367*((1+3*N('Parties'!$E$10)/12)^(AG367*12/365)-1),0)</f>
        <v/>
      </c>
      <c r="AI367">
        <f>IF(AND(C367&lt;&gt;"",C367='Ledger Account'!$D$4,B367&lt;&gt;"",B367&gt;='Ledger Account'!$D$5,B367&lt;='Ledger Account'!$D$6),1,0)</f>
        <v/>
      </c>
      <c r="AJ367">
        <f>IF(AI367=1,SUM(AI$7:AI367),"")</f>
        <v/>
      </c>
      <c r="AK367">
        <f>IF(OR(N367="",N367="OK"),0,1)</f>
        <v/>
      </c>
    </row>
    <row r="368">
      <c r="B368" s="24" t="n"/>
      <c r="C368" s="14" t="n"/>
      <c r="D368" s="14" t="n"/>
      <c r="E368" s="20" t="n"/>
      <c r="F368" s="24" t="n"/>
      <c r="G368" s="14" t="n"/>
      <c r="H368" s="22" t="n"/>
      <c r="I368" s="25">
        <f>IF(Q368="D",N(H368),0)</f>
        <v/>
      </c>
      <c r="J368" s="25">
        <f>IF(Q368="C",N(H368),0)</f>
        <v/>
      </c>
      <c r="K368" s="26">
        <f>IF(Z368="","",Z368)</f>
        <v/>
      </c>
      <c r="L368" s="27">
        <f>W368</f>
        <v/>
      </c>
      <c r="M368" s="28">
        <f>AA368</f>
        <v/>
      </c>
      <c r="N368" s="23">
        <f>IF(AND(B368="",C368="",D368="",N(H368)=0),"",IF(B368="","Enter the date",IF(C368="","Pick the party",IF(P368="?","Add this party on the Parties sheet first",IF(D368="","Pick the entry type",IF(Q368="?","Pick the entry type from the list",IF(N(H368)=0,"Enter the amount",IF(AND(R368&lt;&gt;"Any",R368&lt;&gt;P368),"Sales, receipts and credit notes are for debtors; purchases, payments and debit notes for creditors",IF(AND(F368&lt;&gt;"",D368&lt;&gt;"Purchase bill"),"The received-on date is only for purchase bills",IF(AND(P368="Creditor",X368=1,AA368&gt;0),"Past due to a micro or small supplier: interest runs under MSMED s.16, and if unpaid at year end it is not deductible that year, s.37(2)(g)",IF(AND(P368="Debtor",X368=1,AA368&gt;0),"Past due to you: as a micro or small supplier you can claim interest under MSMED s.16","OK")))))))))))</f>
        <v/>
      </c>
      <c r="P368">
        <f>IF(C368="","",IFERROR(VLOOKUP(C368,'Parties'!$B$13:$Q$112,2,FALSE),"?"))</f>
        <v/>
      </c>
      <c r="Q368">
        <f>IF(D368="","",IFERROR(VLOOKUP(D368,Lists!$A$2:$D$9,3,FALSE),"?"))</f>
        <v/>
      </c>
      <c r="R368">
        <f>IF(D368="","",IFERROR(VLOOKUP(D368,Lists!$A$2:$D$9,4,FALSE),"?"))</f>
        <v/>
      </c>
      <c r="S368">
        <f>IF(P368="Debtor",I368,IF(P368="Creditor",J368,0))</f>
        <v/>
      </c>
      <c r="T368">
        <f>IF(P368="Debtor",J368,IF(P368="Creditor",I368,0))</f>
        <v/>
      </c>
      <c r="U368">
        <f>IF(OR(S368=0,B368=""),0,IFERROR(VLOOKUP(C368,'Parties'!$B$13:$Q$112,13,FALSE),0)+SUMIFS($S$7:$S$506,$C$7:$C$506,C368,$B$7:$B$506,"&lt;"&amp;B368)+SUMIFS(S$7:S368,C$7:C368,C368,B$7:B368,B368))</f>
        <v/>
      </c>
      <c r="V368">
        <f>IF(S368=0,0,IFERROR(VLOOKUP(C368,'Parties'!$B$13:$Q$112,14,FALSE),0)+SUMIFS($T$7:$T$506,$C$7:$C$506,C368,$B$7:$B$506,"&lt;="&amp;'Outstanding'!$E$5))</f>
        <v/>
      </c>
      <c r="W368">
        <f>IF(OR('Outstanding'!$E$5="",S368=0,B368="",B368&gt;'Outstanding'!$E$5),0,MAX(0,MIN(S368,U368-V368)))</f>
        <v/>
      </c>
      <c r="X368">
        <f>IF(C368="",0,IFERROR(VLOOKUP(C368,'Parties'!$B$13:$Q$112,15,FALSE),0))</f>
        <v/>
      </c>
      <c r="Y368">
        <f>IF(C368="","",IFERROR(VLOOKUP(C368,'Parties'!$B$13:$Q$112,16,FALSE),0))</f>
        <v/>
      </c>
      <c r="Z368">
        <f>IF(OR(S368=0,B368="",Y368=""),"",IF(AND(F368&lt;&gt;"",D368="Purchase bill"),F368,B368)+Y368)</f>
        <v/>
      </c>
      <c r="AA368">
        <f>IF(OR(W368=0,Z368=""),0,MAX(0,'Outstanding'!$E$5-Z368))</f>
        <v/>
      </c>
      <c r="AB368">
        <f>IF(AND(X368=1,AA368&gt;0),W368*((1+3*N('Parties'!$E$10)/12)^(AA368*12/365)-1),0)</f>
        <v/>
      </c>
      <c r="AC368">
        <f>IF(W368=0,"",'Outstanding'!$E$5-B368)</f>
        <v/>
      </c>
      <c r="AD368">
        <f>IF(S368=0,0,IFERROR(VLOOKUP(C368,'Parties'!$B$13:$Q$112,14,FALSE),0)+SUMIFS($T$7:$T$506,$C$7:$C$506,C368,$B$7:$B$506,"&lt;="&amp;'Parties'!$E$8))</f>
        <v/>
      </c>
      <c r="AE368">
        <f>IF(OR('Parties'!$E$8="",S368=0,B368="",B368&gt;'Parties'!$E$8),0,MAX(0,MIN(S368,U368-AD368)))</f>
        <v/>
      </c>
      <c r="AF368">
        <f>IF(AND(P368="Creditor",X368=1,AE368&gt;0,Z368&lt;&gt;""),IF(Z368&lt;='Parties'!$E$8,AE368,0),0)</f>
        <v/>
      </c>
      <c r="AG368">
        <f>IF(OR(AE368=0,Z368=""),0,MAX(0,'Parties'!$E$8-Z368))</f>
        <v/>
      </c>
      <c r="AH368">
        <f>IF(AND(P368="Creditor",X368=1,AG368&gt;0),AE368*((1+3*N('Parties'!$E$10)/12)^(AG368*12/365)-1),0)</f>
        <v/>
      </c>
      <c r="AI368">
        <f>IF(AND(C368&lt;&gt;"",C368='Ledger Account'!$D$4,B368&lt;&gt;"",B368&gt;='Ledger Account'!$D$5,B368&lt;='Ledger Account'!$D$6),1,0)</f>
        <v/>
      </c>
      <c r="AJ368">
        <f>IF(AI368=1,SUM(AI$7:AI368),"")</f>
        <v/>
      </c>
      <c r="AK368">
        <f>IF(OR(N368="",N368="OK"),0,1)</f>
        <v/>
      </c>
    </row>
    <row r="369">
      <c r="B369" s="24" t="n"/>
      <c r="C369" s="14" t="n"/>
      <c r="D369" s="14" t="n"/>
      <c r="E369" s="20" t="n"/>
      <c r="F369" s="24" t="n"/>
      <c r="G369" s="14" t="n"/>
      <c r="H369" s="22" t="n"/>
      <c r="I369" s="25">
        <f>IF(Q369="D",N(H369),0)</f>
        <v/>
      </c>
      <c r="J369" s="25">
        <f>IF(Q369="C",N(H369),0)</f>
        <v/>
      </c>
      <c r="K369" s="26">
        <f>IF(Z369="","",Z369)</f>
        <v/>
      </c>
      <c r="L369" s="27">
        <f>W369</f>
        <v/>
      </c>
      <c r="M369" s="28">
        <f>AA369</f>
        <v/>
      </c>
      <c r="N369" s="23">
        <f>IF(AND(B369="",C369="",D369="",N(H369)=0),"",IF(B369="","Enter the date",IF(C369="","Pick the party",IF(P369="?","Add this party on the Parties sheet first",IF(D369="","Pick the entry type",IF(Q369="?","Pick the entry type from the list",IF(N(H369)=0,"Enter the amount",IF(AND(R369&lt;&gt;"Any",R369&lt;&gt;P369),"Sales, receipts and credit notes are for debtors; purchases, payments and debit notes for creditors",IF(AND(F369&lt;&gt;"",D369&lt;&gt;"Purchase bill"),"The received-on date is only for purchase bills",IF(AND(P369="Creditor",X369=1,AA369&gt;0),"Past due to a micro or small supplier: interest runs under MSMED s.16, and if unpaid at year end it is not deductible that year, s.37(2)(g)",IF(AND(P369="Debtor",X369=1,AA369&gt;0),"Past due to you: as a micro or small supplier you can claim interest under MSMED s.16","OK")))))))))))</f>
        <v/>
      </c>
      <c r="P369">
        <f>IF(C369="","",IFERROR(VLOOKUP(C369,'Parties'!$B$13:$Q$112,2,FALSE),"?"))</f>
        <v/>
      </c>
      <c r="Q369">
        <f>IF(D369="","",IFERROR(VLOOKUP(D369,Lists!$A$2:$D$9,3,FALSE),"?"))</f>
        <v/>
      </c>
      <c r="R369">
        <f>IF(D369="","",IFERROR(VLOOKUP(D369,Lists!$A$2:$D$9,4,FALSE),"?"))</f>
        <v/>
      </c>
      <c r="S369">
        <f>IF(P369="Debtor",I369,IF(P369="Creditor",J369,0))</f>
        <v/>
      </c>
      <c r="T369">
        <f>IF(P369="Debtor",J369,IF(P369="Creditor",I369,0))</f>
        <v/>
      </c>
      <c r="U369">
        <f>IF(OR(S369=0,B369=""),0,IFERROR(VLOOKUP(C369,'Parties'!$B$13:$Q$112,13,FALSE),0)+SUMIFS($S$7:$S$506,$C$7:$C$506,C369,$B$7:$B$506,"&lt;"&amp;B369)+SUMIFS(S$7:S369,C$7:C369,C369,B$7:B369,B369))</f>
        <v/>
      </c>
      <c r="V369">
        <f>IF(S369=0,0,IFERROR(VLOOKUP(C369,'Parties'!$B$13:$Q$112,14,FALSE),0)+SUMIFS($T$7:$T$506,$C$7:$C$506,C369,$B$7:$B$506,"&lt;="&amp;'Outstanding'!$E$5))</f>
        <v/>
      </c>
      <c r="W369">
        <f>IF(OR('Outstanding'!$E$5="",S369=0,B369="",B369&gt;'Outstanding'!$E$5),0,MAX(0,MIN(S369,U369-V369)))</f>
        <v/>
      </c>
      <c r="X369">
        <f>IF(C369="",0,IFERROR(VLOOKUP(C369,'Parties'!$B$13:$Q$112,15,FALSE),0))</f>
        <v/>
      </c>
      <c r="Y369">
        <f>IF(C369="","",IFERROR(VLOOKUP(C369,'Parties'!$B$13:$Q$112,16,FALSE),0))</f>
        <v/>
      </c>
      <c r="Z369">
        <f>IF(OR(S369=0,B369="",Y369=""),"",IF(AND(F369&lt;&gt;"",D369="Purchase bill"),F369,B369)+Y369)</f>
        <v/>
      </c>
      <c r="AA369">
        <f>IF(OR(W369=0,Z369=""),0,MAX(0,'Outstanding'!$E$5-Z369))</f>
        <v/>
      </c>
      <c r="AB369">
        <f>IF(AND(X369=1,AA369&gt;0),W369*((1+3*N('Parties'!$E$10)/12)^(AA369*12/365)-1),0)</f>
        <v/>
      </c>
      <c r="AC369">
        <f>IF(W369=0,"",'Outstanding'!$E$5-B369)</f>
        <v/>
      </c>
      <c r="AD369">
        <f>IF(S369=0,0,IFERROR(VLOOKUP(C369,'Parties'!$B$13:$Q$112,14,FALSE),0)+SUMIFS($T$7:$T$506,$C$7:$C$506,C369,$B$7:$B$506,"&lt;="&amp;'Parties'!$E$8))</f>
        <v/>
      </c>
      <c r="AE369">
        <f>IF(OR('Parties'!$E$8="",S369=0,B369="",B369&gt;'Parties'!$E$8),0,MAX(0,MIN(S369,U369-AD369)))</f>
        <v/>
      </c>
      <c r="AF369">
        <f>IF(AND(P369="Creditor",X369=1,AE369&gt;0,Z369&lt;&gt;""),IF(Z369&lt;='Parties'!$E$8,AE369,0),0)</f>
        <v/>
      </c>
      <c r="AG369">
        <f>IF(OR(AE369=0,Z369=""),0,MAX(0,'Parties'!$E$8-Z369))</f>
        <v/>
      </c>
      <c r="AH369">
        <f>IF(AND(P369="Creditor",X369=1,AG369&gt;0),AE369*((1+3*N('Parties'!$E$10)/12)^(AG369*12/365)-1),0)</f>
        <v/>
      </c>
      <c r="AI369">
        <f>IF(AND(C369&lt;&gt;"",C369='Ledger Account'!$D$4,B369&lt;&gt;"",B369&gt;='Ledger Account'!$D$5,B369&lt;='Ledger Account'!$D$6),1,0)</f>
        <v/>
      </c>
      <c r="AJ369">
        <f>IF(AI369=1,SUM(AI$7:AI369),"")</f>
        <v/>
      </c>
      <c r="AK369">
        <f>IF(OR(N369="",N369="OK"),0,1)</f>
        <v/>
      </c>
    </row>
    <row r="370">
      <c r="B370" s="24" t="n"/>
      <c r="C370" s="14" t="n"/>
      <c r="D370" s="14" t="n"/>
      <c r="E370" s="20" t="n"/>
      <c r="F370" s="24" t="n"/>
      <c r="G370" s="14" t="n"/>
      <c r="H370" s="22" t="n"/>
      <c r="I370" s="25">
        <f>IF(Q370="D",N(H370),0)</f>
        <v/>
      </c>
      <c r="J370" s="25">
        <f>IF(Q370="C",N(H370),0)</f>
        <v/>
      </c>
      <c r="K370" s="26">
        <f>IF(Z370="","",Z370)</f>
        <v/>
      </c>
      <c r="L370" s="27">
        <f>W370</f>
        <v/>
      </c>
      <c r="M370" s="28">
        <f>AA370</f>
        <v/>
      </c>
      <c r="N370" s="23">
        <f>IF(AND(B370="",C370="",D370="",N(H370)=0),"",IF(B370="","Enter the date",IF(C370="","Pick the party",IF(P370="?","Add this party on the Parties sheet first",IF(D370="","Pick the entry type",IF(Q370="?","Pick the entry type from the list",IF(N(H370)=0,"Enter the amount",IF(AND(R370&lt;&gt;"Any",R370&lt;&gt;P370),"Sales, receipts and credit notes are for debtors; purchases, payments and debit notes for creditors",IF(AND(F370&lt;&gt;"",D370&lt;&gt;"Purchase bill"),"The received-on date is only for purchase bills",IF(AND(P370="Creditor",X370=1,AA370&gt;0),"Past due to a micro or small supplier: interest runs under MSMED s.16, and if unpaid at year end it is not deductible that year, s.37(2)(g)",IF(AND(P370="Debtor",X370=1,AA370&gt;0),"Past due to you: as a micro or small supplier you can claim interest under MSMED s.16","OK")))))))))))</f>
        <v/>
      </c>
      <c r="P370">
        <f>IF(C370="","",IFERROR(VLOOKUP(C370,'Parties'!$B$13:$Q$112,2,FALSE),"?"))</f>
        <v/>
      </c>
      <c r="Q370">
        <f>IF(D370="","",IFERROR(VLOOKUP(D370,Lists!$A$2:$D$9,3,FALSE),"?"))</f>
        <v/>
      </c>
      <c r="R370">
        <f>IF(D370="","",IFERROR(VLOOKUP(D370,Lists!$A$2:$D$9,4,FALSE),"?"))</f>
        <v/>
      </c>
      <c r="S370">
        <f>IF(P370="Debtor",I370,IF(P370="Creditor",J370,0))</f>
        <v/>
      </c>
      <c r="T370">
        <f>IF(P370="Debtor",J370,IF(P370="Creditor",I370,0))</f>
        <v/>
      </c>
      <c r="U370">
        <f>IF(OR(S370=0,B370=""),0,IFERROR(VLOOKUP(C370,'Parties'!$B$13:$Q$112,13,FALSE),0)+SUMIFS($S$7:$S$506,$C$7:$C$506,C370,$B$7:$B$506,"&lt;"&amp;B370)+SUMIFS(S$7:S370,C$7:C370,C370,B$7:B370,B370))</f>
        <v/>
      </c>
      <c r="V370">
        <f>IF(S370=0,0,IFERROR(VLOOKUP(C370,'Parties'!$B$13:$Q$112,14,FALSE),0)+SUMIFS($T$7:$T$506,$C$7:$C$506,C370,$B$7:$B$506,"&lt;="&amp;'Outstanding'!$E$5))</f>
        <v/>
      </c>
      <c r="W370">
        <f>IF(OR('Outstanding'!$E$5="",S370=0,B370="",B370&gt;'Outstanding'!$E$5),0,MAX(0,MIN(S370,U370-V370)))</f>
        <v/>
      </c>
      <c r="X370">
        <f>IF(C370="",0,IFERROR(VLOOKUP(C370,'Parties'!$B$13:$Q$112,15,FALSE),0))</f>
        <v/>
      </c>
      <c r="Y370">
        <f>IF(C370="","",IFERROR(VLOOKUP(C370,'Parties'!$B$13:$Q$112,16,FALSE),0))</f>
        <v/>
      </c>
      <c r="Z370">
        <f>IF(OR(S370=0,B370="",Y370=""),"",IF(AND(F370&lt;&gt;"",D370="Purchase bill"),F370,B370)+Y370)</f>
        <v/>
      </c>
      <c r="AA370">
        <f>IF(OR(W370=0,Z370=""),0,MAX(0,'Outstanding'!$E$5-Z370))</f>
        <v/>
      </c>
      <c r="AB370">
        <f>IF(AND(X370=1,AA370&gt;0),W370*((1+3*N('Parties'!$E$10)/12)^(AA370*12/365)-1),0)</f>
        <v/>
      </c>
      <c r="AC370">
        <f>IF(W370=0,"",'Outstanding'!$E$5-B370)</f>
        <v/>
      </c>
      <c r="AD370">
        <f>IF(S370=0,0,IFERROR(VLOOKUP(C370,'Parties'!$B$13:$Q$112,14,FALSE),0)+SUMIFS($T$7:$T$506,$C$7:$C$506,C370,$B$7:$B$506,"&lt;="&amp;'Parties'!$E$8))</f>
        <v/>
      </c>
      <c r="AE370">
        <f>IF(OR('Parties'!$E$8="",S370=0,B370="",B370&gt;'Parties'!$E$8),0,MAX(0,MIN(S370,U370-AD370)))</f>
        <v/>
      </c>
      <c r="AF370">
        <f>IF(AND(P370="Creditor",X370=1,AE370&gt;0,Z370&lt;&gt;""),IF(Z370&lt;='Parties'!$E$8,AE370,0),0)</f>
        <v/>
      </c>
      <c r="AG370">
        <f>IF(OR(AE370=0,Z370=""),0,MAX(0,'Parties'!$E$8-Z370))</f>
        <v/>
      </c>
      <c r="AH370">
        <f>IF(AND(P370="Creditor",X370=1,AG370&gt;0),AE370*((1+3*N('Parties'!$E$10)/12)^(AG370*12/365)-1),0)</f>
        <v/>
      </c>
      <c r="AI370">
        <f>IF(AND(C370&lt;&gt;"",C370='Ledger Account'!$D$4,B370&lt;&gt;"",B370&gt;='Ledger Account'!$D$5,B370&lt;='Ledger Account'!$D$6),1,0)</f>
        <v/>
      </c>
      <c r="AJ370">
        <f>IF(AI370=1,SUM(AI$7:AI370),"")</f>
        <v/>
      </c>
      <c r="AK370">
        <f>IF(OR(N370="",N370="OK"),0,1)</f>
        <v/>
      </c>
    </row>
    <row r="371">
      <c r="B371" s="24" t="n"/>
      <c r="C371" s="14" t="n"/>
      <c r="D371" s="14" t="n"/>
      <c r="E371" s="20" t="n"/>
      <c r="F371" s="24" t="n"/>
      <c r="G371" s="14" t="n"/>
      <c r="H371" s="22" t="n"/>
      <c r="I371" s="25">
        <f>IF(Q371="D",N(H371),0)</f>
        <v/>
      </c>
      <c r="J371" s="25">
        <f>IF(Q371="C",N(H371),0)</f>
        <v/>
      </c>
      <c r="K371" s="26">
        <f>IF(Z371="","",Z371)</f>
        <v/>
      </c>
      <c r="L371" s="27">
        <f>W371</f>
        <v/>
      </c>
      <c r="M371" s="28">
        <f>AA371</f>
        <v/>
      </c>
      <c r="N371" s="23">
        <f>IF(AND(B371="",C371="",D371="",N(H371)=0),"",IF(B371="","Enter the date",IF(C371="","Pick the party",IF(P371="?","Add this party on the Parties sheet first",IF(D371="","Pick the entry type",IF(Q371="?","Pick the entry type from the list",IF(N(H371)=0,"Enter the amount",IF(AND(R371&lt;&gt;"Any",R371&lt;&gt;P371),"Sales, receipts and credit notes are for debtors; purchases, payments and debit notes for creditors",IF(AND(F371&lt;&gt;"",D371&lt;&gt;"Purchase bill"),"The received-on date is only for purchase bills",IF(AND(P371="Creditor",X371=1,AA371&gt;0),"Past due to a micro or small supplier: interest runs under MSMED s.16, and if unpaid at year end it is not deductible that year, s.37(2)(g)",IF(AND(P371="Debtor",X371=1,AA371&gt;0),"Past due to you: as a micro or small supplier you can claim interest under MSMED s.16","OK")))))))))))</f>
        <v/>
      </c>
      <c r="P371">
        <f>IF(C371="","",IFERROR(VLOOKUP(C371,'Parties'!$B$13:$Q$112,2,FALSE),"?"))</f>
        <v/>
      </c>
      <c r="Q371">
        <f>IF(D371="","",IFERROR(VLOOKUP(D371,Lists!$A$2:$D$9,3,FALSE),"?"))</f>
        <v/>
      </c>
      <c r="R371">
        <f>IF(D371="","",IFERROR(VLOOKUP(D371,Lists!$A$2:$D$9,4,FALSE),"?"))</f>
        <v/>
      </c>
      <c r="S371">
        <f>IF(P371="Debtor",I371,IF(P371="Creditor",J371,0))</f>
        <v/>
      </c>
      <c r="T371">
        <f>IF(P371="Debtor",J371,IF(P371="Creditor",I371,0))</f>
        <v/>
      </c>
      <c r="U371">
        <f>IF(OR(S371=0,B371=""),0,IFERROR(VLOOKUP(C371,'Parties'!$B$13:$Q$112,13,FALSE),0)+SUMIFS($S$7:$S$506,$C$7:$C$506,C371,$B$7:$B$506,"&lt;"&amp;B371)+SUMIFS(S$7:S371,C$7:C371,C371,B$7:B371,B371))</f>
        <v/>
      </c>
      <c r="V371">
        <f>IF(S371=0,0,IFERROR(VLOOKUP(C371,'Parties'!$B$13:$Q$112,14,FALSE),0)+SUMIFS($T$7:$T$506,$C$7:$C$506,C371,$B$7:$B$506,"&lt;="&amp;'Outstanding'!$E$5))</f>
        <v/>
      </c>
      <c r="W371">
        <f>IF(OR('Outstanding'!$E$5="",S371=0,B371="",B371&gt;'Outstanding'!$E$5),0,MAX(0,MIN(S371,U371-V371)))</f>
        <v/>
      </c>
      <c r="X371">
        <f>IF(C371="",0,IFERROR(VLOOKUP(C371,'Parties'!$B$13:$Q$112,15,FALSE),0))</f>
        <v/>
      </c>
      <c r="Y371">
        <f>IF(C371="","",IFERROR(VLOOKUP(C371,'Parties'!$B$13:$Q$112,16,FALSE),0))</f>
        <v/>
      </c>
      <c r="Z371">
        <f>IF(OR(S371=0,B371="",Y371=""),"",IF(AND(F371&lt;&gt;"",D371="Purchase bill"),F371,B371)+Y371)</f>
        <v/>
      </c>
      <c r="AA371">
        <f>IF(OR(W371=0,Z371=""),0,MAX(0,'Outstanding'!$E$5-Z371))</f>
        <v/>
      </c>
      <c r="AB371">
        <f>IF(AND(X371=1,AA371&gt;0),W371*((1+3*N('Parties'!$E$10)/12)^(AA371*12/365)-1),0)</f>
        <v/>
      </c>
      <c r="AC371">
        <f>IF(W371=0,"",'Outstanding'!$E$5-B371)</f>
        <v/>
      </c>
      <c r="AD371">
        <f>IF(S371=0,0,IFERROR(VLOOKUP(C371,'Parties'!$B$13:$Q$112,14,FALSE),0)+SUMIFS($T$7:$T$506,$C$7:$C$506,C371,$B$7:$B$506,"&lt;="&amp;'Parties'!$E$8))</f>
        <v/>
      </c>
      <c r="AE371">
        <f>IF(OR('Parties'!$E$8="",S371=0,B371="",B371&gt;'Parties'!$E$8),0,MAX(0,MIN(S371,U371-AD371)))</f>
        <v/>
      </c>
      <c r="AF371">
        <f>IF(AND(P371="Creditor",X371=1,AE371&gt;0,Z371&lt;&gt;""),IF(Z371&lt;='Parties'!$E$8,AE371,0),0)</f>
        <v/>
      </c>
      <c r="AG371">
        <f>IF(OR(AE371=0,Z371=""),0,MAX(0,'Parties'!$E$8-Z371))</f>
        <v/>
      </c>
      <c r="AH371">
        <f>IF(AND(P371="Creditor",X371=1,AG371&gt;0),AE371*((1+3*N('Parties'!$E$10)/12)^(AG371*12/365)-1),0)</f>
        <v/>
      </c>
      <c r="AI371">
        <f>IF(AND(C371&lt;&gt;"",C371='Ledger Account'!$D$4,B371&lt;&gt;"",B371&gt;='Ledger Account'!$D$5,B371&lt;='Ledger Account'!$D$6),1,0)</f>
        <v/>
      </c>
      <c r="AJ371">
        <f>IF(AI371=1,SUM(AI$7:AI371),"")</f>
        <v/>
      </c>
      <c r="AK371">
        <f>IF(OR(N371="",N371="OK"),0,1)</f>
        <v/>
      </c>
    </row>
    <row r="372">
      <c r="B372" s="24" t="n"/>
      <c r="C372" s="14" t="n"/>
      <c r="D372" s="14" t="n"/>
      <c r="E372" s="20" t="n"/>
      <c r="F372" s="24" t="n"/>
      <c r="G372" s="14" t="n"/>
      <c r="H372" s="22" t="n"/>
      <c r="I372" s="25">
        <f>IF(Q372="D",N(H372),0)</f>
        <v/>
      </c>
      <c r="J372" s="25">
        <f>IF(Q372="C",N(H372),0)</f>
        <v/>
      </c>
      <c r="K372" s="26">
        <f>IF(Z372="","",Z372)</f>
        <v/>
      </c>
      <c r="L372" s="27">
        <f>W372</f>
        <v/>
      </c>
      <c r="M372" s="28">
        <f>AA372</f>
        <v/>
      </c>
      <c r="N372" s="23">
        <f>IF(AND(B372="",C372="",D372="",N(H372)=0),"",IF(B372="","Enter the date",IF(C372="","Pick the party",IF(P372="?","Add this party on the Parties sheet first",IF(D372="","Pick the entry type",IF(Q372="?","Pick the entry type from the list",IF(N(H372)=0,"Enter the amount",IF(AND(R372&lt;&gt;"Any",R372&lt;&gt;P372),"Sales, receipts and credit notes are for debtors; purchases, payments and debit notes for creditors",IF(AND(F372&lt;&gt;"",D372&lt;&gt;"Purchase bill"),"The received-on date is only for purchase bills",IF(AND(P372="Creditor",X372=1,AA372&gt;0),"Past due to a micro or small supplier: interest runs under MSMED s.16, and if unpaid at year end it is not deductible that year, s.37(2)(g)",IF(AND(P372="Debtor",X372=1,AA372&gt;0),"Past due to you: as a micro or small supplier you can claim interest under MSMED s.16","OK")))))))))))</f>
        <v/>
      </c>
      <c r="P372">
        <f>IF(C372="","",IFERROR(VLOOKUP(C372,'Parties'!$B$13:$Q$112,2,FALSE),"?"))</f>
        <v/>
      </c>
      <c r="Q372">
        <f>IF(D372="","",IFERROR(VLOOKUP(D372,Lists!$A$2:$D$9,3,FALSE),"?"))</f>
        <v/>
      </c>
      <c r="R372">
        <f>IF(D372="","",IFERROR(VLOOKUP(D372,Lists!$A$2:$D$9,4,FALSE),"?"))</f>
        <v/>
      </c>
      <c r="S372">
        <f>IF(P372="Debtor",I372,IF(P372="Creditor",J372,0))</f>
        <v/>
      </c>
      <c r="T372">
        <f>IF(P372="Debtor",J372,IF(P372="Creditor",I372,0))</f>
        <v/>
      </c>
      <c r="U372">
        <f>IF(OR(S372=0,B372=""),0,IFERROR(VLOOKUP(C372,'Parties'!$B$13:$Q$112,13,FALSE),0)+SUMIFS($S$7:$S$506,$C$7:$C$506,C372,$B$7:$B$506,"&lt;"&amp;B372)+SUMIFS(S$7:S372,C$7:C372,C372,B$7:B372,B372))</f>
        <v/>
      </c>
      <c r="V372">
        <f>IF(S372=0,0,IFERROR(VLOOKUP(C372,'Parties'!$B$13:$Q$112,14,FALSE),0)+SUMIFS($T$7:$T$506,$C$7:$C$506,C372,$B$7:$B$506,"&lt;="&amp;'Outstanding'!$E$5))</f>
        <v/>
      </c>
      <c r="W372">
        <f>IF(OR('Outstanding'!$E$5="",S372=0,B372="",B372&gt;'Outstanding'!$E$5),0,MAX(0,MIN(S372,U372-V372)))</f>
        <v/>
      </c>
      <c r="X372">
        <f>IF(C372="",0,IFERROR(VLOOKUP(C372,'Parties'!$B$13:$Q$112,15,FALSE),0))</f>
        <v/>
      </c>
      <c r="Y372">
        <f>IF(C372="","",IFERROR(VLOOKUP(C372,'Parties'!$B$13:$Q$112,16,FALSE),0))</f>
        <v/>
      </c>
      <c r="Z372">
        <f>IF(OR(S372=0,B372="",Y372=""),"",IF(AND(F372&lt;&gt;"",D372="Purchase bill"),F372,B372)+Y372)</f>
        <v/>
      </c>
      <c r="AA372">
        <f>IF(OR(W372=0,Z372=""),0,MAX(0,'Outstanding'!$E$5-Z372))</f>
        <v/>
      </c>
      <c r="AB372">
        <f>IF(AND(X372=1,AA372&gt;0),W372*((1+3*N('Parties'!$E$10)/12)^(AA372*12/365)-1),0)</f>
        <v/>
      </c>
      <c r="AC372">
        <f>IF(W372=0,"",'Outstanding'!$E$5-B372)</f>
        <v/>
      </c>
      <c r="AD372">
        <f>IF(S372=0,0,IFERROR(VLOOKUP(C372,'Parties'!$B$13:$Q$112,14,FALSE),0)+SUMIFS($T$7:$T$506,$C$7:$C$506,C372,$B$7:$B$506,"&lt;="&amp;'Parties'!$E$8))</f>
        <v/>
      </c>
      <c r="AE372">
        <f>IF(OR('Parties'!$E$8="",S372=0,B372="",B372&gt;'Parties'!$E$8),0,MAX(0,MIN(S372,U372-AD372)))</f>
        <v/>
      </c>
      <c r="AF372">
        <f>IF(AND(P372="Creditor",X372=1,AE372&gt;0,Z372&lt;&gt;""),IF(Z372&lt;='Parties'!$E$8,AE372,0),0)</f>
        <v/>
      </c>
      <c r="AG372">
        <f>IF(OR(AE372=0,Z372=""),0,MAX(0,'Parties'!$E$8-Z372))</f>
        <v/>
      </c>
      <c r="AH372">
        <f>IF(AND(P372="Creditor",X372=1,AG372&gt;0),AE372*((1+3*N('Parties'!$E$10)/12)^(AG372*12/365)-1),0)</f>
        <v/>
      </c>
      <c r="AI372">
        <f>IF(AND(C372&lt;&gt;"",C372='Ledger Account'!$D$4,B372&lt;&gt;"",B372&gt;='Ledger Account'!$D$5,B372&lt;='Ledger Account'!$D$6),1,0)</f>
        <v/>
      </c>
      <c r="AJ372">
        <f>IF(AI372=1,SUM(AI$7:AI372),"")</f>
        <v/>
      </c>
      <c r="AK372">
        <f>IF(OR(N372="",N372="OK"),0,1)</f>
        <v/>
      </c>
    </row>
    <row r="373">
      <c r="B373" s="24" t="n"/>
      <c r="C373" s="14" t="n"/>
      <c r="D373" s="14" t="n"/>
      <c r="E373" s="20" t="n"/>
      <c r="F373" s="24" t="n"/>
      <c r="G373" s="14" t="n"/>
      <c r="H373" s="22" t="n"/>
      <c r="I373" s="25">
        <f>IF(Q373="D",N(H373),0)</f>
        <v/>
      </c>
      <c r="J373" s="25">
        <f>IF(Q373="C",N(H373),0)</f>
        <v/>
      </c>
      <c r="K373" s="26">
        <f>IF(Z373="","",Z373)</f>
        <v/>
      </c>
      <c r="L373" s="27">
        <f>W373</f>
        <v/>
      </c>
      <c r="M373" s="28">
        <f>AA373</f>
        <v/>
      </c>
      <c r="N373" s="23">
        <f>IF(AND(B373="",C373="",D373="",N(H373)=0),"",IF(B373="","Enter the date",IF(C373="","Pick the party",IF(P373="?","Add this party on the Parties sheet first",IF(D373="","Pick the entry type",IF(Q373="?","Pick the entry type from the list",IF(N(H373)=0,"Enter the amount",IF(AND(R373&lt;&gt;"Any",R373&lt;&gt;P373),"Sales, receipts and credit notes are for debtors; purchases, payments and debit notes for creditors",IF(AND(F373&lt;&gt;"",D373&lt;&gt;"Purchase bill"),"The received-on date is only for purchase bills",IF(AND(P373="Creditor",X373=1,AA373&gt;0),"Past due to a micro or small supplier: interest runs under MSMED s.16, and if unpaid at year end it is not deductible that year, s.37(2)(g)",IF(AND(P373="Debtor",X373=1,AA373&gt;0),"Past due to you: as a micro or small supplier you can claim interest under MSMED s.16","OK")))))))))))</f>
        <v/>
      </c>
      <c r="P373">
        <f>IF(C373="","",IFERROR(VLOOKUP(C373,'Parties'!$B$13:$Q$112,2,FALSE),"?"))</f>
        <v/>
      </c>
      <c r="Q373">
        <f>IF(D373="","",IFERROR(VLOOKUP(D373,Lists!$A$2:$D$9,3,FALSE),"?"))</f>
        <v/>
      </c>
      <c r="R373">
        <f>IF(D373="","",IFERROR(VLOOKUP(D373,Lists!$A$2:$D$9,4,FALSE),"?"))</f>
        <v/>
      </c>
      <c r="S373">
        <f>IF(P373="Debtor",I373,IF(P373="Creditor",J373,0))</f>
        <v/>
      </c>
      <c r="T373">
        <f>IF(P373="Debtor",J373,IF(P373="Creditor",I373,0))</f>
        <v/>
      </c>
      <c r="U373">
        <f>IF(OR(S373=0,B373=""),0,IFERROR(VLOOKUP(C373,'Parties'!$B$13:$Q$112,13,FALSE),0)+SUMIFS($S$7:$S$506,$C$7:$C$506,C373,$B$7:$B$506,"&lt;"&amp;B373)+SUMIFS(S$7:S373,C$7:C373,C373,B$7:B373,B373))</f>
        <v/>
      </c>
      <c r="V373">
        <f>IF(S373=0,0,IFERROR(VLOOKUP(C373,'Parties'!$B$13:$Q$112,14,FALSE),0)+SUMIFS($T$7:$T$506,$C$7:$C$506,C373,$B$7:$B$506,"&lt;="&amp;'Outstanding'!$E$5))</f>
        <v/>
      </c>
      <c r="W373">
        <f>IF(OR('Outstanding'!$E$5="",S373=0,B373="",B373&gt;'Outstanding'!$E$5),0,MAX(0,MIN(S373,U373-V373)))</f>
        <v/>
      </c>
      <c r="X373">
        <f>IF(C373="",0,IFERROR(VLOOKUP(C373,'Parties'!$B$13:$Q$112,15,FALSE),0))</f>
        <v/>
      </c>
      <c r="Y373">
        <f>IF(C373="","",IFERROR(VLOOKUP(C373,'Parties'!$B$13:$Q$112,16,FALSE),0))</f>
        <v/>
      </c>
      <c r="Z373">
        <f>IF(OR(S373=0,B373="",Y373=""),"",IF(AND(F373&lt;&gt;"",D373="Purchase bill"),F373,B373)+Y373)</f>
        <v/>
      </c>
      <c r="AA373">
        <f>IF(OR(W373=0,Z373=""),0,MAX(0,'Outstanding'!$E$5-Z373))</f>
        <v/>
      </c>
      <c r="AB373">
        <f>IF(AND(X373=1,AA373&gt;0),W373*((1+3*N('Parties'!$E$10)/12)^(AA373*12/365)-1),0)</f>
        <v/>
      </c>
      <c r="AC373">
        <f>IF(W373=0,"",'Outstanding'!$E$5-B373)</f>
        <v/>
      </c>
      <c r="AD373">
        <f>IF(S373=0,0,IFERROR(VLOOKUP(C373,'Parties'!$B$13:$Q$112,14,FALSE),0)+SUMIFS($T$7:$T$506,$C$7:$C$506,C373,$B$7:$B$506,"&lt;="&amp;'Parties'!$E$8))</f>
        <v/>
      </c>
      <c r="AE373">
        <f>IF(OR('Parties'!$E$8="",S373=0,B373="",B373&gt;'Parties'!$E$8),0,MAX(0,MIN(S373,U373-AD373)))</f>
        <v/>
      </c>
      <c r="AF373">
        <f>IF(AND(P373="Creditor",X373=1,AE373&gt;0,Z373&lt;&gt;""),IF(Z373&lt;='Parties'!$E$8,AE373,0),0)</f>
        <v/>
      </c>
      <c r="AG373">
        <f>IF(OR(AE373=0,Z373=""),0,MAX(0,'Parties'!$E$8-Z373))</f>
        <v/>
      </c>
      <c r="AH373">
        <f>IF(AND(P373="Creditor",X373=1,AG373&gt;0),AE373*((1+3*N('Parties'!$E$10)/12)^(AG373*12/365)-1),0)</f>
        <v/>
      </c>
      <c r="AI373">
        <f>IF(AND(C373&lt;&gt;"",C373='Ledger Account'!$D$4,B373&lt;&gt;"",B373&gt;='Ledger Account'!$D$5,B373&lt;='Ledger Account'!$D$6),1,0)</f>
        <v/>
      </c>
      <c r="AJ373">
        <f>IF(AI373=1,SUM(AI$7:AI373),"")</f>
        <v/>
      </c>
      <c r="AK373">
        <f>IF(OR(N373="",N373="OK"),0,1)</f>
        <v/>
      </c>
    </row>
    <row r="374">
      <c r="B374" s="24" t="n"/>
      <c r="C374" s="14" t="n"/>
      <c r="D374" s="14" t="n"/>
      <c r="E374" s="20" t="n"/>
      <c r="F374" s="24" t="n"/>
      <c r="G374" s="14" t="n"/>
      <c r="H374" s="22" t="n"/>
      <c r="I374" s="25">
        <f>IF(Q374="D",N(H374),0)</f>
        <v/>
      </c>
      <c r="J374" s="25">
        <f>IF(Q374="C",N(H374),0)</f>
        <v/>
      </c>
      <c r="K374" s="26">
        <f>IF(Z374="","",Z374)</f>
        <v/>
      </c>
      <c r="L374" s="27">
        <f>W374</f>
        <v/>
      </c>
      <c r="M374" s="28">
        <f>AA374</f>
        <v/>
      </c>
      <c r="N374" s="23">
        <f>IF(AND(B374="",C374="",D374="",N(H374)=0),"",IF(B374="","Enter the date",IF(C374="","Pick the party",IF(P374="?","Add this party on the Parties sheet first",IF(D374="","Pick the entry type",IF(Q374="?","Pick the entry type from the list",IF(N(H374)=0,"Enter the amount",IF(AND(R374&lt;&gt;"Any",R374&lt;&gt;P374),"Sales, receipts and credit notes are for debtors; purchases, payments and debit notes for creditors",IF(AND(F374&lt;&gt;"",D374&lt;&gt;"Purchase bill"),"The received-on date is only for purchase bills",IF(AND(P374="Creditor",X374=1,AA374&gt;0),"Past due to a micro or small supplier: interest runs under MSMED s.16, and if unpaid at year end it is not deductible that year, s.37(2)(g)",IF(AND(P374="Debtor",X374=1,AA374&gt;0),"Past due to you: as a micro or small supplier you can claim interest under MSMED s.16","OK")))))))))))</f>
        <v/>
      </c>
      <c r="P374">
        <f>IF(C374="","",IFERROR(VLOOKUP(C374,'Parties'!$B$13:$Q$112,2,FALSE),"?"))</f>
        <v/>
      </c>
      <c r="Q374">
        <f>IF(D374="","",IFERROR(VLOOKUP(D374,Lists!$A$2:$D$9,3,FALSE),"?"))</f>
        <v/>
      </c>
      <c r="R374">
        <f>IF(D374="","",IFERROR(VLOOKUP(D374,Lists!$A$2:$D$9,4,FALSE),"?"))</f>
        <v/>
      </c>
      <c r="S374">
        <f>IF(P374="Debtor",I374,IF(P374="Creditor",J374,0))</f>
        <v/>
      </c>
      <c r="T374">
        <f>IF(P374="Debtor",J374,IF(P374="Creditor",I374,0))</f>
        <v/>
      </c>
      <c r="U374">
        <f>IF(OR(S374=0,B374=""),0,IFERROR(VLOOKUP(C374,'Parties'!$B$13:$Q$112,13,FALSE),0)+SUMIFS($S$7:$S$506,$C$7:$C$506,C374,$B$7:$B$506,"&lt;"&amp;B374)+SUMIFS(S$7:S374,C$7:C374,C374,B$7:B374,B374))</f>
        <v/>
      </c>
      <c r="V374">
        <f>IF(S374=0,0,IFERROR(VLOOKUP(C374,'Parties'!$B$13:$Q$112,14,FALSE),0)+SUMIFS($T$7:$T$506,$C$7:$C$506,C374,$B$7:$B$506,"&lt;="&amp;'Outstanding'!$E$5))</f>
        <v/>
      </c>
      <c r="W374">
        <f>IF(OR('Outstanding'!$E$5="",S374=0,B374="",B374&gt;'Outstanding'!$E$5),0,MAX(0,MIN(S374,U374-V374)))</f>
        <v/>
      </c>
      <c r="X374">
        <f>IF(C374="",0,IFERROR(VLOOKUP(C374,'Parties'!$B$13:$Q$112,15,FALSE),0))</f>
        <v/>
      </c>
      <c r="Y374">
        <f>IF(C374="","",IFERROR(VLOOKUP(C374,'Parties'!$B$13:$Q$112,16,FALSE),0))</f>
        <v/>
      </c>
      <c r="Z374">
        <f>IF(OR(S374=0,B374="",Y374=""),"",IF(AND(F374&lt;&gt;"",D374="Purchase bill"),F374,B374)+Y374)</f>
        <v/>
      </c>
      <c r="AA374">
        <f>IF(OR(W374=0,Z374=""),0,MAX(0,'Outstanding'!$E$5-Z374))</f>
        <v/>
      </c>
      <c r="AB374">
        <f>IF(AND(X374=1,AA374&gt;0),W374*((1+3*N('Parties'!$E$10)/12)^(AA374*12/365)-1),0)</f>
        <v/>
      </c>
      <c r="AC374">
        <f>IF(W374=0,"",'Outstanding'!$E$5-B374)</f>
        <v/>
      </c>
      <c r="AD374">
        <f>IF(S374=0,0,IFERROR(VLOOKUP(C374,'Parties'!$B$13:$Q$112,14,FALSE),0)+SUMIFS($T$7:$T$506,$C$7:$C$506,C374,$B$7:$B$506,"&lt;="&amp;'Parties'!$E$8))</f>
        <v/>
      </c>
      <c r="AE374">
        <f>IF(OR('Parties'!$E$8="",S374=0,B374="",B374&gt;'Parties'!$E$8),0,MAX(0,MIN(S374,U374-AD374)))</f>
        <v/>
      </c>
      <c r="AF374">
        <f>IF(AND(P374="Creditor",X374=1,AE374&gt;0,Z374&lt;&gt;""),IF(Z374&lt;='Parties'!$E$8,AE374,0),0)</f>
        <v/>
      </c>
      <c r="AG374">
        <f>IF(OR(AE374=0,Z374=""),0,MAX(0,'Parties'!$E$8-Z374))</f>
        <v/>
      </c>
      <c r="AH374">
        <f>IF(AND(P374="Creditor",X374=1,AG374&gt;0),AE374*((1+3*N('Parties'!$E$10)/12)^(AG374*12/365)-1),0)</f>
        <v/>
      </c>
      <c r="AI374">
        <f>IF(AND(C374&lt;&gt;"",C374='Ledger Account'!$D$4,B374&lt;&gt;"",B374&gt;='Ledger Account'!$D$5,B374&lt;='Ledger Account'!$D$6),1,0)</f>
        <v/>
      </c>
      <c r="AJ374">
        <f>IF(AI374=1,SUM(AI$7:AI374),"")</f>
        <v/>
      </c>
      <c r="AK374">
        <f>IF(OR(N374="",N374="OK"),0,1)</f>
        <v/>
      </c>
    </row>
    <row r="375">
      <c r="B375" s="24" t="n"/>
      <c r="C375" s="14" t="n"/>
      <c r="D375" s="14" t="n"/>
      <c r="E375" s="20" t="n"/>
      <c r="F375" s="24" t="n"/>
      <c r="G375" s="14" t="n"/>
      <c r="H375" s="22" t="n"/>
      <c r="I375" s="25">
        <f>IF(Q375="D",N(H375),0)</f>
        <v/>
      </c>
      <c r="J375" s="25">
        <f>IF(Q375="C",N(H375),0)</f>
        <v/>
      </c>
      <c r="K375" s="26">
        <f>IF(Z375="","",Z375)</f>
        <v/>
      </c>
      <c r="L375" s="27">
        <f>W375</f>
        <v/>
      </c>
      <c r="M375" s="28">
        <f>AA375</f>
        <v/>
      </c>
      <c r="N375" s="23">
        <f>IF(AND(B375="",C375="",D375="",N(H375)=0),"",IF(B375="","Enter the date",IF(C375="","Pick the party",IF(P375="?","Add this party on the Parties sheet first",IF(D375="","Pick the entry type",IF(Q375="?","Pick the entry type from the list",IF(N(H375)=0,"Enter the amount",IF(AND(R375&lt;&gt;"Any",R375&lt;&gt;P375),"Sales, receipts and credit notes are for debtors; purchases, payments and debit notes for creditors",IF(AND(F375&lt;&gt;"",D375&lt;&gt;"Purchase bill"),"The received-on date is only for purchase bills",IF(AND(P375="Creditor",X375=1,AA375&gt;0),"Past due to a micro or small supplier: interest runs under MSMED s.16, and if unpaid at year end it is not deductible that year, s.37(2)(g)",IF(AND(P375="Debtor",X375=1,AA375&gt;0),"Past due to you: as a micro or small supplier you can claim interest under MSMED s.16","OK")))))))))))</f>
        <v/>
      </c>
      <c r="P375">
        <f>IF(C375="","",IFERROR(VLOOKUP(C375,'Parties'!$B$13:$Q$112,2,FALSE),"?"))</f>
        <v/>
      </c>
      <c r="Q375">
        <f>IF(D375="","",IFERROR(VLOOKUP(D375,Lists!$A$2:$D$9,3,FALSE),"?"))</f>
        <v/>
      </c>
      <c r="R375">
        <f>IF(D375="","",IFERROR(VLOOKUP(D375,Lists!$A$2:$D$9,4,FALSE),"?"))</f>
        <v/>
      </c>
      <c r="S375">
        <f>IF(P375="Debtor",I375,IF(P375="Creditor",J375,0))</f>
        <v/>
      </c>
      <c r="T375">
        <f>IF(P375="Debtor",J375,IF(P375="Creditor",I375,0))</f>
        <v/>
      </c>
      <c r="U375">
        <f>IF(OR(S375=0,B375=""),0,IFERROR(VLOOKUP(C375,'Parties'!$B$13:$Q$112,13,FALSE),0)+SUMIFS($S$7:$S$506,$C$7:$C$506,C375,$B$7:$B$506,"&lt;"&amp;B375)+SUMIFS(S$7:S375,C$7:C375,C375,B$7:B375,B375))</f>
        <v/>
      </c>
      <c r="V375">
        <f>IF(S375=0,0,IFERROR(VLOOKUP(C375,'Parties'!$B$13:$Q$112,14,FALSE),0)+SUMIFS($T$7:$T$506,$C$7:$C$506,C375,$B$7:$B$506,"&lt;="&amp;'Outstanding'!$E$5))</f>
        <v/>
      </c>
      <c r="W375">
        <f>IF(OR('Outstanding'!$E$5="",S375=0,B375="",B375&gt;'Outstanding'!$E$5),0,MAX(0,MIN(S375,U375-V375)))</f>
        <v/>
      </c>
      <c r="X375">
        <f>IF(C375="",0,IFERROR(VLOOKUP(C375,'Parties'!$B$13:$Q$112,15,FALSE),0))</f>
        <v/>
      </c>
      <c r="Y375">
        <f>IF(C375="","",IFERROR(VLOOKUP(C375,'Parties'!$B$13:$Q$112,16,FALSE),0))</f>
        <v/>
      </c>
      <c r="Z375">
        <f>IF(OR(S375=0,B375="",Y375=""),"",IF(AND(F375&lt;&gt;"",D375="Purchase bill"),F375,B375)+Y375)</f>
        <v/>
      </c>
      <c r="AA375">
        <f>IF(OR(W375=0,Z375=""),0,MAX(0,'Outstanding'!$E$5-Z375))</f>
        <v/>
      </c>
      <c r="AB375">
        <f>IF(AND(X375=1,AA375&gt;0),W375*((1+3*N('Parties'!$E$10)/12)^(AA375*12/365)-1),0)</f>
        <v/>
      </c>
      <c r="AC375">
        <f>IF(W375=0,"",'Outstanding'!$E$5-B375)</f>
        <v/>
      </c>
      <c r="AD375">
        <f>IF(S375=0,0,IFERROR(VLOOKUP(C375,'Parties'!$B$13:$Q$112,14,FALSE),0)+SUMIFS($T$7:$T$506,$C$7:$C$506,C375,$B$7:$B$506,"&lt;="&amp;'Parties'!$E$8))</f>
        <v/>
      </c>
      <c r="AE375">
        <f>IF(OR('Parties'!$E$8="",S375=0,B375="",B375&gt;'Parties'!$E$8),0,MAX(0,MIN(S375,U375-AD375)))</f>
        <v/>
      </c>
      <c r="AF375">
        <f>IF(AND(P375="Creditor",X375=1,AE375&gt;0,Z375&lt;&gt;""),IF(Z375&lt;='Parties'!$E$8,AE375,0),0)</f>
        <v/>
      </c>
      <c r="AG375">
        <f>IF(OR(AE375=0,Z375=""),0,MAX(0,'Parties'!$E$8-Z375))</f>
        <v/>
      </c>
      <c r="AH375">
        <f>IF(AND(P375="Creditor",X375=1,AG375&gt;0),AE375*((1+3*N('Parties'!$E$10)/12)^(AG375*12/365)-1),0)</f>
        <v/>
      </c>
      <c r="AI375">
        <f>IF(AND(C375&lt;&gt;"",C375='Ledger Account'!$D$4,B375&lt;&gt;"",B375&gt;='Ledger Account'!$D$5,B375&lt;='Ledger Account'!$D$6),1,0)</f>
        <v/>
      </c>
      <c r="AJ375">
        <f>IF(AI375=1,SUM(AI$7:AI375),"")</f>
        <v/>
      </c>
      <c r="AK375">
        <f>IF(OR(N375="",N375="OK"),0,1)</f>
        <v/>
      </c>
    </row>
    <row r="376">
      <c r="B376" s="24" t="n"/>
      <c r="C376" s="14" t="n"/>
      <c r="D376" s="14" t="n"/>
      <c r="E376" s="20" t="n"/>
      <c r="F376" s="24" t="n"/>
      <c r="G376" s="14" t="n"/>
      <c r="H376" s="22" t="n"/>
      <c r="I376" s="25">
        <f>IF(Q376="D",N(H376),0)</f>
        <v/>
      </c>
      <c r="J376" s="25">
        <f>IF(Q376="C",N(H376),0)</f>
        <v/>
      </c>
      <c r="K376" s="26">
        <f>IF(Z376="","",Z376)</f>
        <v/>
      </c>
      <c r="L376" s="27">
        <f>W376</f>
        <v/>
      </c>
      <c r="M376" s="28">
        <f>AA376</f>
        <v/>
      </c>
      <c r="N376" s="23">
        <f>IF(AND(B376="",C376="",D376="",N(H376)=0),"",IF(B376="","Enter the date",IF(C376="","Pick the party",IF(P376="?","Add this party on the Parties sheet first",IF(D376="","Pick the entry type",IF(Q376="?","Pick the entry type from the list",IF(N(H376)=0,"Enter the amount",IF(AND(R376&lt;&gt;"Any",R376&lt;&gt;P376),"Sales, receipts and credit notes are for debtors; purchases, payments and debit notes for creditors",IF(AND(F376&lt;&gt;"",D376&lt;&gt;"Purchase bill"),"The received-on date is only for purchase bills",IF(AND(P376="Creditor",X376=1,AA376&gt;0),"Past due to a micro or small supplier: interest runs under MSMED s.16, and if unpaid at year end it is not deductible that year, s.37(2)(g)",IF(AND(P376="Debtor",X376=1,AA376&gt;0),"Past due to you: as a micro or small supplier you can claim interest under MSMED s.16","OK")))))))))))</f>
        <v/>
      </c>
      <c r="P376">
        <f>IF(C376="","",IFERROR(VLOOKUP(C376,'Parties'!$B$13:$Q$112,2,FALSE),"?"))</f>
        <v/>
      </c>
      <c r="Q376">
        <f>IF(D376="","",IFERROR(VLOOKUP(D376,Lists!$A$2:$D$9,3,FALSE),"?"))</f>
        <v/>
      </c>
      <c r="R376">
        <f>IF(D376="","",IFERROR(VLOOKUP(D376,Lists!$A$2:$D$9,4,FALSE),"?"))</f>
        <v/>
      </c>
      <c r="S376">
        <f>IF(P376="Debtor",I376,IF(P376="Creditor",J376,0))</f>
        <v/>
      </c>
      <c r="T376">
        <f>IF(P376="Debtor",J376,IF(P376="Creditor",I376,0))</f>
        <v/>
      </c>
      <c r="U376">
        <f>IF(OR(S376=0,B376=""),0,IFERROR(VLOOKUP(C376,'Parties'!$B$13:$Q$112,13,FALSE),0)+SUMIFS($S$7:$S$506,$C$7:$C$506,C376,$B$7:$B$506,"&lt;"&amp;B376)+SUMIFS(S$7:S376,C$7:C376,C376,B$7:B376,B376))</f>
        <v/>
      </c>
      <c r="V376">
        <f>IF(S376=0,0,IFERROR(VLOOKUP(C376,'Parties'!$B$13:$Q$112,14,FALSE),0)+SUMIFS($T$7:$T$506,$C$7:$C$506,C376,$B$7:$B$506,"&lt;="&amp;'Outstanding'!$E$5))</f>
        <v/>
      </c>
      <c r="W376">
        <f>IF(OR('Outstanding'!$E$5="",S376=0,B376="",B376&gt;'Outstanding'!$E$5),0,MAX(0,MIN(S376,U376-V376)))</f>
        <v/>
      </c>
      <c r="X376">
        <f>IF(C376="",0,IFERROR(VLOOKUP(C376,'Parties'!$B$13:$Q$112,15,FALSE),0))</f>
        <v/>
      </c>
      <c r="Y376">
        <f>IF(C376="","",IFERROR(VLOOKUP(C376,'Parties'!$B$13:$Q$112,16,FALSE),0))</f>
        <v/>
      </c>
      <c r="Z376">
        <f>IF(OR(S376=0,B376="",Y376=""),"",IF(AND(F376&lt;&gt;"",D376="Purchase bill"),F376,B376)+Y376)</f>
        <v/>
      </c>
      <c r="AA376">
        <f>IF(OR(W376=0,Z376=""),0,MAX(0,'Outstanding'!$E$5-Z376))</f>
        <v/>
      </c>
      <c r="AB376">
        <f>IF(AND(X376=1,AA376&gt;0),W376*((1+3*N('Parties'!$E$10)/12)^(AA376*12/365)-1),0)</f>
        <v/>
      </c>
      <c r="AC376">
        <f>IF(W376=0,"",'Outstanding'!$E$5-B376)</f>
        <v/>
      </c>
      <c r="AD376">
        <f>IF(S376=0,0,IFERROR(VLOOKUP(C376,'Parties'!$B$13:$Q$112,14,FALSE),0)+SUMIFS($T$7:$T$506,$C$7:$C$506,C376,$B$7:$B$506,"&lt;="&amp;'Parties'!$E$8))</f>
        <v/>
      </c>
      <c r="AE376">
        <f>IF(OR('Parties'!$E$8="",S376=0,B376="",B376&gt;'Parties'!$E$8),0,MAX(0,MIN(S376,U376-AD376)))</f>
        <v/>
      </c>
      <c r="AF376">
        <f>IF(AND(P376="Creditor",X376=1,AE376&gt;0,Z376&lt;&gt;""),IF(Z376&lt;='Parties'!$E$8,AE376,0),0)</f>
        <v/>
      </c>
      <c r="AG376">
        <f>IF(OR(AE376=0,Z376=""),0,MAX(0,'Parties'!$E$8-Z376))</f>
        <v/>
      </c>
      <c r="AH376">
        <f>IF(AND(P376="Creditor",X376=1,AG376&gt;0),AE376*((1+3*N('Parties'!$E$10)/12)^(AG376*12/365)-1),0)</f>
        <v/>
      </c>
      <c r="AI376">
        <f>IF(AND(C376&lt;&gt;"",C376='Ledger Account'!$D$4,B376&lt;&gt;"",B376&gt;='Ledger Account'!$D$5,B376&lt;='Ledger Account'!$D$6),1,0)</f>
        <v/>
      </c>
      <c r="AJ376">
        <f>IF(AI376=1,SUM(AI$7:AI376),"")</f>
        <v/>
      </c>
      <c r="AK376">
        <f>IF(OR(N376="",N376="OK"),0,1)</f>
        <v/>
      </c>
    </row>
    <row r="377">
      <c r="B377" s="24" t="n"/>
      <c r="C377" s="14" t="n"/>
      <c r="D377" s="14" t="n"/>
      <c r="E377" s="20" t="n"/>
      <c r="F377" s="24" t="n"/>
      <c r="G377" s="14" t="n"/>
      <c r="H377" s="22" t="n"/>
      <c r="I377" s="25">
        <f>IF(Q377="D",N(H377),0)</f>
        <v/>
      </c>
      <c r="J377" s="25">
        <f>IF(Q377="C",N(H377),0)</f>
        <v/>
      </c>
      <c r="K377" s="26">
        <f>IF(Z377="","",Z377)</f>
        <v/>
      </c>
      <c r="L377" s="27">
        <f>W377</f>
        <v/>
      </c>
      <c r="M377" s="28">
        <f>AA377</f>
        <v/>
      </c>
      <c r="N377" s="23">
        <f>IF(AND(B377="",C377="",D377="",N(H377)=0),"",IF(B377="","Enter the date",IF(C377="","Pick the party",IF(P377="?","Add this party on the Parties sheet first",IF(D377="","Pick the entry type",IF(Q377="?","Pick the entry type from the list",IF(N(H377)=0,"Enter the amount",IF(AND(R377&lt;&gt;"Any",R377&lt;&gt;P377),"Sales, receipts and credit notes are for debtors; purchases, payments and debit notes for creditors",IF(AND(F377&lt;&gt;"",D377&lt;&gt;"Purchase bill"),"The received-on date is only for purchase bills",IF(AND(P377="Creditor",X377=1,AA377&gt;0),"Past due to a micro or small supplier: interest runs under MSMED s.16, and if unpaid at year end it is not deductible that year, s.37(2)(g)",IF(AND(P377="Debtor",X377=1,AA377&gt;0),"Past due to you: as a micro or small supplier you can claim interest under MSMED s.16","OK")))))))))))</f>
        <v/>
      </c>
      <c r="P377">
        <f>IF(C377="","",IFERROR(VLOOKUP(C377,'Parties'!$B$13:$Q$112,2,FALSE),"?"))</f>
        <v/>
      </c>
      <c r="Q377">
        <f>IF(D377="","",IFERROR(VLOOKUP(D377,Lists!$A$2:$D$9,3,FALSE),"?"))</f>
        <v/>
      </c>
      <c r="R377">
        <f>IF(D377="","",IFERROR(VLOOKUP(D377,Lists!$A$2:$D$9,4,FALSE),"?"))</f>
        <v/>
      </c>
      <c r="S377">
        <f>IF(P377="Debtor",I377,IF(P377="Creditor",J377,0))</f>
        <v/>
      </c>
      <c r="T377">
        <f>IF(P377="Debtor",J377,IF(P377="Creditor",I377,0))</f>
        <v/>
      </c>
      <c r="U377">
        <f>IF(OR(S377=0,B377=""),0,IFERROR(VLOOKUP(C377,'Parties'!$B$13:$Q$112,13,FALSE),0)+SUMIFS($S$7:$S$506,$C$7:$C$506,C377,$B$7:$B$506,"&lt;"&amp;B377)+SUMIFS(S$7:S377,C$7:C377,C377,B$7:B377,B377))</f>
        <v/>
      </c>
      <c r="V377">
        <f>IF(S377=0,0,IFERROR(VLOOKUP(C377,'Parties'!$B$13:$Q$112,14,FALSE),0)+SUMIFS($T$7:$T$506,$C$7:$C$506,C377,$B$7:$B$506,"&lt;="&amp;'Outstanding'!$E$5))</f>
        <v/>
      </c>
      <c r="W377">
        <f>IF(OR('Outstanding'!$E$5="",S377=0,B377="",B377&gt;'Outstanding'!$E$5),0,MAX(0,MIN(S377,U377-V377)))</f>
        <v/>
      </c>
      <c r="X377">
        <f>IF(C377="",0,IFERROR(VLOOKUP(C377,'Parties'!$B$13:$Q$112,15,FALSE),0))</f>
        <v/>
      </c>
      <c r="Y377">
        <f>IF(C377="","",IFERROR(VLOOKUP(C377,'Parties'!$B$13:$Q$112,16,FALSE),0))</f>
        <v/>
      </c>
      <c r="Z377">
        <f>IF(OR(S377=0,B377="",Y377=""),"",IF(AND(F377&lt;&gt;"",D377="Purchase bill"),F377,B377)+Y377)</f>
        <v/>
      </c>
      <c r="AA377">
        <f>IF(OR(W377=0,Z377=""),0,MAX(0,'Outstanding'!$E$5-Z377))</f>
        <v/>
      </c>
      <c r="AB377">
        <f>IF(AND(X377=1,AA377&gt;0),W377*((1+3*N('Parties'!$E$10)/12)^(AA377*12/365)-1),0)</f>
        <v/>
      </c>
      <c r="AC377">
        <f>IF(W377=0,"",'Outstanding'!$E$5-B377)</f>
        <v/>
      </c>
      <c r="AD377">
        <f>IF(S377=0,0,IFERROR(VLOOKUP(C377,'Parties'!$B$13:$Q$112,14,FALSE),0)+SUMIFS($T$7:$T$506,$C$7:$C$506,C377,$B$7:$B$506,"&lt;="&amp;'Parties'!$E$8))</f>
        <v/>
      </c>
      <c r="AE377">
        <f>IF(OR('Parties'!$E$8="",S377=0,B377="",B377&gt;'Parties'!$E$8),0,MAX(0,MIN(S377,U377-AD377)))</f>
        <v/>
      </c>
      <c r="AF377">
        <f>IF(AND(P377="Creditor",X377=1,AE377&gt;0,Z377&lt;&gt;""),IF(Z377&lt;='Parties'!$E$8,AE377,0),0)</f>
        <v/>
      </c>
      <c r="AG377">
        <f>IF(OR(AE377=0,Z377=""),0,MAX(0,'Parties'!$E$8-Z377))</f>
        <v/>
      </c>
      <c r="AH377">
        <f>IF(AND(P377="Creditor",X377=1,AG377&gt;0),AE377*((1+3*N('Parties'!$E$10)/12)^(AG377*12/365)-1),0)</f>
        <v/>
      </c>
      <c r="AI377">
        <f>IF(AND(C377&lt;&gt;"",C377='Ledger Account'!$D$4,B377&lt;&gt;"",B377&gt;='Ledger Account'!$D$5,B377&lt;='Ledger Account'!$D$6),1,0)</f>
        <v/>
      </c>
      <c r="AJ377">
        <f>IF(AI377=1,SUM(AI$7:AI377),"")</f>
        <v/>
      </c>
      <c r="AK377">
        <f>IF(OR(N377="",N377="OK"),0,1)</f>
        <v/>
      </c>
    </row>
    <row r="378">
      <c r="B378" s="24" t="n"/>
      <c r="C378" s="14" t="n"/>
      <c r="D378" s="14" t="n"/>
      <c r="E378" s="20" t="n"/>
      <c r="F378" s="24" t="n"/>
      <c r="G378" s="14" t="n"/>
      <c r="H378" s="22" t="n"/>
      <c r="I378" s="25">
        <f>IF(Q378="D",N(H378),0)</f>
        <v/>
      </c>
      <c r="J378" s="25">
        <f>IF(Q378="C",N(H378),0)</f>
        <v/>
      </c>
      <c r="K378" s="26">
        <f>IF(Z378="","",Z378)</f>
        <v/>
      </c>
      <c r="L378" s="27">
        <f>W378</f>
        <v/>
      </c>
      <c r="M378" s="28">
        <f>AA378</f>
        <v/>
      </c>
      <c r="N378" s="23">
        <f>IF(AND(B378="",C378="",D378="",N(H378)=0),"",IF(B378="","Enter the date",IF(C378="","Pick the party",IF(P378="?","Add this party on the Parties sheet first",IF(D378="","Pick the entry type",IF(Q378="?","Pick the entry type from the list",IF(N(H378)=0,"Enter the amount",IF(AND(R378&lt;&gt;"Any",R378&lt;&gt;P378),"Sales, receipts and credit notes are for debtors; purchases, payments and debit notes for creditors",IF(AND(F378&lt;&gt;"",D378&lt;&gt;"Purchase bill"),"The received-on date is only for purchase bills",IF(AND(P378="Creditor",X378=1,AA378&gt;0),"Past due to a micro or small supplier: interest runs under MSMED s.16, and if unpaid at year end it is not deductible that year, s.37(2)(g)",IF(AND(P378="Debtor",X378=1,AA378&gt;0),"Past due to you: as a micro or small supplier you can claim interest under MSMED s.16","OK")))))))))))</f>
        <v/>
      </c>
      <c r="P378">
        <f>IF(C378="","",IFERROR(VLOOKUP(C378,'Parties'!$B$13:$Q$112,2,FALSE),"?"))</f>
        <v/>
      </c>
      <c r="Q378">
        <f>IF(D378="","",IFERROR(VLOOKUP(D378,Lists!$A$2:$D$9,3,FALSE),"?"))</f>
        <v/>
      </c>
      <c r="R378">
        <f>IF(D378="","",IFERROR(VLOOKUP(D378,Lists!$A$2:$D$9,4,FALSE),"?"))</f>
        <v/>
      </c>
      <c r="S378">
        <f>IF(P378="Debtor",I378,IF(P378="Creditor",J378,0))</f>
        <v/>
      </c>
      <c r="T378">
        <f>IF(P378="Debtor",J378,IF(P378="Creditor",I378,0))</f>
        <v/>
      </c>
      <c r="U378">
        <f>IF(OR(S378=0,B378=""),0,IFERROR(VLOOKUP(C378,'Parties'!$B$13:$Q$112,13,FALSE),0)+SUMIFS($S$7:$S$506,$C$7:$C$506,C378,$B$7:$B$506,"&lt;"&amp;B378)+SUMIFS(S$7:S378,C$7:C378,C378,B$7:B378,B378))</f>
        <v/>
      </c>
      <c r="V378">
        <f>IF(S378=0,0,IFERROR(VLOOKUP(C378,'Parties'!$B$13:$Q$112,14,FALSE),0)+SUMIFS($T$7:$T$506,$C$7:$C$506,C378,$B$7:$B$506,"&lt;="&amp;'Outstanding'!$E$5))</f>
        <v/>
      </c>
      <c r="W378">
        <f>IF(OR('Outstanding'!$E$5="",S378=0,B378="",B378&gt;'Outstanding'!$E$5),0,MAX(0,MIN(S378,U378-V378)))</f>
        <v/>
      </c>
      <c r="X378">
        <f>IF(C378="",0,IFERROR(VLOOKUP(C378,'Parties'!$B$13:$Q$112,15,FALSE),0))</f>
        <v/>
      </c>
      <c r="Y378">
        <f>IF(C378="","",IFERROR(VLOOKUP(C378,'Parties'!$B$13:$Q$112,16,FALSE),0))</f>
        <v/>
      </c>
      <c r="Z378">
        <f>IF(OR(S378=0,B378="",Y378=""),"",IF(AND(F378&lt;&gt;"",D378="Purchase bill"),F378,B378)+Y378)</f>
        <v/>
      </c>
      <c r="AA378">
        <f>IF(OR(W378=0,Z378=""),0,MAX(0,'Outstanding'!$E$5-Z378))</f>
        <v/>
      </c>
      <c r="AB378">
        <f>IF(AND(X378=1,AA378&gt;0),W378*((1+3*N('Parties'!$E$10)/12)^(AA378*12/365)-1),0)</f>
        <v/>
      </c>
      <c r="AC378">
        <f>IF(W378=0,"",'Outstanding'!$E$5-B378)</f>
        <v/>
      </c>
      <c r="AD378">
        <f>IF(S378=0,0,IFERROR(VLOOKUP(C378,'Parties'!$B$13:$Q$112,14,FALSE),0)+SUMIFS($T$7:$T$506,$C$7:$C$506,C378,$B$7:$B$506,"&lt;="&amp;'Parties'!$E$8))</f>
        <v/>
      </c>
      <c r="AE378">
        <f>IF(OR('Parties'!$E$8="",S378=0,B378="",B378&gt;'Parties'!$E$8),0,MAX(0,MIN(S378,U378-AD378)))</f>
        <v/>
      </c>
      <c r="AF378">
        <f>IF(AND(P378="Creditor",X378=1,AE378&gt;0,Z378&lt;&gt;""),IF(Z378&lt;='Parties'!$E$8,AE378,0),0)</f>
        <v/>
      </c>
      <c r="AG378">
        <f>IF(OR(AE378=0,Z378=""),0,MAX(0,'Parties'!$E$8-Z378))</f>
        <v/>
      </c>
      <c r="AH378">
        <f>IF(AND(P378="Creditor",X378=1,AG378&gt;0),AE378*((1+3*N('Parties'!$E$10)/12)^(AG378*12/365)-1),0)</f>
        <v/>
      </c>
      <c r="AI378">
        <f>IF(AND(C378&lt;&gt;"",C378='Ledger Account'!$D$4,B378&lt;&gt;"",B378&gt;='Ledger Account'!$D$5,B378&lt;='Ledger Account'!$D$6),1,0)</f>
        <v/>
      </c>
      <c r="AJ378">
        <f>IF(AI378=1,SUM(AI$7:AI378),"")</f>
        <v/>
      </c>
      <c r="AK378">
        <f>IF(OR(N378="",N378="OK"),0,1)</f>
        <v/>
      </c>
    </row>
    <row r="379">
      <c r="B379" s="24" t="n"/>
      <c r="C379" s="14" t="n"/>
      <c r="D379" s="14" t="n"/>
      <c r="E379" s="20" t="n"/>
      <c r="F379" s="24" t="n"/>
      <c r="G379" s="14" t="n"/>
      <c r="H379" s="22" t="n"/>
      <c r="I379" s="25">
        <f>IF(Q379="D",N(H379),0)</f>
        <v/>
      </c>
      <c r="J379" s="25">
        <f>IF(Q379="C",N(H379),0)</f>
        <v/>
      </c>
      <c r="K379" s="26">
        <f>IF(Z379="","",Z379)</f>
        <v/>
      </c>
      <c r="L379" s="27">
        <f>W379</f>
        <v/>
      </c>
      <c r="M379" s="28">
        <f>AA379</f>
        <v/>
      </c>
      <c r="N379" s="23">
        <f>IF(AND(B379="",C379="",D379="",N(H379)=0),"",IF(B379="","Enter the date",IF(C379="","Pick the party",IF(P379="?","Add this party on the Parties sheet first",IF(D379="","Pick the entry type",IF(Q379="?","Pick the entry type from the list",IF(N(H379)=0,"Enter the amount",IF(AND(R379&lt;&gt;"Any",R379&lt;&gt;P379),"Sales, receipts and credit notes are for debtors; purchases, payments and debit notes for creditors",IF(AND(F379&lt;&gt;"",D379&lt;&gt;"Purchase bill"),"The received-on date is only for purchase bills",IF(AND(P379="Creditor",X379=1,AA379&gt;0),"Past due to a micro or small supplier: interest runs under MSMED s.16, and if unpaid at year end it is not deductible that year, s.37(2)(g)",IF(AND(P379="Debtor",X379=1,AA379&gt;0),"Past due to you: as a micro or small supplier you can claim interest under MSMED s.16","OK")))))))))))</f>
        <v/>
      </c>
      <c r="P379">
        <f>IF(C379="","",IFERROR(VLOOKUP(C379,'Parties'!$B$13:$Q$112,2,FALSE),"?"))</f>
        <v/>
      </c>
      <c r="Q379">
        <f>IF(D379="","",IFERROR(VLOOKUP(D379,Lists!$A$2:$D$9,3,FALSE),"?"))</f>
        <v/>
      </c>
      <c r="R379">
        <f>IF(D379="","",IFERROR(VLOOKUP(D379,Lists!$A$2:$D$9,4,FALSE),"?"))</f>
        <v/>
      </c>
      <c r="S379">
        <f>IF(P379="Debtor",I379,IF(P379="Creditor",J379,0))</f>
        <v/>
      </c>
      <c r="T379">
        <f>IF(P379="Debtor",J379,IF(P379="Creditor",I379,0))</f>
        <v/>
      </c>
      <c r="U379">
        <f>IF(OR(S379=0,B379=""),0,IFERROR(VLOOKUP(C379,'Parties'!$B$13:$Q$112,13,FALSE),0)+SUMIFS($S$7:$S$506,$C$7:$C$506,C379,$B$7:$B$506,"&lt;"&amp;B379)+SUMIFS(S$7:S379,C$7:C379,C379,B$7:B379,B379))</f>
        <v/>
      </c>
      <c r="V379">
        <f>IF(S379=0,0,IFERROR(VLOOKUP(C379,'Parties'!$B$13:$Q$112,14,FALSE),0)+SUMIFS($T$7:$T$506,$C$7:$C$506,C379,$B$7:$B$506,"&lt;="&amp;'Outstanding'!$E$5))</f>
        <v/>
      </c>
      <c r="W379">
        <f>IF(OR('Outstanding'!$E$5="",S379=0,B379="",B379&gt;'Outstanding'!$E$5),0,MAX(0,MIN(S379,U379-V379)))</f>
        <v/>
      </c>
      <c r="X379">
        <f>IF(C379="",0,IFERROR(VLOOKUP(C379,'Parties'!$B$13:$Q$112,15,FALSE),0))</f>
        <v/>
      </c>
      <c r="Y379">
        <f>IF(C379="","",IFERROR(VLOOKUP(C379,'Parties'!$B$13:$Q$112,16,FALSE),0))</f>
        <v/>
      </c>
      <c r="Z379">
        <f>IF(OR(S379=0,B379="",Y379=""),"",IF(AND(F379&lt;&gt;"",D379="Purchase bill"),F379,B379)+Y379)</f>
        <v/>
      </c>
      <c r="AA379">
        <f>IF(OR(W379=0,Z379=""),0,MAX(0,'Outstanding'!$E$5-Z379))</f>
        <v/>
      </c>
      <c r="AB379">
        <f>IF(AND(X379=1,AA379&gt;0),W379*((1+3*N('Parties'!$E$10)/12)^(AA379*12/365)-1),0)</f>
        <v/>
      </c>
      <c r="AC379">
        <f>IF(W379=0,"",'Outstanding'!$E$5-B379)</f>
        <v/>
      </c>
      <c r="AD379">
        <f>IF(S379=0,0,IFERROR(VLOOKUP(C379,'Parties'!$B$13:$Q$112,14,FALSE),0)+SUMIFS($T$7:$T$506,$C$7:$C$506,C379,$B$7:$B$506,"&lt;="&amp;'Parties'!$E$8))</f>
        <v/>
      </c>
      <c r="AE379">
        <f>IF(OR('Parties'!$E$8="",S379=0,B379="",B379&gt;'Parties'!$E$8),0,MAX(0,MIN(S379,U379-AD379)))</f>
        <v/>
      </c>
      <c r="AF379">
        <f>IF(AND(P379="Creditor",X379=1,AE379&gt;0,Z379&lt;&gt;""),IF(Z379&lt;='Parties'!$E$8,AE379,0),0)</f>
        <v/>
      </c>
      <c r="AG379">
        <f>IF(OR(AE379=0,Z379=""),0,MAX(0,'Parties'!$E$8-Z379))</f>
        <v/>
      </c>
      <c r="AH379">
        <f>IF(AND(P379="Creditor",X379=1,AG379&gt;0),AE379*((1+3*N('Parties'!$E$10)/12)^(AG379*12/365)-1),0)</f>
        <v/>
      </c>
      <c r="AI379">
        <f>IF(AND(C379&lt;&gt;"",C379='Ledger Account'!$D$4,B379&lt;&gt;"",B379&gt;='Ledger Account'!$D$5,B379&lt;='Ledger Account'!$D$6),1,0)</f>
        <v/>
      </c>
      <c r="AJ379">
        <f>IF(AI379=1,SUM(AI$7:AI379),"")</f>
        <v/>
      </c>
      <c r="AK379">
        <f>IF(OR(N379="",N379="OK"),0,1)</f>
        <v/>
      </c>
    </row>
    <row r="380">
      <c r="B380" s="24" t="n"/>
      <c r="C380" s="14" t="n"/>
      <c r="D380" s="14" t="n"/>
      <c r="E380" s="20" t="n"/>
      <c r="F380" s="24" t="n"/>
      <c r="G380" s="14" t="n"/>
      <c r="H380" s="22" t="n"/>
      <c r="I380" s="25">
        <f>IF(Q380="D",N(H380),0)</f>
        <v/>
      </c>
      <c r="J380" s="25">
        <f>IF(Q380="C",N(H380),0)</f>
        <v/>
      </c>
      <c r="K380" s="26">
        <f>IF(Z380="","",Z380)</f>
        <v/>
      </c>
      <c r="L380" s="27">
        <f>W380</f>
        <v/>
      </c>
      <c r="M380" s="28">
        <f>AA380</f>
        <v/>
      </c>
      <c r="N380" s="23">
        <f>IF(AND(B380="",C380="",D380="",N(H380)=0),"",IF(B380="","Enter the date",IF(C380="","Pick the party",IF(P380="?","Add this party on the Parties sheet first",IF(D380="","Pick the entry type",IF(Q380="?","Pick the entry type from the list",IF(N(H380)=0,"Enter the amount",IF(AND(R380&lt;&gt;"Any",R380&lt;&gt;P380),"Sales, receipts and credit notes are for debtors; purchases, payments and debit notes for creditors",IF(AND(F380&lt;&gt;"",D380&lt;&gt;"Purchase bill"),"The received-on date is only for purchase bills",IF(AND(P380="Creditor",X380=1,AA380&gt;0),"Past due to a micro or small supplier: interest runs under MSMED s.16, and if unpaid at year end it is not deductible that year, s.37(2)(g)",IF(AND(P380="Debtor",X380=1,AA380&gt;0),"Past due to you: as a micro or small supplier you can claim interest under MSMED s.16","OK")))))))))))</f>
        <v/>
      </c>
      <c r="P380">
        <f>IF(C380="","",IFERROR(VLOOKUP(C380,'Parties'!$B$13:$Q$112,2,FALSE),"?"))</f>
        <v/>
      </c>
      <c r="Q380">
        <f>IF(D380="","",IFERROR(VLOOKUP(D380,Lists!$A$2:$D$9,3,FALSE),"?"))</f>
        <v/>
      </c>
      <c r="R380">
        <f>IF(D380="","",IFERROR(VLOOKUP(D380,Lists!$A$2:$D$9,4,FALSE),"?"))</f>
        <v/>
      </c>
      <c r="S380">
        <f>IF(P380="Debtor",I380,IF(P380="Creditor",J380,0))</f>
        <v/>
      </c>
      <c r="T380">
        <f>IF(P380="Debtor",J380,IF(P380="Creditor",I380,0))</f>
        <v/>
      </c>
      <c r="U380">
        <f>IF(OR(S380=0,B380=""),0,IFERROR(VLOOKUP(C380,'Parties'!$B$13:$Q$112,13,FALSE),0)+SUMIFS($S$7:$S$506,$C$7:$C$506,C380,$B$7:$B$506,"&lt;"&amp;B380)+SUMIFS(S$7:S380,C$7:C380,C380,B$7:B380,B380))</f>
        <v/>
      </c>
      <c r="V380">
        <f>IF(S380=0,0,IFERROR(VLOOKUP(C380,'Parties'!$B$13:$Q$112,14,FALSE),0)+SUMIFS($T$7:$T$506,$C$7:$C$506,C380,$B$7:$B$506,"&lt;="&amp;'Outstanding'!$E$5))</f>
        <v/>
      </c>
      <c r="W380">
        <f>IF(OR('Outstanding'!$E$5="",S380=0,B380="",B380&gt;'Outstanding'!$E$5),0,MAX(0,MIN(S380,U380-V380)))</f>
        <v/>
      </c>
      <c r="X380">
        <f>IF(C380="",0,IFERROR(VLOOKUP(C380,'Parties'!$B$13:$Q$112,15,FALSE),0))</f>
        <v/>
      </c>
      <c r="Y380">
        <f>IF(C380="","",IFERROR(VLOOKUP(C380,'Parties'!$B$13:$Q$112,16,FALSE),0))</f>
        <v/>
      </c>
      <c r="Z380">
        <f>IF(OR(S380=0,B380="",Y380=""),"",IF(AND(F380&lt;&gt;"",D380="Purchase bill"),F380,B380)+Y380)</f>
        <v/>
      </c>
      <c r="AA380">
        <f>IF(OR(W380=0,Z380=""),0,MAX(0,'Outstanding'!$E$5-Z380))</f>
        <v/>
      </c>
      <c r="AB380">
        <f>IF(AND(X380=1,AA380&gt;0),W380*((1+3*N('Parties'!$E$10)/12)^(AA380*12/365)-1),0)</f>
        <v/>
      </c>
      <c r="AC380">
        <f>IF(W380=0,"",'Outstanding'!$E$5-B380)</f>
        <v/>
      </c>
      <c r="AD380">
        <f>IF(S380=0,0,IFERROR(VLOOKUP(C380,'Parties'!$B$13:$Q$112,14,FALSE),0)+SUMIFS($T$7:$T$506,$C$7:$C$506,C380,$B$7:$B$506,"&lt;="&amp;'Parties'!$E$8))</f>
        <v/>
      </c>
      <c r="AE380">
        <f>IF(OR('Parties'!$E$8="",S380=0,B380="",B380&gt;'Parties'!$E$8),0,MAX(0,MIN(S380,U380-AD380)))</f>
        <v/>
      </c>
      <c r="AF380">
        <f>IF(AND(P380="Creditor",X380=1,AE380&gt;0,Z380&lt;&gt;""),IF(Z380&lt;='Parties'!$E$8,AE380,0),0)</f>
        <v/>
      </c>
      <c r="AG380">
        <f>IF(OR(AE380=0,Z380=""),0,MAX(0,'Parties'!$E$8-Z380))</f>
        <v/>
      </c>
      <c r="AH380">
        <f>IF(AND(P380="Creditor",X380=1,AG380&gt;0),AE380*((1+3*N('Parties'!$E$10)/12)^(AG380*12/365)-1),0)</f>
        <v/>
      </c>
      <c r="AI380">
        <f>IF(AND(C380&lt;&gt;"",C380='Ledger Account'!$D$4,B380&lt;&gt;"",B380&gt;='Ledger Account'!$D$5,B380&lt;='Ledger Account'!$D$6),1,0)</f>
        <v/>
      </c>
      <c r="AJ380">
        <f>IF(AI380=1,SUM(AI$7:AI380),"")</f>
        <v/>
      </c>
      <c r="AK380">
        <f>IF(OR(N380="",N380="OK"),0,1)</f>
        <v/>
      </c>
    </row>
    <row r="381">
      <c r="B381" s="24" t="n"/>
      <c r="C381" s="14" t="n"/>
      <c r="D381" s="14" t="n"/>
      <c r="E381" s="20" t="n"/>
      <c r="F381" s="24" t="n"/>
      <c r="G381" s="14" t="n"/>
      <c r="H381" s="22" t="n"/>
      <c r="I381" s="25">
        <f>IF(Q381="D",N(H381),0)</f>
        <v/>
      </c>
      <c r="J381" s="25">
        <f>IF(Q381="C",N(H381),0)</f>
        <v/>
      </c>
      <c r="K381" s="26">
        <f>IF(Z381="","",Z381)</f>
        <v/>
      </c>
      <c r="L381" s="27">
        <f>W381</f>
        <v/>
      </c>
      <c r="M381" s="28">
        <f>AA381</f>
        <v/>
      </c>
      <c r="N381" s="23">
        <f>IF(AND(B381="",C381="",D381="",N(H381)=0),"",IF(B381="","Enter the date",IF(C381="","Pick the party",IF(P381="?","Add this party on the Parties sheet first",IF(D381="","Pick the entry type",IF(Q381="?","Pick the entry type from the list",IF(N(H381)=0,"Enter the amount",IF(AND(R381&lt;&gt;"Any",R381&lt;&gt;P381),"Sales, receipts and credit notes are for debtors; purchases, payments and debit notes for creditors",IF(AND(F381&lt;&gt;"",D381&lt;&gt;"Purchase bill"),"The received-on date is only for purchase bills",IF(AND(P381="Creditor",X381=1,AA381&gt;0),"Past due to a micro or small supplier: interest runs under MSMED s.16, and if unpaid at year end it is not deductible that year, s.37(2)(g)",IF(AND(P381="Debtor",X381=1,AA381&gt;0),"Past due to you: as a micro or small supplier you can claim interest under MSMED s.16","OK")))))))))))</f>
        <v/>
      </c>
      <c r="P381">
        <f>IF(C381="","",IFERROR(VLOOKUP(C381,'Parties'!$B$13:$Q$112,2,FALSE),"?"))</f>
        <v/>
      </c>
      <c r="Q381">
        <f>IF(D381="","",IFERROR(VLOOKUP(D381,Lists!$A$2:$D$9,3,FALSE),"?"))</f>
        <v/>
      </c>
      <c r="R381">
        <f>IF(D381="","",IFERROR(VLOOKUP(D381,Lists!$A$2:$D$9,4,FALSE),"?"))</f>
        <v/>
      </c>
      <c r="S381">
        <f>IF(P381="Debtor",I381,IF(P381="Creditor",J381,0))</f>
        <v/>
      </c>
      <c r="T381">
        <f>IF(P381="Debtor",J381,IF(P381="Creditor",I381,0))</f>
        <v/>
      </c>
      <c r="U381">
        <f>IF(OR(S381=0,B381=""),0,IFERROR(VLOOKUP(C381,'Parties'!$B$13:$Q$112,13,FALSE),0)+SUMIFS($S$7:$S$506,$C$7:$C$506,C381,$B$7:$B$506,"&lt;"&amp;B381)+SUMIFS(S$7:S381,C$7:C381,C381,B$7:B381,B381))</f>
        <v/>
      </c>
      <c r="V381">
        <f>IF(S381=0,0,IFERROR(VLOOKUP(C381,'Parties'!$B$13:$Q$112,14,FALSE),0)+SUMIFS($T$7:$T$506,$C$7:$C$506,C381,$B$7:$B$506,"&lt;="&amp;'Outstanding'!$E$5))</f>
        <v/>
      </c>
      <c r="W381">
        <f>IF(OR('Outstanding'!$E$5="",S381=0,B381="",B381&gt;'Outstanding'!$E$5),0,MAX(0,MIN(S381,U381-V381)))</f>
        <v/>
      </c>
      <c r="X381">
        <f>IF(C381="",0,IFERROR(VLOOKUP(C381,'Parties'!$B$13:$Q$112,15,FALSE),0))</f>
        <v/>
      </c>
      <c r="Y381">
        <f>IF(C381="","",IFERROR(VLOOKUP(C381,'Parties'!$B$13:$Q$112,16,FALSE),0))</f>
        <v/>
      </c>
      <c r="Z381">
        <f>IF(OR(S381=0,B381="",Y381=""),"",IF(AND(F381&lt;&gt;"",D381="Purchase bill"),F381,B381)+Y381)</f>
        <v/>
      </c>
      <c r="AA381">
        <f>IF(OR(W381=0,Z381=""),0,MAX(0,'Outstanding'!$E$5-Z381))</f>
        <v/>
      </c>
      <c r="AB381">
        <f>IF(AND(X381=1,AA381&gt;0),W381*((1+3*N('Parties'!$E$10)/12)^(AA381*12/365)-1),0)</f>
        <v/>
      </c>
      <c r="AC381">
        <f>IF(W381=0,"",'Outstanding'!$E$5-B381)</f>
        <v/>
      </c>
      <c r="AD381">
        <f>IF(S381=0,0,IFERROR(VLOOKUP(C381,'Parties'!$B$13:$Q$112,14,FALSE),0)+SUMIFS($T$7:$T$506,$C$7:$C$506,C381,$B$7:$B$506,"&lt;="&amp;'Parties'!$E$8))</f>
        <v/>
      </c>
      <c r="AE381">
        <f>IF(OR('Parties'!$E$8="",S381=0,B381="",B381&gt;'Parties'!$E$8),0,MAX(0,MIN(S381,U381-AD381)))</f>
        <v/>
      </c>
      <c r="AF381">
        <f>IF(AND(P381="Creditor",X381=1,AE381&gt;0,Z381&lt;&gt;""),IF(Z381&lt;='Parties'!$E$8,AE381,0),0)</f>
        <v/>
      </c>
      <c r="AG381">
        <f>IF(OR(AE381=0,Z381=""),0,MAX(0,'Parties'!$E$8-Z381))</f>
        <v/>
      </c>
      <c r="AH381">
        <f>IF(AND(P381="Creditor",X381=1,AG381&gt;0),AE381*((1+3*N('Parties'!$E$10)/12)^(AG381*12/365)-1),0)</f>
        <v/>
      </c>
      <c r="AI381">
        <f>IF(AND(C381&lt;&gt;"",C381='Ledger Account'!$D$4,B381&lt;&gt;"",B381&gt;='Ledger Account'!$D$5,B381&lt;='Ledger Account'!$D$6),1,0)</f>
        <v/>
      </c>
      <c r="AJ381">
        <f>IF(AI381=1,SUM(AI$7:AI381),"")</f>
        <v/>
      </c>
      <c r="AK381">
        <f>IF(OR(N381="",N381="OK"),0,1)</f>
        <v/>
      </c>
    </row>
    <row r="382">
      <c r="B382" s="24" t="n"/>
      <c r="C382" s="14" t="n"/>
      <c r="D382" s="14" t="n"/>
      <c r="E382" s="20" t="n"/>
      <c r="F382" s="24" t="n"/>
      <c r="G382" s="14" t="n"/>
      <c r="H382" s="22" t="n"/>
      <c r="I382" s="25">
        <f>IF(Q382="D",N(H382),0)</f>
        <v/>
      </c>
      <c r="J382" s="25">
        <f>IF(Q382="C",N(H382),0)</f>
        <v/>
      </c>
      <c r="K382" s="26">
        <f>IF(Z382="","",Z382)</f>
        <v/>
      </c>
      <c r="L382" s="27">
        <f>W382</f>
        <v/>
      </c>
      <c r="M382" s="28">
        <f>AA382</f>
        <v/>
      </c>
      <c r="N382" s="23">
        <f>IF(AND(B382="",C382="",D382="",N(H382)=0),"",IF(B382="","Enter the date",IF(C382="","Pick the party",IF(P382="?","Add this party on the Parties sheet first",IF(D382="","Pick the entry type",IF(Q382="?","Pick the entry type from the list",IF(N(H382)=0,"Enter the amount",IF(AND(R382&lt;&gt;"Any",R382&lt;&gt;P382),"Sales, receipts and credit notes are for debtors; purchases, payments and debit notes for creditors",IF(AND(F382&lt;&gt;"",D382&lt;&gt;"Purchase bill"),"The received-on date is only for purchase bills",IF(AND(P382="Creditor",X382=1,AA382&gt;0),"Past due to a micro or small supplier: interest runs under MSMED s.16, and if unpaid at year end it is not deductible that year, s.37(2)(g)",IF(AND(P382="Debtor",X382=1,AA382&gt;0),"Past due to you: as a micro or small supplier you can claim interest under MSMED s.16","OK")))))))))))</f>
        <v/>
      </c>
      <c r="P382">
        <f>IF(C382="","",IFERROR(VLOOKUP(C382,'Parties'!$B$13:$Q$112,2,FALSE),"?"))</f>
        <v/>
      </c>
      <c r="Q382">
        <f>IF(D382="","",IFERROR(VLOOKUP(D382,Lists!$A$2:$D$9,3,FALSE),"?"))</f>
        <v/>
      </c>
      <c r="R382">
        <f>IF(D382="","",IFERROR(VLOOKUP(D382,Lists!$A$2:$D$9,4,FALSE),"?"))</f>
        <v/>
      </c>
      <c r="S382">
        <f>IF(P382="Debtor",I382,IF(P382="Creditor",J382,0))</f>
        <v/>
      </c>
      <c r="T382">
        <f>IF(P382="Debtor",J382,IF(P382="Creditor",I382,0))</f>
        <v/>
      </c>
      <c r="U382">
        <f>IF(OR(S382=0,B382=""),0,IFERROR(VLOOKUP(C382,'Parties'!$B$13:$Q$112,13,FALSE),0)+SUMIFS($S$7:$S$506,$C$7:$C$506,C382,$B$7:$B$506,"&lt;"&amp;B382)+SUMIFS(S$7:S382,C$7:C382,C382,B$7:B382,B382))</f>
        <v/>
      </c>
      <c r="V382">
        <f>IF(S382=0,0,IFERROR(VLOOKUP(C382,'Parties'!$B$13:$Q$112,14,FALSE),0)+SUMIFS($T$7:$T$506,$C$7:$C$506,C382,$B$7:$B$506,"&lt;="&amp;'Outstanding'!$E$5))</f>
        <v/>
      </c>
      <c r="W382">
        <f>IF(OR('Outstanding'!$E$5="",S382=0,B382="",B382&gt;'Outstanding'!$E$5),0,MAX(0,MIN(S382,U382-V382)))</f>
        <v/>
      </c>
      <c r="X382">
        <f>IF(C382="",0,IFERROR(VLOOKUP(C382,'Parties'!$B$13:$Q$112,15,FALSE),0))</f>
        <v/>
      </c>
      <c r="Y382">
        <f>IF(C382="","",IFERROR(VLOOKUP(C382,'Parties'!$B$13:$Q$112,16,FALSE),0))</f>
        <v/>
      </c>
      <c r="Z382">
        <f>IF(OR(S382=0,B382="",Y382=""),"",IF(AND(F382&lt;&gt;"",D382="Purchase bill"),F382,B382)+Y382)</f>
        <v/>
      </c>
      <c r="AA382">
        <f>IF(OR(W382=0,Z382=""),0,MAX(0,'Outstanding'!$E$5-Z382))</f>
        <v/>
      </c>
      <c r="AB382">
        <f>IF(AND(X382=1,AA382&gt;0),W382*((1+3*N('Parties'!$E$10)/12)^(AA382*12/365)-1),0)</f>
        <v/>
      </c>
      <c r="AC382">
        <f>IF(W382=0,"",'Outstanding'!$E$5-B382)</f>
        <v/>
      </c>
      <c r="AD382">
        <f>IF(S382=0,0,IFERROR(VLOOKUP(C382,'Parties'!$B$13:$Q$112,14,FALSE),0)+SUMIFS($T$7:$T$506,$C$7:$C$506,C382,$B$7:$B$506,"&lt;="&amp;'Parties'!$E$8))</f>
        <v/>
      </c>
      <c r="AE382">
        <f>IF(OR('Parties'!$E$8="",S382=0,B382="",B382&gt;'Parties'!$E$8),0,MAX(0,MIN(S382,U382-AD382)))</f>
        <v/>
      </c>
      <c r="AF382">
        <f>IF(AND(P382="Creditor",X382=1,AE382&gt;0,Z382&lt;&gt;""),IF(Z382&lt;='Parties'!$E$8,AE382,0),0)</f>
        <v/>
      </c>
      <c r="AG382">
        <f>IF(OR(AE382=0,Z382=""),0,MAX(0,'Parties'!$E$8-Z382))</f>
        <v/>
      </c>
      <c r="AH382">
        <f>IF(AND(P382="Creditor",X382=1,AG382&gt;0),AE382*((1+3*N('Parties'!$E$10)/12)^(AG382*12/365)-1),0)</f>
        <v/>
      </c>
      <c r="AI382">
        <f>IF(AND(C382&lt;&gt;"",C382='Ledger Account'!$D$4,B382&lt;&gt;"",B382&gt;='Ledger Account'!$D$5,B382&lt;='Ledger Account'!$D$6),1,0)</f>
        <v/>
      </c>
      <c r="AJ382">
        <f>IF(AI382=1,SUM(AI$7:AI382),"")</f>
        <v/>
      </c>
      <c r="AK382">
        <f>IF(OR(N382="",N382="OK"),0,1)</f>
        <v/>
      </c>
    </row>
    <row r="383">
      <c r="B383" s="24" t="n"/>
      <c r="C383" s="14" t="n"/>
      <c r="D383" s="14" t="n"/>
      <c r="E383" s="20" t="n"/>
      <c r="F383" s="24" t="n"/>
      <c r="G383" s="14" t="n"/>
      <c r="H383" s="22" t="n"/>
      <c r="I383" s="25">
        <f>IF(Q383="D",N(H383),0)</f>
        <v/>
      </c>
      <c r="J383" s="25">
        <f>IF(Q383="C",N(H383),0)</f>
        <v/>
      </c>
      <c r="K383" s="26">
        <f>IF(Z383="","",Z383)</f>
        <v/>
      </c>
      <c r="L383" s="27">
        <f>W383</f>
        <v/>
      </c>
      <c r="M383" s="28">
        <f>AA383</f>
        <v/>
      </c>
      <c r="N383" s="23">
        <f>IF(AND(B383="",C383="",D383="",N(H383)=0),"",IF(B383="","Enter the date",IF(C383="","Pick the party",IF(P383="?","Add this party on the Parties sheet first",IF(D383="","Pick the entry type",IF(Q383="?","Pick the entry type from the list",IF(N(H383)=0,"Enter the amount",IF(AND(R383&lt;&gt;"Any",R383&lt;&gt;P383),"Sales, receipts and credit notes are for debtors; purchases, payments and debit notes for creditors",IF(AND(F383&lt;&gt;"",D383&lt;&gt;"Purchase bill"),"The received-on date is only for purchase bills",IF(AND(P383="Creditor",X383=1,AA383&gt;0),"Past due to a micro or small supplier: interest runs under MSMED s.16, and if unpaid at year end it is not deductible that year, s.37(2)(g)",IF(AND(P383="Debtor",X383=1,AA383&gt;0),"Past due to you: as a micro or small supplier you can claim interest under MSMED s.16","OK")))))))))))</f>
        <v/>
      </c>
      <c r="P383">
        <f>IF(C383="","",IFERROR(VLOOKUP(C383,'Parties'!$B$13:$Q$112,2,FALSE),"?"))</f>
        <v/>
      </c>
      <c r="Q383">
        <f>IF(D383="","",IFERROR(VLOOKUP(D383,Lists!$A$2:$D$9,3,FALSE),"?"))</f>
        <v/>
      </c>
      <c r="R383">
        <f>IF(D383="","",IFERROR(VLOOKUP(D383,Lists!$A$2:$D$9,4,FALSE),"?"))</f>
        <v/>
      </c>
      <c r="S383">
        <f>IF(P383="Debtor",I383,IF(P383="Creditor",J383,0))</f>
        <v/>
      </c>
      <c r="T383">
        <f>IF(P383="Debtor",J383,IF(P383="Creditor",I383,0))</f>
        <v/>
      </c>
      <c r="U383">
        <f>IF(OR(S383=0,B383=""),0,IFERROR(VLOOKUP(C383,'Parties'!$B$13:$Q$112,13,FALSE),0)+SUMIFS($S$7:$S$506,$C$7:$C$506,C383,$B$7:$B$506,"&lt;"&amp;B383)+SUMIFS(S$7:S383,C$7:C383,C383,B$7:B383,B383))</f>
        <v/>
      </c>
      <c r="V383">
        <f>IF(S383=0,0,IFERROR(VLOOKUP(C383,'Parties'!$B$13:$Q$112,14,FALSE),0)+SUMIFS($T$7:$T$506,$C$7:$C$506,C383,$B$7:$B$506,"&lt;="&amp;'Outstanding'!$E$5))</f>
        <v/>
      </c>
      <c r="W383">
        <f>IF(OR('Outstanding'!$E$5="",S383=0,B383="",B383&gt;'Outstanding'!$E$5),0,MAX(0,MIN(S383,U383-V383)))</f>
        <v/>
      </c>
      <c r="X383">
        <f>IF(C383="",0,IFERROR(VLOOKUP(C383,'Parties'!$B$13:$Q$112,15,FALSE),0))</f>
        <v/>
      </c>
      <c r="Y383">
        <f>IF(C383="","",IFERROR(VLOOKUP(C383,'Parties'!$B$13:$Q$112,16,FALSE),0))</f>
        <v/>
      </c>
      <c r="Z383">
        <f>IF(OR(S383=0,B383="",Y383=""),"",IF(AND(F383&lt;&gt;"",D383="Purchase bill"),F383,B383)+Y383)</f>
        <v/>
      </c>
      <c r="AA383">
        <f>IF(OR(W383=0,Z383=""),0,MAX(0,'Outstanding'!$E$5-Z383))</f>
        <v/>
      </c>
      <c r="AB383">
        <f>IF(AND(X383=1,AA383&gt;0),W383*((1+3*N('Parties'!$E$10)/12)^(AA383*12/365)-1),0)</f>
        <v/>
      </c>
      <c r="AC383">
        <f>IF(W383=0,"",'Outstanding'!$E$5-B383)</f>
        <v/>
      </c>
      <c r="AD383">
        <f>IF(S383=0,0,IFERROR(VLOOKUP(C383,'Parties'!$B$13:$Q$112,14,FALSE),0)+SUMIFS($T$7:$T$506,$C$7:$C$506,C383,$B$7:$B$506,"&lt;="&amp;'Parties'!$E$8))</f>
        <v/>
      </c>
      <c r="AE383">
        <f>IF(OR('Parties'!$E$8="",S383=0,B383="",B383&gt;'Parties'!$E$8),0,MAX(0,MIN(S383,U383-AD383)))</f>
        <v/>
      </c>
      <c r="AF383">
        <f>IF(AND(P383="Creditor",X383=1,AE383&gt;0,Z383&lt;&gt;""),IF(Z383&lt;='Parties'!$E$8,AE383,0),0)</f>
        <v/>
      </c>
      <c r="AG383">
        <f>IF(OR(AE383=0,Z383=""),0,MAX(0,'Parties'!$E$8-Z383))</f>
        <v/>
      </c>
      <c r="AH383">
        <f>IF(AND(P383="Creditor",X383=1,AG383&gt;0),AE383*((1+3*N('Parties'!$E$10)/12)^(AG383*12/365)-1),0)</f>
        <v/>
      </c>
      <c r="AI383">
        <f>IF(AND(C383&lt;&gt;"",C383='Ledger Account'!$D$4,B383&lt;&gt;"",B383&gt;='Ledger Account'!$D$5,B383&lt;='Ledger Account'!$D$6),1,0)</f>
        <v/>
      </c>
      <c r="AJ383">
        <f>IF(AI383=1,SUM(AI$7:AI383),"")</f>
        <v/>
      </c>
      <c r="AK383">
        <f>IF(OR(N383="",N383="OK"),0,1)</f>
        <v/>
      </c>
    </row>
    <row r="384">
      <c r="B384" s="24" t="n"/>
      <c r="C384" s="14" t="n"/>
      <c r="D384" s="14" t="n"/>
      <c r="E384" s="20" t="n"/>
      <c r="F384" s="24" t="n"/>
      <c r="G384" s="14" t="n"/>
      <c r="H384" s="22" t="n"/>
      <c r="I384" s="25">
        <f>IF(Q384="D",N(H384),0)</f>
        <v/>
      </c>
      <c r="J384" s="25">
        <f>IF(Q384="C",N(H384),0)</f>
        <v/>
      </c>
      <c r="K384" s="26">
        <f>IF(Z384="","",Z384)</f>
        <v/>
      </c>
      <c r="L384" s="27">
        <f>W384</f>
        <v/>
      </c>
      <c r="M384" s="28">
        <f>AA384</f>
        <v/>
      </c>
      <c r="N384" s="23">
        <f>IF(AND(B384="",C384="",D384="",N(H384)=0),"",IF(B384="","Enter the date",IF(C384="","Pick the party",IF(P384="?","Add this party on the Parties sheet first",IF(D384="","Pick the entry type",IF(Q384="?","Pick the entry type from the list",IF(N(H384)=0,"Enter the amount",IF(AND(R384&lt;&gt;"Any",R384&lt;&gt;P384),"Sales, receipts and credit notes are for debtors; purchases, payments and debit notes for creditors",IF(AND(F384&lt;&gt;"",D384&lt;&gt;"Purchase bill"),"The received-on date is only for purchase bills",IF(AND(P384="Creditor",X384=1,AA384&gt;0),"Past due to a micro or small supplier: interest runs under MSMED s.16, and if unpaid at year end it is not deductible that year, s.37(2)(g)",IF(AND(P384="Debtor",X384=1,AA384&gt;0),"Past due to you: as a micro or small supplier you can claim interest under MSMED s.16","OK")))))))))))</f>
        <v/>
      </c>
      <c r="P384">
        <f>IF(C384="","",IFERROR(VLOOKUP(C384,'Parties'!$B$13:$Q$112,2,FALSE),"?"))</f>
        <v/>
      </c>
      <c r="Q384">
        <f>IF(D384="","",IFERROR(VLOOKUP(D384,Lists!$A$2:$D$9,3,FALSE),"?"))</f>
        <v/>
      </c>
      <c r="R384">
        <f>IF(D384="","",IFERROR(VLOOKUP(D384,Lists!$A$2:$D$9,4,FALSE),"?"))</f>
        <v/>
      </c>
      <c r="S384">
        <f>IF(P384="Debtor",I384,IF(P384="Creditor",J384,0))</f>
        <v/>
      </c>
      <c r="T384">
        <f>IF(P384="Debtor",J384,IF(P384="Creditor",I384,0))</f>
        <v/>
      </c>
      <c r="U384">
        <f>IF(OR(S384=0,B384=""),0,IFERROR(VLOOKUP(C384,'Parties'!$B$13:$Q$112,13,FALSE),0)+SUMIFS($S$7:$S$506,$C$7:$C$506,C384,$B$7:$B$506,"&lt;"&amp;B384)+SUMIFS(S$7:S384,C$7:C384,C384,B$7:B384,B384))</f>
        <v/>
      </c>
      <c r="V384">
        <f>IF(S384=0,0,IFERROR(VLOOKUP(C384,'Parties'!$B$13:$Q$112,14,FALSE),0)+SUMIFS($T$7:$T$506,$C$7:$C$506,C384,$B$7:$B$506,"&lt;="&amp;'Outstanding'!$E$5))</f>
        <v/>
      </c>
      <c r="W384">
        <f>IF(OR('Outstanding'!$E$5="",S384=0,B384="",B384&gt;'Outstanding'!$E$5),0,MAX(0,MIN(S384,U384-V384)))</f>
        <v/>
      </c>
      <c r="X384">
        <f>IF(C384="",0,IFERROR(VLOOKUP(C384,'Parties'!$B$13:$Q$112,15,FALSE),0))</f>
        <v/>
      </c>
      <c r="Y384">
        <f>IF(C384="","",IFERROR(VLOOKUP(C384,'Parties'!$B$13:$Q$112,16,FALSE),0))</f>
        <v/>
      </c>
      <c r="Z384">
        <f>IF(OR(S384=0,B384="",Y384=""),"",IF(AND(F384&lt;&gt;"",D384="Purchase bill"),F384,B384)+Y384)</f>
        <v/>
      </c>
      <c r="AA384">
        <f>IF(OR(W384=0,Z384=""),0,MAX(0,'Outstanding'!$E$5-Z384))</f>
        <v/>
      </c>
      <c r="AB384">
        <f>IF(AND(X384=1,AA384&gt;0),W384*((1+3*N('Parties'!$E$10)/12)^(AA384*12/365)-1),0)</f>
        <v/>
      </c>
      <c r="AC384">
        <f>IF(W384=0,"",'Outstanding'!$E$5-B384)</f>
        <v/>
      </c>
      <c r="AD384">
        <f>IF(S384=0,0,IFERROR(VLOOKUP(C384,'Parties'!$B$13:$Q$112,14,FALSE),0)+SUMIFS($T$7:$T$506,$C$7:$C$506,C384,$B$7:$B$506,"&lt;="&amp;'Parties'!$E$8))</f>
        <v/>
      </c>
      <c r="AE384">
        <f>IF(OR('Parties'!$E$8="",S384=0,B384="",B384&gt;'Parties'!$E$8),0,MAX(0,MIN(S384,U384-AD384)))</f>
        <v/>
      </c>
      <c r="AF384">
        <f>IF(AND(P384="Creditor",X384=1,AE384&gt;0,Z384&lt;&gt;""),IF(Z384&lt;='Parties'!$E$8,AE384,0),0)</f>
        <v/>
      </c>
      <c r="AG384">
        <f>IF(OR(AE384=0,Z384=""),0,MAX(0,'Parties'!$E$8-Z384))</f>
        <v/>
      </c>
      <c r="AH384">
        <f>IF(AND(P384="Creditor",X384=1,AG384&gt;0),AE384*((1+3*N('Parties'!$E$10)/12)^(AG384*12/365)-1),0)</f>
        <v/>
      </c>
      <c r="AI384">
        <f>IF(AND(C384&lt;&gt;"",C384='Ledger Account'!$D$4,B384&lt;&gt;"",B384&gt;='Ledger Account'!$D$5,B384&lt;='Ledger Account'!$D$6),1,0)</f>
        <v/>
      </c>
      <c r="AJ384">
        <f>IF(AI384=1,SUM(AI$7:AI384),"")</f>
        <v/>
      </c>
      <c r="AK384">
        <f>IF(OR(N384="",N384="OK"),0,1)</f>
        <v/>
      </c>
    </row>
    <row r="385">
      <c r="B385" s="24" t="n"/>
      <c r="C385" s="14" t="n"/>
      <c r="D385" s="14" t="n"/>
      <c r="E385" s="20" t="n"/>
      <c r="F385" s="24" t="n"/>
      <c r="G385" s="14" t="n"/>
      <c r="H385" s="22" t="n"/>
      <c r="I385" s="25">
        <f>IF(Q385="D",N(H385),0)</f>
        <v/>
      </c>
      <c r="J385" s="25">
        <f>IF(Q385="C",N(H385),0)</f>
        <v/>
      </c>
      <c r="K385" s="26">
        <f>IF(Z385="","",Z385)</f>
        <v/>
      </c>
      <c r="L385" s="27">
        <f>W385</f>
        <v/>
      </c>
      <c r="M385" s="28">
        <f>AA385</f>
        <v/>
      </c>
      <c r="N385" s="23">
        <f>IF(AND(B385="",C385="",D385="",N(H385)=0),"",IF(B385="","Enter the date",IF(C385="","Pick the party",IF(P385="?","Add this party on the Parties sheet first",IF(D385="","Pick the entry type",IF(Q385="?","Pick the entry type from the list",IF(N(H385)=0,"Enter the amount",IF(AND(R385&lt;&gt;"Any",R385&lt;&gt;P385),"Sales, receipts and credit notes are for debtors; purchases, payments and debit notes for creditors",IF(AND(F385&lt;&gt;"",D385&lt;&gt;"Purchase bill"),"The received-on date is only for purchase bills",IF(AND(P385="Creditor",X385=1,AA385&gt;0),"Past due to a micro or small supplier: interest runs under MSMED s.16, and if unpaid at year end it is not deductible that year, s.37(2)(g)",IF(AND(P385="Debtor",X385=1,AA385&gt;0),"Past due to you: as a micro or small supplier you can claim interest under MSMED s.16","OK")))))))))))</f>
        <v/>
      </c>
      <c r="P385">
        <f>IF(C385="","",IFERROR(VLOOKUP(C385,'Parties'!$B$13:$Q$112,2,FALSE),"?"))</f>
        <v/>
      </c>
      <c r="Q385">
        <f>IF(D385="","",IFERROR(VLOOKUP(D385,Lists!$A$2:$D$9,3,FALSE),"?"))</f>
        <v/>
      </c>
      <c r="R385">
        <f>IF(D385="","",IFERROR(VLOOKUP(D385,Lists!$A$2:$D$9,4,FALSE),"?"))</f>
        <v/>
      </c>
      <c r="S385">
        <f>IF(P385="Debtor",I385,IF(P385="Creditor",J385,0))</f>
        <v/>
      </c>
      <c r="T385">
        <f>IF(P385="Debtor",J385,IF(P385="Creditor",I385,0))</f>
        <v/>
      </c>
      <c r="U385">
        <f>IF(OR(S385=0,B385=""),0,IFERROR(VLOOKUP(C385,'Parties'!$B$13:$Q$112,13,FALSE),0)+SUMIFS($S$7:$S$506,$C$7:$C$506,C385,$B$7:$B$506,"&lt;"&amp;B385)+SUMIFS(S$7:S385,C$7:C385,C385,B$7:B385,B385))</f>
        <v/>
      </c>
      <c r="V385">
        <f>IF(S385=0,0,IFERROR(VLOOKUP(C385,'Parties'!$B$13:$Q$112,14,FALSE),0)+SUMIFS($T$7:$T$506,$C$7:$C$506,C385,$B$7:$B$506,"&lt;="&amp;'Outstanding'!$E$5))</f>
        <v/>
      </c>
      <c r="W385">
        <f>IF(OR('Outstanding'!$E$5="",S385=0,B385="",B385&gt;'Outstanding'!$E$5),0,MAX(0,MIN(S385,U385-V385)))</f>
        <v/>
      </c>
      <c r="X385">
        <f>IF(C385="",0,IFERROR(VLOOKUP(C385,'Parties'!$B$13:$Q$112,15,FALSE),0))</f>
        <v/>
      </c>
      <c r="Y385">
        <f>IF(C385="","",IFERROR(VLOOKUP(C385,'Parties'!$B$13:$Q$112,16,FALSE),0))</f>
        <v/>
      </c>
      <c r="Z385">
        <f>IF(OR(S385=0,B385="",Y385=""),"",IF(AND(F385&lt;&gt;"",D385="Purchase bill"),F385,B385)+Y385)</f>
        <v/>
      </c>
      <c r="AA385">
        <f>IF(OR(W385=0,Z385=""),0,MAX(0,'Outstanding'!$E$5-Z385))</f>
        <v/>
      </c>
      <c r="AB385">
        <f>IF(AND(X385=1,AA385&gt;0),W385*((1+3*N('Parties'!$E$10)/12)^(AA385*12/365)-1),0)</f>
        <v/>
      </c>
      <c r="AC385">
        <f>IF(W385=0,"",'Outstanding'!$E$5-B385)</f>
        <v/>
      </c>
      <c r="AD385">
        <f>IF(S385=0,0,IFERROR(VLOOKUP(C385,'Parties'!$B$13:$Q$112,14,FALSE),0)+SUMIFS($T$7:$T$506,$C$7:$C$506,C385,$B$7:$B$506,"&lt;="&amp;'Parties'!$E$8))</f>
        <v/>
      </c>
      <c r="AE385">
        <f>IF(OR('Parties'!$E$8="",S385=0,B385="",B385&gt;'Parties'!$E$8),0,MAX(0,MIN(S385,U385-AD385)))</f>
        <v/>
      </c>
      <c r="AF385">
        <f>IF(AND(P385="Creditor",X385=1,AE385&gt;0,Z385&lt;&gt;""),IF(Z385&lt;='Parties'!$E$8,AE385,0),0)</f>
        <v/>
      </c>
      <c r="AG385">
        <f>IF(OR(AE385=0,Z385=""),0,MAX(0,'Parties'!$E$8-Z385))</f>
        <v/>
      </c>
      <c r="AH385">
        <f>IF(AND(P385="Creditor",X385=1,AG385&gt;0),AE385*((1+3*N('Parties'!$E$10)/12)^(AG385*12/365)-1),0)</f>
        <v/>
      </c>
      <c r="AI385">
        <f>IF(AND(C385&lt;&gt;"",C385='Ledger Account'!$D$4,B385&lt;&gt;"",B385&gt;='Ledger Account'!$D$5,B385&lt;='Ledger Account'!$D$6),1,0)</f>
        <v/>
      </c>
      <c r="AJ385">
        <f>IF(AI385=1,SUM(AI$7:AI385),"")</f>
        <v/>
      </c>
      <c r="AK385">
        <f>IF(OR(N385="",N385="OK"),0,1)</f>
        <v/>
      </c>
    </row>
    <row r="386">
      <c r="B386" s="24" t="n"/>
      <c r="C386" s="14" t="n"/>
      <c r="D386" s="14" t="n"/>
      <c r="E386" s="20" t="n"/>
      <c r="F386" s="24" t="n"/>
      <c r="G386" s="14" t="n"/>
      <c r="H386" s="22" t="n"/>
      <c r="I386" s="25">
        <f>IF(Q386="D",N(H386),0)</f>
        <v/>
      </c>
      <c r="J386" s="25">
        <f>IF(Q386="C",N(H386),0)</f>
        <v/>
      </c>
      <c r="K386" s="26">
        <f>IF(Z386="","",Z386)</f>
        <v/>
      </c>
      <c r="L386" s="27">
        <f>W386</f>
        <v/>
      </c>
      <c r="M386" s="28">
        <f>AA386</f>
        <v/>
      </c>
      <c r="N386" s="23">
        <f>IF(AND(B386="",C386="",D386="",N(H386)=0),"",IF(B386="","Enter the date",IF(C386="","Pick the party",IF(P386="?","Add this party on the Parties sheet first",IF(D386="","Pick the entry type",IF(Q386="?","Pick the entry type from the list",IF(N(H386)=0,"Enter the amount",IF(AND(R386&lt;&gt;"Any",R386&lt;&gt;P386),"Sales, receipts and credit notes are for debtors; purchases, payments and debit notes for creditors",IF(AND(F386&lt;&gt;"",D386&lt;&gt;"Purchase bill"),"The received-on date is only for purchase bills",IF(AND(P386="Creditor",X386=1,AA386&gt;0),"Past due to a micro or small supplier: interest runs under MSMED s.16, and if unpaid at year end it is not deductible that year, s.37(2)(g)",IF(AND(P386="Debtor",X386=1,AA386&gt;0),"Past due to you: as a micro or small supplier you can claim interest under MSMED s.16","OK")))))))))))</f>
        <v/>
      </c>
      <c r="P386">
        <f>IF(C386="","",IFERROR(VLOOKUP(C386,'Parties'!$B$13:$Q$112,2,FALSE),"?"))</f>
        <v/>
      </c>
      <c r="Q386">
        <f>IF(D386="","",IFERROR(VLOOKUP(D386,Lists!$A$2:$D$9,3,FALSE),"?"))</f>
        <v/>
      </c>
      <c r="R386">
        <f>IF(D386="","",IFERROR(VLOOKUP(D386,Lists!$A$2:$D$9,4,FALSE),"?"))</f>
        <v/>
      </c>
      <c r="S386">
        <f>IF(P386="Debtor",I386,IF(P386="Creditor",J386,0))</f>
        <v/>
      </c>
      <c r="T386">
        <f>IF(P386="Debtor",J386,IF(P386="Creditor",I386,0))</f>
        <v/>
      </c>
      <c r="U386">
        <f>IF(OR(S386=0,B386=""),0,IFERROR(VLOOKUP(C386,'Parties'!$B$13:$Q$112,13,FALSE),0)+SUMIFS($S$7:$S$506,$C$7:$C$506,C386,$B$7:$B$506,"&lt;"&amp;B386)+SUMIFS(S$7:S386,C$7:C386,C386,B$7:B386,B386))</f>
        <v/>
      </c>
      <c r="V386">
        <f>IF(S386=0,0,IFERROR(VLOOKUP(C386,'Parties'!$B$13:$Q$112,14,FALSE),0)+SUMIFS($T$7:$T$506,$C$7:$C$506,C386,$B$7:$B$506,"&lt;="&amp;'Outstanding'!$E$5))</f>
        <v/>
      </c>
      <c r="W386">
        <f>IF(OR('Outstanding'!$E$5="",S386=0,B386="",B386&gt;'Outstanding'!$E$5),0,MAX(0,MIN(S386,U386-V386)))</f>
        <v/>
      </c>
      <c r="X386">
        <f>IF(C386="",0,IFERROR(VLOOKUP(C386,'Parties'!$B$13:$Q$112,15,FALSE),0))</f>
        <v/>
      </c>
      <c r="Y386">
        <f>IF(C386="","",IFERROR(VLOOKUP(C386,'Parties'!$B$13:$Q$112,16,FALSE),0))</f>
        <v/>
      </c>
      <c r="Z386">
        <f>IF(OR(S386=0,B386="",Y386=""),"",IF(AND(F386&lt;&gt;"",D386="Purchase bill"),F386,B386)+Y386)</f>
        <v/>
      </c>
      <c r="AA386">
        <f>IF(OR(W386=0,Z386=""),0,MAX(0,'Outstanding'!$E$5-Z386))</f>
        <v/>
      </c>
      <c r="AB386">
        <f>IF(AND(X386=1,AA386&gt;0),W386*((1+3*N('Parties'!$E$10)/12)^(AA386*12/365)-1),0)</f>
        <v/>
      </c>
      <c r="AC386">
        <f>IF(W386=0,"",'Outstanding'!$E$5-B386)</f>
        <v/>
      </c>
      <c r="AD386">
        <f>IF(S386=0,0,IFERROR(VLOOKUP(C386,'Parties'!$B$13:$Q$112,14,FALSE),0)+SUMIFS($T$7:$T$506,$C$7:$C$506,C386,$B$7:$B$506,"&lt;="&amp;'Parties'!$E$8))</f>
        <v/>
      </c>
      <c r="AE386">
        <f>IF(OR('Parties'!$E$8="",S386=0,B386="",B386&gt;'Parties'!$E$8),0,MAX(0,MIN(S386,U386-AD386)))</f>
        <v/>
      </c>
      <c r="AF386">
        <f>IF(AND(P386="Creditor",X386=1,AE386&gt;0,Z386&lt;&gt;""),IF(Z386&lt;='Parties'!$E$8,AE386,0),0)</f>
        <v/>
      </c>
      <c r="AG386">
        <f>IF(OR(AE386=0,Z386=""),0,MAX(0,'Parties'!$E$8-Z386))</f>
        <v/>
      </c>
      <c r="AH386">
        <f>IF(AND(P386="Creditor",X386=1,AG386&gt;0),AE386*((1+3*N('Parties'!$E$10)/12)^(AG386*12/365)-1),0)</f>
        <v/>
      </c>
      <c r="AI386">
        <f>IF(AND(C386&lt;&gt;"",C386='Ledger Account'!$D$4,B386&lt;&gt;"",B386&gt;='Ledger Account'!$D$5,B386&lt;='Ledger Account'!$D$6),1,0)</f>
        <v/>
      </c>
      <c r="AJ386">
        <f>IF(AI386=1,SUM(AI$7:AI386),"")</f>
        <v/>
      </c>
      <c r="AK386">
        <f>IF(OR(N386="",N386="OK"),0,1)</f>
        <v/>
      </c>
    </row>
    <row r="387">
      <c r="B387" s="24" t="n"/>
      <c r="C387" s="14" t="n"/>
      <c r="D387" s="14" t="n"/>
      <c r="E387" s="20" t="n"/>
      <c r="F387" s="24" t="n"/>
      <c r="G387" s="14" t="n"/>
      <c r="H387" s="22" t="n"/>
      <c r="I387" s="25">
        <f>IF(Q387="D",N(H387),0)</f>
        <v/>
      </c>
      <c r="J387" s="25">
        <f>IF(Q387="C",N(H387),0)</f>
        <v/>
      </c>
      <c r="K387" s="26">
        <f>IF(Z387="","",Z387)</f>
        <v/>
      </c>
      <c r="L387" s="27">
        <f>W387</f>
        <v/>
      </c>
      <c r="M387" s="28">
        <f>AA387</f>
        <v/>
      </c>
      <c r="N387" s="23">
        <f>IF(AND(B387="",C387="",D387="",N(H387)=0),"",IF(B387="","Enter the date",IF(C387="","Pick the party",IF(P387="?","Add this party on the Parties sheet first",IF(D387="","Pick the entry type",IF(Q387="?","Pick the entry type from the list",IF(N(H387)=0,"Enter the amount",IF(AND(R387&lt;&gt;"Any",R387&lt;&gt;P387),"Sales, receipts and credit notes are for debtors; purchases, payments and debit notes for creditors",IF(AND(F387&lt;&gt;"",D387&lt;&gt;"Purchase bill"),"The received-on date is only for purchase bills",IF(AND(P387="Creditor",X387=1,AA387&gt;0),"Past due to a micro or small supplier: interest runs under MSMED s.16, and if unpaid at year end it is not deductible that year, s.37(2)(g)",IF(AND(P387="Debtor",X387=1,AA387&gt;0),"Past due to you: as a micro or small supplier you can claim interest under MSMED s.16","OK")))))))))))</f>
        <v/>
      </c>
      <c r="P387">
        <f>IF(C387="","",IFERROR(VLOOKUP(C387,'Parties'!$B$13:$Q$112,2,FALSE),"?"))</f>
        <v/>
      </c>
      <c r="Q387">
        <f>IF(D387="","",IFERROR(VLOOKUP(D387,Lists!$A$2:$D$9,3,FALSE),"?"))</f>
        <v/>
      </c>
      <c r="R387">
        <f>IF(D387="","",IFERROR(VLOOKUP(D387,Lists!$A$2:$D$9,4,FALSE),"?"))</f>
        <v/>
      </c>
      <c r="S387">
        <f>IF(P387="Debtor",I387,IF(P387="Creditor",J387,0))</f>
        <v/>
      </c>
      <c r="T387">
        <f>IF(P387="Debtor",J387,IF(P387="Creditor",I387,0))</f>
        <v/>
      </c>
      <c r="U387">
        <f>IF(OR(S387=0,B387=""),0,IFERROR(VLOOKUP(C387,'Parties'!$B$13:$Q$112,13,FALSE),0)+SUMIFS($S$7:$S$506,$C$7:$C$506,C387,$B$7:$B$506,"&lt;"&amp;B387)+SUMIFS(S$7:S387,C$7:C387,C387,B$7:B387,B387))</f>
        <v/>
      </c>
      <c r="V387">
        <f>IF(S387=0,0,IFERROR(VLOOKUP(C387,'Parties'!$B$13:$Q$112,14,FALSE),0)+SUMIFS($T$7:$T$506,$C$7:$C$506,C387,$B$7:$B$506,"&lt;="&amp;'Outstanding'!$E$5))</f>
        <v/>
      </c>
      <c r="W387">
        <f>IF(OR('Outstanding'!$E$5="",S387=0,B387="",B387&gt;'Outstanding'!$E$5),0,MAX(0,MIN(S387,U387-V387)))</f>
        <v/>
      </c>
      <c r="X387">
        <f>IF(C387="",0,IFERROR(VLOOKUP(C387,'Parties'!$B$13:$Q$112,15,FALSE),0))</f>
        <v/>
      </c>
      <c r="Y387">
        <f>IF(C387="","",IFERROR(VLOOKUP(C387,'Parties'!$B$13:$Q$112,16,FALSE),0))</f>
        <v/>
      </c>
      <c r="Z387">
        <f>IF(OR(S387=0,B387="",Y387=""),"",IF(AND(F387&lt;&gt;"",D387="Purchase bill"),F387,B387)+Y387)</f>
        <v/>
      </c>
      <c r="AA387">
        <f>IF(OR(W387=0,Z387=""),0,MAX(0,'Outstanding'!$E$5-Z387))</f>
        <v/>
      </c>
      <c r="AB387">
        <f>IF(AND(X387=1,AA387&gt;0),W387*((1+3*N('Parties'!$E$10)/12)^(AA387*12/365)-1),0)</f>
        <v/>
      </c>
      <c r="AC387">
        <f>IF(W387=0,"",'Outstanding'!$E$5-B387)</f>
        <v/>
      </c>
      <c r="AD387">
        <f>IF(S387=0,0,IFERROR(VLOOKUP(C387,'Parties'!$B$13:$Q$112,14,FALSE),0)+SUMIFS($T$7:$T$506,$C$7:$C$506,C387,$B$7:$B$506,"&lt;="&amp;'Parties'!$E$8))</f>
        <v/>
      </c>
      <c r="AE387">
        <f>IF(OR('Parties'!$E$8="",S387=0,B387="",B387&gt;'Parties'!$E$8),0,MAX(0,MIN(S387,U387-AD387)))</f>
        <v/>
      </c>
      <c r="AF387">
        <f>IF(AND(P387="Creditor",X387=1,AE387&gt;0,Z387&lt;&gt;""),IF(Z387&lt;='Parties'!$E$8,AE387,0),0)</f>
        <v/>
      </c>
      <c r="AG387">
        <f>IF(OR(AE387=0,Z387=""),0,MAX(0,'Parties'!$E$8-Z387))</f>
        <v/>
      </c>
      <c r="AH387">
        <f>IF(AND(P387="Creditor",X387=1,AG387&gt;0),AE387*((1+3*N('Parties'!$E$10)/12)^(AG387*12/365)-1),0)</f>
        <v/>
      </c>
      <c r="AI387">
        <f>IF(AND(C387&lt;&gt;"",C387='Ledger Account'!$D$4,B387&lt;&gt;"",B387&gt;='Ledger Account'!$D$5,B387&lt;='Ledger Account'!$D$6),1,0)</f>
        <v/>
      </c>
      <c r="AJ387">
        <f>IF(AI387=1,SUM(AI$7:AI387),"")</f>
        <v/>
      </c>
      <c r="AK387">
        <f>IF(OR(N387="",N387="OK"),0,1)</f>
        <v/>
      </c>
    </row>
    <row r="388">
      <c r="B388" s="24" t="n"/>
      <c r="C388" s="14" t="n"/>
      <c r="D388" s="14" t="n"/>
      <c r="E388" s="20" t="n"/>
      <c r="F388" s="24" t="n"/>
      <c r="G388" s="14" t="n"/>
      <c r="H388" s="22" t="n"/>
      <c r="I388" s="25">
        <f>IF(Q388="D",N(H388),0)</f>
        <v/>
      </c>
      <c r="J388" s="25">
        <f>IF(Q388="C",N(H388),0)</f>
        <v/>
      </c>
      <c r="K388" s="26">
        <f>IF(Z388="","",Z388)</f>
        <v/>
      </c>
      <c r="L388" s="27">
        <f>W388</f>
        <v/>
      </c>
      <c r="M388" s="28">
        <f>AA388</f>
        <v/>
      </c>
      <c r="N388" s="23">
        <f>IF(AND(B388="",C388="",D388="",N(H388)=0),"",IF(B388="","Enter the date",IF(C388="","Pick the party",IF(P388="?","Add this party on the Parties sheet first",IF(D388="","Pick the entry type",IF(Q388="?","Pick the entry type from the list",IF(N(H388)=0,"Enter the amount",IF(AND(R388&lt;&gt;"Any",R388&lt;&gt;P388),"Sales, receipts and credit notes are for debtors; purchases, payments and debit notes for creditors",IF(AND(F388&lt;&gt;"",D388&lt;&gt;"Purchase bill"),"The received-on date is only for purchase bills",IF(AND(P388="Creditor",X388=1,AA388&gt;0),"Past due to a micro or small supplier: interest runs under MSMED s.16, and if unpaid at year end it is not deductible that year, s.37(2)(g)",IF(AND(P388="Debtor",X388=1,AA388&gt;0),"Past due to you: as a micro or small supplier you can claim interest under MSMED s.16","OK")))))))))))</f>
        <v/>
      </c>
      <c r="P388">
        <f>IF(C388="","",IFERROR(VLOOKUP(C388,'Parties'!$B$13:$Q$112,2,FALSE),"?"))</f>
        <v/>
      </c>
      <c r="Q388">
        <f>IF(D388="","",IFERROR(VLOOKUP(D388,Lists!$A$2:$D$9,3,FALSE),"?"))</f>
        <v/>
      </c>
      <c r="R388">
        <f>IF(D388="","",IFERROR(VLOOKUP(D388,Lists!$A$2:$D$9,4,FALSE),"?"))</f>
        <v/>
      </c>
      <c r="S388">
        <f>IF(P388="Debtor",I388,IF(P388="Creditor",J388,0))</f>
        <v/>
      </c>
      <c r="T388">
        <f>IF(P388="Debtor",J388,IF(P388="Creditor",I388,0))</f>
        <v/>
      </c>
      <c r="U388">
        <f>IF(OR(S388=0,B388=""),0,IFERROR(VLOOKUP(C388,'Parties'!$B$13:$Q$112,13,FALSE),0)+SUMIFS($S$7:$S$506,$C$7:$C$506,C388,$B$7:$B$506,"&lt;"&amp;B388)+SUMIFS(S$7:S388,C$7:C388,C388,B$7:B388,B388))</f>
        <v/>
      </c>
      <c r="V388">
        <f>IF(S388=0,0,IFERROR(VLOOKUP(C388,'Parties'!$B$13:$Q$112,14,FALSE),0)+SUMIFS($T$7:$T$506,$C$7:$C$506,C388,$B$7:$B$506,"&lt;="&amp;'Outstanding'!$E$5))</f>
        <v/>
      </c>
      <c r="W388">
        <f>IF(OR('Outstanding'!$E$5="",S388=0,B388="",B388&gt;'Outstanding'!$E$5),0,MAX(0,MIN(S388,U388-V388)))</f>
        <v/>
      </c>
      <c r="X388">
        <f>IF(C388="",0,IFERROR(VLOOKUP(C388,'Parties'!$B$13:$Q$112,15,FALSE),0))</f>
        <v/>
      </c>
      <c r="Y388">
        <f>IF(C388="","",IFERROR(VLOOKUP(C388,'Parties'!$B$13:$Q$112,16,FALSE),0))</f>
        <v/>
      </c>
      <c r="Z388">
        <f>IF(OR(S388=0,B388="",Y388=""),"",IF(AND(F388&lt;&gt;"",D388="Purchase bill"),F388,B388)+Y388)</f>
        <v/>
      </c>
      <c r="AA388">
        <f>IF(OR(W388=0,Z388=""),0,MAX(0,'Outstanding'!$E$5-Z388))</f>
        <v/>
      </c>
      <c r="AB388">
        <f>IF(AND(X388=1,AA388&gt;0),W388*((1+3*N('Parties'!$E$10)/12)^(AA388*12/365)-1),0)</f>
        <v/>
      </c>
      <c r="AC388">
        <f>IF(W388=0,"",'Outstanding'!$E$5-B388)</f>
        <v/>
      </c>
      <c r="AD388">
        <f>IF(S388=0,0,IFERROR(VLOOKUP(C388,'Parties'!$B$13:$Q$112,14,FALSE),0)+SUMIFS($T$7:$T$506,$C$7:$C$506,C388,$B$7:$B$506,"&lt;="&amp;'Parties'!$E$8))</f>
        <v/>
      </c>
      <c r="AE388">
        <f>IF(OR('Parties'!$E$8="",S388=0,B388="",B388&gt;'Parties'!$E$8),0,MAX(0,MIN(S388,U388-AD388)))</f>
        <v/>
      </c>
      <c r="AF388">
        <f>IF(AND(P388="Creditor",X388=1,AE388&gt;0,Z388&lt;&gt;""),IF(Z388&lt;='Parties'!$E$8,AE388,0),0)</f>
        <v/>
      </c>
      <c r="AG388">
        <f>IF(OR(AE388=0,Z388=""),0,MAX(0,'Parties'!$E$8-Z388))</f>
        <v/>
      </c>
      <c r="AH388">
        <f>IF(AND(P388="Creditor",X388=1,AG388&gt;0),AE388*((1+3*N('Parties'!$E$10)/12)^(AG388*12/365)-1),0)</f>
        <v/>
      </c>
      <c r="AI388">
        <f>IF(AND(C388&lt;&gt;"",C388='Ledger Account'!$D$4,B388&lt;&gt;"",B388&gt;='Ledger Account'!$D$5,B388&lt;='Ledger Account'!$D$6),1,0)</f>
        <v/>
      </c>
      <c r="AJ388">
        <f>IF(AI388=1,SUM(AI$7:AI388),"")</f>
        <v/>
      </c>
      <c r="AK388">
        <f>IF(OR(N388="",N388="OK"),0,1)</f>
        <v/>
      </c>
    </row>
    <row r="389">
      <c r="B389" s="24" t="n"/>
      <c r="C389" s="14" t="n"/>
      <c r="D389" s="14" t="n"/>
      <c r="E389" s="20" t="n"/>
      <c r="F389" s="24" t="n"/>
      <c r="G389" s="14" t="n"/>
      <c r="H389" s="22" t="n"/>
      <c r="I389" s="25">
        <f>IF(Q389="D",N(H389),0)</f>
        <v/>
      </c>
      <c r="J389" s="25">
        <f>IF(Q389="C",N(H389),0)</f>
        <v/>
      </c>
      <c r="K389" s="26">
        <f>IF(Z389="","",Z389)</f>
        <v/>
      </c>
      <c r="L389" s="27">
        <f>W389</f>
        <v/>
      </c>
      <c r="M389" s="28">
        <f>AA389</f>
        <v/>
      </c>
      <c r="N389" s="23">
        <f>IF(AND(B389="",C389="",D389="",N(H389)=0),"",IF(B389="","Enter the date",IF(C389="","Pick the party",IF(P389="?","Add this party on the Parties sheet first",IF(D389="","Pick the entry type",IF(Q389="?","Pick the entry type from the list",IF(N(H389)=0,"Enter the amount",IF(AND(R389&lt;&gt;"Any",R389&lt;&gt;P389),"Sales, receipts and credit notes are for debtors; purchases, payments and debit notes for creditors",IF(AND(F389&lt;&gt;"",D389&lt;&gt;"Purchase bill"),"The received-on date is only for purchase bills",IF(AND(P389="Creditor",X389=1,AA389&gt;0),"Past due to a micro or small supplier: interest runs under MSMED s.16, and if unpaid at year end it is not deductible that year, s.37(2)(g)",IF(AND(P389="Debtor",X389=1,AA389&gt;0),"Past due to you: as a micro or small supplier you can claim interest under MSMED s.16","OK")))))))))))</f>
        <v/>
      </c>
      <c r="P389">
        <f>IF(C389="","",IFERROR(VLOOKUP(C389,'Parties'!$B$13:$Q$112,2,FALSE),"?"))</f>
        <v/>
      </c>
      <c r="Q389">
        <f>IF(D389="","",IFERROR(VLOOKUP(D389,Lists!$A$2:$D$9,3,FALSE),"?"))</f>
        <v/>
      </c>
      <c r="R389">
        <f>IF(D389="","",IFERROR(VLOOKUP(D389,Lists!$A$2:$D$9,4,FALSE),"?"))</f>
        <v/>
      </c>
      <c r="S389">
        <f>IF(P389="Debtor",I389,IF(P389="Creditor",J389,0))</f>
        <v/>
      </c>
      <c r="T389">
        <f>IF(P389="Debtor",J389,IF(P389="Creditor",I389,0))</f>
        <v/>
      </c>
      <c r="U389">
        <f>IF(OR(S389=0,B389=""),0,IFERROR(VLOOKUP(C389,'Parties'!$B$13:$Q$112,13,FALSE),0)+SUMIFS($S$7:$S$506,$C$7:$C$506,C389,$B$7:$B$506,"&lt;"&amp;B389)+SUMIFS(S$7:S389,C$7:C389,C389,B$7:B389,B389))</f>
        <v/>
      </c>
      <c r="V389">
        <f>IF(S389=0,0,IFERROR(VLOOKUP(C389,'Parties'!$B$13:$Q$112,14,FALSE),0)+SUMIFS($T$7:$T$506,$C$7:$C$506,C389,$B$7:$B$506,"&lt;="&amp;'Outstanding'!$E$5))</f>
        <v/>
      </c>
      <c r="W389">
        <f>IF(OR('Outstanding'!$E$5="",S389=0,B389="",B389&gt;'Outstanding'!$E$5),0,MAX(0,MIN(S389,U389-V389)))</f>
        <v/>
      </c>
      <c r="X389">
        <f>IF(C389="",0,IFERROR(VLOOKUP(C389,'Parties'!$B$13:$Q$112,15,FALSE),0))</f>
        <v/>
      </c>
      <c r="Y389">
        <f>IF(C389="","",IFERROR(VLOOKUP(C389,'Parties'!$B$13:$Q$112,16,FALSE),0))</f>
        <v/>
      </c>
      <c r="Z389">
        <f>IF(OR(S389=0,B389="",Y389=""),"",IF(AND(F389&lt;&gt;"",D389="Purchase bill"),F389,B389)+Y389)</f>
        <v/>
      </c>
      <c r="AA389">
        <f>IF(OR(W389=0,Z389=""),0,MAX(0,'Outstanding'!$E$5-Z389))</f>
        <v/>
      </c>
      <c r="AB389">
        <f>IF(AND(X389=1,AA389&gt;0),W389*((1+3*N('Parties'!$E$10)/12)^(AA389*12/365)-1),0)</f>
        <v/>
      </c>
      <c r="AC389">
        <f>IF(W389=0,"",'Outstanding'!$E$5-B389)</f>
        <v/>
      </c>
      <c r="AD389">
        <f>IF(S389=0,0,IFERROR(VLOOKUP(C389,'Parties'!$B$13:$Q$112,14,FALSE),0)+SUMIFS($T$7:$T$506,$C$7:$C$506,C389,$B$7:$B$506,"&lt;="&amp;'Parties'!$E$8))</f>
        <v/>
      </c>
      <c r="AE389">
        <f>IF(OR('Parties'!$E$8="",S389=0,B389="",B389&gt;'Parties'!$E$8),0,MAX(0,MIN(S389,U389-AD389)))</f>
        <v/>
      </c>
      <c r="AF389">
        <f>IF(AND(P389="Creditor",X389=1,AE389&gt;0,Z389&lt;&gt;""),IF(Z389&lt;='Parties'!$E$8,AE389,0),0)</f>
        <v/>
      </c>
      <c r="AG389">
        <f>IF(OR(AE389=0,Z389=""),0,MAX(0,'Parties'!$E$8-Z389))</f>
        <v/>
      </c>
      <c r="AH389">
        <f>IF(AND(P389="Creditor",X389=1,AG389&gt;0),AE389*((1+3*N('Parties'!$E$10)/12)^(AG389*12/365)-1),0)</f>
        <v/>
      </c>
      <c r="AI389">
        <f>IF(AND(C389&lt;&gt;"",C389='Ledger Account'!$D$4,B389&lt;&gt;"",B389&gt;='Ledger Account'!$D$5,B389&lt;='Ledger Account'!$D$6),1,0)</f>
        <v/>
      </c>
      <c r="AJ389">
        <f>IF(AI389=1,SUM(AI$7:AI389),"")</f>
        <v/>
      </c>
      <c r="AK389">
        <f>IF(OR(N389="",N389="OK"),0,1)</f>
        <v/>
      </c>
    </row>
    <row r="390">
      <c r="B390" s="24" t="n"/>
      <c r="C390" s="14" t="n"/>
      <c r="D390" s="14" t="n"/>
      <c r="E390" s="20" t="n"/>
      <c r="F390" s="24" t="n"/>
      <c r="G390" s="14" t="n"/>
      <c r="H390" s="22" t="n"/>
      <c r="I390" s="25">
        <f>IF(Q390="D",N(H390),0)</f>
        <v/>
      </c>
      <c r="J390" s="25">
        <f>IF(Q390="C",N(H390),0)</f>
        <v/>
      </c>
      <c r="K390" s="26">
        <f>IF(Z390="","",Z390)</f>
        <v/>
      </c>
      <c r="L390" s="27">
        <f>W390</f>
        <v/>
      </c>
      <c r="M390" s="28">
        <f>AA390</f>
        <v/>
      </c>
      <c r="N390" s="23">
        <f>IF(AND(B390="",C390="",D390="",N(H390)=0),"",IF(B390="","Enter the date",IF(C390="","Pick the party",IF(P390="?","Add this party on the Parties sheet first",IF(D390="","Pick the entry type",IF(Q390="?","Pick the entry type from the list",IF(N(H390)=0,"Enter the amount",IF(AND(R390&lt;&gt;"Any",R390&lt;&gt;P390),"Sales, receipts and credit notes are for debtors; purchases, payments and debit notes for creditors",IF(AND(F390&lt;&gt;"",D390&lt;&gt;"Purchase bill"),"The received-on date is only for purchase bills",IF(AND(P390="Creditor",X390=1,AA390&gt;0),"Past due to a micro or small supplier: interest runs under MSMED s.16, and if unpaid at year end it is not deductible that year, s.37(2)(g)",IF(AND(P390="Debtor",X390=1,AA390&gt;0),"Past due to you: as a micro or small supplier you can claim interest under MSMED s.16","OK")))))))))))</f>
        <v/>
      </c>
      <c r="P390">
        <f>IF(C390="","",IFERROR(VLOOKUP(C390,'Parties'!$B$13:$Q$112,2,FALSE),"?"))</f>
        <v/>
      </c>
      <c r="Q390">
        <f>IF(D390="","",IFERROR(VLOOKUP(D390,Lists!$A$2:$D$9,3,FALSE),"?"))</f>
        <v/>
      </c>
      <c r="R390">
        <f>IF(D390="","",IFERROR(VLOOKUP(D390,Lists!$A$2:$D$9,4,FALSE),"?"))</f>
        <v/>
      </c>
      <c r="S390">
        <f>IF(P390="Debtor",I390,IF(P390="Creditor",J390,0))</f>
        <v/>
      </c>
      <c r="T390">
        <f>IF(P390="Debtor",J390,IF(P390="Creditor",I390,0))</f>
        <v/>
      </c>
      <c r="U390">
        <f>IF(OR(S390=0,B390=""),0,IFERROR(VLOOKUP(C390,'Parties'!$B$13:$Q$112,13,FALSE),0)+SUMIFS($S$7:$S$506,$C$7:$C$506,C390,$B$7:$B$506,"&lt;"&amp;B390)+SUMIFS(S$7:S390,C$7:C390,C390,B$7:B390,B390))</f>
        <v/>
      </c>
      <c r="V390">
        <f>IF(S390=0,0,IFERROR(VLOOKUP(C390,'Parties'!$B$13:$Q$112,14,FALSE),0)+SUMIFS($T$7:$T$506,$C$7:$C$506,C390,$B$7:$B$506,"&lt;="&amp;'Outstanding'!$E$5))</f>
        <v/>
      </c>
      <c r="W390">
        <f>IF(OR('Outstanding'!$E$5="",S390=0,B390="",B390&gt;'Outstanding'!$E$5),0,MAX(0,MIN(S390,U390-V390)))</f>
        <v/>
      </c>
      <c r="X390">
        <f>IF(C390="",0,IFERROR(VLOOKUP(C390,'Parties'!$B$13:$Q$112,15,FALSE),0))</f>
        <v/>
      </c>
      <c r="Y390">
        <f>IF(C390="","",IFERROR(VLOOKUP(C390,'Parties'!$B$13:$Q$112,16,FALSE),0))</f>
        <v/>
      </c>
      <c r="Z390">
        <f>IF(OR(S390=0,B390="",Y390=""),"",IF(AND(F390&lt;&gt;"",D390="Purchase bill"),F390,B390)+Y390)</f>
        <v/>
      </c>
      <c r="AA390">
        <f>IF(OR(W390=0,Z390=""),0,MAX(0,'Outstanding'!$E$5-Z390))</f>
        <v/>
      </c>
      <c r="AB390">
        <f>IF(AND(X390=1,AA390&gt;0),W390*((1+3*N('Parties'!$E$10)/12)^(AA390*12/365)-1),0)</f>
        <v/>
      </c>
      <c r="AC390">
        <f>IF(W390=0,"",'Outstanding'!$E$5-B390)</f>
        <v/>
      </c>
      <c r="AD390">
        <f>IF(S390=0,0,IFERROR(VLOOKUP(C390,'Parties'!$B$13:$Q$112,14,FALSE),0)+SUMIFS($T$7:$T$506,$C$7:$C$506,C390,$B$7:$B$506,"&lt;="&amp;'Parties'!$E$8))</f>
        <v/>
      </c>
      <c r="AE390">
        <f>IF(OR('Parties'!$E$8="",S390=0,B390="",B390&gt;'Parties'!$E$8),0,MAX(0,MIN(S390,U390-AD390)))</f>
        <v/>
      </c>
      <c r="AF390">
        <f>IF(AND(P390="Creditor",X390=1,AE390&gt;0,Z390&lt;&gt;""),IF(Z390&lt;='Parties'!$E$8,AE390,0),0)</f>
        <v/>
      </c>
      <c r="AG390">
        <f>IF(OR(AE390=0,Z390=""),0,MAX(0,'Parties'!$E$8-Z390))</f>
        <v/>
      </c>
      <c r="AH390">
        <f>IF(AND(P390="Creditor",X390=1,AG390&gt;0),AE390*((1+3*N('Parties'!$E$10)/12)^(AG390*12/365)-1),0)</f>
        <v/>
      </c>
      <c r="AI390">
        <f>IF(AND(C390&lt;&gt;"",C390='Ledger Account'!$D$4,B390&lt;&gt;"",B390&gt;='Ledger Account'!$D$5,B390&lt;='Ledger Account'!$D$6),1,0)</f>
        <v/>
      </c>
      <c r="AJ390">
        <f>IF(AI390=1,SUM(AI$7:AI390),"")</f>
        <v/>
      </c>
      <c r="AK390">
        <f>IF(OR(N390="",N390="OK"),0,1)</f>
        <v/>
      </c>
    </row>
    <row r="391">
      <c r="B391" s="24" t="n"/>
      <c r="C391" s="14" t="n"/>
      <c r="D391" s="14" t="n"/>
      <c r="E391" s="20" t="n"/>
      <c r="F391" s="24" t="n"/>
      <c r="G391" s="14" t="n"/>
      <c r="H391" s="22" t="n"/>
      <c r="I391" s="25">
        <f>IF(Q391="D",N(H391),0)</f>
        <v/>
      </c>
      <c r="J391" s="25">
        <f>IF(Q391="C",N(H391),0)</f>
        <v/>
      </c>
      <c r="K391" s="26">
        <f>IF(Z391="","",Z391)</f>
        <v/>
      </c>
      <c r="L391" s="27">
        <f>W391</f>
        <v/>
      </c>
      <c r="M391" s="28">
        <f>AA391</f>
        <v/>
      </c>
      <c r="N391" s="23">
        <f>IF(AND(B391="",C391="",D391="",N(H391)=0),"",IF(B391="","Enter the date",IF(C391="","Pick the party",IF(P391="?","Add this party on the Parties sheet first",IF(D391="","Pick the entry type",IF(Q391="?","Pick the entry type from the list",IF(N(H391)=0,"Enter the amount",IF(AND(R391&lt;&gt;"Any",R391&lt;&gt;P391),"Sales, receipts and credit notes are for debtors; purchases, payments and debit notes for creditors",IF(AND(F391&lt;&gt;"",D391&lt;&gt;"Purchase bill"),"The received-on date is only for purchase bills",IF(AND(P391="Creditor",X391=1,AA391&gt;0),"Past due to a micro or small supplier: interest runs under MSMED s.16, and if unpaid at year end it is not deductible that year, s.37(2)(g)",IF(AND(P391="Debtor",X391=1,AA391&gt;0),"Past due to you: as a micro or small supplier you can claim interest under MSMED s.16","OK")))))))))))</f>
        <v/>
      </c>
      <c r="P391">
        <f>IF(C391="","",IFERROR(VLOOKUP(C391,'Parties'!$B$13:$Q$112,2,FALSE),"?"))</f>
        <v/>
      </c>
      <c r="Q391">
        <f>IF(D391="","",IFERROR(VLOOKUP(D391,Lists!$A$2:$D$9,3,FALSE),"?"))</f>
        <v/>
      </c>
      <c r="R391">
        <f>IF(D391="","",IFERROR(VLOOKUP(D391,Lists!$A$2:$D$9,4,FALSE),"?"))</f>
        <v/>
      </c>
      <c r="S391">
        <f>IF(P391="Debtor",I391,IF(P391="Creditor",J391,0))</f>
        <v/>
      </c>
      <c r="T391">
        <f>IF(P391="Debtor",J391,IF(P391="Creditor",I391,0))</f>
        <v/>
      </c>
      <c r="U391">
        <f>IF(OR(S391=0,B391=""),0,IFERROR(VLOOKUP(C391,'Parties'!$B$13:$Q$112,13,FALSE),0)+SUMIFS($S$7:$S$506,$C$7:$C$506,C391,$B$7:$B$506,"&lt;"&amp;B391)+SUMIFS(S$7:S391,C$7:C391,C391,B$7:B391,B391))</f>
        <v/>
      </c>
      <c r="V391">
        <f>IF(S391=0,0,IFERROR(VLOOKUP(C391,'Parties'!$B$13:$Q$112,14,FALSE),0)+SUMIFS($T$7:$T$506,$C$7:$C$506,C391,$B$7:$B$506,"&lt;="&amp;'Outstanding'!$E$5))</f>
        <v/>
      </c>
      <c r="W391">
        <f>IF(OR('Outstanding'!$E$5="",S391=0,B391="",B391&gt;'Outstanding'!$E$5),0,MAX(0,MIN(S391,U391-V391)))</f>
        <v/>
      </c>
      <c r="X391">
        <f>IF(C391="",0,IFERROR(VLOOKUP(C391,'Parties'!$B$13:$Q$112,15,FALSE),0))</f>
        <v/>
      </c>
      <c r="Y391">
        <f>IF(C391="","",IFERROR(VLOOKUP(C391,'Parties'!$B$13:$Q$112,16,FALSE),0))</f>
        <v/>
      </c>
      <c r="Z391">
        <f>IF(OR(S391=0,B391="",Y391=""),"",IF(AND(F391&lt;&gt;"",D391="Purchase bill"),F391,B391)+Y391)</f>
        <v/>
      </c>
      <c r="AA391">
        <f>IF(OR(W391=0,Z391=""),0,MAX(0,'Outstanding'!$E$5-Z391))</f>
        <v/>
      </c>
      <c r="AB391">
        <f>IF(AND(X391=1,AA391&gt;0),W391*((1+3*N('Parties'!$E$10)/12)^(AA391*12/365)-1),0)</f>
        <v/>
      </c>
      <c r="AC391">
        <f>IF(W391=0,"",'Outstanding'!$E$5-B391)</f>
        <v/>
      </c>
      <c r="AD391">
        <f>IF(S391=0,0,IFERROR(VLOOKUP(C391,'Parties'!$B$13:$Q$112,14,FALSE),0)+SUMIFS($T$7:$T$506,$C$7:$C$506,C391,$B$7:$B$506,"&lt;="&amp;'Parties'!$E$8))</f>
        <v/>
      </c>
      <c r="AE391">
        <f>IF(OR('Parties'!$E$8="",S391=0,B391="",B391&gt;'Parties'!$E$8),0,MAX(0,MIN(S391,U391-AD391)))</f>
        <v/>
      </c>
      <c r="AF391">
        <f>IF(AND(P391="Creditor",X391=1,AE391&gt;0,Z391&lt;&gt;""),IF(Z391&lt;='Parties'!$E$8,AE391,0),0)</f>
        <v/>
      </c>
      <c r="AG391">
        <f>IF(OR(AE391=0,Z391=""),0,MAX(0,'Parties'!$E$8-Z391))</f>
        <v/>
      </c>
      <c r="AH391">
        <f>IF(AND(P391="Creditor",X391=1,AG391&gt;0),AE391*((1+3*N('Parties'!$E$10)/12)^(AG391*12/365)-1),0)</f>
        <v/>
      </c>
      <c r="AI391">
        <f>IF(AND(C391&lt;&gt;"",C391='Ledger Account'!$D$4,B391&lt;&gt;"",B391&gt;='Ledger Account'!$D$5,B391&lt;='Ledger Account'!$D$6),1,0)</f>
        <v/>
      </c>
      <c r="AJ391">
        <f>IF(AI391=1,SUM(AI$7:AI391),"")</f>
        <v/>
      </c>
      <c r="AK391">
        <f>IF(OR(N391="",N391="OK"),0,1)</f>
        <v/>
      </c>
    </row>
    <row r="392">
      <c r="B392" s="24" t="n"/>
      <c r="C392" s="14" t="n"/>
      <c r="D392" s="14" t="n"/>
      <c r="E392" s="20" t="n"/>
      <c r="F392" s="24" t="n"/>
      <c r="G392" s="14" t="n"/>
      <c r="H392" s="22" t="n"/>
      <c r="I392" s="25">
        <f>IF(Q392="D",N(H392),0)</f>
        <v/>
      </c>
      <c r="J392" s="25">
        <f>IF(Q392="C",N(H392),0)</f>
        <v/>
      </c>
      <c r="K392" s="26">
        <f>IF(Z392="","",Z392)</f>
        <v/>
      </c>
      <c r="L392" s="27">
        <f>W392</f>
        <v/>
      </c>
      <c r="M392" s="28">
        <f>AA392</f>
        <v/>
      </c>
      <c r="N392" s="23">
        <f>IF(AND(B392="",C392="",D392="",N(H392)=0),"",IF(B392="","Enter the date",IF(C392="","Pick the party",IF(P392="?","Add this party on the Parties sheet first",IF(D392="","Pick the entry type",IF(Q392="?","Pick the entry type from the list",IF(N(H392)=0,"Enter the amount",IF(AND(R392&lt;&gt;"Any",R392&lt;&gt;P392),"Sales, receipts and credit notes are for debtors; purchases, payments and debit notes for creditors",IF(AND(F392&lt;&gt;"",D392&lt;&gt;"Purchase bill"),"The received-on date is only for purchase bills",IF(AND(P392="Creditor",X392=1,AA392&gt;0),"Past due to a micro or small supplier: interest runs under MSMED s.16, and if unpaid at year end it is not deductible that year, s.37(2)(g)",IF(AND(P392="Debtor",X392=1,AA392&gt;0),"Past due to you: as a micro or small supplier you can claim interest under MSMED s.16","OK")))))))))))</f>
        <v/>
      </c>
      <c r="P392">
        <f>IF(C392="","",IFERROR(VLOOKUP(C392,'Parties'!$B$13:$Q$112,2,FALSE),"?"))</f>
        <v/>
      </c>
      <c r="Q392">
        <f>IF(D392="","",IFERROR(VLOOKUP(D392,Lists!$A$2:$D$9,3,FALSE),"?"))</f>
        <v/>
      </c>
      <c r="R392">
        <f>IF(D392="","",IFERROR(VLOOKUP(D392,Lists!$A$2:$D$9,4,FALSE),"?"))</f>
        <v/>
      </c>
      <c r="S392">
        <f>IF(P392="Debtor",I392,IF(P392="Creditor",J392,0))</f>
        <v/>
      </c>
      <c r="T392">
        <f>IF(P392="Debtor",J392,IF(P392="Creditor",I392,0))</f>
        <v/>
      </c>
      <c r="U392">
        <f>IF(OR(S392=0,B392=""),0,IFERROR(VLOOKUP(C392,'Parties'!$B$13:$Q$112,13,FALSE),0)+SUMIFS($S$7:$S$506,$C$7:$C$506,C392,$B$7:$B$506,"&lt;"&amp;B392)+SUMIFS(S$7:S392,C$7:C392,C392,B$7:B392,B392))</f>
        <v/>
      </c>
      <c r="V392">
        <f>IF(S392=0,0,IFERROR(VLOOKUP(C392,'Parties'!$B$13:$Q$112,14,FALSE),0)+SUMIFS($T$7:$T$506,$C$7:$C$506,C392,$B$7:$B$506,"&lt;="&amp;'Outstanding'!$E$5))</f>
        <v/>
      </c>
      <c r="W392">
        <f>IF(OR('Outstanding'!$E$5="",S392=0,B392="",B392&gt;'Outstanding'!$E$5),0,MAX(0,MIN(S392,U392-V392)))</f>
        <v/>
      </c>
      <c r="X392">
        <f>IF(C392="",0,IFERROR(VLOOKUP(C392,'Parties'!$B$13:$Q$112,15,FALSE),0))</f>
        <v/>
      </c>
      <c r="Y392">
        <f>IF(C392="","",IFERROR(VLOOKUP(C392,'Parties'!$B$13:$Q$112,16,FALSE),0))</f>
        <v/>
      </c>
      <c r="Z392">
        <f>IF(OR(S392=0,B392="",Y392=""),"",IF(AND(F392&lt;&gt;"",D392="Purchase bill"),F392,B392)+Y392)</f>
        <v/>
      </c>
      <c r="AA392">
        <f>IF(OR(W392=0,Z392=""),0,MAX(0,'Outstanding'!$E$5-Z392))</f>
        <v/>
      </c>
      <c r="AB392">
        <f>IF(AND(X392=1,AA392&gt;0),W392*((1+3*N('Parties'!$E$10)/12)^(AA392*12/365)-1),0)</f>
        <v/>
      </c>
      <c r="AC392">
        <f>IF(W392=0,"",'Outstanding'!$E$5-B392)</f>
        <v/>
      </c>
      <c r="AD392">
        <f>IF(S392=0,0,IFERROR(VLOOKUP(C392,'Parties'!$B$13:$Q$112,14,FALSE),0)+SUMIFS($T$7:$T$506,$C$7:$C$506,C392,$B$7:$B$506,"&lt;="&amp;'Parties'!$E$8))</f>
        <v/>
      </c>
      <c r="AE392">
        <f>IF(OR('Parties'!$E$8="",S392=0,B392="",B392&gt;'Parties'!$E$8),0,MAX(0,MIN(S392,U392-AD392)))</f>
        <v/>
      </c>
      <c r="AF392">
        <f>IF(AND(P392="Creditor",X392=1,AE392&gt;0,Z392&lt;&gt;""),IF(Z392&lt;='Parties'!$E$8,AE392,0),0)</f>
        <v/>
      </c>
      <c r="AG392">
        <f>IF(OR(AE392=0,Z392=""),0,MAX(0,'Parties'!$E$8-Z392))</f>
        <v/>
      </c>
      <c r="AH392">
        <f>IF(AND(P392="Creditor",X392=1,AG392&gt;0),AE392*((1+3*N('Parties'!$E$10)/12)^(AG392*12/365)-1),0)</f>
        <v/>
      </c>
      <c r="AI392">
        <f>IF(AND(C392&lt;&gt;"",C392='Ledger Account'!$D$4,B392&lt;&gt;"",B392&gt;='Ledger Account'!$D$5,B392&lt;='Ledger Account'!$D$6),1,0)</f>
        <v/>
      </c>
      <c r="AJ392">
        <f>IF(AI392=1,SUM(AI$7:AI392),"")</f>
        <v/>
      </c>
      <c r="AK392">
        <f>IF(OR(N392="",N392="OK"),0,1)</f>
        <v/>
      </c>
    </row>
    <row r="393">
      <c r="B393" s="24" t="n"/>
      <c r="C393" s="14" t="n"/>
      <c r="D393" s="14" t="n"/>
      <c r="E393" s="20" t="n"/>
      <c r="F393" s="24" t="n"/>
      <c r="G393" s="14" t="n"/>
      <c r="H393" s="22" t="n"/>
      <c r="I393" s="25">
        <f>IF(Q393="D",N(H393),0)</f>
        <v/>
      </c>
      <c r="J393" s="25">
        <f>IF(Q393="C",N(H393),0)</f>
        <v/>
      </c>
      <c r="K393" s="26">
        <f>IF(Z393="","",Z393)</f>
        <v/>
      </c>
      <c r="L393" s="27">
        <f>W393</f>
        <v/>
      </c>
      <c r="M393" s="28">
        <f>AA393</f>
        <v/>
      </c>
      <c r="N393" s="23">
        <f>IF(AND(B393="",C393="",D393="",N(H393)=0),"",IF(B393="","Enter the date",IF(C393="","Pick the party",IF(P393="?","Add this party on the Parties sheet first",IF(D393="","Pick the entry type",IF(Q393="?","Pick the entry type from the list",IF(N(H393)=0,"Enter the amount",IF(AND(R393&lt;&gt;"Any",R393&lt;&gt;P393),"Sales, receipts and credit notes are for debtors; purchases, payments and debit notes for creditors",IF(AND(F393&lt;&gt;"",D393&lt;&gt;"Purchase bill"),"The received-on date is only for purchase bills",IF(AND(P393="Creditor",X393=1,AA393&gt;0),"Past due to a micro or small supplier: interest runs under MSMED s.16, and if unpaid at year end it is not deductible that year, s.37(2)(g)",IF(AND(P393="Debtor",X393=1,AA393&gt;0),"Past due to you: as a micro or small supplier you can claim interest under MSMED s.16","OK")))))))))))</f>
        <v/>
      </c>
      <c r="P393">
        <f>IF(C393="","",IFERROR(VLOOKUP(C393,'Parties'!$B$13:$Q$112,2,FALSE),"?"))</f>
        <v/>
      </c>
      <c r="Q393">
        <f>IF(D393="","",IFERROR(VLOOKUP(D393,Lists!$A$2:$D$9,3,FALSE),"?"))</f>
        <v/>
      </c>
      <c r="R393">
        <f>IF(D393="","",IFERROR(VLOOKUP(D393,Lists!$A$2:$D$9,4,FALSE),"?"))</f>
        <v/>
      </c>
      <c r="S393">
        <f>IF(P393="Debtor",I393,IF(P393="Creditor",J393,0))</f>
        <v/>
      </c>
      <c r="T393">
        <f>IF(P393="Debtor",J393,IF(P393="Creditor",I393,0))</f>
        <v/>
      </c>
      <c r="U393">
        <f>IF(OR(S393=0,B393=""),0,IFERROR(VLOOKUP(C393,'Parties'!$B$13:$Q$112,13,FALSE),0)+SUMIFS($S$7:$S$506,$C$7:$C$506,C393,$B$7:$B$506,"&lt;"&amp;B393)+SUMIFS(S$7:S393,C$7:C393,C393,B$7:B393,B393))</f>
        <v/>
      </c>
      <c r="V393">
        <f>IF(S393=0,0,IFERROR(VLOOKUP(C393,'Parties'!$B$13:$Q$112,14,FALSE),0)+SUMIFS($T$7:$T$506,$C$7:$C$506,C393,$B$7:$B$506,"&lt;="&amp;'Outstanding'!$E$5))</f>
        <v/>
      </c>
      <c r="W393">
        <f>IF(OR('Outstanding'!$E$5="",S393=0,B393="",B393&gt;'Outstanding'!$E$5),0,MAX(0,MIN(S393,U393-V393)))</f>
        <v/>
      </c>
      <c r="X393">
        <f>IF(C393="",0,IFERROR(VLOOKUP(C393,'Parties'!$B$13:$Q$112,15,FALSE),0))</f>
        <v/>
      </c>
      <c r="Y393">
        <f>IF(C393="","",IFERROR(VLOOKUP(C393,'Parties'!$B$13:$Q$112,16,FALSE),0))</f>
        <v/>
      </c>
      <c r="Z393">
        <f>IF(OR(S393=0,B393="",Y393=""),"",IF(AND(F393&lt;&gt;"",D393="Purchase bill"),F393,B393)+Y393)</f>
        <v/>
      </c>
      <c r="AA393">
        <f>IF(OR(W393=0,Z393=""),0,MAX(0,'Outstanding'!$E$5-Z393))</f>
        <v/>
      </c>
      <c r="AB393">
        <f>IF(AND(X393=1,AA393&gt;0),W393*((1+3*N('Parties'!$E$10)/12)^(AA393*12/365)-1),0)</f>
        <v/>
      </c>
      <c r="AC393">
        <f>IF(W393=0,"",'Outstanding'!$E$5-B393)</f>
        <v/>
      </c>
      <c r="AD393">
        <f>IF(S393=0,0,IFERROR(VLOOKUP(C393,'Parties'!$B$13:$Q$112,14,FALSE),0)+SUMIFS($T$7:$T$506,$C$7:$C$506,C393,$B$7:$B$506,"&lt;="&amp;'Parties'!$E$8))</f>
        <v/>
      </c>
      <c r="AE393">
        <f>IF(OR('Parties'!$E$8="",S393=0,B393="",B393&gt;'Parties'!$E$8),0,MAX(0,MIN(S393,U393-AD393)))</f>
        <v/>
      </c>
      <c r="AF393">
        <f>IF(AND(P393="Creditor",X393=1,AE393&gt;0,Z393&lt;&gt;""),IF(Z393&lt;='Parties'!$E$8,AE393,0),0)</f>
        <v/>
      </c>
      <c r="AG393">
        <f>IF(OR(AE393=0,Z393=""),0,MAX(0,'Parties'!$E$8-Z393))</f>
        <v/>
      </c>
      <c r="AH393">
        <f>IF(AND(P393="Creditor",X393=1,AG393&gt;0),AE393*((1+3*N('Parties'!$E$10)/12)^(AG393*12/365)-1),0)</f>
        <v/>
      </c>
      <c r="AI393">
        <f>IF(AND(C393&lt;&gt;"",C393='Ledger Account'!$D$4,B393&lt;&gt;"",B393&gt;='Ledger Account'!$D$5,B393&lt;='Ledger Account'!$D$6),1,0)</f>
        <v/>
      </c>
      <c r="AJ393">
        <f>IF(AI393=1,SUM(AI$7:AI393),"")</f>
        <v/>
      </c>
      <c r="AK393">
        <f>IF(OR(N393="",N393="OK"),0,1)</f>
        <v/>
      </c>
    </row>
    <row r="394">
      <c r="B394" s="24" t="n"/>
      <c r="C394" s="14" t="n"/>
      <c r="D394" s="14" t="n"/>
      <c r="E394" s="20" t="n"/>
      <c r="F394" s="24" t="n"/>
      <c r="G394" s="14" t="n"/>
      <c r="H394" s="22" t="n"/>
      <c r="I394" s="25">
        <f>IF(Q394="D",N(H394),0)</f>
        <v/>
      </c>
      <c r="J394" s="25">
        <f>IF(Q394="C",N(H394),0)</f>
        <v/>
      </c>
      <c r="K394" s="26">
        <f>IF(Z394="","",Z394)</f>
        <v/>
      </c>
      <c r="L394" s="27">
        <f>W394</f>
        <v/>
      </c>
      <c r="M394" s="28">
        <f>AA394</f>
        <v/>
      </c>
      <c r="N394" s="23">
        <f>IF(AND(B394="",C394="",D394="",N(H394)=0),"",IF(B394="","Enter the date",IF(C394="","Pick the party",IF(P394="?","Add this party on the Parties sheet first",IF(D394="","Pick the entry type",IF(Q394="?","Pick the entry type from the list",IF(N(H394)=0,"Enter the amount",IF(AND(R394&lt;&gt;"Any",R394&lt;&gt;P394),"Sales, receipts and credit notes are for debtors; purchases, payments and debit notes for creditors",IF(AND(F394&lt;&gt;"",D394&lt;&gt;"Purchase bill"),"The received-on date is only for purchase bills",IF(AND(P394="Creditor",X394=1,AA394&gt;0),"Past due to a micro or small supplier: interest runs under MSMED s.16, and if unpaid at year end it is not deductible that year, s.37(2)(g)",IF(AND(P394="Debtor",X394=1,AA394&gt;0),"Past due to you: as a micro or small supplier you can claim interest under MSMED s.16","OK")))))))))))</f>
        <v/>
      </c>
      <c r="P394">
        <f>IF(C394="","",IFERROR(VLOOKUP(C394,'Parties'!$B$13:$Q$112,2,FALSE),"?"))</f>
        <v/>
      </c>
      <c r="Q394">
        <f>IF(D394="","",IFERROR(VLOOKUP(D394,Lists!$A$2:$D$9,3,FALSE),"?"))</f>
        <v/>
      </c>
      <c r="R394">
        <f>IF(D394="","",IFERROR(VLOOKUP(D394,Lists!$A$2:$D$9,4,FALSE),"?"))</f>
        <v/>
      </c>
      <c r="S394">
        <f>IF(P394="Debtor",I394,IF(P394="Creditor",J394,0))</f>
        <v/>
      </c>
      <c r="T394">
        <f>IF(P394="Debtor",J394,IF(P394="Creditor",I394,0))</f>
        <v/>
      </c>
      <c r="U394">
        <f>IF(OR(S394=0,B394=""),0,IFERROR(VLOOKUP(C394,'Parties'!$B$13:$Q$112,13,FALSE),0)+SUMIFS($S$7:$S$506,$C$7:$C$506,C394,$B$7:$B$506,"&lt;"&amp;B394)+SUMIFS(S$7:S394,C$7:C394,C394,B$7:B394,B394))</f>
        <v/>
      </c>
      <c r="V394">
        <f>IF(S394=0,0,IFERROR(VLOOKUP(C394,'Parties'!$B$13:$Q$112,14,FALSE),0)+SUMIFS($T$7:$T$506,$C$7:$C$506,C394,$B$7:$B$506,"&lt;="&amp;'Outstanding'!$E$5))</f>
        <v/>
      </c>
      <c r="W394">
        <f>IF(OR('Outstanding'!$E$5="",S394=0,B394="",B394&gt;'Outstanding'!$E$5),0,MAX(0,MIN(S394,U394-V394)))</f>
        <v/>
      </c>
      <c r="X394">
        <f>IF(C394="",0,IFERROR(VLOOKUP(C394,'Parties'!$B$13:$Q$112,15,FALSE),0))</f>
        <v/>
      </c>
      <c r="Y394">
        <f>IF(C394="","",IFERROR(VLOOKUP(C394,'Parties'!$B$13:$Q$112,16,FALSE),0))</f>
        <v/>
      </c>
      <c r="Z394">
        <f>IF(OR(S394=0,B394="",Y394=""),"",IF(AND(F394&lt;&gt;"",D394="Purchase bill"),F394,B394)+Y394)</f>
        <v/>
      </c>
      <c r="AA394">
        <f>IF(OR(W394=0,Z394=""),0,MAX(0,'Outstanding'!$E$5-Z394))</f>
        <v/>
      </c>
      <c r="AB394">
        <f>IF(AND(X394=1,AA394&gt;0),W394*((1+3*N('Parties'!$E$10)/12)^(AA394*12/365)-1),0)</f>
        <v/>
      </c>
      <c r="AC394">
        <f>IF(W394=0,"",'Outstanding'!$E$5-B394)</f>
        <v/>
      </c>
      <c r="AD394">
        <f>IF(S394=0,0,IFERROR(VLOOKUP(C394,'Parties'!$B$13:$Q$112,14,FALSE),0)+SUMIFS($T$7:$T$506,$C$7:$C$506,C394,$B$7:$B$506,"&lt;="&amp;'Parties'!$E$8))</f>
        <v/>
      </c>
      <c r="AE394">
        <f>IF(OR('Parties'!$E$8="",S394=0,B394="",B394&gt;'Parties'!$E$8),0,MAX(0,MIN(S394,U394-AD394)))</f>
        <v/>
      </c>
      <c r="AF394">
        <f>IF(AND(P394="Creditor",X394=1,AE394&gt;0,Z394&lt;&gt;""),IF(Z394&lt;='Parties'!$E$8,AE394,0),0)</f>
        <v/>
      </c>
      <c r="AG394">
        <f>IF(OR(AE394=0,Z394=""),0,MAX(0,'Parties'!$E$8-Z394))</f>
        <v/>
      </c>
      <c r="AH394">
        <f>IF(AND(P394="Creditor",X394=1,AG394&gt;0),AE394*((1+3*N('Parties'!$E$10)/12)^(AG394*12/365)-1),0)</f>
        <v/>
      </c>
      <c r="AI394">
        <f>IF(AND(C394&lt;&gt;"",C394='Ledger Account'!$D$4,B394&lt;&gt;"",B394&gt;='Ledger Account'!$D$5,B394&lt;='Ledger Account'!$D$6),1,0)</f>
        <v/>
      </c>
      <c r="AJ394">
        <f>IF(AI394=1,SUM(AI$7:AI394),"")</f>
        <v/>
      </c>
      <c r="AK394">
        <f>IF(OR(N394="",N394="OK"),0,1)</f>
        <v/>
      </c>
    </row>
    <row r="395">
      <c r="B395" s="24" t="n"/>
      <c r="C395" s="14" t="n"/>
      <c r="D395" s="14" t="n"/>
      <c r="E395" s="20" t="n"/>
      <c r="F395" s="24" t="n"/>
      <c r="G395" s="14" t="n"/>
      <c r="H395" s="22" t="n"/>
      <c r="I395" s="25">
        <f>IF(Q395="D",N(H395),0)</f>
        <v/>
      </c>
      <c r="J395" s="25">
        <f>IF(Q395="C",N(H395),0)</f>
        <v/>
      </c>
      <c r="K395" s="26">
        <f>IF(Z395="","",Z395)</f>
        <v/>
      </c>
      <c r="L395" s="27">
        <f>W395</f>
        <v/>
      </c>
      <c r="M395" s="28">
        <f>AA395</f>
        <v/>
      </c>
      <c r="N395" s="23">
        <f>IF(AND(B395="",C395="",D395="",N(H395)=0),"",IF(B395="","Enter the date",IF(C395="","Pick the party",IF(P395="?","Add this party on the Parties sheet first",IF(D395="","Pick the entry type",IF(Q395="?","Pick the entry type from the list",IF(N(H395)=0,"Enter the amount",IF(AND(R395&lt;&gt;"Any",R395&lt;&gt;P395),"Sales, receipts and credit notes are for debtors; purchases, payments and debit notes for creditors",IF(AND(F395&lt;&gt;"",D395&lt;&gt;"Purchase bill"),"The received-on date is only for purchase bills",IF(AND(P395="Creditor",X395=1,AA395&gt;0),"Past due to a micro or small supplier: interest runs under MSMED s.16, and if unpaid at year end it is not deductible that year, s.37(2)(g)",IF(AND(P395="Debtor",X395=1,AA395&gt;0),"Past due to you: as a micro or small supplier you can claim interest under MSMED s.16","OK")))))))))))</f>
        <v/>
      </c>
      <c r="P395">
        <f>IF(C395="","",IFERROR(VLOOKUP(C395,'Parties'!$B$13:$Q$112,2,FALSE),"?"))</f>
        <v/>
      </c>
      <c r="Q395">
        <f>IF(D395="","",IFERROR(VLOOKUP(D395,Lists!$A$2:$D$9,3,FALSE),"?"))</f>
        <v/>
      </c>
      <c r="R395">
        <f>IF(D395="","",IFERROR(VLOOKUP(D395,Lists!$A$2:$D$9,4,FALSE),"?"))</f>
        <v/>
      </c>
      <c r="S395">
        <f>IF(P395="Debtor",I395,IF(P395="Creditor",J395,0))</f>
        <v/>
      </c>
      <c r="T395">
        <f>IF(P395="Debtor",J395,IF(P395="Creditor",I395,0))</f>
        <v/>
      </c>
      <c r="U395">
        <f>IF(OR(S395=0,B395=""),0,IFERROR(VLOOKUP(C395,'Parties'!$B$13:$Q$112,13,FALSE),0)+SUMIFS($S$7:$S$506,$C$7:$C$506,C395,$B$7:$B$506,"&lt;"&amp;B395)+SUMIFS(S$7:S395,C$7:C395,C395,B$7:B395,B395))</f>
        <v/>
      </c>
      <c r="V395">
        <f>IF(S395=0,0,IFERROR(VLOOKUP(C395,'Parties'!$B$13:$Q$112,14,FALSE),0)+SUMIFS($T$7:$T$506,$C$7:$C$506,C395,$B$7:$B$506,"&lt;="&amp;'Outstanding'!$E$5))</f>
        <v/>
      </c>
      <c r="W395">
        <f>IF(OR('Outstanding'!$E$5="",S395=0,B395="",B395&gt;'Outstanding'!$E$5),0,MAX(0,MIN(S395,U395-V395)))</f>
        <v/>
      </c>
      <c r="X395">
        <f>IF(C395="",0,IFERROR(VLOOKUP(C395,'Parties'!$B$13:$Q$112,15,FALSE),0))</f>
        <v/>
      </c>
      <c r="Y395">
        <f>IF(C395="","",IFERROR(VLOOKUP(C395,'Parties'!$B$13:$Q$112,16,FALSE),0))</f>
        <v/>
      </c>
      <c r="Z395">
        <f>IF(OR(S395=0,B395="",Y395=""),"",IF(AND(F395&lt;&gt;"",D395="Purchase bill"),F395,B395)+Y395)</f>
        <v/>
      </c>
      <c r="AA395">
        <f>IF(OR(W395=0,Z395=""),0,MAX(0,'Outstanding'!$E$5-Z395))</f>
        <v/>
      </c>
      <c r="AB395">
        <f>IF(AND(X395=1,AA395&gt;0),W395*((1+3*N('Parties'!$E$10)/12)^(AA395*12/365)-1),0)</f>
        <v/>
      </c>
      <c r="AC395">
        <f>IF(W395=0,"",'Outstanding'!$E$5-B395)</f>
        <v/>
      </c>
      <c r="AD395">
        <f>IF(S395=0,0,IFERROR(VLOOKUP(C395,'Parties'!$B$13:$Q$112,14,FALSE),0)+SUMIFS($T$7:$T$506,$C$7:$C$506,C395,$B$7:$B$506,"&lt;="&amp;'Parties'!$E$8))</f>
        <v/>
      </c>
      <c r="AE395">
        <f>IF(OR('Parties'!$E$8="",S395=0,B395="",B395&gt;'Parties'!$E$8),0,MAX(0,MIN(S395,U395-AD395)))</f>
        <v/>
      </c>
      <c r="AF395">
        <f>IF(AND(P395="Creditor",X395=1,AE395&gt;0,Z395&lt;&gt;""),IF(Z395&lt;='Parties'!$E$8,AE395,0),0)</f>
        <v/>
      </c>
      <c r="AG395">
        <f>IF(OR(AE395=0,Z395=""),0,MAX(0,'Parties'!$E$8-Z395))</f>
        <v/>
      </c>
      <c r="AH395">
        <f>IF(AND(P395="Creditor",X395=1,AG395&gt;0),AE395*((1+3*N('Parties'!$E$10)/12)^(AG395*12/365)-1),0)</f>
        <v/>
      </c>
      <c r="AI395">
        <f>IF(AND(C395&lt;&gt;"",C395='Ledger Account'!$D$4,B395&lt;&gt;"",B395&gt;='Ledger Account'!$D$5,B395&lt;='Ledger Account'!$D$6),1,0)</f>
        <v/>
      </c>
      <c r="AJ395">
        <f>IF(AI395=1,SUM(AI$7:AI395),"")</f>
        <v/>
      </c>
      <c r="AK395">
        <f>IF(OR(N395="",N395="OK"),0,1)</f>
        <v/>
      </c>
    </row>
    <row r="396">
      <c r="B396" s="24" t="n"/>
      <c r="C396" s="14" t="n"/>
      <c r="D396" s="14" t="n"/>
      <c r="E396" s="20" t="n"/>
      <c r="F396" s="24" t="n"/>
      <c r="G396" s="14" t="n"/>
      <c r="H396" s="22" t="n"/>
      <c r="I396" s="25">
        <f>IF(Q396="D",N(H396),0)</f>
        <v/>
      </c>
      <c r="J396" s="25">
        <f>IF(Q396="C",N(H396),0)</f>
        <v/>
      </c>
      <c r="K396" s="26">
        <f>IF(Z396="","",Z396)</f>
        <v/>
      </c>
      <c r="L396" s="27">
        <f>W396</f>
        <v/>
      </c>
      <c r="M396" s="28">
        <f>AA396</f>
        <v/>
      </c>
      <c r="N396" s="23">
        <f>IF(AND(B396="",C396="",D396="",N(H396)=0),"",IF(B396="","Enter the date",IF(C396="","Pick the party",IF(P396="?","Add this party on the Parties sheet first",IF(D396="","Pick the entry type",IF(Q396="?","Pick the entry type from the list",IF(N(H396)=0,"Enter the amount",IF(AND(R396&lt;&gt;"Any",R396&lt;&gt;P396),"Sales, receipts and credit notes are for debtors; purchases, payments and debit notes for creditors",IF(AND(F396&lt;&gt;"",D396&lt;&gt;"Purchase bill"),"The received-on date is only for purchase bills",IF(AND(P396="Creditor",X396=1,AA396&gt;0),"Past due to a micro or small supplier: interest runs under MSMED s.16, and if unpaid at year end it is not deductible that year, s.37(2)(g)",IF(AND(P396="Debtor",X396=1,AA396&gt;0),"Past due to you: as a micro or small supplier you can claim interest under MSMED s.16","OK")))))))))))</f>
        <v/>
      </c>
      <c r="P396">
        <f>IF(C396="","",IFERROR(VLOOKUP(C396,'Parties'!$B$13:$Q$112,2,FALSE),"?"))</f>
        <v/>
      </c>
      <c r="Q396">
        <f>IF(D396="","",IFERROR(VLOOKUP(D396,Lists!$A$2:$D$9,3,FALSE),"?"))</f>
        <v/>
      </c>
      <c r="R396">
        <f>IF(D396="","",IFERROR(VLOOKUP(D396,Lists!$A$2:$D$9,4,FALSE),"?"))</f>
        <v/>
      </c>
      <c r="S396">
        <f>IF(P396="Debtor",I396,IF(P396="Creditor",J396,0))</f>
        <v/>
      </c>
      <c r="T396">
        <f>IF(P396="Debtor",J396,IF(P396="Creditor",I396,0))</f>
        <v/>
      </c>
      <c r="U396">
        <f>IF(OR(S396=0,B396=""),0,IFERROR(VLOOKUP(C396,'Parties'!$B$13:$Q$112,13,FALSE),0)+SUMIFS($S$7:$S$506,$C$7:$C$506,C396,$B$7:$B$506,"&lt;"&amp;B396)+SUMIFS(S$7:S396,C$7:C396,C396,B$7:B396,B396))</f>
        <v/>
      </c>
      <c r="V396">
        <f>IF(S396=0,0,IFERROR(VLOOKUP(C396,'Parties'!$B$13:$Q$112,14,FALSE),0)+SUMIFS($T$7:$T$506,$C$7:$C$506,C396,$B$7:$B$506,"&lt;="&amp;'Outstanding'!$E$5))</f>
        <v/>
      </c>
      <c r="W396">
        <f>IF(OR('Outstanding'!$E$5="",S396=0,B396="",B396&gt;'Outstanding'!$E$5),0,MAX(0,MIN(S396,U396-V396)))</f>
        <v/>
      </c>
      <c r="X396">
        <f>IF(C396="",0,IFERROR(VLOOKUP(C396,'Parties'!$B$13:$Q$112,15,FALSE),0))</f>
        <v/>
      </c>
      <c r="Y396">
        <f>IF(C396="","",IFERROR(VLOOKUP(C396,'Parties'!$B$13:$Q$112,16,FALSE),0))</f>
        <v/>
      </c>
      <c r="Z396">
        <f>IF(OR(S396=0,B396="",Y396=""),"",IF(AND(F396&lt;&gt;"",D396="Purchase bill"),F396,B396)+Y396)</f>
        <v/>
      </c>
      <c r="AA396">
        <f>IF(OR(W396=0,Z396=""),0,MAX(0,'Outstanding'!$E$5-Z396))</f>
        <v/>
      </c>
      <c r="AB396">
        <f>IF(AND(X396=1,AA396&gt;0),W396*((1+3*N('Parties'!$E$10)/12)^(AA396*12/365)-1),0)</f>
        <v/>
      </c>
      <c r="AC396">
        <f>IF(W396=0,"",'Outstanding'!$E$5-B396)</f>
        <v/>
      </c>
      <c r="AD396">
        <f>IF(S396=0,0,IFERROR(VLOOKUP(C396,'Parties'!$B$13:$Q$112,14,FALSE),0)+SUMIFS($T$7:$T$506,$C$7:$C$506,C396,$B$7:$B$506,"&lt;="&amp;'Parties'!$E$8))</f>
        <v/>
      </c>
      <c r="AE396">
        <f>IF(OR('Parties'!$E$8="",S396=0,B396="",B396&gt;'Parties'!$E$8),0,MAX(0,MIN(S396,U396-AD396)))</f>
        <v/>
      </c>
      <c r="AF396">
        <f>IF(AND(P396="Creditor",X396=1,AE396&gt;0,Z396&lt;&gt;""),IF(Z396&lt;='Parties'!$E$8,AE396,0),0)</f>
        <v/>
      </c>
      <c r="AG396">
        <f>IF(OR(AE396=0,Z396=""),0,MAX(0,'Parties'!$E$8-Z396))</f>
        <v/>
      </c>
      <c r="AH396">
        <f>IF(AND(P396="Creditor",X396=1,AG396&gt;0),AE396*((1+3*N('Parties'!$E$10)/12)^(AG396*12/365)-1),0)</f>
        <v/>
      </c>
      <c r="AI396">
        <f>IF(AND(C396&lt;&gt;"",C396='Ledger Account'!$D$4,B396&lt;&gt;"",B396&gt;='Ledger Account'!$D$5,B396&lt;='Ledger Account'!$D$6),1,0)</f>
        <v/>
      </c>
      <c r="AJ396">
        <f>IF(AI396=1,SUM(AI$7:AI396),"")</f>
        <v/>
      </c>
      <c r="AK396">
        <f>IF(OR(N396="",N396="OK"),0,1)</f>
        <v/>
      </c>
    </row>
    <row r="397">
      <c r="B397" s="24" t="n"/>
      <c r="C397" s="14" t="n"/>
      <c r="D397" s="14" t="n"/>
      <c r="E397" s="20" t="n"/>
      <c r="F397" s="24" t="n"/>
      <c r="G397" s="14" t="n"/>
      <c r="H397" s="22" t="n"/>
      <c r="I397" s="25">
        <f>IF(Q397="D",N(H397),0)</f>
        <v/>
      </c>
      <c r="J397" s="25">
        <f>IF(Q397="C",N(H397),0)</f>
        <v/>
      </c>
      <c r="K397" s="26">
        <f>IF(Z397="","",Z397)</f>
        <v/>
      </c>
      <c r="L397" s="27">
        <f>W397</f>
        <v/>
      </c>
      <c r="M397" s="28">
        <f>AA397</f>
        <v/>
      </c>
      <c r="N397" s="23">
        <f>IF(AND(B397="",C397="",D397="",N(H397)=0),"",IF(B397="","Enter the date",IF(C397="","Pick the party",IF(P397="?","Add this party on the Parties sheet first",IF(D397="","Pick the entry type",IF(Q397="?","Pick the entry type from the list",IF(N(H397)=0,"Enter the amount",IF(AND(R397&lt;&gt;"Any",R397&lt;&gt;P397),"Sales, receipts and credit notes are for debtors; purchases, payments and debit notes for creditors",IF(AND(F397&lt;&gt;"",D397&lt;&gt;"Purchase bill"),"The received-on date is only for purchase bills",IF(AND(P397="Creditor",X397=1,AA397&gt;0),"Past due to a micro or small supplier: interest runs under MSMED s.16, and if unpaid at year end it is not deductible that year, s.37(2)(g)",IF(AND(P397="Debtor",X397=1,AA397&gt;0),"Past due to you: as a micro or small supplier you can claim interest under MSMED s.16","OK")))))))))))</f>
        <v/>
      </c>
      <c r="P397">
        <f>IF(C397="","",IFERROR(VLOOKUP(C397,'Parties'!$B$13:$Q$112,2,FALSE),"?"))</f>
        <v/>
      </c>
      <c r="Q397">
        <f>IF(D397="","",IFERROR(VLOOKUP(D397,Lists!$A$2:$D$9,3,FALSE),"?"))</f>
        <v/>
      </c>
      <c r="R397">
        <f>IF(D397="","",IFERROR(VLOOKUP(D397,Lists!$A$2:$D$9,4,FALSE),"?"))</f>
        <v/>
      </c>
      <c r="S397">
        <f>IF(P397="Debtor",I397,IF(P397="Creditor",J397,0))</f>
        <v/>
      </c>
      <c r="T397">
        <f>IF(P397="Debtor",J397,IF(P397="Creditor",I397,0))</f>
        <v/>
      </c>
      <c r="U397">
        <f>IF(OR(S397=0,B397=""),0,IFERROR(VLOOKUP(C397,'Parties'!$B$13:$Q$112,13,FALSE),0)+SUMIFS($S$7:$S$506,$C$7:$C$506,C397,$B$7:$B$506,"&lt;"&amp;B397)+SUMIFS(S$7:S397,C$7:C397,C397,B$7:B397,B397))</f>
        <v/>
      </c>
      <c r="V397">
        <f>IF(S397=0,0,IFERROR(VLOOKUP(C397,'Parties'!$B$13:$Q$112,14,FALSE),0)+SUMIFS($T$7:$T$506,$C$7:$C$506,C397,$B$7:$B$506,"&lt;="&amp;'Outstanding'!$E$5))</f>
        <v/>
      </c>
      <c r="W397">
        <f>IF(OR('Outstanding'!$E$5="",S397=0,B397="",B397&gt;'Outstanding'!$E$5),0,MAX(0,MIN(S397,U397-V397)))</f>
        <v/>
      </c>
      <c r="X397">
        <f>IF(C397="",0,IFERROR(VLOOKUP(C397,'Parties'!$B$13:$Q$112,15,FALSE),0))</f>
        <v/>
      </c>
      <c r="Y397">
        <f>IF(C397="","",IFERROR(VLOOKUP(C397,'Parties'!$B$13:$Q$112,16,FALSE),0))</f>
        <v/>
      </c>
      <c r="Z397">
        <f>IF(OR(S397=0,B397="",Y397=""),"",IF(AND(F397&lt;&gt;"",D397="Purchase bill"),F397,B397)+Y397)</f>
        <v/>
      </c>
      <c r="AA397">
        <f>IF(OR(W397=0,Z397=""),0,MAX(0,'Outstanding'!$E$5-Z397))</f>
        <v/>
      </c>
      <c r="AB397">
        <f>IF(AND(X397=1,AA397&gt;0),W397*((1+3*N('Parties'!$E$10)/12)^(AA397*12/365)-1),0)</f>
        <v/>
      </c>
      <c r="AC397">
        <f>IF(W397=0,"",'Outstanding'!$E$5-B397)</f>
        <v/>
      </c>
      <c r="AD397">
        <f>IF(S397=0,0,IFERROR(VLOOKUP(C397,'Parties'!$B$13:$Q$112,14,FALSE),0)+SUMIFS($T$7:$T$506,$C$7:$C$506,C397,$B$7:$B$506,"&lt;="&amp;'Parties'!$E$8))</f>
        <v/>
      </c>
      <c r="AE397">
        <f>IF(OR('Parties'!$E$8="",S397=0,B397="",B397&gt;'Parties'!$E$8),0,MAX(0,MIN(S397,U397-AD397)))</f>
        <v/>
      </c>
      <c r="AF397">
        <f>IF(AND(P397="Creditor",X397=1,AE397&gt;0,Z397&lt;&gt;""),IF(Z397&lt;='Parties'!$E$8,AE397,0),0)</f>
        <v/>
      </c>
      <c r="AG397">
        <f>IF(OR(AE397=0,Z397=""),0,MAX(0,'Parties'!$E$8-Z397))</f>
        <v/>
      </c>
      <c r="AH397">
        <f>IF(AND(P397="Creditor",X397=1,AG397&gt;0),AE397*((1+3*N('Parties'!$E$10)/12)^(AG397*12/365)-1),0)</f>
        <v/>
      </c>
      <c r="AI397">
        <f>IF(AND(C397&lt;&gt;"",C397='Ledger Account'!$D$4,B397&lt;&gt;"",B397&gt;='Ledger Account'!$D$5,B397&lt;='Ledger Account'!$D$6),1,0)</f>
        <v/>
      </c>
      <c r="AJ397">
        <f>IF(AI397=1,SUM(AI$7:AI397),"")</f>
        <v/>
      </c>
      <c r="AK397">
        <f>IF(OR(N397="",N397="OK"),0,1)</f>
        <v/>
      </c>
    </row>
    <row r="398">
      <c r="B398" s="24" t="n"/>
      <c r="C398" s="14" t="n"/>
      <c r="D398" s="14" t="n"/>
      <c r="E398" s="20" t="n"/>
      <c r="F398" s="24" t="n"/>
      <c r="G398" s="14" t="n"/>
      <c r="H398" s="22" t="n"/>
      <c r="I398" s="25">
        <f>IF(Q398="D",N(H398),0)</f>
        <v/>
      </c>
      <c r="J398" s="25">
        <f>IF(Q398="C",N(H398),0)</f>
        <v/>
      </c>
      <c r="K398" s="26">
        <f>IF(Z398="","",Z398)</f>
        <v/>
      </c>
      <c r="L398" s="27">
        <f>W398</f>
        <v/>
      </c>
      <c r="M398" s="28">
        <f>AA398</f>
        <v/>
      </c>
      <c r="N398" s="23">
        <f>IF(AND(B398="",C398="",D398="",N(H398)=0),"",IF(B398="","Enter the date",IF(C398="","Pick the party",IF(P398="?","Add this party on the Parties sheet first",IF(D398="","Pick the entry type",IF(Q398="?","Pick the entry type from the list",IF(N(H398)=0,"Enter the amount",IF(AND(R398&lt;&gt;"Any",R398&lt;&gt;P398),"Sales, receipts and credit notes are for debtors; purchases, payments and debit notes for creditors",IF(AND(F398&lt;&gt;"",D398&lt;&gt;"Purchase bill"),"The received-on date is only for purchase bills",IF(AND(P398="Creditor",X398=1,AA398&gt;0),"Past due to a micro or small supplier: interest runs under MSMED s.16, and if unpaid at year end it is not deductible that year, s.37(2)(g)",IF(AND(P398="Debtor",X398=1,AA398&gt;0),"Past due to you: as a micro or small supplier you can claim interest under MSMED s.16","OK")))))))))))</f>
        <v/>
      </c>
      <c r="P398">
        <f>IF(C398="","",IFERROR(VLOOKUP(C398,'Parties'!$B$13:$Q$112,2,FALSE),"?"))</f>
        <v/>
      </c>
      <c r="Q398">
        <f>IF(D398="","",IFERROR(VLOOKUP(D398,Lists!$A$2:$D$9,3,FALSE),"?"))</f>
        <v/>
      </c>
      <c r="R398">
        <f>IF(D398="","",IFERROR(VLOOKUP(D398,Lists!$A$2:$D$9,4,FALSE),"?"))</f>
        <v/>
      </c>
      <c r="S398">
        <f>IF(P398="Debtor",I398,IF(P398="Creditor",J398,0))</f>
        <v/>
      </c>
      <c r="T398">
        <f>IF(P398="Debtor",J398,IF(P398="Creditor",I398,0))</f>
        <v/>
      </c>
      <c r="U398">
        <f>IF(OR(S398=0,B398=""),0,IFERROR(VLOOKUP(C398,'Parties'!$B$13:$Q$112,13,FALSE),0)+SUMIFS($S$7:$S$506,$C$7:$C$506,C398,$B$7:$B$506,"&lt;"&amp;B398)+SUMIFS(S$7:S398,C$7:C398,C398,B$7:B398,B398))</f>
        <v/>
      </c>
      <c r="V398">
        <f>IF(S398=0,0,IFERROR(VLOOKUP(C398,'Parties'!$B$13:$Q$112,14,FALSE),0)+SUMIFS($T$7:$T$506,$C$7:$C$506,C398,$B$7:$B$506,"&lt;="&amp;'Outstanding'!$E$5))</f>
        <v/>
      </c>
      <c r="W398">
        <f>IF(OR('Outstanding'!$E$5="",S398=0,B398="",B398&gt;'Outstanding'!$E$5),0,MAX(0,MIN(S398,U398-V398)))</f>
        <v/>
      </c>
      <c r="X398">
        <f>IF(C398="",0,IFERROR(VLOOKUP(C398,'Parties'!$B$13:$Q$112,15,FALSE),0))</f>
        <v/>
      </c>
      <c r="Y398">
        <f>IF(C398="","",IFERROR(VLOOKUP(C398,'Parties'!$B$13:$Q$112,16,FALSE),0))</f>
        <v/>
      </c>
      <c r="Z398">
        <f>IF(OR(S398=0,B398="",Y398=""),"",IF(AND(F398&lt;&gt;"",D398="Purchase bill"),F398,B398)+Y398)</f>
        <v/>
      </c>
      <c r="AA398">
        <f>IF(OR(W398=0,Z398=""),0,MAX(0,'Outstanding'!$E$5-Z398))</f>
        <v/>
      </c>
      <c r="AB398">
        <f>IF(AND(X398=1,AA398&gt;0),W398*((1+3*N('Parties'!$E$10)/12)^(AA398*12/365)-1),0)</f>
        <v/>
      </c>
      <c r="AC398">
        <f>IF(W398=0,"",'Outstanding'!$E$5-B398)</f>
        <v/>
      </c>
      <c r="AD398">
        <f>IF(S398=0,0,IFERROR(VLOOKUP(C398,'Parties'!$B$13:$Q$112,14,FALSE),0)+SUMIFS($T$7:$T$506,$C$7:$C$506,C398,$B$7:$B$506,"&lt;="&amp;'Parties'!$E$8))</f>
        <v/>
      </c>
      <c r="AE398">
        <f>IF(OR('Parties'!$E$8="",S398=0,B398="",B398&gt;'Parties'!$E$8),0,MAX(0,MIN(S398,U398-AD398)))</f>
        <v/>
      </c>
      <c r="AF398">
        <f>IF(AND(P398="Creditor",X398=1,AE398&gt;0,Z398&lt;&gt;""),IF(Z398&lt;='Parties'!$E$8,AE398,0),0)</f>
        <v/>
      </c>
      <c r="AG398">
        <f>IF(OR(AE398=0,Z398=""),0,MAX(0,'Parties'!$E$8-Z398))</f>
        <v/>
      </c>
      <c r="AH398">
        <f>IF(AND(P398="Creditor",X398=1,AG398&gt;0),AE398*((1+3*N('Parties'!$E$10)/12)^(AG398*12/365)-1),0)</f>
        <v/>
      </c>
      <c r="AI398">
        <f>IF(AND(C398&lt;&gt;"",C398='Ledger Account'!$D$4,B398&lt;&gt;"",B398&gt;='Ledger Account'!$D$5,B398&lt;='Ledger Account'!$D$6),1,0)</f>
        <v/>
      </c>
      <c r="AJ398">
        <f>IF(AI398=1,SUM(AI$7:AI398),"")</f>
        <v/>
      </c>
      <c r="AK398">
        <f>IF(OR(N398="",N398="OK"),0,1)</f>
        <v/>
      </c>
    </row>
    <row r="399">
      <c r="B399" s="24" t="n"/>
      <c r="C399" s="14" t="n"/>
      <c r="D399" s="14" t="n"/>
      <c r="E399" s="20" t="n"/>
      <c r="F399" s="24" t="n"/>
      <c r="G399" s="14" t="n"/>
      <c r="H399" s="22" t="n"/>
      <c r="I399" s="25">
        <f>IF(Q399="D",N(H399),0)</f>
        <v/>
      </c>
      <c r="J399" s="25">
        <f>IF(Q399="C",N(H399),0)</f>
        <v/>
      </c>
      <c r="K399" s="26">
        <f>IF(Z399="","",Z399)</f>
        <v/>
      </c>
      <c r="L399" s="27">
        <f>W399</f>
        <v/>
      </c>
      <c r="M399" s="28">
        <f>AA399</f>
        <v/>
      </c>
      <c r="N399" s="23">
        <f>IF(AND(B399="",C399="",D399="",N(H399)=0),"",IF(B399="","Enter the date",IF(C399="","Pick the party",IF(P399="?","Add this party on the Parties sheet first",IF(D399="","Pick the entry type",IF(Q399="?","Pick the entry type from the list",IF(N(H399)=0,"Enter the amount",IF(AND(R399&lt;&gt;"Any",R399&lt;&gt;P399),"Sales, receipts and credit notes are for debtors; purchases, payments and debit notes for creditors",IF(AND(F399&lt;&gt;"",D399&lt;&gt;"Purchase bill"),"The received-on date is only for purchase bills",IF(AND(P399="Creditor",X399=1,AA399&gt;0),"Past due to a micro or small supplier: interest runs under MSMED s.16, and if unpaid at year end it is not deductible that year, s.37(2)(g)",IF(AND(P399="Debtor",X399=1,AA399&gt;0),"Past due to you: as a micro or small supplier you can claim interest under MSMED s.16","OK")))))))))))</f>
        <v/>
      </c>
      <c r="P399">
        <f>IF(C399="","",IFERROR(VLOOKUP(C399,'Parties'!$B$13:$Q$112,2,FALSE),"?"))</f>
        <v/>
      </c>
      <c r="Q399">
        <f>IF(D399="","",IFERROR(VLOOKUP(D399,Lists!$A$2:$D$9,3,FALSE),"?"))</f>
        <v/>
      </c>
      <c r="R399">
        <f>IF(D399="","",IFERROR(VLOOKUP(D399,Lists!$A$2:$D$9,4,FALSE),"?"))</f>
        <v/>
      </c>
      <c r="S399">
        <f>IF(P399="Debtor",I399,IF(P399="Creditor",J399,0))</f>
        <v/>
      </c>
      <c r="T399">
        <f>IF(P399="Debtor",J399,IF(P399="Creditor",I399,0))</f>
        <v/>
      </c>
      <c r="U399">
        <f>IF(OR(S399=0,B399=""),0,IFERROR(VLOOKUP(C399,'Parties'!$B$13:$Q$112,13,FALSE),0)+SUMIFS($S$7:$S$506,$C$7:$C$506,C399,$B$7:$B$506,"&lt;"&amp;B399)+SUMIFS(S$7:S399,C$7:C399,C399,B$7:B399,B399))</f>
        <v/>
      </c>
      <c r="V399">
        <f>IF(S399=0,0,IFERROR(VLOOKUP(C399,'Parties'!$B$13:$Q$112,14,FALSE),0)+SUMIFS($T$7:$T$506,$C$7:$C$506,C399,$B$7:$B$506,"&lt;="&amp;'Outstanding'!$E$5))</f>
        <v/>
      </c>
      <c r="W399">
        <f>IF(OR('Outstanding'!$E$5="",S399=0,B399="",B399&gt;'Outstanding'!$E$5),0,MAX(0,MIN(S399,U399-V399)))</f>
        <v/>
      </c>
      <c r="X399">
        <f>IF(C399="",0,IFERROR(VLOOKUP(C399,'Parties'!$B$13:$Q$112,15,FALSE),0))</f>
        <v/>
      </c>
      <c r="Y399">
        <f>IF(C399="","",IFERROR(VLOOKUP(C399,'Parties'!$B$13:$Q$112,16,FALSE),0))</f>
        <v/>
      </c>
      <c r="Z399">
        <f>IF(OR(S399=0,B399="",Y399=""),"",IF(AND(F399&lt;&gt;"",D399="Purchase bill"),F399,B399)+Y399)</f>
        <v/>
      </c>
      <c r="AA399">
        <f>IF(OR(W399=0,Z399=""),0,MAX(0,'Outstanding'!$E$5-Z399))</f>
        <v/>
      </c>
      <c r="AB399">
        <f>IF(AND(X399=1,AA399&gt;0),W399*((1+3*N('Parties'!$E$10)/12)^(AA399*12/365)-1),0)</f>
        <v/>
      </c>
      <c r="AC399">
        <f>IF(W399=0,"",'Outstanding'!$E$5-B399)</f>
        <v/>
      </c>
      <c r="AD399">
        <f>IF(S399=0,0,IFERROR(VLOOKUP(C399,'Parties'!$B$13:$Q$112,14,FALSE),0)+SUMIFS($T$7:$T$506,$C$7:$C$506,C399,$B$7:$B$506,"&lt;="&amp;'Parties'!$E$8))</f>
        <v/>
      </c>
      <c r="AE399">
        <f>IF(OR('Parties'!$E$8="",S399=0,B399="",B399&gt;'Parties'!$E$8),0,MAX(0,MIN(S399,U399-AD399)))</f>
        <v/>
      </c>
      <c r="AF399">
        <f>IF(AND(P399="Creditor",X399=1,AE399&gt;0,Z399&lt;&gt;""),IF(Z399&lt;='Parties'!$E$8,AE399,0),0)</f>
        <v/>
      </c>
      <c r="AG399">
        <f>IF(OR(AE399=0,Z399=""),0,MAX(0,'Parties'!$E$8-Z399))</f>
        <v/>
      </c>
      <c r="AH399">
        <f>IF(AND(P399="Creditor",X399=1,AG399&gt;0),AE399*((1+3*N('Parties'!$E$10)/12)^(AG399*12/365)-1),0)</f>
        <v/>
      </c>
      <c r="AI399">
        <f>IF(AND(C399&lt;&gt;"",C399='Ledger Account'!$D$4,B399&lt;&gt;"",B399&gt;='Ledger Account'!$D$5,B399&lt;='Ledger Account'!$D$6),1,0)</f>
        <v/>
      </c>
      <c r="AJ399">
        <f>IF(AI399=1,SUM(AI$7:AI399),"")</f>
        <v/>
      </c>
      <c r="AK399">
        <f>IF(OR(N399="",N399="OK"),0,1)</f>
        <v/>
      </c>
    </row>
    <row r="400">
      <c r="B400" s="24" t="n"/>
      <c r="C400" s="14" t="n"/>
      <c r="D400" s="14" t="n"/>
      <c r="E400" s="20" t="n"/>
      <c r="F400" s="24" t="n"/>
      <c r="G400" s="14" t="n"/>
      <c r="H400" s="22" t="n"/>
      <c r="I400" s="25">
        <f>IF(Q400="D",N(H400),0)</f>
        <v/>
      </c>
      <c r="J400" s="25">
        <f>IF(Q400="C",N(H400),0)</f>
        <v/>
      </c>
      <c r="K400" s="26">
        <f>IF(Z400="","",Z400)</f>
        <v/>
      </c>
      <c r="L400" s="27">
        <f>W400</f>
        <v/>
      </c>
      <c r="M400" s="28">
        <f>AA400</f>
        <v/>
      </c>
      <c r="N400" s="23">
        <f>IF(AND(B400="",C400="",D400="",N(H400)=0),"",IF(B400="","Enter the date",IF(C400="","Pick the party",IF(P400="?","Add this party on the Parties sheet first",IF(D400="","Pick the entry type",IF(Q400="?","Pick the entry type from the list",IF(N(H400)=0,"Enter the amount",IF(AND(R400&lt;&gt;"Any",R400&lt;&gt;P400),"Sales, receipts and credit notes are for debtors; purchases, payments and debit notes for creditors",IF(AND(F400&lt;&gt;"",D400&lt;&gt;"Purchase bill"),"The received-on date is only for purchase bills",IF(AND(P400="Creditor",X400=1,AA400&gt;0),"Past due to a micro or small supplier: interest runs under MSMED s.16, and if unpaid at year end it is not deductible that year, s.37(2)(g)",IF(AND(P400="Debtor",X400=1,AA400&gt;0),"Past due to you: as a micro or small supplier you can claim interest under MSMED s.16","OK")))))))))))</f>
        <v/>
      </c>
      <c r="P400">
        <f>IF(C400="","",IFERROR(VLOOKUP(C400,'Parties'!$B$13:$Q$112,2,FALSE),"?"))</f>
        <v/>
      </c>
      <c r="Q400">
        <f>IF(D400="","",IFERROR(VLOOKUP(D400,Lists!$A$2:$D$9,3,FALSE),"?"))</f>
        <v/>
      </c>
      <c r="R400">
        <f>IF(D400="","",IFERROR(VLOOKUP(D400,Lists!$A$2:$D$9,4,FALSE),"?"))</f>
        <v/>
      </c>
      <c r="S400">
        <f>IF(P400="Debtor",I400,IF(P400="Creditor",J400,0))</f>
        <v/>
      </c>
      <c r="T400">
        <f>IF(P400="Debtor",J400,IF(P400="Creditor",I400,0))</f>
        <v/>
      </c>
      <c r="U400">
        <f>IF(OR(S400=0,B400=""),0,IFERROR(VLOOKUP(C400,'Parties'!$B$13:$Q$112,13,FALSE),0)+SUMIFS($S$7:$S$506,$C$7:$C$506,C400,$B$7:$B$506,"&lt;"&amp;B400)+SUMIFS(S$7:S400,C$7:C400,C400,B$7:B400,B400))</f>
        <v/>
      </c>
      <c r="V400">
        <f>IF(S400=0,0,IFERROR(VLOOKUP(C400,'Parties'!$B$13:$Q$112,14,FALSE),0)+SUMIFS($T$7:$T$506,$C$7:$C$506,C400,$B$7:$B$506,"&lt;="&amp;'Outstanding'!$E$5))</f>
        <v/>
      </c>
      <c r="W400">
        <f>IF(OR('Outstanding'!$E$5="",S400=0,B400="",B400&gt;'Outstanding'!$E$5),0,MAX(0,MIN(S400,U400-V400)))</f>
        <v/>
      </c>
      <c r="X400">
        <f>IF(C400="",0,IFERROR(VLOOKUP(C400,'Parties'!$B$13:$Q$112,15,FALSE),0))</f>
        <v/>
      </c>
      <c r="Y400">
        <f>IF(C400="","",IFERROR(VLOOKUP(C400,'Parties'!$B$13:$Q$112,16,FALSE),0))</f>
        <v/>
      </c>
      <c r="Z400">
        <f>IF(OR(S400=0,B400="",Y400=""),"",IF(AND(F400&lt;&gt;"",D400="Purchase bill"),F400,B400)+Y400)</f>
        <v/>
      </c>
      <c r="AA400">
        <f>IF(OR(W400=0,Z400=""),0,MAX(0,'Outstanding'!$E$5-Z400))</f>
        <v/>
      </c>
      <c r="AB400">
        <f>IF(AND(X400=1,AA400&gt;0),W400*((1+3*N('Parties'!$E$10)/12)^(AA400*12/365)-1),0)</f>
        <v/>
      </c>
      <c r="AC400">
        <f>IF(W400=0,"",'Outstanding'!$E$5-B400)</f>
        <v/>
      </c>
      <c r="AD400">
        <f>IF(S400=0,0,IFERROR(VLOOKUP(C400,'Parties'!$B$13:$Q$112,14,FALSE),0)+SUMIFS($T$7:$T$506,$C$7:$C$506,C400,$B$7:$B$506,"&lt;="&amp;'Parties'!$E$8))</f>
        <v/>
      </c>
      <c r="AE400">
        <f>IF(OR('Parties'!$E$8="",S400=0,B400="",B400&gt;'Parties'!$E$8),0,MAX(0,MIN(S400,U400-AD400)))</f>
        <v/>
      </c>
      <c r="AF400">
        <f>IF(AND(P400="Creditor",X400=1,AE400&gt;0,Z400&lt;&gt;""),IF(Z400&lt;='Parties'!$E$8,AE400,0),0)</f>
        <v/>
      </c>
      <c r="AG400">
        <f>IF(OR(AE400=0,Z400=""),0,MAX(0,'Parties'!$E$8-Z400))</f>
        <v/>
      </c>
      <c r="AH400">
        <f>IF(AND(P400="Creditor",X400=1,AG400&gt;0),AE400*((1+3*N('Parties'!$E$10)/12)^(AG400*12/365)-1),0)</f>
        <v/>
      </c>
      <c r="AI400">
        <f>IF(AND(C400&lt;&gt;"",C400='Ledger Account'!$D$4,B400&lt;&gt;"",B400&gt;='Ledger Account'!$D$5,B400&lt;='Ledger Account'!$D$6),1,0)</f>
        <v/>
      </c>
      <c r="AJ400">
        <f>IF(AI400=1,SUM(AI$7:AI400),"")</f>
        <v/>
      </c>
      <c r="AK400">
        <f>IF(OR(N400="",N400="OK"),0,1)</f>
        <v/>
      </c>
    </row>
    <row r="401">
      <c r="B401" s="24" t="n"/>
      <c r="C401" s="14" t="n"/>
      <c r="D401" s="14" t="n"/>
      <c r="E401" s="20" t="n"/>
      <c r="F401" s="24" t="n"/>
      <c r="G401" s="14" t="n"/>
      <c r="H401" s="22" t="n"/>
      <c r="I401" s="25">
        <f>IF(Q401="D",N(H401),0)</f>
        <v/>
      </c>
      <c r="J401" s="25">
        <f>IF(Q401="C",N(H401),0)</f>
        <v/>
      </c>
      <c r="K401" s="26">
        <f>IF(Z401="","",Z401)</f>
        <v/>
      </c>
      <c r="L401" s="27">
        <f>W401</f>
        <v/>
      </c>
      <c r="M401" s="28">
        <f>AA401</f>
        <v/>
      </c>
      <c r="N401" s="23">
        <f>IF(AND(B401="",C401="",D401="",N(H401)=0),"",IF(B401="","Enter the date",IF(C401="","Pick the party",IF(P401="?","Add this party on the Parties sheet first",IF(D401="","Pick the entry type",IF(Q401="?","Pick the entry type from the list",IF(N(H401)=0,"Enter the amount",IF(AND(R401&lt;&gt;"Any",R401&lt;&gt;P401),"Sales, receipts and credit notes are for debtors; purchases, payments and debit notes for creditors",IF(AND(F401&lt;&gt;"",D401&lt;&gt;"Purchase bill"),"The received-on date is only for purchase bills",IF(AND(P401="Creditor",X401=1,AA401&gt;0),"Past due to a micro or small supplier: interest runs under MSMED s.16, and if unpaid at year end it is not deductible that year, s.37(2)(g)",IF(AND(P401="Debtor",X401=1,AA401&gt;0),"Past due to you: as a micro or small supplier you can claim interest under MSMED s.16","OK")))))))))))</f>
        <v/>
      </c>
      <c r="P401">
        <f>IF(C401="","",IFERROR(VLOOKUP(C401,'Parties'!$B$13:$Q$112,2,FALSE),"?"))</f>
        <v/>
      </c>
      <c r="Q401">
        <f>IF(D401="","",IFERROR(VLOOKUP(D401,Lists!$A$2:$D$9,3,FALSE),"?"))</f>
        <v/>
      </c>
      <c r="R401">
        <f>IF(D401="","",IFERROR(VLOOKUP(D401,Lists!$A$2:$D$9,4,FALSE),"?"))</f>
        <v/>
      </c>
      <c r="S401">
        <f>IF(P401="Debtor",I401,IF(P401="Creditor",J401,0))</f>
        <v/>
      </c>
      <c r="T401">
        <f>IF(P401="Debtor",J401,IF(P401="Creditor",I401,0))</f>
        <v/>
      </c>
      <c r="U401">
        <f>IF(OR(S401=0,B401=""),0,IFERROR(VLOOKUP(C401,'Parties'!$B$13:$Q$112,13,FALSE),0)+SUMIFS($S$7:$S$506,$C$7:$C$506,C401,$B$7:$B$506,"&lt;"&amp;B401)+SUMIFS(S$7:S401,C$7:C401,C401,B$7:B401,B401))</f>
        <v/>
      </c>
      <c r="V401">
        <f>IF(S401=0,0,IFERROR(VLOOKUP(C401,'Parties'!$B$13:$Q$112,14,FALSE),0)+SUMIFS($T$7:$T$506,$C$7:$C$506,C401,$B$7:$B$506,"&lt;="&amp;'Outstanding'!$E$5))</f>
        <v/>
      </c>
      <c r="W401">
        <f>IF(OR('Outstanding'!$E$5="",S401=0,B401="",B401&gt;'Outstanding'!$E$5),0,MAX(0,MIN(S401,U401-V401)))</f>
        <v/>
      </c>
      <c r="X401">
        <f>IF(C401="",0,IFERROR(VLOOKUP(C401,'Parties'!$B$13:$Q$112,15,FALSE),0))</f>
        <v/>
      </c>
      <c r="Y401">
        <f>IF(C401="","",IFERROR(VLOOKUP(C401,'Parties'!$B$13:$Q$112,16,FALSE),0))</f>
        <v/>
      </c>
      <c r="Z401">
        <f>IF(OR(S401=0,B401="",Y401=""),"",IF(AND(F401&lt;&gt;"",D401="Purchase bill"),F401,B401)+Y401)</f>
        <v/>
      </c>
      <c r="AA401">
        <f>IF(OR(W401=0,Z401=""),0,MAX(0,'Outstanding'!$E$5-Z401))</f>
        <v/>
      </c>
      <c r="AB401">
        <f>IF(AND(X401=1,AA401&gt;0),W401*((1+3*N('Parties'!$E$10)/12)^(AA401*12/365)-1),0)</f>
        <v/>
      </c>
      <c r="AC401">
        <f>IF(W401=0,"",'Outstanding'!$E$5-B401)</f>
        <v/>
      </c>
      <c r="AD401">
        <f>IF(S401=0,0,IFERROR(VLOOKUP(C401,'Parties'!$B$13:$Q$112,14,FALSE),0)+SUMIFS($T$7:$T$506,$C$7:$C$506,C401,$B$7:$B$506,"&lt;="&amp;'Parties'!$E$8))</f>
        <v/>
      </c>
      <c r="AE401">
        <f>IF(OR('Parties'!$E$8="",S401=0,B401="",B401&gt;'Parties'!$E$8),0,MAX(0,MIN(S401,U401-AD401)))</f>
        <v/>
      </c>
      <c r="AF401">
        <f>IF(AND(P401="Creditor",X401=1,AE401&gt;0,Z401&lt;&gt;""),IF(Z401&lt;='Parties'!$E$8,AE401,0),0)</f>
        <v/>
      </c>
      <c r="AG401">
        <f>IF(OR(AE401=0,Z401=""),0,MAX(0,'Parties'!$E$8-Z401))</f>
        <v/>
      </c>
      <c r="AH401">
        <f>IF(AND(P401="Creditor",X401=1,AG401&gt;0),AE401*((1+3*N('Parties'!$E$10)/12)^(AG401*12/365)-1),0)</f>
        <v/>
      </c>
      <c r="AI401">
        <f>IF(AND(C401&lt;&gt;"",C401='Ledger Account'!$D$4,B401&lt;&gt;"",B401&gt;='Ledger Account'!$D$5,B401&lt;='Ledger Account'!$D$6),1,0)</f>
        <v/>
      </c>
      <c r="AJ401">
        <f>IF(AI401=1,SUM(AI$7:AI401),"")</f>
        <v/>
      </c>
      <c r="AK401">
        <f>IF(OR(N401="",N401="OK"),0,1)</f>
        <v/>
      </c>
    </row>
    <row r="402">
      <c r="B402" s="24" t="n"/>
      <c r="C402" s="14" t="n"/>
      <c r="D402" s="14" t="n"/>
      <c r="E402" s="20" t="n"/>
      <c r="F402" s="24" t="n"/>
      <c r="G402" s="14" t="n"/>
      <c r="H402" s="22" t="n"/>
      <c r="I402" s="25">
        <f>IF(Q402="D",N(H402),0)</f>
        <v/>
      </c>
      <c r="J402" s="25">
        <f>IF(Q402="C",N(H402),0)</f>
        <v/>
      </c>
      <c r="K402" s="26">
        <f>IF(Z402="","",Z402)</f>
        <v/>
      </c>
      <c r="L402" s="27">
        <f>W402</f>
        <v/>
      </c>
      <c r="M402" s="28">
        <f>AA402</f>
        <v/>
      </c>
      <c r="N402" s="23">
        <f>IF(AND(B402="",C402="",D402="",N(H402)=0),"",IF(B402="","Enter the date",IF(C402="","Pick the party",IF(P402="?","Add this party on the Parties sheet first",IF(D402="","Pick the entry type",IF(Q402="?","Pick the entry type from the list",IF(N(H402)=0,"Enter the amount",IF(AND(R402&lt;&gt;"Any",R402&lt;&gt;P402),"Sales, receipts and credit notes are for debtors; purchases, payments and debit notes for creditors",IF(AND(F402&lt;&gt;"",D402&lt;&gt;"Purchase bill"),"The received-on date is only for purchase bills",IF(AND(P402="Creditor",X402=1,AA402&gt;0),"Past due to a micro or small supplier: interest runs under MSMED s.16, and if unpaid at year end it is not deductible that year, s.37(2)(g)",IF(AND(P402="Debtor",X402=1,AA402&gt;0),"Past due to you: as a micro or small supplier you can claim interest under MSMED s.16","OK")))))))))))</f>
        <v/>
      </c>
      <c r="P402">
        <f>IF(C402="","",IFERROR(VLOOKUP(C402,'Parties'!$B$13:$Q$112,2,FALSE),"?"))</f>
        <v/>
      </c>
      <c r="Q402">
        <f>IF(D402="","",IFERROR(VLOOKUP(D402,Lists!$A$2:$D$9,3,FALSE),"?"))</f>
        <v/>
      </c>
      <c r="R402">
        <f>IF(D402="","",IFERROR(VLOOKUP(D402,Lists!$A$2:$D$9,4,FALSE),"?"))</f>
        <v/>
      </c>
      <c r="S402">
        <f>IF(P402="Debtor",I402,IF(P402="Creditor",J402,0))</f>
        <v/>
      </c>
      <c r="T402">
        <f>IF(P402="Debtor",J402,IF(P402="Creditor",I402,0))</f>
        <v/>
      </c>
      <c r="U402">
        <f>IF(OR(S402=0,B402=""),0,IFERROR(VLOOKUP(C402,'Parties'!$B$13:$Q$112,13,FALSE),0)+SUMIFS($S$7:$S$506,$C$7:$C$506,C402,$B$7:$B$506,"&lt;"&amp;B402)+SUMIFS(S$7:S402,C$7:C402,C402,B$7:B402,B402))</f>
        <v/>
      </c>
      <c r="V402">
        <f>IF(S402=0,0,IFERROR(VLOOKUP(C402,'Parties'!$B$13:$Q$112,14,FALSE),0)+SUMIFS($T$7:$T$506,$C$7:$C$506,C402,$B$7:$B$506,"&lt;="&amp;'Outstanding'!$E$5))</f>
        <v/>
      </c>
      <c r="W402">
        <f>IF(OR('Outstanding'!$E$5="",S402=0,B402="",B402&gt;'Outstanding'!$E$5),0,MAX(0,MIN(S402,U402-V402)))</f>
        <v/>
      </c>
      <c r="X402">
        <f>IF(C402="",0,IFERROR(VLOOKUP(C402,'Parties'!$B$13:$Q$112,15,FALSE),0))</f>
        <v/>
      </c>
      <c r="Y402">
        <f>IF(C402="","",IFERROR(VLOOKUP(C402,'Parties'!$B$13:$Q$112,16,FALSE),0))</f>
        <v/>
      </c>
      <c r="Z402">
        <f>IF(OR(S402=0,B402="",Y402=""),"",IF(AND(F402&lt;&gt;"",D402="Purchase bill"),F402,B402)+Y402)</f>
        <v/>
      </c>
      <c r="AA402">
        <f>IF(OR(W402=0,Z402=""),0,MAX(0,'Outstanding'!$E$5-Z402))</f>
        <v/>
      </c>
      <c r="AB402">
        <f>IF(AND(X402=1,AA402&gt;0),W402*((1+3*N('Parties'!$E$10)/12)^(AA402*12/365)-1),0)</f>
        <v/>
      </c>
      <c r="AC402">
        <f>IF(W402=0,"",'Outstanding'!$E$5-B402)</f>
        <v/>
      </c>
      <c r="AD402">
        <f>IF(S402=0,0,IFERROR(VLOOKUP(C402,'Parties'!$B$13:$Q$112,14,FALSE),0)+SUMIFS($T$7:$T$506,$C$7:$C$506,C402,$B$7:$B$506,"&lt;="&amp;'Parties'!$E$8))</f>
        <v/>
      </c>
      <c r="AE402">
        <f>IF(OR('Parties'!$E$8="",S402=0,B402="",B402&gt;'Parties'!$E$8),0,MAX(0,MIN(S402,U402-AD402)))</f>
        <v/>
      </c>
      <c r="AF402">
        <f>IF(AND(P402="Creditor",X402=1,AE402&gt;0,Z402&lt;&gt;""),IF(Z402&lt;='Parties'!$E$8,AE402,0),0)</f>
        <v/>
      </c>
      <c r="AG402">
        <f>IF(OR(AE402=0,Z402=""),0,MAX(0,'Parties'!$E$8-Z402))</f>
        <v/>
      </c>
      <c r="AH402">
        <f>IF(AND(P402="Creditor",X402=1,AG402&gt;0),AE402*((1+3*N('Parties'!$E$10)/12)^(AG402*12/365)-1),0)</f>
        <v/>
      </c>
      <c r="AI402">
        <f>IF(AND(C402&lt;&gt;"",C402='Ledger Account'!$D$4,B402&lt;&gt;"",B402&gt;='Ledger Account'!$D$5,B402&lt;='Ledger Account'!$D$6),1,0)</f>
        <v/>
      </c>
      <c r="AJ402">
        <f>IF(AI402=1,SUM(AI$7:AI402),"")</f>
        <v/>
      </c>
      <c r="AK402">
        <f>IF(OR(N402="",N402="OK"),0,1)</f>
        <v/>
      </c>
    </row>
    <row r="403">
      <c r="B403" s="24" t="n"/>
      <c r="C403" s="14" t="n"/>
      <c r="D403" s="14" t="n"/>
      <c r="E403" s="20" t="n"/>
      <c r="F403" s="24" t="n"/>
      <c r="G403" s="14" t="n"/>
      <c r="H403" s="22" t="n"/>
      <c r="I403" s="25">
        <f>IF(Q403="D",N(H403),0)</f>
        <v/>
      </c>
      <c r="J403" s="25">
        <f>IF(Q403="C",N(H403),0)</f>
        <v/>
      </c>
      <c r="K403" s="26">
        <f>IF(Z403="","",Z403)</f>
        <v/>
      </c>
      <c r="L403" s="27">
        <f>W403</f>
        <v/>
      </c>
      <c r="M403" s="28">
        <f>AA403</f>
        <v/>
      </c>
      <c r="N403" s="23">
        <f>IF(AND(B403="",C403="",D403="",N(H403)=0),"",IF(B403="","Enter the date",IF(C403="","Pick the party",IF(P403="?","Add this party on the Parties sheet first",IF(D403="","Pick the entry type",IF(Q403="?","Pick the entry type from the list",IF(N(H403)=0,"Enter the amount",IF(AND(R403&lt;&gt;"Any",R403&lt;&gt;P403),"Sales, receipts and credit notes are for debtors; purchases, payments and debit notes for creditors",IF(AND(F403&lt;&gt;"",D403&lt;&gt;"Purchase bill"),"The received-on date is only for purchase bills",IF(AND(P403="Creditor",X403=1,AA403&gt;0),"Past due to a micro or small supplier: interest runs under MSMED s.16, and if unpaid at year end it is not deductible that year, s.37(2)(g)",IF(AND(P403="Debtor",X403=1,AA403&gt;0),"Past due to you: as a micro or small supplier you can claim interest under MSMED s.16","OK")))))))))))</f>
        <v/>
      </c>
      <c r="P403">
        <f>IF(C403="","",IFERROR(VLOOKUP(C403,'Parties'!$B$13:$Q$112,2,FALSE),"?"))</f>
        <v/>
      </c>
      <c r="Q403">
        <f>IF(D403="","",IFERROR(VLOOKUP(D403,Lists!$A$2:$D$9,3,FALSE),"?"))</f>
        <v/>
      </c>
      <c r="R403">
        <f>IF(D403="","",IFERROR(VLOOKUP(D403,Lists!$A$2:$D$9,4,FALSE),"?"))</f>
        <v/>
      </c>
      <c r="S403">
        <f>IF(P403="Debtor",I403,IF(P403="Creditor",J403,0))</f>
        <v/>
      </c>
      <c r="T403">
        <f>IF(P403="Debtor",J403,IF(P403="Creditor",I403,0))</f>
        <v/>
      </c>
      <c r="U403">
        <f>IF(OR(S403=0,B403=""),0,IFERROR(VLOOKUP(C403,'Parties'!$B$13:$Q$112,13,FALSE),0)+SUMIFS($S$7:$S$506,$C$7:$C$506,C403,$B$7:$B$506,"&lt;"&amp;B403)+SUMIFS(S$7:S403,C$7:C403,C403,B$7:B403,B403))</f>
        <v/>
      </c>
      <c r="V403">
        <f>IF(S403=0,0,IFERROR(VLOOKUP(C403,'Parties'!$B$13:$Q$112,14,FALSE),0)+SUMIFS($T$7:$T$506,$C$7:$C$506,C403,$B$7:$B$506,"&lt;="&amp;'Outstanding'!$E$5))</f>
        <v/>
      </c>
      <c r="W403">
        <f>IF(OR('Outstanding'!$E$5="",S403=0,B403="",B403&gt;'Outstanding'!$E$5),0,MAX(0,MIN(S403,U403-V403)))</f>
        <v/>
      </c>
      <c r="X403">
        <f>IF(C403="",0,IFERROR(VLOOKUP(C403,'Parties'!$B$13:$Q$112,15,FALSE),0))</f>
        <v/>
      </c>
      <c r="Y403">
        <f>IF(C403="","",IFERROR(VLOOKUP(C403,'Parties'!$B$13:$Q$112,16,FALSE),0))</f>
        <v/>
      </c>
      <c r="Z403">
        <f>IF(OR(S403=0,B403="",Y403=""),"",IF(AND(F403&lt;&gt;"",D403="Purchase bill"),F403,B403)+Y403)</f>
        <v/>
      </c>
      <c r="AA403">
        <f>IF(OR(W403=0,Z403=""),0,MAX(0,'Outstanding'!$E$5-Z403))</f>
        <v/>
      </c>
      <c r="AB403">
        <f>IF(AND(X403=1,AA403&gt;0),W403*((1+3*N('Parties'!$E$10)/12)^(AA403*12/365)-1),0)</f>
        <v/>
      </c>
      <c r="AC403">
        <f>IF(W403=0,"",'Outstanding'!$E$5-B403)</f>
        <v/>
      </c>
      <c r="AD403">
        <f>IF(S403=0,0,IFERROR(VLOOKUP(C403,'Parties'!$B$13:$Q$112,14,FALSE),0)+SUMIFS($T$7:$T$506,$C$7:$C$506,C403,$B$7:$B$506,"&lt;="&amp;'Parties'!$E$8))</f>
        <v/>
      </c>
      <c r="AE403">
        <f>IF(OR('Parties'!$E$8="",S403=0,B403="",B403&gt;'Parties'!$E$8),0,MAX(0,MIN(S403,U403-AD403)))</f>
        <v/>
      </c>
      <c r="AF403">
        <f>IF(AND(P403="Creditor",X403=1,AE403&gt;0,Z403&lt;&gt;""),IF(Z403&lt;='Parties'!$E$8,AE403,0),0)</f>
        <v/>
      </c>
      <c r="AG403">
        <f>IF(OR(AE403=0,Z403=""),0,MAX(0,'Parties'!$E$8-Z403))</f>
        <v/>
      </c>
      <c r="AH403">
        <f>IF(AND(P403="Creditor",X403=1,AG403&gt;0),AE403*((1+3*N('Parties'!$E$10)/12)^(AG403*12/365)-1),0)</f>
        <v/>
      </c>
      <c r="AI403">
        <f>IF(AND(C403&lt;&gt;"",C403='Ledger Account'!$D$4,B403&lt;&gt;"",B403&gt;='Ledger Account'!$D$5,B403&lt;='Ledger Account'!$D$6),1,0)</f>
        <v/>
      </c>
      <c r="AJ403">
        <f>IF(AI403=1,SUM(AI$7:AI403),"")</f>
        <v/>
      </c>
      <c r="AK403">
        <f>IF(OR(N403="",N403="OK"),0,1)</f>
        <v/>
      </c>
    </row>
    <row r="404">
      <c r="B404" s="24" t="n"/>
      <c r="C404" s="14" t="n"/>
      <c r="D404" s="14" t="n"/>
      <c r="E404" s="20" t="n"/>
      <c r="F404" s="24" t="n"/>
      <c r="G404" s="14" t="n"/>
      <c r="H404" s="22" t="n"/>
      <c r="I404" s="25">
        <f>IF(Q404="D",N(H404),0)</f>
        <v/>
      </c>
      <c r="J404" s="25">
        <f>IF(Q404="C",N(H404),0)</f>
        <v/>
      </c>
      <c r="K404" s="26">
        <f>IF(Z404="","",Z404)</f>
        <v/>
      </c>
      <c r="L404" s="27">
        <f>W404</f>
        <v/>
      </c>
      <c r="M404" s="28">
        <f>AA404</f>
        <v/>
      </c>
      <c r="N404" s="23">
        <f>IF(AND(B404="",C404="",D404="",N(H404)=0),"",IF(B404="","Enter the date",IF(C404="","Pick the party",IF(P404="?","Add this party on the Parties sheet first",IF(D404="","Pick the entry type",IF(Q404="?","Pick the entry type from the list",IF(N(H404)=0,"Enter the amount",IF(AND(R404&lt;&gt;"Any",R404&lt;&gt;P404),"Sales, receipts and credit notes are for debtors; purchases, payments and debit notes for creditors",IF(AND(F404&lt;&gt;"",D404&lt;&gt;"Purchase bill"),"The received-on date is only for purchase bills",IF(AND(P404="Creditor",X404=1,AA404&gt;0),"Past due to a micro or small supplier: interest runs under MSMED s.16, and if unpaid at year end it is not deductible that year, s.37(2)(g)",IF(AND(P404="Debtor",X404=1,AA404&gt;0),"Past due to you: as a micro or small supplier you can claim interest under MSMED s.16","OK")))))))))))</f>
        <v/>
      </c>
      <c r="P404">
        <f>IF(C404="","",IFERROR(VLOOKUP(C404,'Parties'!$B$13:$Q$112,2,FALSE),"?"))</f>
        <v/>
      </c>
      <c r="Q404">
        <f>IF(D404="","",IFERROR(VLOOKUP(D404,Lists!$A$2:$D$9,3,FALSE),"?"))</f>
        <v/>
      </c>
      <c r="R404">
        <f>IF(D404="","",IFERROR(VLOOKUP(D404,Lists!$A$2:$D$9,4,FALSE),"?"))</f>
        <v/>
      </c>
      <c r="S404">
        <f>IF(P404="Debtor",I404,IF(P404="Creditor",J404,0))</f>
        <v/>
      </c>
      <c r="T404">
        <f>IF(P404="Debtor",J404,IF(P404="Creditor",I404,0))</f>
        <v/>
      </c>
      <c r="U404">
        <f>IF(OR(S404=0,B404=""),0,IFERROR(VLOOKUP(C404,'Parties'!$B$13:$Q$112,13,FALSE),0)+SUMIFS($S$7:$S$506,$C$7:$C$506,C404,$B$7:$B$506,"&lt;"&amp;B404)+SUMIFS(S$7:S404,C$7:C404,C404,B$7:B404,B404))</f>
        <v/>
      </c>
      <c r="V404">
        <f>IF(S404=0,0,IFERROR(VLOOKUP(C404,'Parties'!$B$13:$Q$112,14,FALSE),0)+SUMIFS($T$7:$T$506,$C$7:$C$506,C404,$B$7:$B$506,"&lt;="&amp;'Outstanding'!$E$5))</f>
        <v/>
      </c>
      <c r="W404">
        <f>IF(OR('Outstanding'!$E$5="",S404=0,B404="",B404&gt;'Outstanding'!$E$5),0,MAX(0,MIN(S404,U404-V404)))</f>
        <v/>
      </c>
      <c r="X404">
        <f>IF(C404="",0,IFERROR(VLOOKUP(C404,'Parties'!$B$13:$Q$112,15,FALSE),0))</f>
        <v/>
      </c>
      <c r="Y404">
        <f>IF(C404="","",IFERROR(VLOOKUP(C404,'Parties'!$B$13:$Q$112,16,FALSE),0))</f>
        <v/>
      </c>
      <c r="Z404">
        <f>IF(OR(S404=0,B404="",Y404=""),"",IF(AND(F404&lt;&gt;"",D404="Purchase bill"),F404,B404)+Y404)</f>
        <v/>
      </c>
      <c r="AA404">
        <f>IF(OR(W404=0,Z404=""),0,MAX(0,'Outstanding'!$E$5-Z404))</f>
        <v/>
      </c>
      <c r="AB404">
        <f>IF(AND(X404=1,AA404&gt;0),W404*((1+3*N('Parties'!$E$10)/12)^(AA404*12/365)-1),0)</f>
        <v/>
      </c>
      <c r="AC404">
        <f>IF(W404=0,"",'Outstanding'!$E$5-B404)</f>
        <v/>
      </c>
      <c r="AD404">
        <f>IF(S404=0,0,IFERROR(VLOOKUP(C404,'Parties'!$B$13:$Q$112,14,FALSE),0)+SUMIFS($T$7:$T$506,$C$7:$C$506,C404,$B$7:$B$506,"&lt;="&amp;'Parties'!$E$8))</f>
        <v/>
      </c>
      <c r="AE404">
        <f>IF(OR('Parties'!$E$8="",S404=0,B404="",B404&gt;'Parties'!$E$8),0,MAX(0,MIN(S404,U404-AD404)))</f>
        <v/>
      </c>
      <c r="AF404">
        <f>IF(AND(P404="Creditor",X404=1,AE404&gt;0,Z404&lt;&gt;""),IF(Z404&lt;='Parties'!$E$8,AE404,0),0)</f>
        <v/>
      </c>
      <c r="AG404">
        <f>IF(OR(AE404=0,Z404=""),0,MAX(0,'Parties'!$E$8-Z404))</f>
        <v/>
      </c>
      <c r="AH404">
        <f>IF(AND(P404="Creditor",X404=1,AG404&gt;0),AE404*((1+3*N('Parties'!$E$10)/12)^(AG404*12/365)-1),0)</f>
        <v/>
      </c>
      <c r="AI404">
        <f>IF(AND(C404&lt;&gt;"",C404='Ledger Account'!$D$4,B404&lt;&gt;"",B404&gt;='Ledger Account'!$D$5,B404&lt;='Ledger Account'!$D$6),1,0)</f>
        <v/>
      </c>
      <c r="AJ404">
        <f>IF(AI404=1,SUM(AI$7:AI404),"")</f>
        <v/>
      </c>
      <c r="AK404">
        <f>IF(OR(N404="",N404="OK"),0,1)</f>
        <v/>
      </c>
    </row>
    <row r="405">
      <c r="B405" s="24" t="n"/>
      <c r="C405" s="14" t="n"/>
      <c r="D405" s="14" t="n"/>
      <c r="E405" s="20" t="n"/>
      <c r="F405" s="24" t="n"/>
      <c r="G405" s="14" t="n"/>
      <c r="H405" s="22" t="n"/>
      <c r="I405" s="25">
        <f>IF(Q405="D",N(H405),0)</f>
        <v/>
      </c>
      <c r="J405" s="25">
        <f>IF(Q405="C",N(H405),0)</f>
        <v/>
      </c>
      <c r="K405" s="26">
        <f>IF(Z405="","",Z405)</f>
        <v/>
      </c>
      <c r="L405" s="27">
        <f>W405</f>
        <v/>
      </c>
      <c r="M405" s="28">
        <f>AA405</f>
        <v/>
      </c>
      <c r="N405" s="23">
        <f>IF(AND(B405="",C405="",D405="",N(H405)=0),"",IF(B405="","Enter the date",IF(C405="","Pick the party",IF(P405="?","Add this party on the Parties sheet first",IF(D405="","Pick the entry type",IF(Q405="?","Pick the entry type from the list",IF(N(H405)=0,"Enter the amount",IF(AND(R405&lt;&gt;"Any",R405&lt;&gt;P405),"Sales, receipts and credit notes are for debtors; purchases, payments and debit notes for creditors",IF(AND(F405&lt;&gt;"",D405&lt;&gt;"Purchase bill"),"The received-on date is only for purchase bills",IF(AND(P405="Creditor",X405=1,AA405&gt;0),"Past due to a micro or small supplier: interest runs under MSMED s.16, and if unpaid at year end it is not deductible that year, s.37(2)(g)",IF(AND(P405="Debtor",X405=1,AA405&gt;0),"Past due to you: as a micro or small supplier you can claim interest under MSMED s.16","OK")))))))))))</f>
        <v/>
      </c>
      <c r="P405">
        <f>IF(C405="","",IFERROR(VLOOKUP(C405,'Parties'!$B$13:$Q$112,2,FALSE),"?"))</f>
        <v/>
      </c>
      <c r="Q405">
        <f>IF(D405="","",IFERROR(VLOOKUP(D405,Lists!$A$2:$D$9,3,FALSE),"?"))</f>
        <v/>
      </c>
      <c r="R405">
        <f>IF(D405="","",IFERROR(VLOOKUP(D405,Lists!$A$2:$D$9,4,FALSE),"?"))</f>
        <v/>
      </c>
      <c r="S405">
        <f>IF(P405="Debtor",I405,IF(P405="Creditor",J405,0))</f>
        <v/>
      </c>
      <c r="T405">
        <f>IF(P405="Debtor",J405,IF(P405="Creditor",I405,0))</f>
        <v/>
      </c>
      <c r="U405">
        <f>IF(OR(S405=0,B405=""),0,IFERROR(VLOOKUP(C405,'Parties'!$B$13:$Q$112,13,FALSE),0)+SUMIFS($S$7:$S$506,$C$7:$C$506,C405,$B$7:$B$506,"&lt;"&amp;B405)+SUMIFS(S$7:S405,C$7:C405,C405,B$7:B405,B405))</f>
        <v/>
      </c>
      <c r="V405">
        <f>IF(S405=0,0,IFERROR(VLOOKUP(C405,'Parties'!$B$13:$Q$112,14,FALSE),0)+SUMIFS($T$7:$T$506,$C$7:$C$506,C405,$B$7:$B$506,"&lt;="&amp;'Outstanding'!$E$5))</f>
        <v/>
      </c>
      <c r="W405">
        <f>IF(OR('Outstanding'!$E$5="",S405=0,B405="",B405&gt;'Outstanding'!$E$5),0,MAX(0,MIN(S405,U405-V405)))</f>
        <v/>
      </c>
      <c r="X405">
        <f>IF(C405="",0,IFERROR(VLOOKUP(C405,'Parties'!$B$13:$Q$112,15,FALSE),0))</f>
        <v/>
      </c>
      <c r="Y405">
        <f>IF(C405="","",IFERROR(VLOOKUP(C405,'Parties'!$B$13:$Q$112,16,FALSE),0))</f>
        <v/>
      </c>
      <c r="Z405">
        <f>IF(OR(S405=0,B405="",Y405=""),"",IF(AND(F405&lt;&gt;"",D405="Purchase bill"),F405,B405)+Y405)</f>
        <v/>
      </c>
      <c r="AA405">
        <f>IF(OR(W405=0,Z405=""),0,MAX(0,'Outstanding'!$E$5-Z405))</f>
        <v/>
      </c>
      <c r="AB405">
        <f>IF(AND(X405=1,AA405&gt;0),W405*((1+3*N('Parties'!$E$10)/12)^(AA405*12/365)-1),0)</f>
        <v/>
      </c>
      <c r="AC405">
        <f>IF(W405=0,"",'Outstanding'!$E$5-B405)</f>
        <v/>
      </c>
      <c r="AD405">
        <f>IF(S405=0,0,IFERROR(VLOOKUP(C405,'Parties'!$B$13:$Q$112,14,FALSE),0)+SUMIFS($T$7:$T$506,$C$7:$C$506,C405,$B$7:$B$506,"&lt;="&amp;'Parties'!$E$8))</f>
        <v/>
      </c>
      <c r="AE405">
        <f>IF(OR('Parties'!$E$8="",S405=0,B405="",B405&gt;'Parties'!$E$8),0,MAX(0,MIN(S405,U405-AD405)))</f>
        <v/>
      </c>
      <c r="AF405">
        <f>IF(AND(P405="Creditor",X405=1,AE405&gt;0,Z405&lt;&gt;""),IF(Z405&lt;='Parties'!$E$8,AE405,0),0)</f>
        <v/>
      </c>
      <c r="AG405">
        <f>IF(OR(AE405=0,Z405=""),0,MAX(0,'Parties'!$E$8-Z405))</f>
        <v/>
      </c>
      <c r="AH405">
        <f>IF(AND(P405="Creditor",X405=1,AG405&gt;0),AE405*((1+3*N('Parties'!$E$10)/12)^(AG405*12/365)-1),0)</f>
        <v/>
      </c>
      <c r="AI405">
        <f>IF(AND(C405&lt;&gt;"",C405='Ledger Account'!$D$4,B405&lt;&gt;"",B405&gt;='Ledger Account'!$D$5,B405&lt;='Ledger Account'!$D$6),1,0)</f>
        <v/>
      </c>
      <c r="AJ405">
        <f>IF(AI405=1,SUM(AI$7:AI405),"")</f>
        <v/>
      </c>
      <c r="AK405">
        <f>IF(OR(N405="",N405="OK"),0,1)</f>
        <v/>
      </c>
    </row>
    <row r="406">
      <c r="B406" s="24" t="n"/>
      <c r="C406" s="14" t="n"/>
      <c r="D406" s="14" t="n"/>
      <c r="E406" s="20" t="n"/>
      <c r="F406" s="24" t="n"/>
      <c r="G406" s="14" t="n"/>
      <c r="H406" s="22" t="n"/>
      <c r="I406" s="25">
        <f>IF(Q406="D",N(H406),0)</f>
        <v/>
      </c>
      <c r="J406" s="25">
        <f>IF(Q406="C",N(H406),0)</f>
        <v/>
      </c>
      <c r="K406" s="26">
        <f>IF(Z406="","",Z406)</f>
        <v/>
      </c>
      <c r="L406" s="27">
        <f>W406</f>
        <v/>
      </c>
      <c r="M406" s="28">
        <f>AA406</f>
        <v/>
      </c>
      <c r="N406" s="23">
        <f>IF(AND(B406="",C406="",D406="",N(H406)=0),"",IF(B406="","Enter the date",IF(C406="","Pick the party",IF(P406="?","Add this party on the Parties sheet first",IF(D406="","Pick the entry type",IF(Q406="?","Pick the entry type from the list",IF(N(H406)=0,"Enter the amount",IF(AND(R406&lt;&gt;"Any",R406&lt;&gt;P406),"Sales, receipts and credit notes are for debtors; purchases, payments and debit notes for creditors",IF(AND(F406&lt;&gt;"",D406&lt;&gt;"Purchase bill"),"The received-on date is only for purchase bills",IF(AND(P406="Creditor",X406=1,AA406&gt;0),"Past due to a micro or small supplier: interest runs under MSMED s.16, and if unpaid at year end it is not deductible that year, s.37(2)(g)",IF(AND(P406="Debtor",X406=1,AA406&gt;0),"Past due to you: as a micro or small supplier you can claim interest under MSMED s.16","OK")))))))))))</f>
        <v/>
      </c>
      <c r="P406">
        <f>IF(C406="","",IFERROR(VLOOKUP(C406,'Parties'!$B$13:$Q$112,2,FALSE),"?"))</f>
        <v/>
      </c>
      <c r="Q406">
        <f>IF(D406="","",IFERROR(VLOOKUP(D406,Lists!$A$2:$D$9,3,FALSE),"?"))</f>
        <v/>
      </c>
      <c r="R406">
        <f>IF(D406="","",IFERROR(VLOOKUP(D406,Lists!$A$2:$D$9,4,FALSE),"?"))</f>
        <v/>
      </c>
      <c r="S406">
        <f>IF(P406="Debtor",I406,IF(P406="Creditor",J406,0))</f>
        <v/>
      </c>
      <c r="T406">
        <f>IF(P406="Debtor",J406,IF(P406="Creditor",I406,0))</f>
        <v/>
      </c>
      <c r="U406">
        <f>IF(OR(S406=0,B406=""),0,IFERROR(VLOOKUP(C406,'Parties'!$B$13:$Q$112,13,FALSE),0)+SUMIFS($S$7:$S$506,$C$7:$C$506,C406,$B$7:$B$506,"&lt;"&amp;B406)+SUMIFS(S$7:S406,C$7:C406,C406,B$7:B406,B406))</f>
        <v/>
      </c>
      <c r="V406">
        <f>IF(S406=0,0,IFERROR(VLOOKUP(C406,'Parties'!$B$13:$Q$112,14,FALSE),0)+SUMIFS($T$7:$T$506,$C$7:$C$506,C406,$B$7:$B$506,"&lt;="&amp;'Outstanding'!$E$5))</f>
        <v/>
      </c>
      <c r="W406">
        <f>IF(OR('Outstanding'!$E$5="",S406=0,B406="",B406&gt;'Outstanding'!$E$5),0,MAX(0,MIN(S406,U406-V406)))</f>
        <v/>
      </c>
      <c r="X406">
        <f>IF(C406="",0,IFERROR(VLOOKUP(C406,'Parties'!$B$13:$Q$112,15,FALSE),0))</f>
        <v/>
      </c>
      <c r="Y406">
        <f>IF(C406="","",IFERROR(VLOOKUP(C406,'Parties'!$B$13:$Q$112,16,FALSE),0))</f>
        <v/>
      </c>
      <c r="Z406">
        <f>IF(OR(S406=0,B406="",Y406=""),"",IF(AND(F406&lt;&gt;"",D406="Purchase bill"),F406,B406)+Y406)</f>
        <v/>
      </c>
      <c r="AA406">
        <f>IF(OR(W406=0,Z406=""),0,MAX(0,'Outstanding'!$E$5-Z406))</f>
        <v/>
      </c>
      <c r="AB406">
        <f>IF(AND(X406=1,AA406&gt;0),W406*((1+3*N('Parties'!$E$10)/12)^(AA406*12/365)-1),0)</f>
        <v/>
      </c>
      <c r="AC406">
        <f>IF(W406=0,"",'Outstanding'!$E$5-B406)</f>
        <v/>
      </c>
      <c r="AD406">
        <f>IF(S406=0,0,IFERROR(VLOOKUP(C406,'Parties'!$B$13:$Q$112,14,FALSE),0)+SUMIFS($T$7:$T$506,$C$7:$C$506,C406,$B$7:$B$506,"&lt;="&amp;'Parties'!$E$8))</f>
        <v/>
      </c>
      <c r="AE406">
        <f>IF(OR('Parties'!$E$8="",S406=0,B406="",B406&gt;'Parties'!$E$8),0,MAX(0,MIN(S406,U406-AD406)))</f>
        <v/>
      </c>
      <c r="AF406">
        <f>IF(AND(P406="Creditor",X406=1,AE406&gt;0,Z406&lt;&gt;""),IF(Z406&lt;='Parties'!$E$8,AE406,0),0)</f>
        <v/>
      </c>
      <c r="AG406">
        <f>IF(OR(AE406=0,Z406=""),0,MAX(0,'Parties'!$E$8-Z406))</f>
        <v/>
      </c>
      <c r="AH406">
        <f>IF(AND(P406="Creditor",X406=1,AG406&gt;0),AE406*((1+3*N('Parties'!$E$10)/12)^(AG406*12/365)-1),0)</f>
        <v/>
      </c>
      <c r="AI406">
        <f>IF(AND(C406&lt;&gt;"",C406='Ledger Account'!$D$4,B406&lt;&gt;"",B406&gt;='Ledger Account'!$D$5,B406&lt;='Ledger Account'!$D$6),1,0)</f>
        <v/>
      </c>
      <c r="AJ406">
        <f>IF(AI406=1,SUM(AI$7:AI406),"")</f>
        <v/>
      </c>
      <c r="AK406">
        <f>IF(OR(N406="",N406="OK"),0,1)</f>
        <v/>
      </c>
    </row>
    <row r="407">
      <c r="B407" s="24" t="n"/>
      <c r="C407" s="14" t="n"/>
      <c r="D407" s="14" t="n"/>
      <c r="E407" s="20" t="n"/>
      <c r="F407" s="24" t="n"/>
      <c r="G407" s="14" t="n"/>
      <c r="H407" s="22" t="n"/>
      <c r="I407" s="25">
        <f>IF(Q407="D",N(H407),0)</f>
        <v/>
      </c>
      <c r="J407" s="25">
        <f>IF(Q407="C",N(H407),0)</f>
        <v/>
      </c>
      <c r="K407" s="26">
        <f>IF(Z407="","",Z407)</f>
        <v/>
      </c>
      <c r="L407" s="27">
        <f>W407</f>
        <v/>
      </c>
      <c r="M407" s="28">
        <f>AA407</f>
        <v/>
      </c>
      <c r="N407" s="23">
        <f>IF(AND(B407="",C407="",D407="",N(H407)=0),"",IF(B407="","Enter the date",IF(C407="","Pick the party",IF(P407="?","Add this party on the Parties sheet first",IF(D407="","Pick the entry type",IF(Q407="?","Pick the entry type from the list",IF(N(H407)=0,"Enter the amount",IF(AND(R407&lt;&gt;"Any",R407&lt;&gt;P407),"Sales, receipts and credit notes are for debtors; purchases, payments and debit notes for creditors",IF(AND(F407&lt;&gt;"",D407&lt;&gt;"Purchase bill"),"The received-on date is only for purchase bills",IF(AND(P407="Creditor",X407=1,AA407&gt;0),"Past due to a micro or small supplier: interest runs under MSMED s.16, and if unpaid at year end it is not deductible that year, s.37(2)(g)",IF(AND(P407="Debtor",X407=1,AA407&gt;0),"Past due to you: as a micro or small supplier you can claim interest under MSMED s.16","OK")))))))))))</f>
        <v/>
      </c>
      <c r="P407">
        <f>IF(C407="","",IFERROR(VLOOKUP(C407,'Parties'!$B$13:$Q$112,2,FALSE),"?"))</f>
        <v/>
      </c>
      <c r="Q407">
        <f>IF(D407="","",IFERROR(VLOOKUP(D407,Lists!$A$2:$D$9,3,FALSE),"?"))</f>
        <v/>
      </c>
      <c r="R407">
        <f>IF(D407="","",IFERROR(VLOOKUP(D407,Lists!$A$2:$D$9,4,FALSE),"?"))</f>
        <v/>
      </c>
      <c r="S407">
        <f>IF(P407="Debtor",I407,IF(P407="Creditor",J407,0))</f>
        <v/>
      </c>
      <c r="T407">
        <f>IF(P407="Debtor",J407,IF(P407="Creditor",I407,0))</f>
        <v/>
      </c>
      <c r="U407">
        <f>IF(OR(S407=0,B407=""),0,IFERROR(VLOOKUP(C407,'Parties'!$B$13:$Q$112,13,FALSE),0)+SUMIFS($S$7:$S$506,$C$7:$C$506,C407,$B$7:$B$506,"&lt;"&amp;B407)+SUMIFS(S$7:S407,C$7:C407,C407,B$7:B407,B407))</f>
        <v/>
      </c>
      <c r="V407">
        <f>IF(S407=0,0,IFERROR(VLOOKUP(C407,'Parties'!$B$13:$Q$112,14,FALSE),0)+SUMIFS($T$7:$T$506,$C$7:$C$506,C407,$B$7:$B$506,"&lt;="&amp;'Outstanding'!$E$5))</f>
        <v/>
      </c>
      <c r="W407">
        <f>IF(OR('Outstanding'!$E$5="",S407=0,B407="",B407&gt;'Outstanding'!$E$5),0,MAX(0,MIN(S407,U407-V407)))</f>
        <v/>
      </c>
      <c r="X407">
        <f>IF(C407="",0,IFERROR(VLOOKUP(C407,'Parties'!$B$13:$Q$112,15,FALSE),0))</f>
        <v/>
      </c>
      <c r="Y407">
        <f>IF(C407="","",IFERROR(VLOOKUP(C407,'Parties'!$B$13:$Q$112,16,FALSE),0))</f>
        <v/>
      </c>
      <c r="Z407">
        <f>IF(OR(S407=0,B407="",Y407=""),"",IF(AND(F407&lt;&gt;"",D407="Purchase bill"),F407,B407)+Y407)</f>
        <v/>
      </c>
      <c r="AA407">
        <f>IF(OR(W407=0,Z407=""),0,MAX(0,'Outstanding'!$E$5-Z407))</f>
        <v/>
      </c>
      <c r="AB407">
        <f>IF(AND(X407=1,AA407&gt;0),W407*((1+3*N('Parties'!$E$10)/12)^(AA407*12/365)-1),0)</f>
        <v/>
      </c>
      <c r="AC407">
        <f>IF(W407=0,"",'Outstanding'!$E$5-B407)</f>
        <v/>
      </c>
      <c r="AD407">
        <f>IF(S407=0,0,IFERROR(VLOOKUP(C407,'Parties'!$B$13:$Q$112,14,FALSE),0)+SUMIFS($T$7:$T$506,$C$7:$C$506,C407,$B$7:$B$506,"&lt;="&amp;'Parties'!$E$8))</f>
        <v/>
      </c>
      <c r="AE407">
        <f>IF(OR('Parties'!$E$8="",S407=0,B407="",B407&gt;'Parties'!$E$8),0,MAX(0,MIN(S407,U407-AD407)))</f>
        <v/>
      </c>
      <c r="AF407">
        <f>IF(AND(P407="Creditor",X407=1,AE407&gt;0,Z407&lt;&gt;""),IF(Z407&lt;='Parties'!$E$8,AE407,0),0)</f>
        <v/>
      </c>
      <c r="AG407">
        <f>IF(OR(AE407=0,Z407=""),0,MAX(0,'Parties'!$E$8-Z407))</f>
        <v/>
      </c>
      <c r="AH407">
        <f>IF(AND(P407="Creditor",X407=1,AG407&gt;0),AE407*((1+3*N('Parties'!$E$10)/12)^(AG407*12/365)-1),0)</f>
        <v/>
      </c>
      <c r="AI407">
        <f>IF(AND(C407&lt;&gt;"",C407='Ledger Account'!$D$4,B407&lt;&gt;"",B407&gt;='Ledger Account'!$D$5,B407&lt;='Ledger Account'!$D$6),1,0)</f>
        <v/>
      </c>
      <c r="AJ407">
        <f>IF(AI407=1,SUM(AI$7:AI407),"")</f>
        <v/>
      </c>
      <c r="AK407">
        <f>IF(OR(N407="",N407="OK"),0,1)</f>
        <v/>
      </c>
    </row>
    <row r="408">
      <c r="B408" s="24" t="n"/>
      <c r="C408" s="14" t="n"/>
      <c r="D408" s="14" t="n"/>
      <c r="E408" s="20" t="n"/>
      <c r="F408" s="24" t="n"/>
      <c r="G408" s="14" t="n"/>
      <c r="H408" s="22" t="n"/>
      <c r="I408" s="25">
        <f>IF(Q408="D",N(H408),0)</f>
        <v/>
      </c>
      <c r="J408" s="25">
        <f>IF(Q408="C",N(H408),0)</f>
        <v/>
      </c>
      <c r="K408" s="26">
        <f>IF(Z408="","",Z408)</f>
        <v/>
      </c>
      <c r="L408" s="27">
        <f>W408</f>
        <v/>
      </c>
      <c r="M408" s="28">
        <f>AA408</f>
        <v/>
      </c>
      <c r="N408" s="23">
        <f>IF(AND(B408="",C408="",D408="",N(H408)=0),"",IF(B408="","Enter the date",IF(C408="","Pick the party",IF(P408="?","Add this party on the Parties sheet first",IF(D408="","Pick the entry type",IF(Q408="?","Pick the entry type from the list",IF(N(H408)=0,"Enter the amount",IF(AND(R408&lt;&gt;"Any",R408&lt;&gt;P408),"Sales, receipts and credit notes are for debtors; purchases, payments and debit notes for creditors",IF(AND(F408&lt;&gt;"",D408&lt;&gt;"Purchase bill"),"The received-on date is only for purchase bills",IF(AND(P408="Creditor",X408=1,AA408&gt;0),"Past due to a micro or small supplier: interest runs under MSMED s.16, and if unpaid at year end it is not deductible that year, s.37(2)(g)",IF(AND(P408="Debtor",X408=1,AA408&gt;0),"Past due to you: as a micro or small supplier you can claim interest under MSMED s.16","OK")))))))))))</f>
        <v/>
      </c>
      <c r="P408">
        <f>IF(C408="","",IFERROR(VLOOKUP(C408,'Parties'!$B$13:$Q$112,2,FALSE),"?"))</f>
        <v/>
      </c>
      <c r="Q408">
        <f>IF(D408="","",IFERROR(VLOOKUP(D408,Lists!$A$2:$D$9,3,FALSE),"?"))</f>
        <v/>
      </c>
      <c r="R408">
        <f>IF(D408="","",IFERROR(VLOOKUP(D408,Lists!$A$2:$D$9,4,FALSE),"?"))</f>
        <v/>
      </c>
      <c r="S408">
        <f>IF(P408="Debtor",I408,IF(P408="Creditor",J408,0))</f>
        <v/>
      </c>
      <c r="T408">
        <f>IF(P408="Debtor",J408,IF(P408="Creditor",I408,0))</f>
        <v/>
      </c>
      <c r="U408">
        <f>IF(OR(S408=0,B408=""),0,IFERROR(VLOOKUP(C408,'Parties'!$B$13:$Q$112,13,FALSE),0)+SUMIFS($S$7:$S$506,$C$7:$C$506,C408,$B$7:$B$506,"&lt;"&amp;B408)+SUMIFS(S$7:S408,C$7:C408,C408,B$7:B408,B408))</f>
        <v/>
      </c>
      <c r="V408">
        <f>IF(S408=0,0,IFERROR(VLOOKUP(C408,'Parties'!$B$13:$Q$112,14,FALSE),0)+SUMIFS($T$7:$T$506,$C$7:$C$506,C408,$B$7:$B$506,"&lt;="&amp;'Outstanding'!$E$5))</f>
        <v/>
      </c>
      <c r="W408">
        <f>IF(OR('Outstanding'!$E$5="",S408=0,B408="",B408&gt;'Outstanding'!$E$5),0,MAX(0,MIN(S408,U408-V408)))</f>
        <v/>
      </c>
      <c r="X408">
        <f>IF(C408="",0,IFERROR(VLOOKUP(C408,'Parties'!$B$13:$Q$112,15,FALSE),0))</f>
        <v/>
      </c>
      <c r="Y408">
        <f>IF(C408="","",IFERROR(VLOOKUP(C408,'Parties'!$B$13:$Q$112,16,FALSE),0))</f>
        <v/>
      </c>
      <c r="Z408">
        <f>IF(OR(S408=0,B408="",Y408=""),"",IF(AND(F408&lt;&gt;"",D408="Purchase bill"),F408,B408)+Y408)</f>
        <v/>
      </c>
      <c r="AA408">
        <f>IF(OR(W408=0,Z408=""),0,MAX(0,'Outstanding'!$E$5-Z408))</f>
        <v/>
      </c>
      <c r="AB408">
        <f>IF(AND(X408=1,AA408&gt;0),W408*((1+3*N('Parties'!$E$10)/12)^(AA408*12/365)-1),0)</f>
        <v/>
      </c>
      <c r="AC408">
        <f>IF(W408=0,"",'Outstanding'!$E$5-B408)</f>
        <v/>
      </c>
      <c r="AD408">
        <f>IF(S408=0,0,IFERROR(VLOOKUP(C408,'Parties'!$B$13:$Q$112,14,FALSE),0)+SUMIFS($T$7:$T$506,$C$7:$C$506,C408,$B$7:$B$506,"&lt;="&amp;'Parties'!$E$8))</f>
        <v/>
      </c>
      <c r="AE408">
        <f>IF(OR('Parties'!$E$8="",S408=0,B408="",B408&gt;'Parties'!$E$8),0,MAX(0,MIN(S408,U408-AD408)))</f>
        <v/>
      </c>
      <c r="AF408">
        <f>IF(AND(P408="Creditor",X408=1,AE408&gt;0,Z408&lt;&gt;""),IF(Z408&lt;='Parties'!$E$8,AE408,0),0)</f>
        <v/>
      </c>
      <c r="AG408">
        <f>IF(OR(AE408=0,Z408=""),0,MAX(0,'Parties'!$E$8-Z408))</f>
        <v/>
      </c>
      <c r="AH408">
        <f>IF(AND(P408="Creditor",X408=1,AG408&gt;0),AE408*((1+3*N('Parties'!$E$10)/12)^(AG408*12/365)-1),0)</f>
        <v/>
      </c>
      <c r="AI408">
        <f>IF(AND(C408&lt;&gt;"",C408='Ledger Account'!$D$4,B408&lt;&gt;"",B408&gt;='Ledger Account'!$D$5,B408&lt;='Ledger Account'!$D$6),1,0)</f>
        <v/>
      </c>
      <c r="AJ408">
        <f>IF(AI408=1,SUM(AI$7:AI408),"")</f>
        <v/>
      </c>
      <c r="AK408">
        <f>IF(OR(N408="",N408="OK"),0,1)</f>
        <v/>
      </c>
    </row>
    <row r="409">
      <c r="B409" s="24" t="n"/>
      <c r="C409" s="14" t="n"/>
      <c r="D409" s="14" t="n"/>
      <c r="E409" s="20" t="n"/>
      <c r="F409" s="24" t="n"/>
      <c r="G409" s="14" t="n"/>
      <c r="H409" s="22" t="n"/>
      <c r="I409" s="25">
        <f>IF(Q409="D",N(H409),0)</f>
        <v/>
      </c>
      <c r="J409" s="25">
        <f>IF(Q409="C",N(H409),0)</f>
        <v/>
      </c>
      <c r="K409" s="26">
        <f>IF(Z409="","",Z409)</f>
        <v/>
      </c>
      <c r="L409" s="27">
        <f>W409</f>
        <v/>
      </c>
      <c r="M409" s="28">
        <f>AA409</f>
        <v/>
      </c>
      <c r="N409" s="23">
        <f>IF(AND(B409="",C409="",D409="",N(H409)=0),"",IF(B409="","Enter the date",IF(C409="","Pick the party",IF(P409="?","Add this party on the Parties sheet first",IF(D409="","Pick the entry type",IF(Q409="?","Pick the entry type from the list",IF(N(H409)=0,"Enter the amount",IF(AND(R409&lt;&gt;"Any",R409&lt;&gt;P409),"Sales, receipts and credit notes are for debtors; purchases, payments and debit notes for creditors",IF(AND(F409&lt;&gt;"",D409&lt;&gt;"Purchase bill"),"The received-on date is only for purchase bills",IF(AND(P409="Creditor",X409=1,AA409&gt;0),"Past due to a micro or small supplier: interest runs under MSMED s.16, and if unpaid at year end it is not deductible that year, s.37(2)(g)",IF(AND(P409="Debtor",X409=1,AA409&gt;0),"Past due to you: as a micro or small supplier you can claim interest under MSMED s.16","OK")))))))))))</f>
        <v/>
      </c>
      <c r="P409">
        <f>IF(C409="","",IFERROR(VLOOKUP(C409,'Parties'!$B$13:$Q$112,2,FALSE),"?"))</f>
        <v/>
      </c>
      <c r="Q409">
        <f>IF(D409="","",IFERROR(VLOOKUP(D409,Lists!$A$2:$D$9,3,FALSE),"?"))</f>
        <v/>
      </c>
      <c r="R409">
        <f>IF(D409="","",IFERROR(VLOOKUP(D409,Lists!$A$2:$D$9,4,FALSE),"?"))</f>
        <v/>
      </c>
      <c r="S409">
        <f>IF(P409="Debtor",I409,IF(P409="Creditor",J409,0))</f>
        <v/>
      </c>
      <c r="T409">
        <f>IF(P409="Debtor",J409,IF(P409="Creditor",I409,0))</f>
        <v/>
      </c>
      <c r="U409">
        <f>IF(OR(S409=0,B409=""),0,IFERROR(VLOOKUP(C409,'Parties'!$B$13:$Q$112,13,FALSE),0)+SUMIFS($S$7:$S$506,$C$7:$C$506,C409,$B$7:$B$506,"&lt;"&amp;B409)+SUMIFS(S$7:S409,C$7:C409,C409,B$7:B409,B409))</f>
        <v/>
      </c>
      <c r="V409">
        <f>IF(S409=0,0,IFERROR(VLOOKUP(C409,'Parties'!$B$13:$Q$112,14,FALSE),0)+SUMIFS($T$7:$T$506,$C$7:$C$506,C409,$B$7:$B$506,"&lt;="&amp;'Outstanding'!$E$5))</f>
        <v/>
      </c>
      <c r="W409">
        <f>IF(OR('Outstanding'!$E$5="",S409=0,B409="",B409&gt;'Outstanding'!$E$5),0,MAX(0,MIN(S409,U409-V409)))</f>
        <v/>
      </c>
      <c r="X409">
        <f>IF(C409="",0,IFERROR(VLOOKUP(C409,'Parties'!$B$13:$Q$112,15,FALSE),0))</f>
        <v/>
      </c>
      <c r="Y409">
        <f>IF(C409="","",IFERROR(VLOOKUP(C409,'Parties'!$B$13:$Q$112,16,FALSE),0))</f>
        <v/>
      </c>
      <c r="Z409">
        <f>IF(OR(S409=0,B409="",Y409=""),"",IF(AND(F409&lt;&gt;"",D409="Purchase bill"),F409,B409)+Y409)</f>
        <v/>
      </c>
      <c r="AA409">
        <f>IF(OR(W409=0,Z409=""),0,MAX(0,'Outstanding'!$E$5-Z409))</f>
        <v/>
      </c>
      <c r="AB409">
        <f>IF(AND(X409=1,AA409&gt;0),W409*((1+3*N('Parties'!$E$10)/12)^(AA409*12/365)-1),0)</f>
        <v/>
      </c>
      <c r="AC409">
        <f>IF(W409=0,"",'Outstanding'!$E$5-B409)</f>
        <v/>
      </c>
      <c r="AD409">
        <f>IF(S409=0,0,IFERROR(VLOOKUP(C409,'Parties'!$B$13:$Q$112,14,FALSE),0)+SUMIFS($T$7:$T$506,$C$7:$C$506,C409,$B$7:$B$506,"&lt;="&amp;'Parties'!$E$8))</f>
        <v/>
      </c>
      <c r="AE409">
        <f>IF(OR('Parties'!$E$8="",S409=0,B409="",B409&gt;'Parties'!$E$8),0,MAX(0,MIN(S409,U409-AD409)))</f>
        <v/>
      </c>
      <c r="AF409">
        <f>IF(AND(P409="Creditor",X409=1,AE409&gt;0,Z409&lt;&gt;""),IF(Z409&lt;='Parties'!$E$8,AE409,0),0)</f>
        <v/>
      </c>
      <c r="AG409">
        <f>IF(OR(AE409=0,Z409=""),0,MAX(0,'Parties'!$E$8-Z409))</f>
        <v/>
      </c>
      <c r="AH409">
        <f>IF(AND(P409="Creditor",X409=1,AG409&gt;0),AE409*((1+3*N('Parties'!$E$10)/12)^(AG409*12/365)-1),0)</f>
        <v/>
      </c>
      <c r="AI409">
        <f>IF(AND(C409&lt;&gt;"",C409='Ledger Account'!$D$4,B409&lt;&gt;"",B409&gt;='Ledger Account'!$D$5,B409&lt;='Ledger Account'!$D$6),1,0)</f>
        <v/>
      </c>
      <c r="AJ409">
        <f>IF(AI409=1,SUM(AI$7:AI409),"")</f>
        <v/>
      </c>
      <c r="AK409">
        <f>IF(OR(N409="",N409="OK"),0,1)</f>
        <v/>
      </c>
    </row>
    <row r="410">
      <c r="B410" s="24" t="n"/>
      <c r="C410" s="14" t="n"/>
      <c r="D410" s="14" t="n"/>
      <c r="E410" s="20" t="n"/>
      <c r="F410" s="24" t="n"/>
      <c r="G410" s="14" t="n"/>
      <c r="H410" s="22" t="n"/>
      <c r="I410" s="25">
        <f>IF(Q410="D",N(H410),0)</f>
        <v/>
      </c>
      <c r="J410" s="25">
        <f>IF(Q410="C",N(H410),0)</f>
        <v/>
      </c>
      <c r="K410" s="26">
        <f>IF(Z410="","",Z410)</f>
        <v/>
      </c>
      <c r="L410" s="27">
        <f>W410</f>
        <v/>
      </c>
      <c r="M410" s="28">
        <f>AA410</f>
        <v/>
      </c>
      <c r="N410" s="23">
        <f>IF(AND(B410="",C410="",D410="",N(H410)=0),"",IF(B410="","Enter the date",IF(C410="","Pick the party",IF(P410="?","Add this party on the Parties sheet first",IF(D410="","Pick the entry type",IF(Q410="?","Pick the entry type from the list",IF(N(H410)=0,"Enter the amount",IF(AND(R410&lt;&gt;"Any",R410&lt;&gt;P410),"Sales, receipts and credit notes are for debtors; purchases, payments and debit notes for creditors",IF(AND(F410&lt;&gt;"",D410&lt;&gt;"Purchase bill"),"The received-on date is only for purchase bills",IF(AND(P410="Creditor",X410=1,AA410&gt;0),"Past due to a micro or small supplier: interest runs under MSMED s.16, and if unpaid at year end it is not deductible that year, s.37(2)(g)",IF(AND(P410="Debtor",X410=1,AA410&gt;0),"Past due to you: as a micro or small supplier you can claim interest under MSMED s.16","OK")))))))))))</f>
        <v/>
      </c>
      <c r="P410">
        <f>IF(C410="","",IFERROR(VLOOKUP(C410,'Parties'!$B$13:$Q$112,2,FALSE),"?"))</f>
        <v/>
      </c>
      <c r="Q410">
        <f>IF(D410="","",IFERROR(VLOOKUP(D410,Lists!$A$2:$D$9,3,FALSE),"?"))</f>
        <v/>
      </c>
      <c r="R410">
        <f>IF(D410="","",IFERROR(VLOOKUP(D410,Lists!$A$2:$D$9,4,FALSE),"?"))</f>
        <v/>
      </c>
      <c r="S410">
        <f>IF(P410="Debtor",I410,IF(P410="Creditor",J410,0))</f>
        <v/>
      </c>
      <c r="T410">
        <f>IF(P410="Debtor",J410,IF(P410="Creditor",I410,0))</f>
        <v/>
      </c>
      <c r="U410">
        <f>IF(OR(S410=0,B410=""),0,IFERROR(VLOOKUP(C410,'Parties'!$B$13:$Q$112,13,FALSE),0)+SUMIFS($S$7:$S$506,$C$7:$C$506,C410,$B$7:$B$506,"&lt;"&amp;B410)+SUMIFS(S$7:S410,C$7:C410,C410,B$7:B410,B410))</f>
        <v/>
      </c>
      <c r="V410">
        <f>IF(S410=0,0,IFERROR(VLOOKUP(C410,'Parties'!$B$13:$Q$112,14,FALSE),0)+SUMIFS($T$7:$T$506,$C$7:$C$506,C410,$B$7:$B$506,"&lt;="&amp;'Outstanding'!$E$5))</f>
        <v/>
      </c>
      <c r="W410">
        <f>IF(OR('Outstanding'!$E$5="",S410=0,B410="",B410&gt;'Outstanding'!$E$5),0,MAX(0,MIN(S410,U410-V410)))</f>
        <v/>
      </c>
      <c r="X410">
        <f>IF(C410="",0,IFERROR(VLOOKUP(C410,'Parties'!$B$13:$Q$112,15,FALSE),0))</f>
        <v/>
      </c>
      <c r="Y410">
        <f>IF(C410="","",IFERROR(VLOOKUP(C410,'Parties'!$B$13:$Q$112,16,FALSE),0))</f>
        <v/>
      </c>
      <c r="Z410">
        <f>IF(OR(S410=0,B410="",Y410=""),"",IF(AND(F410&lt;&gt;"",D410="Purchase bill"),F410,B410)+Y410)</f>
        <v/>
      </c>
      <c r="AA410">
        <f>IF(OR(W410=0,Z410=""),0,MAX(0,'Outstanding'!$E$5-Z410))</f>
        <v/>
      </c>
      <c r="AB410">
        <f>IF(AND(X410=1,AA410&gt;0),W410*((1+3*N('Parties'!$E$10)/12)^(AA410*12/365)-1),0)</f>
        <v/>
      </c>
      <c r="AC410">
        <f>IF(W410=0,"",'Outstanding'!$E$5-B410)</f>
        <v/>
      </c>
      <c r="AD410">
        <f>IF(S410=0,0,IFERROR(VLOOKUP(C410,'Parties'!$B$13:$Q$112,14,FALSE),0)+SUMIFS($T$7:$T$506,$C$7:$C$506,C410,$B$7:$B$506,"&lt;="&amp;'Parties'!$E$8))</f>
        <v/>
      </c>
      <c r="AE410">
        <f>IF(OR('Parties'!$E$8="",S410=0,B410="",B410&gt;'Parties'!$E$8),0,MAX(0,MIN(S410,U410-AD410)))</f>
        <v/>
      </c>
      <c r="AF410">
        <f>IF(AND(P410="Creditor",X410=1,AE410&gt;0,Z410&lt;&gt;""),IF(Z410&lt;='Parties'!$E$8,AE410,0),0)</f>
        <v/>
      </c>
      <c r="AG410">
        <f>IF(OR(AE410=0,Z410=""),0,MAX(0,'Parties'!$E$8-Z410))</f>
        <v/>
      </c>
      <c r="AH410">
        <f>IF(AND(P410="Creditor",X410=1,AG410&gt;0),AE410*((1+3*N('Parties'!$E$10)/12)^(AG410*12/365)-1),0)</f>
        <v/>
      </c>
      <c r="AI410">
        <f>IF(AND(C410&lt;&gt;"",C410='Ledger Account'!$D$4,B410&lt;&gt;"",B410&gt;='Ledger Account'!$D$5,B410&lt;='Ledger Account'!$D$6),1,0)</f>
        <v/>
      </c>
      <c r="AJ410">
        <f>IF(AI410=1,SUM(AI$7:AI410),"")</f>
        <v/>
      </c>
      <c r="AK410">
        <f>IF(OR(N410="",N410="OK"),0,1)</f>
        <v/>
      </c>
    </row>
    <row r="411">
      <c r="B411" s="24" t="n"/>
      <c r="C411" s="14" t="n"/>
      <c r="D411" s="14" t="n"/>
      <c r="E411" s="20" t="n"/>
      <c r="F411" s="24" t="n"/>
      <c r="G411" s="14" t="n"/>
      <c r="H411" s="22" t="n"/>
      <c r="I411" s="25">
        <f>IF(Q411="D",N(H411),0)</f>
        <v/>
      </c>
      <c r="J411" s="25">
        <f>IF(Q411="C",N(H411),0)</f>
        <v/>
      </c>
      <c r="K411" s="26">
        <f>IF(Z411="","",Z411)</f>
        <v/>
      </c>
      <c r="L411" s="27">
        <f>W411</f>
        <v/>
      </c>
      <c r="M411" s="28">
        <f>AA411</f>
        <v/>
      </c>
      <c r="N411" s="23">
        <f>IF(AND(B411="",C411="",D411="",N(H411)=0),"",IF(B411="","Enter the date",IF(C411="","Pick the party",IF(P411="?","Add this party on the Parties sheet first",IF(D411="","Pick the entry type",IF(Q411="?","Pick the entry type from the list",IF(N(H411)=0,"Enter the amount",IF(AND(R411&lt;&gt;"Any",R411&lt;&gt;P411),"Sales, receipts and credit notes are for debtors; purchases, payments and debit notes for creditors",IF(AND(F411&lt;&gt;"",D411&lt;&gt;"Purchase bill"),"The received-on date is only for purchase bills",IF(AND(P411="Creditor",X411=1,AA411&gt;0),"Past due to a micro or small supplier: interest runs under MSMED s.16, and if unpaid at year end it is not deductible that year, s.37(2)(g)",IF(AND(P411="Debtor",X411=1,AA411&gt;0),"Past due to you: as a micro or small supplier you can claim interest under MSMED s.16","OK")))))))))))</f>
        <v/>
      </c>
      <c r="P411">
        <f>IF(C411="","",IFERROR(VLOOKUP(C411,'Parties'!$B$13:$Q$112,2,FALSE),"?"))</f>
        <v/>
      </c>
      <c r="Q411">
        <f>IF(D411="","",IFERROR(VLOOKUP(D411,Lists!$A$2:$D$9,3,FALSE),"?"))</f>
        <v/>
      </c>
      <c r="R411">
        <f>IF(D411="","",IFERROR(VLOOKUP(D411,Lists!$A$2:$D$9,4,FALSE),"?"))</f>
        <v/>
      </c>
      <c r="S411">
        <f>IF(P411="Debtor",I411,IF(P411="Creditor",J411,0))</f>
        <v/>
      </c>
      <c r="T411">
        <f>IF(P411="Debtor",J411,IF(P411="Creditor",I411,0))</f>
        <v/>
      </c>
      <c r="U411">
        <f>IF(OR(S411=0,B411=""),0,IFERROR(VLOOKUP(C411,'Parties'!$B$13:$Q$112,13,FALSE),0)+SUMIFS($S$7:$S$506,$C$7:$C$506,C411,$B$7:$B$506,"&lt;"&amp;B411)+SUMIFS(S$7:S411,C$7:C411,C411,B$7:B411,B411))</f>
        <v/>
      </c>
      <c r="V411">
        <f>IF(S411=0,0,IFERROR(VLOOKUP(C411,'Parties'!$B$13:$Q$112,14,FALSE),0)+SUMIFS($T$7:$T$506,$C$7:$C$506,C411,$B$7:$B$506,"&lt;="&amp;'Outstanding'!$E$5))</f>
        <v/>
      </c>
      <c r="W411">
        <f>IF(OR('Outstanding'!$E$5="",S411=0,B411="",B411&gt;'Outstanding'!$E$5),0,MAX(0,MIN(S411,U411-V411)))</f>
        <v/>
      </c>
      <c r="X411">
        <f>IF(C411="",0,IFERROR(VLOOKUP(C411,'Parties'!$B$13:$Q$112,15,FALSE),0))</f>
        <v/>
      </c>
      <c r="Y411">
        <f>IF(C411="","",IFERROR(VLOOKUP(C411,'Parties'!$B$13:$Q$112,16,FALSE),0))</f>
        <v/>
      </c>
      <c r="Z411">
        <f>IF(OR(S411=0,B411="",Y411=""),"",IF(AND(F411&lt;&gt;"",D411="Purchase bill"),F411,B411)+Y411)</f>
        <v/>
      </c>
      <c r="AA411">
        <f>IF(OR(W411=0,Z411=""),0,MAX(0,'Outstanding'!$E$5-Z411))</f>
        <v/>
      </c>
      <c r="AB411">
        <f>IF(AND(X411=1,AA411&gt;0),W411*((1+3*N('Parties'!$E$10)/12)^(AA411*12/365)-1),0)</f>
        <v/>
      </c>
      <c r="AC411">
        <f>IF(W411=0,"",'Outstanding'!$E$5-B411)</f>
        <v/>
      </c>
      <c r="AD411">
        <f>IF(S411=0,0,IFERROR(VLOOKUP(C411,'Parties'!$B$13:$Q$112,14,FALSE),0)+SUMIFS($T$7:$T$506,$C$7:$C$506,C411,$B$7:$B$506,"&lt;="&amp;'Parties'!$E$8))</f>
        <v/>
      </c>
      <c r="AE411">
        <f>IF(OR('Parties'!$E$8="",S411=0,B411="",B411&gt;'Parties'!$E$8),0,MAX(0,MIN(S411,U411-AD411)))</f>
        <v/>
      </c>
      <c r="AF411">
        <f>IF(AND(P411="Creditor",X411=1,AE411&gt;0,Z411&lt;&gt;""),IF(Z411&lt;='Parties'!$E$8,AE411,0),0)</f>
        <v/>
      </c>
      <c r="AG411">
        <f>IF(OR(AE411=0,Z411=""),0,MAX(0,'Parties'!$E$8-Z411))</f>
        <v/>
      </c>
      <c r="AH411">
        <f>IF(AND(P411="Creditor",X411=1,AG411&gt;0),AE411*((1+3*N('Parties'!$E$10)/12)^(AG411*12/365)-1),0)</f>
        <v/>
      </c>
      <c r="AI411">
        <f>IF(AND(C411&lt;&gt;"",C411='Ledger Account'!$D$4,B411&lt;&gt;"",B411&gt;='Ledger Account'!$D$5,B411&lt;='Ledger Account'!$D$6),1,0)</f>
        <v/>
      </c>
      <c r="AJ411">
        <f>IF(AI411=1,SUM(AI$7:AI411),"")</f>
        <v/>
      </c>
      <c r="AK411">
        <f>IF(OR(N411="",N411="OK"),0,1)</f>
        <v/>
      </c>
    </row>
    <row r="412">
      <c r="B412" s="24" t="n"/>
      <c r="C412" s="14" t="n"/>
      <c r="D412" s="14" t="n"/>
      <c r="E412" s="20" t="n"/>
      <c r="F412" s="24" t="n"/>
      <c r="G412" s="14" t="n"/>
      <c r="H412" s="22" t="n"/>
      <c r="I412" s="25">
        <f>IF(Q412="D",N(H412),0)</f>
        <v/>
      </c>
      <c r="J412" s="25">
        <f>IF(Q412="C",N(H412),0)</f>
        <v/>
      </c>
      <c r="K412" s="26">
        <f>IF(Z412="","",Z412)</f>
        <v/>
      </c>
      <c r="L412" s="27">
        <f>W412</f>
        <v/>
      </c>
      <c r="M412" s="28">
        <f>AA412</f>
        <v/>
      </c>
      <c r="N412" s="23">
        <f>IF(AND(B412="",C412="",D412="",N(H412)=0),"",IF(B412="","Enter the date",IF(C412="","Pick the party",IF(P412="?","Add this party on the Parties sheet first",IF(D412="","Pick the entry type",IF(Q412="?","Pick the entry type from the list",IF(N(H412)=0,"Enter the amount",IF(AND(R412&lt;&gt;"Any",R412&lt;&gt;P412),"Sales, receipts and credit notes are for debtors; purchases, payments and debit notes for creditors",IF(AND(F412&lt;&gt;"",D412&lt;&gt;"Purchase bill"),"The received-on date is only for purchase bills",IF(AND(P412="Creditor",X412=1,AA412&gt;0),"Past due to a micro or small supplier: interest runs under MSMED s.16, and if unpaid at year end it is not deductible that year, s.37(2)(g)",IF(AND(P412="Debtor",X412=1,AA412&gt;0),"Past due to you: as a micro or small supplier you can claim interest under MSMED s.16","OK")))))))))))</f>
        <v/>
      </c>
      <c r="P412">
        <f>IF(C412="","",IFERROR(VLOOKUP(C412,'Parties'!$B$13:$Q$112,2,FALSE),"?"))</f>
        <v/>
      </c>
      <c r="Q412">
        <f>IF(D412="","",IFERROR(VLOOKUP(D412,Lists!$A$2:$D$9,3,FALSE),"?"))</f>
        <v/>
      </c>
      <c r="R412">
        <f>IF(D412="","",IFERROR(VLOOKUP(D412,Lists!$A$2:$D$9,4,FALSE),"?"))</f>
        <v/>
      </c>
      <c r="S412">
        <f>IF(P412="Debtor",I412,IF(P412="Creditor",J412,0))</f>
        <v/>
      </c>
      <c r="T412">
        <f>IF(P412="Debtor",J412,IF(P412="Creditor",I412,0))</f>
        <v/>
      </c>
      <c r="U412">
        <f>IF(OR(S412=0,B412=""),0,IFERROR(VLOOKUP(C412,'Parties'!$B$13:$Q$112,13,FALSE),0)+SUMIFS($S$7:$S$506,$C$7:$C$506,C412,$B$7:$B$506,"&lt;"&amp;B412)+SUMIFS(S$7:S412,C$7:C412,C412,B$7:B412,B412))</f>
        <v/>
      </c>
      <c r="V412">
        <f>IF(S412=0,0,IFERROR(VLOOKUP(C412,'Parties'!$B$13:$Q$112,14,FALSE),0)+SUMIFS($T$7:$T$506,$C$7:$C$506,C412,$B$7:$B$506,"&lt;="&amp;'Outstanding'!$E$5))</f>
        <v/>
      </c>
      <c r="W412">
        <f>IF(OR('Outstanding'!$E$5="",S412=0,B412="",B412&gt;'Outstanding'!$E$5),0,MAX(0,MIN(S412,U412-V412)))</f>
        <v/>
      </c>
      <c r="X412">
        <f>IF(C412="",0,IFERROR(VLOOKUP(C412,'Parties'!$B$13:$Q$112,15,FALSE),0))</f>
        <v/>
      </c>
      <c r="Y412">
        <f>IF(C412="","",IFERROR(VLOOKUP(C412,'Parties'!$B$13:$Q$112,16,FALSE),0))</f>
        <v/>
      </c>
      <c r="Z412">
        <f>IF(OR(S412=0,B412="",Y412=""),"",IF(AND(F412&lt;&gt;"",D412="Purchase bill"),F412,B412)+Y412)</f>
        <v/>
      </c>
      <c r="AA412">
        <f>IF(OR(W412=0,Z412=""),0,MAX(0,'Outstanding'!$E$5-Z412))</f>
        <v/>
      </c>
      <c r="AB412">
        <f>IF(AND(X412=1,AA412&gt;0),W412*((1+3*N('Parties'!$E$10)/12)^(AA412*12/365)-1),0)</f>
        <v/>
      </c>
      <c r="AC412">
        <f>IF(W412=0,"",'Outstanding'!$E$5-B412)</f>
        <v/>
      </c>
      <c r="AD412">
        <f>IF(S412=0,0,IFERROR(VLOOKUP(C412,'Parties'!$B$13:$Q$112,14,FALSE),0)+SUMIFS($T$7:$T$506,$C$7:$C$506,C412,$B$7:$B$506,"&lt;="&amp;'Parties'!$E$8))</f>
        <v/>
      </c>
      <c r="AE412">
        <f>IF(OR('Parties'!$E$8="",S412=0,B412="",B412&gt;'Parties'!$E$8),0,MAX(0,MIN(S412,U412-AD412)))</f>
        <v/>
      </c>
      <c r="AF412">
        <f>IF(AND(P412="Creditor",X412=1,AE412&gt;0,Z412&lt;&gt;""),IF(Z412&lt;='Parties'!$E$8,AE412,0),0)</f>
        <v/>
      </c>
      <c r="AG412">
        <f>IF(OR(AE412=0,Z412=""),0,MAX(0,'Parties'!$E$8-Z412))</f>
        <v/>
      </c>
      <c r="AH412">
        <f>IF(AND(P412="Creditor",X412=1,AG412&gt;0),AE412*((1+3*N('Parties'!$E$10)/12)^(AG412*12/365)-1),0)</f>
        <v/>
      </c>
      <c r="AI412">
        <f>IF(AND(C412&lt;&gt;"",C412='Ledger Account'!$D$4,B412&lt;&gt;"",B412&gt;='Ledger Account'!$D$5,B412&lt;='Ledger Account'!$D$6),1,0)</f>
        <v/>
      </c>
      <c r="AJ412">
        <f>IF(AI412=1,SUM(AI$7:AI412),"")</f>
        <v/>
      </c>
      <c r="AK412">
        <f>IF(OR(N412="",N412="OK"),0,1)</f>
        <v/>
      </c>
    </row>
    <row r="413">
      <c r="B413" s="24" t="n"/>
      <c r="C413" s="14" t="n"/>
      <c r="D413" s="14" t="n"/>
      <c r="E413" s="20" t="n"/>
      <c r="F413" s="24" t="n"/>
      <c r="G413" s="14" t="n"/>
      <c r="H413" s="22" t="n"/>
      <c r="I413" s="25">
        <f>IF(Q413="D",N(H413),0)</f>
        <v/>
      </c>
      <c r="J413" s="25">
        <f>IF(Q413="C",N(H413),0)</f>
        <v/>
      </c>
      <c r="K413" s="26">
        <f>IF(Z413="","",Z413)</f>
        <v/>
      </c>
      <c r="L413" s="27">
        <f>W413</f>
        <v/>
      </c>
      <c r="M413" s="28">
        <f>AA413</f>
        <v/>
      </c>
      <c r="N413" s="23">
        <f>IF(AND(B413="",C413="",D413="",N(H413)=0),"",IF(B413="","Enter the date",IF(C413="","Pick the party",IF(P413="?","Add this party on the Parties sheet first",IF(D413="","Pick the entry type",IF(Q413="?","Pick the entry type from the list",IF(N(H413)=0,"Enter the amount",IF(AND(R413&lt;&gt;"Any",R413&lt;&gt;P413),"Sales, receipts and credit notes are for debtors; purchases, payments and debit notes for creditors",IF(AND(F413&lt;&gt;"",D413&lt;&gt;"Purchase bill"),"The received-on date is only for purchase bills",IF(AND(P413="Creditor",X413=1,AA413&gt;0),"Past due to a micro or small supplier: interest runs under MSMED s.16, and if unpaid at year end it is not deductible that year, s.37(2)(g)",IF(AND(P413="Debtor",X413=1,AA413&gt;0),"Past due to you: as a micro or small supplier you can claim interest under MSMED s.16","OK")))))))))))</f>
        <v/>
      </c>
      <c r="P413">
        <f>IF(C413="","",IFERROR(VLOOKUP(C413,'Parties'!$B$13:$Q$112,2,FALSE),"?"))</f>
        <v/>
      </c>
      <c r="Q413">
        <f>IF(D413="","",IFERROR(VLOOKUP(D413,Lists!$A$2:$D$9,3,FALSE),"?"))</f>
        <v/>
      </c>
      <c r="R413">
        <f>IF(D413="","",IFERROR(VLOOKUP(D413,Lists!$A$2:$D$9,4,FALSE),"?"))</f>
        <v/>
      </c>
      <c r="S413">
        <f>IF(P413="Debtor",I413,IF(P413="Creditor",J413,0))</f>
        <v/>
      </c>
      <c r="T413">
        <f>IF(P413="Debtor",J413,IF(P413="Creditor",I413,0))</f>
        <v/>
      </c>
      <c r="U413">
        <f>IF(OR(S413=0,B413=""),0,IFERROR(VLOOKUP(C413,'Parties'!$B$13:$Q$112,13,FALSE),0)+SUMIFS($S$7:$S$506,$C$7:$C$506,C413,$B$7:$B$506,"&lt;"&amp;B413)+SUMIFS(S$7:S413,C$7:C413,C413,B$7:B413,B413))</f>
        <v/>
      </c>
      <c r="V413">
        <f>IF(S413=0,0,IFERROR(VLOOKUP(C413,'Parties'!$B$13:$Q$112,14,FALSE),0)+SUMIFS($T$7:$T$506,$C$7:$C$506,C413,$B$7:$B$506,"&lt;="&amp;'Outstanding'!$E$5))</f>
        <v/>
      </c>
      <c r="W413">
        <f>IF(OR('Outstanding'!$E$5="",S413=0,B413="",B413&gt;'Outstanding'!$E$5),0,MAX(0,MIN(S413,U413-V413)))</f>
        <v/>
      </c>
      <c r="X413">
        <f>IF(C413="",0,IFERROR(VLOOKUP(C413,'Parties'!$B$13:$Q$112,15,FALSE),0))</f>
        <v/>
      </c>
      <c r="Y413">
        <f>IF(C413="","",IFERROR(VLOOKUP(C413,'Parties'!$B$13:$Q$112,16,FALSE),0))</f>
        <v/>
      </c>
      <c r="Z413">
        <f>IF(OR(S413=0,B413="",Y413=""),"",IF(AND(F413&lt;&gt;"",D413="Purchase bill"),F413,B413)+Y413)</f>
        <v/>
      </c>
      <c r="AA413">
        <f>IF(OR(W413=0,Z413=""),0,MAX(0,'Outstanding'!$E$5-Z413))</f>
        <v/>
      </c>
      <c r="AB413">
        <f>IF(AND(X413=1,AA413&gt;0),W413*((1+3*N('Parties'!$E$10)/12)^(AA413*12/365)-1),0)</f>
        <v/>
      </c>
      <c r="AC413">
        <f>IF(W413=0,"",'Outstanding'!$E$5-B413)</f>
        <v/>
      </c>
      <c r="AD413">
        <f>IF(S413=0,0,IFERROR(VLOOKUP(C413,'Parties'!$B$13:$Q$112,14,FALSE),0)+SUMIFS($T$7:$T$506,$C$7:$C$506,C413,$B$7:$B$506,"&lt;="&amp;'Parties'!$E$8))</f>
        <v/>
      </c>
      <c r="AE413">
        <f>IF(OR('Parties'!$E$8="",S413=0,B413="",B413&gt;'Parties'!$E$8),0,MAX(0,MIN(S413,U413-AD413)))</f>
        <v/>
      </c>
      <c r="AF413">
        <f>IF(AND(P413="Creditor",X413=1,AE413&gt;0,Z413&lt;&gt;""),IF(Z413&lt;='Parties'!$E$8,AE413,0),0)</f>
        <v/>
      </c>
      <c r="AG413">
        <f>IF(OR(AE413=0,Z413=""),0,MAX(0,'Parties'!$E$8-Z413))</f>
        <v/>
      </c>
      <c r="AH413">
        <f>IF(AND(P413="Creditor",X413=1,AG413&gt;0),AE413*((1+3*N('Parties'!$E$10)/12)^(AG413*12/365)-1),0)</f>
        <v/>
      </c>
      <c r="AI413">
        <f>IF(AND(C413&lt;&gt;"",C413='Ledger Account'!$D$4,B413&lt;&gt;"",B413&gt;='Ledger Account'!$D$5,B413&lt;='Ledger Account'!$D$6),1,0)</f>
        <v/>
      </c>
      <c r="AJ413">
        <f>IF(AI413=1,SUM(AI$7:AI413),"")</f>
        <v/>
      </c>
      <c r="AK413">
        <f>IF(OR(N413="",N413="OK"),0,1)</f>
        <v/>
      </c>
    </row>
    <row r="414">
      <c r="B414" s="24" t="n"/>
      <c r="C414" s="14" t="n"/>
      <c r="D414" s="14" t="n"/>
      <c r="E414" s="20" t="n"/>
      <c r="F414" s="24" t="n"/>
      <c r="G414" s="14" t="n"/>
      <c r="H414" s="22" t="n"/>
      <c r="I414" s="25">
        <f>IF(Q414="D",N(H414),0)</f>
        <v/>
      </c>
      <c r="J414" s="25">
        <f>IF(Q414="C",N(H414),0)</f>
        <v/>
      </c>
      <c r="K414" s="26">
        <f>IF(Z414="","",Z414)</f>
        <v/>
      </c>
      <c r="L414" s="27">
        <f>W414</f>
        <v/>
      </c>
      <c r="M414" s="28">
        <f>AA414</f>
        <v/>
      </c>
      <c r="N414" s="23">
        <f>IF(AND(B414="",C414="",D414="",N(H414)=0),"",IF(B414="","Enter the date",IF(C414="","Pick the party",IF(P414="?","Add this party on the Parties sheet first",IF(D414="","Pick the entry type",IF(Q414="?","Pick the entry type from the list",IF(N(H414)=0,"Enter the amount",IF(AND(R414&lt;&gt;"Any",R414&lt;&gt;P414),"Sales, receipts and credit notes are for debtors; purchases, payments and debit notes for creditors",IF(AND(F414&lt;&gt;"",D414&lt;&gt;"Purchase bill"),"The received-on date is only for purchase bills",IF(AND(P414="Creditor",X414=1,AA414&gt;0),"Past due to a micro or small supplier: interest runs under MSMED s.16, and if unpaid at year end it is not deductible that year, s.37(2)(g)",IF(AND(P414="Debtor",X414=1,AA414&gt;0),"Past due to you: as a micro or small supplier you can claim interest under MSMED s.16","OK")))))))))))</f>
        <v/>
      </c>
      <c r="P414">
        <f>IF(C414="","",IFERROR(VLOOKUP(C414,'Parties'!$B$13:$Q$112,2,FALSE),"?"))</f>
        <v/>
      </c>
      <c r="Q414">
        <f>IF(D414="","",IFERROR(VLOOKUP(D414,Lists!$A$2:$D$9,3,FALSE),"?"))</f>
        <v/>
      </c>
      <c r="R414">
        <f>IF(D414="","",IFERROR(VLOOKUP(D414,Lists!$A$2:$D$9,4,FALSE),"?"))</f>
        <v/>
      </c>
      <c r="S414">
        <f>IF(P414="Debtor",I414,IF(P414="Creditor",J414,0))</f>
        <v/>
      </c>
      <c r="T414">
        <f>IF(P414="Debtor",J414,IF(P414="Creditor",I414,0))</f>
        <v/>
      </c>
      <c r="U414">
        <f>IF(OR(S414=0,B414=""),0,IFERROR(VLOOKUP(C414,'Parties'!$B$13:$Q$112,13,FALSE),0)+SUMIFS($S$7:$S$506,$C$7:$C$506,C414,$B$7:$B$506,"&lt;"&amp;B414)+SUMIFS(S$7:S414,C$7:C414,C414,B$7:B414,B414))</f>
        <v/>
      </c>
      <c r="V414">
        <f>IF(S414=0,0,IFERROR(VLOOKUP(C414,'Parties'!$B$13:$Q$112,14,FALSE),0)+SUMIFS($T$7:$T$506,$C$7:$C$506,C414,$B$7:$B$506,"&lt;="&amp;'Outstanding'!$E$5))</f>
        <v/>
      </c>
      <c r="W414">
        <f>IF(OR('Outstanding'!$E$5="",S414=0,B414="",B414&gt;'Outstanding'!$E$5),0,MAX(0,MIN(S414,U414-V414)))</f>
        <v/>
      </c>
      <c r="X414">
        <f>IF(C414="",0,IFERROR(VLOOKUP(C414,'Parties'!$B$13:$Q$112,15,FALSE),0))</f>
        <v/>
      </c>
      <c r="Y414">
        <f>IF(C414="","",IFERROR(VLOOKUP(C414,'Parties'!$B$13:$Q$112,16,FALSE),0))</f>
        <v/>
      </c>
      <c r="Z414">
        <f>IF(OR(S414=0,B414="",Y414=""),"",IF(AND(F414&lt;&gt;"",D414="Purchase bill"),F414,B414)+Y414)</f>
        <v/>
      </c>
      <c r="AA414">
        <f>IF(OR(W414=0,Z414=""),0,MAX(0,'Outstanding'!$E$5-Z414))</f>
        <v/>
      </c>
      <c r="AB414">
        <f>IF(AND(X414=1,AA414&gt;0),W414*((1+3*N('Parties'!$E$10)/12)^(AA414*12/365)-1),0)</f>
        <v/>
      </c>
      <c r="AC414">
        <f>IF(W414=0,"",'Outstanding'!$E$5-B414)</f>
        <v/>
      </c>
      <c r="AD414">
        <f>IF(S414=0,0,IFERROR(VLOOKUP(C414,'Parties'!$B$13:$Q$112,14,FALSE),0)+SUMIFS($T$7:$T$506,$C$7:$C$506,C414,$B$7:$B$506,"&lt;="&amp;'Parties'!$E$8))</f>
        <v/>
      </c>
      <c r="AE414">
        <f>IF(OR('Parties'!$E$8="",S414=0,B414="",B414&gt;'Parties'!$E$8),0,MAX(0,MIN(S414,U414-AD414)))</f>
        <v/>
      </c>
      <c r="AF414">
        <f>IF(AND(P414="Creditor",X414=1,AE414&gt;0,Z414&lt;&gt;""),IF(Z414&lt;='Parties'!$E$8,AE414,0),0)</f>
        <v/>
      </c>
      <c r="AG414">
        <f>IF(OR(AE414=0,Z414=""),0,MAX(0,'Parties'!$E$8-Z414))</f>
        <v/>
      </c>
      <c r="AH414">
        <f>IF(AND(P414="Creditor",X414=1,AG414&gt;0),AE414*((1+3*N('Parties'!$E$10)/12)^(AG414*12/365)-1),0)</f>
        <v/>
      </c>
      <c r="AI414">
        <f>IF(AND(C414&lt;&gt;"",C414='Ledger Account'!$D$4,B414&lt;&gt;"",B414&gt;='Ledger Account'!$D$5,B414&lt;='Ledger Account'!$D$6),1,0)</f>
        <v/>
      </c>
      <c r="AJ414">
        <f>IF(AI414=1,SUM(AI$7:AI414),"")</f>
        <v/>
      </c>
      <c r="AK414">
        <f>IF(OR(N414="",N414="OK"),0,1)</f>
        <v/>
      </c>
    </row>
    <row r="415">
      <c r="B415" s="24" t="n"/>
      <c r="C415" s="14" t="n"/>
      <c r="D415" s="14" t="n"/>
      <c r="E415" s="20" t="n"/>
      <c r="F415" s="24" t="n"/>
      <c r="G415" s="14" t="n"/>
      <c r="H415" s="22" t="n"/>
      <c r="I415" s="25">
        <f>IF(Q415="D",N(H415),0)</f>
        <v/>
      </c>
      <c r="J415" s="25">
        <f>IF(Q415="C",N(H415),0)</f>
        <v/>
      </c>
      <c r="K415" s="26">
        <f>IF(Z415="","",Z415)</f>
        <v/>
      </c>
      <c r="L415" s="27">
        <f>W415</f>
        <v/>
      </c>
      <c r="M415" s="28">
        <f>AA415</f>
        <v/>
      </c>
      <c r="N415" s="23">
        <f>IF(AND(B415="",C415="",D415="",N(H415)=0),"",IF(B415="","Enter the date",IF(C415="","Pick the party",IF(P415="?","Add this party on the Parties sheet first",IF(D415="","Pick the entry type",IF(Q415="?","Pick the entry type from the list",IF(N(H415)=0,"Enter the amount",IF(AND(R415&lt;&gt;"Any",R415&lt;&gt;P415),"Sales, receipts and credit notes are for debtors; purchases, payments and debit notes for creditors",IF(AND(F415&lt;&gt;"",D415&lt;&gt;"Purchase bill"),"The received-on date is only for purchase bills",IF(AND(P415="Creditor",X415=1,AA415&gt;0),"Past due to a micro or small supplier: interest runs under MSMED s.16, and if unpaid at year end it is not deductible that year, s.37(2)(g)",IF(AND(P415="Debtor",X415=1,AA415&gt;0),"Past due to you: as a micro or small supplier you can claim interest under MSMED s.16","OK")))))))))))</f>
        <v/>
      </c>
      <c r="P415">
        <f>IF(C415="","",IFERROR(VLOOKUP(C415,'Parties'!$B$13:$Q$112,2,FALSE),"?"))</f>
        <v/>
      </c>
      <c r="Q415">
        <f>IF(D415="","",IFERROR(VLOOKUP(D415,Lists!$A$2:$D$9,3,FALSE),"?"))</f>
        <v/>
      </c>
      <c r="R415">
        <f>IF(D415="","",IFERROR(VLOOKUP(D415,Lists!$A$2:$D$9,4,FALSE),"?"))</f>
        <v/>
      </c>
      <c r="S415">
        <f>IF(P415="Debtor",I415,IF(P415="Creditor",J415,0))</f>
        <v/>
      </c>
      <c r="T415">
        <f>IF(P415="Debtor",J415,IF(P415="Creditor",I415,0))</f>
        <v/>
      </c>
      <c r="U415">
        <f>IF(OR(S415=0,B415=""),0,IFERROR(VLOOKUP(C415,'Parties'!$B$13:$Q$112,13,FALSE),0)+SUMIFS($S$7:$S$506,$C$7:$C$506,C415,$B$7:$B$506,"&lt;"&amp;B415)+SUMIFS(S$7:S415,C$7:C415,C415,B$7:B415,B415))</f>
        <v/>
      </c>
      <c r="V415">
        <f>IF(S415=0,0,IFERROR(VLOOKUP(C415,'Parties'!$B$13:$Q$112,14,FALSE),0)+SUMIFS($T$7:$T$506,$C$7:$C$506,C415,$B$7:$B$506,"&lt;="&amp;'Outstanding'!$E$5))</f>
        <v/>
      </c>
      <c r="W415">
        <f>IF(OR('Outstanding'!$E$5="",S415=0,B415="",B415&gt;'Outstanding'!$E$5),0,MAX(0,MIN(S415,U415-V415)))</f>
        <v/>
      </c>
      <c r="X415">
        <f>IF(C415="",0,IFERROR(VLOOKUP(C415,'Parties'!$B$13:$Q$112,15,FALSE),0))</f>
        <v/>
      </c>
      <c r="Y415">
        <f>IF(C415="","",IFERROR(VLOOKUP(C415,'Parties'!$B$13:$Q$112,16,FALSE),0))</f>
        <v/>
      </c>
      <c r="Z415">
        <f>IF(OR(S415=0,B415="",Y415=""),"",IF(AND(F415&lt;&gt;"",D415="Purchase bill"),F415,B415)+Y415)</f>
        <v/>
      </c>
      <c r="AA415">
        <f>IF(OR(W415=0,Z415=""),0,MAX(0,'Outstanding'!$E$5-Z415))</f>
        <v/>
      </c>
      <c r="AB415">
        <f>IF(AND(X415=1,AA415&gt;0),W415*((1+3*N('Parties'!$E$10)/12)^(AA415*12/365)-1),0)</f>
        <v/>
      </c>
      <c r="AC415">
        <f>IF(W415=0,"",'Outstanding'!$E$5-B415)</f>
        <v/>
      </c>
      <c r="AD415">
        <f>IF(S415=0,0,IFERROR(VLOOKUP(C415,'Parties'!$B$13:$Q$112,14,FALSE),0)+SUMIFS($T$7:$T$506,$C$7:$C$506,C415,$B$7:$B$506,"&lt;="&amp;'Parties'!$E$8))</f>
        <v/>
      </c>
      <c r="AE415">
        <f>IF(OR('Parties'!$E$8="",S415=0,B415="",B415&gt;'Parties'!$E$8),0,MAX(0,MIN(S415,U415-AD415)))</f>
        <v/>
      </c>
      <c r="AF415">
        <f>IF(AND(P415="Creditor",X415=1,AE415&gt;0,Z415&lt;&gt;""),IF(Z415&lt;='Parties'!$E$8,AE415,0),0)</f>
        <v/>
      </c>
      <c r="AG415">
        <f>IF(OR(AE415=0,Z415=""),0,MAX(0,'Parties'!$E$8-Z415))</f>
        <v/>
      </c>
      <c r="AH415">
        <f>IF(AND(P415="Creditor",X415=1,AG415&gt;0),AE415*((1+3*N('Parties'!$E$10)/12)^(AG415*12/365)-1),0)</f>
        <v/>
      </c>
      <c r="AI415">
        <f>IF(AND(C415&lt;&gt;"",C415='Ledger Account'!$D$4,B415&lt;&gt;"",B415&gt;='Ledger Account'!$D$5,B415&lt;='Ledger Account'!$D$6),1,0)</f>
        <v/>
      </c>
      <c r="AJ415">
        <f>IF(AI415=1,SUM(AI$7:AI415),"")</f>
        <v/>
      </c>
      <c r="AK415">
        <f>IF(OR(N415="",N415="OK"),0,1)</f>
        <v/>
      </c>
    </row>
    <row r="416">
      <c r="B416" s="24" t="n"/>
      <c r="C416" s="14" t="n"/>
      <c r="D416" s="14" t="n"/>
      <c r="E416" s="20" t="n"/>
      <c r="F416" s="24" t="n"/>
      <c r="G416" s="14" t="n"/>
      <c r="H416" s="22" t="n"/>
      <c r="I416" s="25">
        <f>IF(Q416="D",N(H416),0)</f>
        <v/>
      </c>
      <c r="J416" s="25">
        <f>IF(Q416="C",N(H416),0)</f>
        <v/>
      </c>
      <c r="K416" s="26">
        <f>IF(Z416="","",Z416)</f>
        <v/>
      </c>
      <c r="L416" s="27">
        <f>W416</f>
        <v/>
      </c>
      <c r="M416" s="28">
        <f>AA416</f>
        <v/>
      </c>
      <c r="N416" s="23">
        <f>IF(AND(B416="",C416="",D416="",N(H416)=0),"",IF(B416="","Enter the date",IF(C416="","Pick the party",IF(P416="?","Add this party on the Parties sheet first",IF(D416="","Pick the entry type",IF(Q416="?","Pick the entry type from the list",IF(N(H416)=0,"Enter the amount",IF(AND(R416&lt;&gt;"Any",R416&lt;&gt;P416),"Sales, receipts and credit notes are for debtors; purchases, payments and debit notes for creditors",IF(AND(F416&lt;&gt;"",D416&lt;&gt;"Purchase bill"),"The received-on date is only for purchase bills",IF(AND(P416="Creditor",X416=1,AA416&gt;0),"Past due to a micro or small supplier: interest runs under MSMED s.16, and if unpaid at year end it is not deductible that year, s.37(2)(g)",IF(AND(P416="Debtor",X416=1,AA416&gt;0),"Past due to you: as a micro or small supplier you can claim interest under MSMED s.16","OK")))))))))))</f>
        <v/>
      </c>
      <c r="P416">
        <f>IF(C416="","",IFERROR(VLOOKUP(C416,'Parties'!$B$13:$Q$112,2,FALSE),"?"))</f>
        <v/>
      </c>
      <c r="Q416">
        <f>IF(D416="","",IFERROR(VLOOKUP(D416,Lists!$A$2:$D$9,3,FALSE),"?"))</f>
        <v/>
      </c>
      <c r="R416">
        <f>IF(D416="","",IFERROR(VLOOKUP(D416,Lists!$A$2:$D$9,4,FALSE),"?"))</f>
        <v/>
      </c>
      <c r="S416">
        <f>IF(P416="Debtor",I416,IF(P416="Creditor",J416,0))</f>
        <v/>
      </c>
      <c r="T416">
        <f>IF(P416="Debtor",J416,IF(P416="Creditor",I416,0))</f>
        <v/>
      </c>
      <c r="U416">
        <f>IF(OR(S416=0,B416=""),0,IFERROR(VLOOKUP(C416,'Parties'!$B$13:$Q$112,13,FALSE),0)+SUMIFS($S$7:$S$506,$C$7:$C$506,C416,$B$7:$B$506,"&lt;"&amp;B416)+SUMIFS(S$7:S416,C$7:C416,C416,B$7:B416,B416))</f>
        <v/>
      </c>
      <c r="V416">
        <f>IF(S416=0,0,IFERROR(VLOOKUP(C416,'Parties'!$B$13:$Q$112,14,FALSE),0)+SUMIFS($T$7:$T$506,$C$7:$C$506,C416,$B$7:$B$506,"&lt;="&amp;'Outstanding'!$E$5))</f>
        <v/>
      </c>
      <c r="W416">
        <f>IF(OR('Outstanding'!$E$5="",S416=0,B416="",B416&gt;'Outstanding'!$E$5),0,MAX(0,MIN(S416,U416-V416)))</f>
        <v/>
      </c>
      <c r="X416">
        <f>IF(C416="",0,IFERROR(VLOOKUP(C416,'Parties'!$B$13:$Q$112,15,FALSE),0))</f>
        <v/>
      </c>
      <c r="Y416">
        <f>IF(C416="","",IFERROR(VLOOKUP(C416,'Parties'!$B$13:$Q$112,16,FALSE),0))</f>
        <v/>
      </c>
      <c r="Z416">
        <f>IF(OR(S416=0,B416="",Y416=""),"",IF(AND(F416&lt;&gt;"",D416="Purchase bill"),F416,B416)+Y416)</f>
        <v/>
      </c>
      <c r="AA416">
        <f>IF(OR(W416=0,Z416=""),0,MAX(0,'Outstanding'!$E$5-Z416))</f>
        <v/>
      </c>
      <c r="AB416">
        <f>IF(AND(X416=1,AA416&gt;0),W416*((1+3*N('Parties'!$E$10)/12)^(AA416*12/365)-1),0)</f>
        <v/>
      </c>
      <c r="AC416">
        <f>IF(W416=0,"",'Outstanding'!$E$5-B416)</f>
        <v/>
      </c>
      <c r="AD416">
        <f>IF(S416=0,0,IFERROR(VLOOKUP(C416,'Parties'!$B$13:$Q$112,14,FALSE),0)+SUMIFS($T$7:$T$506,$C$7:$C$506,C416,$B$7:$B$506,"&lt;="&amp;'Parties'!$E$8))</f>
        <v/>
      </c>
      <c r="AE416">
        <f>IF(OR('Parties'!$E$8="",S416=0,B416="",B416&gt;'Parties'!$E$8),0,MAX(0,MIN(S416,U416-AD416)))</f>
        <v/>
      </c>
      <c r="AF416">
        <f>IF(AND(P416="Creditor",X416=1,AE416&gt;0,Z416&lt;&gt;""),IF(Z416&lt;='Parties'!$E$8,AE416,0),0)</f>
        <v/>
      </c>
      <c r="AG416">
        <f>IF(OR(AE416=0,Z416=""),0,MAX(0,'Parties'!$E$8-Z416))</f>
        <v/>
      </c>
      <c r="AH416">
        <f>IF(AND(P416="Creditor",X416=1,AG416&gt;0),AE416*((1+3*N('Parties'!$E$10)/12)^(AG416*12/365)-1),0)</f>
        <v/>
      </c>
      <c r="AI416">
        <f>IF(AND(C416&lt;&gt;"",C416='Ledger Account'!$D$4,B416&lt;&gt;"",B416&gt;='Ledger Account'!$D$5,B416&lt;='Ledger Account'!$D$6),1,0)</f>
        <v/>
      </c>
      <c r="AJ416">
        <f>IF(AI416=1,SUM(AI$7:AI416),"")</f>
        <v/>
      </c>
      <c r="AK416">
        <f>IF(OR(N416="",N416="OK"),0,1)</f>
        <v/>
      </c>
    </row>
    <row r="417">
      <c r="B417" s="24" t="n"/>
      <c r="C417" s="14" t="n"/>
      <c r="D417" s="14" t="n"/>
      <c r="E417" s="20" t="n"/>
      <c r="F417" s="24" t="n"/>
      <c r="G417" s="14" t="n"/>
      <c r="H417" s="22" t="n"/>
      <c r="I417" s="25">
        <f>IF(Q417="D",N(H417),0)</f>
        <v/>
      </c>
      <c r="J417" s="25">
        <f>IF(Q417="C",N(H417),0)</f>
        <v/>
      </c>
      <c r="K417" s="26">
        <f>IF(Z417="","",Z417)</f>
        <v/>
      </c>
      <c r="L417" s="27">
        <f>W417</f>
        <v/>
      </c>
      <c r="M417" s="28">
        <f>AA417</f>
        <v/>
      </c>
      <c r="N417" s="23">
        <f>IF(AND(B417="",C417="",D417="",N(H417)=0),"",IF(B417="","Enter the date",IF(C417="","Pick the party",IF(P417="?","Add this party on the Parties sheet first",IF(D417="","Pick the entry type",IF(Q417="?","Pick the entry type from the list",IF(N(H417)=0,"Enter the amount",IF(AND(R417&lt;&gt;"Any",R417&lt;&gt;P417),"Sales, receipts and credit notes are for debtors; purchases, payments and debit notes for creditors",IF(AND(F417&lt;&gt;"",D417&lt;&gt;"Purchase bill"),"The received-on date is only for purchase bills",IF(AND(P417="Creditor",X417=1,AA417&gt;0),"Past due to a micro or small supplier: interest runs under MSMED s.16, and if unpaid at year end it is not deductible that year, s.37(2)(g)",IF(AND(P417="Debtor",X417=1,AA417&gt;0),"Past due to you: as a micro or small supplier you can claim interest under MSMED s.16","OK")))))))))))</f>
        <v/>
      </c>
      <c r="P417">
        <f>IF(C417="","",IFERROR(VLOOKUP(C417,'Parties'!$B$13:$Q$112,2,FALSE),"?"))</f>
        <v/>
      </c>
      <c r="Q417">
        <f>IF(D417="","",IFERROR(VLOOKUP(D417,Lists!$A$2:$D$9,3,FALSE),"?"))</f>
        <v/>
      </c>
      <c r="R417">
        <f>IF(D417="","",IFERROR(VLOOKUP(D417,Lists!$A$2:$D$9,4,FALSE),"?"))</f>
        <v/>
      </c>
      <c r="S417">
        <f>IF(P417="Debtor",I417,IF(P417="Creditor",J417,0))</f>
        <v/>
      </c>
      <c r="T417">
        <f>IF(P417="Debtor",J417,IF(P417="Creditor",I417,0))</f>
        <v/>
      </c>
      <c r="U417">
        <f>IF(OR(S417=0,B417=""),0,IFERROR(VLOOKUP(C417,'Parties'!$B$13:$Q$112,13,FALSE),0)+SUMIFS($S$7:$S$506,$C$7:$C$506,C417,$B$7:$B$506,"&lt;"&amp;B417)+SUMIFS(S$7:S417,C$7:C417,C417,B$7:B417,B417))</f>
        <v/>
      </c>
      <c r="V417">
        <f>IF(S417=0,0,IFERROR(VLOOKUP(C417,'Parties'!$B$13:$Q$112,14,FALSE),0)+SUMIFS($T$7:$T$506,$C$7:$C$506,C417,$B$7:$B$506,"&lt;="&amp;'Outstanding'!$E$5))</f>
        <v/>
      </c>
      <c r="W417">
        <f>IF(OR('Outstanding'!$E$5="",S417=0,B417="",B417&gt;'Outstanding'!$E$5),0,MAX(0,MIN(S417,U417-V417)))</f>
        <v/>
      </c>
      <c r="X417">
        <f>IF(C417="",0,IFERROR(VLOOKUP(C417,'Parties'!$B$13:$Q$112,15,FALSE),0))</f>
        <v/>
      </c>
      <c r="Y417">
        <f>IF(C417="","",IFERROR(VLOOKUP(C417,'Parties'!$B$13:$Q$112,16,FALSE),0))</f>
        <v/>
      </c>
      <c r="Z417">
        <f>IF(OR(S417=0,B417="",Y417=""),"",IF(AND(F417&lt;&gt;"",D417="Purchase bill"),F417,B417)+Y417)</f>
        <v/>
      </c>
      <c r="AA417">
        <f>IF(OR(W417=0,Z417=""),0,MAX(0,'Outstanding'!$E$5-Z417))</f>
        <v/>
      </c>
      <c r="AB417">
        <f>IF(AND(X417=1,AA417&gt;0),W417*((1+3*N('Parties'!$E$10)/12)^(AA417*12/365)-1),0)</f>
        <v/>
      </c>
      <c r="AC417">
        <f>IF(W417=0,"",'Outstanding'!$E$5-B417)</f>
        <v/>
      </c>
      <c r="AD417">
        <f>IF(S417=0,0,IFERROR(VLOOKUP(C417,'Parties'!$B$13:$Q$112,14,FALSE),0)+SUMIFS($T$7:$T$506,$C$7:$C$506,C417,$B$7:$B$506,"&lt;="&amp;'Parties'!$E$8))</f>
        <v/>
      </c>
      <c r="AE417">
        <f>IF(OR('Parties'!$E$8="",S417=0,B417="",B417&gt;'Parties'!$E$8),0,MAX(0,MIN(S417,U417-AD417)))</f>
        <v/>
      </c>
      <c r="AF417">
        <f>IF(AND(P417="Creditor",X417=1,AE417&gt;0,Z417&lt;&gt;""),IF(Z417&lt;='Parties'!$E$8,AE417,0),0)</f>
        <v/>
      </c>
      <c r="AG417">
        <f>IF(OR(AE417=0,Z417=""),0,MAX(0,'Parties'!$E$8-Z417))</f>
        <v/>
      </c>
      <c r="AH417">
        <f>IF(AND(P417="Creditor",X417=1,AG417&gt;0),AE417*((1+3*N('Parties'!$E$10)/12)^(AG417*12/365)-1),0)</f>
        <v/>
      </c>
      <c r="AI417">
        <f>IF(AND(C417&lt;&gt;"",C417='Ledger Account'!$D$4,B417&lt;&gt;"",B417&gt;='Ledger Account'!$D$5,B417&lt;='Ledger Account'!$D$6),1,0)</f>
        <v/>
      </c>
      <c r="AJ417">
        <f>IF(AI417=1,SUM(AI$7:AI417),"")</f>
        <v/>
      </c>
      <c r="AK417">
        <f>IF(OR(N417="",N417="OK"),0,1)</f>
        <v/>
      </c>
    </row>
    <row r="418">
      <c r="B418" s="24" t="n"/>
      <c r="C418" s="14" t="n"/>
      <c r="D418" s="14" t="n"/>
      <c r="E418" s="20" t="n"/>
      <c r="F418" s="24" t="n"/>
      <c r="G418" s="14" t="n"/>
      <c r="H418" s="22" t="n"/>
      <c r="I418" s="25">
        <f>IF(Q418="D",N(H418),0)</f>
        <v/>
      </c>
      <c r="J418" s="25">
        <f>IF(Q418="C",N(H418),0)</f>
        <v/>
      </c>
      <c r="K418" s="26">
        <f>IF(Z418="","",Z418)</f>
        <v/>
      </c>
      <c r="L418" s="27">
        <f>W418</f>
        <v/>
      </c>
      <c r="M418" s="28">
        <f>AA418</f>
        <v/>
      </c>
      <c r="N418" s="23">
        <f>IF(AND(B418="",C418="",D418="",N(H418)=0),"",IF(B418="","Enter the date",IF(C418="","Pick the party",IF(P418="?","Add this party on the Parties sheet first",IF(D418="","Pick the entry type",IF(Q418="?","Pick the entry type from the list",IF(N(H418)=0,"Enter the amount",IF(AND(R418&lt;&gt;"Any",R418&lt;&gt;P418),"Sales, receipts and credit notes are for debtors; purchases, payments and debit notes for creditors",IF(AND(F418&lt;&gt;"",D418&lt;&gt;"Purchase bill"),"The received-on date is only for purchase bills",IF(AND(P418="Creditor",X418=1,AA418&gt;0),"Past due to a micro or small supplier: interest runs under MSMED s.16, and if unpaid at year end it is not deductible that year, s.37(2)(g)",IF(AND(P418="Debtor",X418=1,AA418&gt;0),"Past due to you: as a micro or small supplier you can claim interest under MSMED s.16","OK")))))))))))</f>
        <v/>
      </c>
      <c r="P418">
        <f>IF(C418="","",IFERROR(VLOOKUP(C418,'Parties'!$B$13:$Q$112,2,FALSE),"?"))</f>
        <v/>
      </c>
      <c r="Q418">
        <f>IF(D418="","",IFERROR(VLOOKUP(D418,Lists!$A$2:$D$9,3,FALSE),"?"))</f>
        <v/>
      </c>
      <c r="R418">
        <f>IF(D418="","",IFERROR(VLOOKUP(D418,Lists!$A$2:$D$9,4,FALSE),"?"))</f>
        <v/>
      </c>
      <c r="S418">
        <f>IF(P418="Debtor",I418,IF(P418="Creditor",J418,0))</f>
        <v/>
      </c>
      <c r="T418">
        <f>IF(P418="Debtor",J418,IF(P418="Creditor",I418,0))</f>
        <v/>
      </c>
      <c r="U418">
        <f>IF(OR(S418=0,B418=""),0,IFERROR(VLOOKUP(C418,'Parties'!$B$13:$Q$112,13,FALSE),0)+SUMIFS($S$7:$S$506,$C$7:$C$506,C418,$B$7:$B$506,"&lt;"&amp;B418)+SUMIFS(S$7:S418,C$7:C418,C418,B$7:B418,B418))</f>
        <v/>
      </c>
      <c r="V418">
        <f>IF(S418=0,0,IFERROR(VLOOKUP(C418,'Parties'!$B$13:$Q$112,14,FALSE),0)+SUMIFS($T$7:$T$506,$C$7:$C$506,C418,$B$7:$B$506,"&lt;="&amp;'Outstanding'!$E$5))</f>
        <v/>
      </c>
      <c r="W418">
        <f>IF(OR('Outstanding'!$E$5="",S418=0,B418="",B418&gt;'Outstanding'!$E$5),0,MAX(0,MIN(S418,U418-V418)))</f>
        <v/>
      </c>
      <c r="X418">
        <f>IF(C418="",0,IFERROR(VLOOKUP(C418,'Parties'!$B$13:$Q$112,15,FALSE),0))</f>
        <v/>
      </c>
      <c r="Y418">
        <f>IF(C418="","",IFERROR(VLOOKUP(C418,'Parties'!$B$13:$Q$112,16,FALSE),0))</f>
        <v/>
      </c>
      <c r="Z418">
        <f>IF(OR(S418=0,B418="",Y418=""),"",IF(AND(F418&lt;&gt;"",D418="Purchase bill"),F418,B418)+Y418)</f>
        <v/>
      </c>
      <c r="AA418">
        <f>IF(OR(W418=0,Z418=""),0,MAX(0,'Outstanding'!$E$5-Z418))</f>
        <v/>
      </c>
      <c r="AB418">
        <f>IF(AND(X418=1,AA418&gt;0),W418*((1+3*N('Parties'!$E$10)/12)^(AA418*12/365)-1),0)</f>
        <v/>
      </c>
      <c r="AC418">
        <f>IF(W418=0,"",'Outstanding'!$E$5-B418)</f>
        <v/>
      </c>
      <c r="AD418">
        <f>IF(S418=0,0,IFERROR(VLOOKUP(C418,'Parties'!$B$13:$Q$112,14,FALSE),0)+SUMIFS($T$7:$T$506,$C$7:$C$506,C418,$B$7:$B$506,"&lt;="&amp;'Parties'!$E$8))</f>
        <v/>
      </c>
      <c r="AE418">
        <f>IF(OR('Parties'!$E$8="",S418=0,B418="",B418&gt;'Parties'!$E$8),0,MAX(0,MIN(S418,U418-AD418)))</f>
        <v/>
      </c>
      <c r="AF418">
        <f>IF(AND(P418="Creditor",X418=1,AE418&gt;0,Z418&lt;&gt;""),IF(Z418&lt;='Parties'!$E$8,AE418,0),0)</f>
        <v/>
      </c>
      <c r="AG418">
        <f>IF(OR(AE418=0,Z418=""),0,MAX(0,'Parties'!$E$8-Z418))</f>
        <v/>
      </c>
      <c r="AH418">
        <f>IF(AND(P418="Creditor",X418=1,AG418&gt;0),AE418*((1+3*N('Parties'!$E$10)/12)^(AG418*12/365)-1),0)</f>
        <v/>
      </c>
      <c r="AI418">
        <f>IF(AND(C418&lt;&gt;"",C418='Ledger Account'!$D$4,B418&lt;&gt;"",B418&gt;='Ledger Account'!$D$5,B418&lt;='Ledger Account'!$D$6),1,0)</f>
        <v/>
      </c>
      <c r="AJ418">
        <f>IF(AI418=1,SUM(AI$7:AI418),"")</f>
        <v/>
      </c>
      <c r="AK418">
        <f>IF(OR(N418="",N418="OK"),0,1)</f>
        <v/>
      </c>
    </row>
    <row r="419">
      <c r="B419" s="24" t="n"/>
      <c r="C419" s="14" t="n"/>
      <c r="D419" s="14" t="n"/>
      <c r="E419" s="20" t="n"/>
      <c r="F419" s="24" t="n"/>
      <c r="G419" s="14" t="n"/>
      <c r="H419" s="22" t="n"/>
      <c r="I419" s="25">
        <f>IF(Q419="D",N(H419),0)</f>
        <v/>
      </c>
      <c r="J419" s="25">
        <f>IF(Q419="C",N(H419),0)</f>
        <v/>
      </c>
      <c r="K419" s="26">
        <f>IF(Z419="","",Z419)</f>
        <v/>
      </c>
      <c r="L419" s="27">
        <f>W419</f>
        <v/>
      </c>
      <c r="M419" s="28">
        <f>AA419</f>
        <v/>
      </c>
      <c r="N419" s="23">
        <f>IF(AND(B419="",C419="",D419="",N(H419)=0),"",IF(B419="","Enter the date",IF(C419="","Pick the party",IF(P419="?","Add this party on the Parties sheet first",IF(D419="","Pick the entry type",IF(Q419="?","Pick the entry type from the list",IF(N(H419)=0,"Enter the amount",IF(AND(R419&lt;&gt;"Any",R419&lt;&gt;P419),"Sales, receipts and credit notes are for debtors; purchases, payments and debit notes for creditors",IF(AND(F419&lt;&gt;"",D419&lt;&gt;"Purchase bill"),"The received-on date is only for purchase bills",IF(AND(P419="Creditor",X419=1,AA419&gt;0),"Past due to a micro or small supplier: interest runs under MSMED s.16, and if unpaid at year end it is not deductible that year, s.37(2)(g)",IF(AND(P419="Debtor",X419=1,AA419&gt;0),"Past due to you: as a micro or small supplier you can claim interest under MSMED s.16","OK")))))))))))</f>
        <v/>
      </c>
      <c r="P419">
        <f>IF(C419="","",IFERROR(VLOOKUP(C419,'Parties'!$B$13:$Q$112,2,FALSE),"?"))</f>
        <v/>
      </c>
      <c r="Q419">
        <f>IF(D419="","",IFERROR(VLOOKUP(D419,Lists!$A$2:$D$9,3,FALSE),"?"))</f>
        <v/>
      </c>
      <c r="R419">
        <f>IF(D419="","",IFERROR(VLOOKUP(D419,Lists!$A$2:$D$9,4,FALSE),"?"))</f>
        <v/>
      </c>
      <c r="S419">
        <f>IF(P419="Debtor",I419,IF(P419="Creditor",J419,0))</f>
        <v/>
      </c>
      <c r="T419">
        <f>IF(P419="Debtor",J419,IF(P419="Creditor",I419,0))</f>
        <v/>
      </c>
      <c r="U419">
        <f>IF(OR(S419=0,B419=""),0,IFERROR(VLOOKUP(C419,'Parties'!$B$13:$Q$112,13,FALSE),0)+SUMIFS($S$7:$S$506,$C$7:$C$506,C419,$B$7:$B$506,"&lt;"&amp;B419)+SUMIFS(S$7:S419,C$7:C419,C419,B$7:B419,B419))</f>
        <v/>
      </c>
      <c r="V419">
        <f>IF(S419=0,0,IFERROR(VLOOKUP(C419,'Parties'!$B$13:$Q$112,14,FALSE),0)+SUMIFS($T$7:$T$506,$C$7:$C$506,C419,$B$7:$B$506,"&lt;="&amp;'Outstanding'!$E$5))</f>
        <v/>
      </c>
      <c r="W419">
        <f>IF(OR('Outstanding'!$E$5="",S419=0,B419="",B419&gt;'Outstanding'!$E$5),0,MAX(0,MIN(S419,U419-V419)))</f>
        <v/>
      </c>
      <c r="X419">
        <f>IF(C419="",0,IFERROR(VLOOKUP(C419,'Parties'!$B$13:$Q$112,15,FALSE),0))</f>
        <v/>
      </c>
      <c r="Y419">
        <f>IF(C419="","",IFERROR(VLOOKUP(C419,'Parties'!$B$13:$Q$112,16,FALSE),0))</f>
        <v/>
      </c>
      <c r="Z419">
        <f>IF(OR(S419=0,B419="",Y419=""),"",IF(AND(F419&lt;&gt;"",D419="Purchase bill"),F419,B419)+Y419)</f>
        <v/>
      </c>
      <c r="AA419">
        <f>IF(OR(W419=0,Z419=""),0,MAX(0,'Outstanding'!$E$5-Z419))</f>
        <v/>
      </c>
      <c r="AB419">
        <f>IF(AND(X419=1,AA419&gt;0),W419*((1+3*N('Parties'!$E$10)/12)^(AA419*12/365)-1),0)</f>
        <v/>
      </c>
      <c r="AC419">
        <f>IF(W419=0,"",'Outstanding'!$E$5-B419)</f>
        <v/>
      </c>
      <c r="AD419">
        <f>IF(S419=0,0,IFERROR(VLOOKUP(C419,'Parties'!$B$13:$Q$112,14,FALSE),0)+SUMIFS($T$7:$T$506,$C$7:$C$506,C419,$B$7:$B$506,"&lt;="&amp;'Parties'!$E$8))</f>
        <v/>
      </c>
      <c r="AE419">
        <f>IF(OR('Parties'!$E$8="",S419=0,B419="",B419&gt;'Parties'!$E$8),0,MAX(0,MIN(S419,U419-AD419)))</f>
        <v/>
      </c>
      <c r="AF419">
        <f>IF(AND(P419="Creditor",X419=1,AE419&gt;0,Z419&lt;&gt;""),IF(Z419&lt;='Parties'!$E$8,AE419,0),0)</f>
        <v/>
      </c>
      <c r="AG419">
        <f>IF(OR(AE419=0,Z419=""),0,MAX(0,'Parties'!$E$8-Z419))</f>
        <v/>
      </c>
      <c r="AH419">
        <f>IF(AND(P419="Creditor",X419=1,AG419&gt;0),AE419*((1+3*N('Parties'!$E$10)/12)^(AG419*12/365)-1),0)</f>
        <v/>
      </c>
      <c r="AI419">
        <f>IF(AND(C419&lt;&gt;"",C419='Ledger Account'!$D$4,B419&lt;&gt;"",B419&gt;='Ledger Account'!$D$5,B419&lt;='Ledger Account'!$D$6),1,0)</f>
        <v/>
      </c>
      <c r="AJ419">
        <f>IF(AI419=1,SUM(AI$7:AI419),"")</f>
        <v/>
      </c>
      <c r="AK419">
        <f>IF(OR(N419="",N419="OK"),0,1)</f>
        <v/>
      </c>
    </row>
    <row r="420">
      <c r="B420" s="24" t="n"/>
      <c r="C420" s="14" t="n"/>
      <c r="D420" s="14" t="n"/>
      <c r="E420" s="20" t="n"/>
      <c r="F420" s="24" t="n"/>
      <c r="G420" s="14" t="n"/>
      <c r="H420" s="22" t="n"/>
      <c r="I420" s="25">
        <f>IF(Q420="D",N(H420),0)</f>
        <v/>
      </c>
      <c r="J420" s="25">
        <f>IF(Q420="C",N(H420),0)</f>
        <v/>
      </c>
      <c r="K420" s="26">
        <f>IF(Z420="","",Z420)</f>
        <v/>
      </c>
      <c r="L420" s="27">
        <f>W420</f>
        <v/>
      </c>
      <c r="M420" s="28">
        <f>AA420</f>
        <v/>
      </c>
      <c r="N420" s="23">
        <f>IF(AND(B420="",C420="",D420="",N(H420)=0),"",IF(B420="","Enter the date",IF(C420="","Pick the party",IF(P420="?","Add this party on the Parties sheet first",IF(D420="","Pick the entry type",IF(Q420="?","Pick the entry type from the list",IF(N(H420)=0,"Enter the amount",IF(AND(R420&lt;&gt;"Any",R420&lt;&gt;P420),"Sales, receipts and credit notes are for debtors; purchases, payments and debit notes for creditors",IF(AND(F420&lt;&gt;"",D420&lt;&gt;"Purchase bill"),"The received-on date is only for purchase bills",IF(AND(P420="Creditor",X420=1,AA420&gt;0),"Past due to a micro or small supplier: interest runs under MSMED s.16, and if unpaid at year end it is not deductible that year, s.37(2)(g)",IF(AND(P420="Debtor",X420=1,AA420&gt;0),"Past due to you: as a micro or small supplier you can claim interest under MSMED s.16","OK")))))))))))</f>
        <v/>
      </c>
      <c r="P420">
        <f>IF(C420="","",IFERROR(VLOOKUP(C420,'Parties'!$B$13:$Q$112,2,FALSE),"?"))</f>
        <v/>
      </c>
      <c r="Q420">
        <f>IF(D420="","",IFERROR(VLOOKUP(D420,Lists!$A$2:$D$9,3,FALSE),"?"))</f>
        <v/>
      </c>
      <c r="R420">
        <f>IF(D420="","",IFERROR(VLOOKUP(D420,Lists!$A$2:$D$9,4,FALSE),"?"))</f>
        <v/>
      </c>
      <c r="S420">
        <f>IF(P420="Debtor",I420,IF(P420="Creditor",J420,0))</f>
        <v/>
      </c>
      <c r="T420">
        <f>IF(P420="Debtor",J420,IF(P420="Creditor",I420,0))</f>
        <v/>
      </c>
      <c r="U420">
        <f>IF(OR(S420=0,B420=""),0,IFERROR(VLOOKUP(C420,'Parties'!$B$13:$Q$112,13,FALSE),0)+SUMIFS($S$7:$S$506,$C$7:$C$506,C420,$B$7:$B$506,"&lt;"&amp;B420)+SUMIFS(S$7:S420,C$7:C420,C420,B$7:B420,B420))</f>
        <v/>
      </c>
      <c r="V420">
        <f>IF(S420=0,0,IFERROR(VLOOKUP(C420,'Parties'!$B$13:$Q$112,14,FALSE),0)+SUMIFS($T$7:$T$506,$C$7:$C$506,C420,$B$7:$B$506,"&lt;="&amp;'Outstanding'!$E$5))</f>
        <v/>
      </c>
      <c r="W420">
        <f>IF(OR('Outstanding'!$E$5="",S420=0,B420="",B420&gt;'Outstanding'!$E$5),0,MAX(0,MIN(S420,U420-V420)))</f>
        <v/>
      </c>
      <c r="X420">
        <f>IF(C420="",0,IFERROR(VLOOKUP(C420,'Parties'!$B$13:$Q$112,15,FALSE),0))</f>
        <v/>
      </c>
      <c r="Y420">
        <f>IF(C420="","",IFERROR(VLOOKUP(C420,'Parties'!$B$13:$Q$112,16,FALSE),0))</f>
        <v/>
      </c>
      <c r="Z420">
        <f>IF(OR(S420=0,B420="",Y420=""),"",IF(AND(F420&lt;&gt;"",D420="Purchase bill"),F420,B420)+Y420)</f>
        <v/>
      </c>
      <c r="AA420">
        <f>IF(OR(W420=0,Z420=""),0,MAX(0,'Outstanding'!$E$5-Z420))</f>
        <v/>
      </c>
      <c r="AB420">
        <f>IF(AND(X420=1,AA420&gt;0),W420*((1+3*N('Parties'!$E$10)/12)^(AA420*12/365)-1),0)</f>
        <v/>
      </c>
      <c r="AC420">
        <f>IF(W420=0,"",'Outstanding'!$E$5-B420)</f>
        <v/>
      </c>
      <c r="AD420">
        <f>IF(S420=0,0,IFERROR(VLOOKUP(C420,'Parties'!$B$13:$Q$112,14,FALSE),0)+SUMIFS($T$7:$T$506,$C$7:$C$506,C420,$B$7:$B$506,"&lt;="&amp;'Parties'!$E$8))</f>
        <v/>
      </c>
      <c r="AE420">
        <f>IF(OR('Parties'!$E$8="",S420=0,B420="",B420&gt;'Parties'!$E$8),0,MAX(0,MIN(S420,U420-AD420)))</f>
        <v/>
      </c>
      <c r="AF420">
        <f>IF(AND(P420="Creditor",X420=1,AE420&gt;0,Z420&lt;&gt;""),IF(Z420&lt;='Parties'!$E$8,AE420,0),0)</f>
        <v/>
      </c>
      <c r="AG420">
        <f>IF(OR(AE420=0,Z420=""),0,MAX(0,'Parties'!$E$8-Z420))</f>
        <v/>
      </c>
      <c r="AH420">
        <f>IF(AND(P420="Creditor",X420=1,AG420&gt;0),AE420*((1+3*N('Parties'!$E$10)/12)^(AG420*12/365)-1),0)</f>
        <v/>
      </c>
      <c r="AI420">
        <f>IF(AND(C420&lt;&gt;"",C420='Ledger Account'!$D$4,B420&lt;&gt;"",B420&gt;='Ledger Account'!$D$5,B420&lt;='Ledger Account'!$D$6),1,0)</f>
        <v/>
      </c>
      <c r="AJ420">
        <f>IF(AI420=1,SUM(AI$7:AI420),"")</f>
        <v/>
      </c>
      <c r="AK420">
        <f>IF(OR(N420="",N420="OK"),0,1)</f>
        <v/>
      </c>
    </row>
    <row r="421">
      <c r="B421" s="24" t="n"/>
      <c r="C421" s="14" t="n"/>
      <c r="D421" s="14" t="n"/>
      <c r="E421" s="20" t="n"/>
      <c r="F421" s="24" t="n"/>
      <c r="G421" s="14" t="n"/>
      <c r="H421" s="22" t="n"/>
      <c r="I421" s="25">
        <f>IF(Q421="D",N(H421),0)</f>
        <v/>
      </c>
      <c r="J421" s="25">
        <f>IF(Q421="C",N(H421),0)</f>
        <v/>
      </c>
      <c r="K421" s="26">
        <f>IF(Z421="","",Z421)</f>
        <v/>
      </c>
      <c r="L421" s="27">
        <f>W421</f>
        <v/>
      </c>
      <c r="M421" s="28">
        <f>AA421</f>
        <v/>
      </c>
      <c r="N421" s="23">
        <f>IF(AND(B421="",C421="",D421="",N(H421)=0),"",IF(B421="","Enter the date",IF(C421="","Pick the party",IF(P421="?","Add this party on the Parties sheet first",IF(D421="","Pick the entry type",IF(Q421="?","Pick the entry type from the list",IF(N(H421)=0,"Enter the amount",IF(AND(R421&lt;&gt;"Any",R421&lt;&gt;P421),"Sales, receipts and credit notes are for debtors; purchases, payments and debit notes for creditors",IF(AND(F421&lt;&gt;"",D421&lt;&gt;"Purchase bill"),"The received-on date is only for purchase bills",IF(AND(P421="Creditor",X421=1,AA421&gt;0),"Past due to a micro or small supplier: interest runs under MSMED s.16, and if unpaid at year end it is not deductible that year, s.37(2)(g)",IF(AND(P421="Debtor",X421=1,AA421&gt;0),"Past due to you: as a micro or small supplier you can claim interest under MSMED s.16","OK")))))))))))</f>
        <v/>
      </c>
      <c r="P421">
        <f>IF(C421="","",IFERROR(VLOOKUP(C421,'Parties'!$B$13:$Q$112,2,FALSE),"?"))</f>
        <v/>
      </c>
      <c r="Q421">
        <f>IF(D421="","",IFERROR(VLOOKUP(D421,Lists!$A$2:$D$9,3,FALSE),"?"))</f>
        <v/>
      </c>
      <c r="R421">
        <f>IF(D421="","",IFERROR(VLOOKUP(D421,Lists!$A$2:$D$9,4,FALSE),"?"))</f>
        <v/>
      </c>
      <c r="S421">
        <f>IF(P421="Debtor",I421,IF(P421="Creditor",J421,0))</f>
        <v/>
      </c>
      <c r="T421">
        <f>IF(P421="Debtor",J421,IF(P421="Creditor",I421,0))</f>
        <v/>
      </c>
      <c r="U421">
        <f>IF(OR(S421=0,B421=""),0,IFERROR(VLOOKUP(C421,'Parties'!$B$13:$Q$112,13,FALSE),0)+SUMIFS($S$7:$S$506,$C$7:$C$506,C421,$B$7:$B$506,"&lt;"&amp;B421)+SUMIFS(S$7:S421,C$7:C421,C421,B$7:B421,B421))</f>
        <v/>
      </c>
      <c r="V421">
        <f>IF(S421=0,0,IFERROR(VLOOKUP(C421,'Parties'!$B$13:$Q$112,14,FALSE),0)+SUMIFS($T$7:$T$506,$C$7:$C$506,C421,$B$7:$B$506,"&lt;="&amp;'Outstanding'!$E$5))</f>
        <v/>
      </c>
      <c r="W421">
        <f>IF(OR('Outstanding'!$E$5="",S421=0,B421="",B421&gt;'Outstanding'!$E$5),0,MAX(0,MIN(S421,U421-V421)))</f>
        <v/>
      </c>
      <c r="X421">
        <f>IF(C421="",0,IFERROR(VLOOKUP(C421,'Parties'!$B$13:$Q$112,15,FALSE),0))</f>
        <v/>
      </c>
      <c r="Y421">
        <f>IF(C421="","",IFERROR(VLOOKUP(C421,'Parties'!$B$13:$Q$112,16,FALSE),0))</f>
        <v/>
      </c>
      <c r="Z421">
        <f>IF(OR(S421=0,B421="",Y421=""),"",IF(AND(F421&lt;&gt;"",D421="Purchase bill"),F421,B421)+Y421)</f>
        <v/>
      </c>
      <c r="AA421">
        <f>IF(OR(W421=0,Z421=""),0,MAX(0,'Outstanding'!$E$5-Z421))</f>
        <v/>
      </c>
      <c r="AB421">
        <f>IF(AND(X421=1,AA421&gt;0),W421*((1+3*N('Parties'!$E$10)/12)^(AA421*12/365)-1),0)</f>
        <v/>
      </c>
      <c r="AC421">
        <f>IF(W421=0,"",'Outstanding'!$E$5-B421)</f>
        <v/>
      </c>
      <c r="AD421">
        <f>IF(S421=0,0,IFERROR(VLOOKUP(C421,'Parties'!$B$13:$Q$112,14,FALSE),0)+SUMIFS($T$7:$T$506,$C$7:$C$506,C421,$B$7:$B$506,"&lt;="&amp;'Parties'!$E$8))</f>
        <v/>
      </c>
      <c r="AE421">
        <f>IF(OR('Parties'!$E$8="",S421=0,B421="",B421&gt;'Parties'!$E$8),0,MAX(0,MIN(S421,U421-AD421)))</f>
        <v/>
      </c>
      <c r="AF421">
        <f>IF(AND(P421="Creditor",X421=1,AE421&gt;0,Z421&lt;&gt;""),IF(Z421&lt;='Parties'!$E$8,AE421,0),0)</f>
        <v/>
      </c>
      <c r="AG421">
        <f>IF(OR(AE421=0,Z421=""),0,MAX(0,'Parties'!$E$8-Z421))</f>
        <v/>
      </c>
      <c r="AH421">
        <f>IF(AND(P421="Creditor",X421=1,AG421&gt;0),AE421*((1+3*N('Parties'!$E$10)/12)^(AG421*12/365)-1),0)</f>
        <v/>
      </c>
      <c r="AI421">
        <f>IF(AND(C421&lt;&gt;"",C421='Ledger Account'!$D$4,B421&lt;&gt;"",B421&gt;='Ledger Account'!$D$5,B421&lt;='Ledger Account'!$D$6),1,0)</f>
        <v/>
      </c>
      <c r="AJ421">
        <f>IF(AI421=1,SUM(AI$7:AI421),"")</f>
        <v/>
      </c>
      <c r="AK421">
        <f>IF(OR(N421="",N421="OK"),0,1)</f>
        <v/>
      </c>
    </row>
    <row r="422">
      <c r="B422" s="24" t="n"/>
      <c r="C422" s="14" t="n"/>
      <c r="D422" s="14" t="n"/>
      <c r="E422" s="20" t="n"/>
      <c r="F422" s="24" t="n"/>
      <c r="G422" s="14" t="n"/>
      <c r="H422" s="22" t="n"/>
      <c r="I422" s="25">
        <f>IF(Q422="D",N(H422),0)</f>
        <v/>
      </c>
      <c r="J422" s="25">
        <f>IF(Q422="C",N(H422),0)</f>
        <v/>
      </c>
      <c r="K422" s="26">
        <f>IF(Z422="","",Z422)</f>
        <v/>
      </c>
      <c r="L422" s="27">
        <f>W422</f>
        <v/>
      </c>
      <c r="M422" s="28">
        <f>AA422</f>
        <v/>
      </c>
      <c r="N422" s="23">
        <f>IF(AND(B422="",C422="",D422="",N(H422)=0),"",IF(B422="","Enter the date",IF(C422="","Pick the party",IF(P422="?","Add this party on the Parties sheet first",IF(D422="","Pick the entry type",IF(Q422="?","Pick the entry type from the list",IF(N(H422)=0,"Enter the amount",IF(AND(R422&lt;&gt;"Any",R422&lt;&gt;P422),"Sales, receipts and credit notes are for debtors; purchases, payments and debit notes for creditors",IF(AND(F422&lt;&gt;"",D422&lt;&gt;"Purchase bill"),"The received-on date is only for purchase bills",IF(AND(P422="Creditor",X422=1,AA422&gt;0),"Past due to a micro or small supplier: interest runs under MSMED s.16, and if unpaid at year end it is not deductible that year, s.37(2)(g)",IF(AND(P422="Debtor",X422=1,AA422&gt;0),"Past due to you: as a micro or small supplier you can claim interest under MSMED s.16","OK")))))))))))</f>
        <v/>
      </c>
      <c r="P422">
        <f>IF(C422="","",IFERROR(VLOOKUP(C422,'Parties'!$B$13:$Q$112,2,FALSE),"?"))</f>
        <v/>
      </c>
      <c r="Q422">
        <f>IF(D422="","",IFERROR(VLOOKUP(D422,Lists!$A$2:$D$9,3,FALSE),"?"))</f>
        <v/>
      </c>
      <c r="R422">
        <f>IF(D422="","",IFERROR(VLOOKUP(D422,Lists!$A$2:$D$9,4,FALSE),"?"))</f>
        <v/>
      </c>
      <c r="S422">
        <f>IF(P422="Debtor",I422,IF(P422="Creditor",J422,0))</f>
        <v/>
      </c>
      <c r="T422">
        <f>IF(P422="Debtor",J422,IF(P422="Creditor",I422,0))</f>
        <v/>
      </c>
      <c r="U422">
        <f>IF(OR(S422=0,B422=""),0,IFERROR(VLOOKUP(C422,'Parties'!$B$13:$Q$112,13,FALSE),0)+SUMIFS($S$7:$S$506,$C$7:$C$506,C422,$B$7:$B$506,"&lt;"&amp;B422)+SUMIFS(S$7:S422,C$7:C422,C422,B$7:B422,B422))</f>
        <v/>
      </c>
      <c r="V422">
        <f>IF(S422=0,0,IFERROR(VLOOKUP(C422,'Parties'!$B$13:$Q$112,14,FALSE),0)+SUMIFS($T$7:$T$506,$C$7:$C$506,C422,$B$7:$B$506,"&lt;="&amp;'Outstanding'!$E$5))</f>
        <v/>
      </c>
      <c r="W422">
        <f>IF(OR('Outstanding'!$E$5="",S422=0,B422="",B422&gt;'Outstanding'!$E$5),0,MAX(0,MIN(S422,U422-V422)))</f>
        <v/>
      </c>
      <c r="X422">
        <f>IF(C422="",0,IFERROR(VLOOKUP(C422,'Parties'!$B$13:$Q$112,15,FALSE),0))</f>
        <v/>
      </c>
      <c r="Y422">
        <f>IF(C422="","",IFERROR(VLOOKUP(C422,'Parties'!$B$13:$Q$112,16,FALSE),0))</f>
        <v/>
      </c>
      <c r="Z422">
        <f>IF(OR(S422=0,B422="",Y422=""),"",IF(AND(F422&lt;&gt;"",D422="Purchase bill"),F422,B422)+Y422)</f>
        <v/>
      </c>
      <c r="AA422">
        <f>IF(OR(W422=0,Z422=""),0,MAX(0,'Outstanding'!$E$5-Z422))</f>
        <v/>
      </c>
      <c r="AB422">
        <f>IF(AND(X422=1,AA422&gt;0),W422*((1+3*N('Parties'!$E$10)/12)^(AA422*12/365)-1),0)</f>
        <v/>
      </c>
      <c r="AC422">
        <f>IF(W422=0,"",'Outstanding'!$E$5-B422)</f>
        <v/>
      </c>
      <c r="AD422">
        <f>IF(S422=0,0,IFERROR(VLOOKUP(C422,'Parties'!$B$13:$Q$112,14,FALSE),0)+SUMIFS($T$7:$T$506,$C$7:$C$506,C422,$B$7:$B$506,"&lt;="&amp;'Parties'!$E$8))</f>
        <v/>
      </c>
      <c r="AE422">
        <f>IF(OR('Parties'!$E$8="",S422=0,B422="",B422&gt;'Parties'!$E$8),0,MAX(0,MIN(S422,U422-AD422)))</f>
        <v/>
      </c>
      <c r="AF422">
        <f>IF(AND(P422="Creditor",X422=1,AE422&gt;0,Z422&lt;&gt;""),IF(Z422&lt;='Parties'!$E$8,AE422,0),0)</f>
        <v/>
      </c>
      <c r="AG422">
        <f>IF(OR(AE422=0,Z422=""),0,MAX(0,'Parties'!$E$8-Z422))</f>
        <v/>
      </c>
      <c r="AH422">
        <f>IF(AND(P422="Creditor",X422=1,AG422&gt;0),AE422*((1+3*N('Parties'!$E$10)/12)^(AG422*12/365)-1),0)</f>
        <v/>
      </c>
      <c r="AI422">
        <f>IF(AND(C422&lt;&gt;"",C422='Ledger Account'!$D$4,B422&lt;&gt;"",B422&gt;='Ledger Account'!$D$5,B422&lt;='Ledger Account'!$D$6),1,0)</f>
        <v/>
      </c>
      <c r="AJ422">
        <f>IF(AI422=1,SUM(AI$7:AI422),"")</f>
        <v/>
      </c>
      <c r="AK422">
        <f>IF(OR(N422="",N422="OK"),0,1)</f>
        <v/>
      </c>
    </row>
    <row r="423">
      <c r="B423" s="24" t="n"/>
      <c r="C423" s="14" t="n"/>
      <c r="D423" s="14" t="n"/>
      <c r="E423" s="20" t="n"/>
      <c r="F423" s="24" t="n"/>
      <c r="G423" s="14" t="n"/>
      <c r="H423" s="22" t="n"/>
      <c r="I423" s="25">
        <f>IF(Q423="D",N(H423),0)</f>
        <v/>
      </c>
      <c r="J423" s="25">
        <f>IF(Q423="C",N(H423),0)</f>
        <v/>
      </c>
      <c r="K423" s="26">
        <f>IF(Z423="","",Z423)</f>
        <v/>
      </c>
      <c r="L423" s="27">
        <f>W423</f>
        <v/>
      </c>
      <c r="M423" s="28">
        <f>AA423</f>
        <v/>
      </c>
      <c r="N423" s="23">
        <f>IF(AND(B423="",C423="",D423="",N(H423)=0),"",IF(B423="","Enter the date",IF(C423="","Pick the party",IF(P423="?","Add this party on the Parties sheet first",IF(D423="","Pick the entry type",IF(Q423="?","Pick the entry type from the list",IF(N(H423)=0,"Enter the amount",IF(AND(R423&lt;&gt;"Any",R423&lt;&gt;P423),"Sales, receipts and credit notes are for debtors; purchases, payments and debit notes for creditors",IF(AND(F423&lt;&gt;"",D423&lt;&gt;"Purchase bill"),"The received-on date is only for purchase bills",IF(AND(P423="Creditor",X423=1,AA423&gt;0),"Past due to a micro or small supplier: interest runs under MSMED s.16, and if unpaid at year end it is not deductible that year, s.37(2)(g)",IF(AND(P423="Debtor",X423=1,AA423&gt;0),"Past due to you: as a micro or small supplier you can claim interest under MSMED s.16","OK")))))))))))</f>
        <v/>
      </c>
      <c r="P423">
        <f>IF(C423="","",IFERROR(VLOOKUP(C423,'Parties'!$B$13:$Q$112,2,FALSE),"?"))</f>
        <v/>
      </c>
      <c r="Q423">
        <f>IF(D423="","",IFERROR(VLOOKUP(D423,Lists!$A$2:$D$9,3,FALSE),"?"))</f>
        <v/>
      </c>
      <c r="R423">
        <f>IF(D423="","",IFERROR(VLOOKUP(D423,Lists!$A$2:$D$9,4,FALSE),"?"))</f>
        <v/>
      </c>
      <c r="S423">
        <f>IF(P423="Debtor",I423,IF(P423="Creditor",J423,0))</f>
        <v/>
      </c>
      <c r="T423">
        <f>IF(P423="Debtor",J423,IF(P423="Creditor",I423,0))</f>
        <v/>
      </c>
      <c r="U423">
        <f>IF(OR(S423=0,B423=""),0,IFERROR(VLOOKUP(C423,'Parties'!$B$13:$Q$112,13,FALSE),0)+SUMIFS($S$7:$S$506,$C$7:$C$506,C423,$B$7:$B$506,"&lt;"&amp;B423)+SUMIFS(S$7:S423,C$7:C423,C423,B$7:B423,B423))</f>
        <v/>
      </c>
      <c r="V423">
        <f>IF(S423=0,0,IFERROR(VLOOKUP(C423,'Parties'!$B$13:$Q$112,14,FALSE),0)+SUMIFS($T$7:$T$506,$C$7:$C$506,C423,$B$7:$B$506,"&lt;="&amp;'Outstanding'!$E$5))</f>
        <v/>
      </c>
      <c r="W423">
        <f>IF(OR('Outstanding'!$E$5="",S423=0,B423="",B423&gt;'Outstanding'!$E$5),0,MAX(0,MIN(S423,U423-V423)))</f>
        <v/>
      </c>
      <c r="X423">
        <f>IF(C423="",0,IFERROR(VLOOKUP(C423,'Parties'!$B$13:$Q$112,15,FALSE),0))</f>
        <v/>
      </c>
      <c r="Y423">
        <f>IF(C423="","",IFERROR(VLOOKUP(C423,'Parties'!$B$13:$Q$112,16,FALSE),0))</f>
        <v/>
      </c>
      <c r="Z423">
        <f>IF(OR(S423=0,B423="",Y423=""),"",IF(AND(F423&lt;&gt;"",D423="Purchase bill"),F423,B423)+Y423)</f>
        <v/>
      </c>
      <c r="AA423">
        <f>IF(OR(W423=0,Z423=""),0,MAX(0,'Outstanding'!$E$5-Z423))</f>
        <v/>
      </c>
      <c r="AB423">
        <f>IF(AND(X423=1,AA423&gt;0),W423*((1+3*N('Parties'!$E$10)/12)^(AA423*12/365)-1),0)</f>
        <v/>
      </c>
      <c r="AC423">
        <f>IF(W423=0,"",'Outstanding'!$E$5-B423)</f>
        <v/>
      </c>
      <c r="AD423">
        <f>IF(S423=0,0,IFERROR(VLOOKUP(C423,'Parties'!$B$13:$Q$112,14,FALSE),0)+SUMIFS($T$7:$T$506,$C$7:$C$506,C423,$B$7:$B$506,"&lt;="&amp;'Parties'!$E$8))</f>
        <v/>
      </c>
      <c r="AE423">
        <f>IF(OR('Parties'!$E$8="",S423=0,B423="",B423&gt;'Parties'!$E$8),0,MAX(0,MIN(S423,U423-AD423)))</f>
        <v/>
      </c>
      <c r="AF423">
        <f>IF(AND(P423="Creditor",X423=1,AE423&gt;0,Z423&lt;&gt;""),IF(Z423&lt;='Parties'!$E$8,AE423,0),0)</f>
        <v/>
      </c>
      <c r="AG423">
        <f>IF(OR(AE423=0,Z423=""),0,MAX(0,'Parties'!$E$8-Z423))</f>
        <v/>
      </c>
      <c r="AH423">
        <f>IF(AND(P423="Creditor",X423=1,AG423&gt;0),AE423*((1+3*N('Parties'!$E$10)/12)^(AG423*12/365)-1),0)</f>
        <v/>
      </c>
      <c r="AI423">
        <f>IF(AND(C423&lt;&gt;"",C423='Ledger Account'!$D$4,B423&lt;&gt;"",B423&gt;='Ledger Account'!$D$5,B423&lt;='Ledger Account'!$D$6),1,0)</f>
        <v/>
      </c>
      <c r="AJ423">
        <f>IF(AI423=1,SUM(AI$7:AI423),"")</f>
        <v/>
      </c>
      <c r="AK423">
        <f>IF(OR(N423="",N423="OK"),0,1)</f>
        <v/>
      </c>
    </row>
    <row r="424">
      <c r="B424" s="24" t="n"/>
      <c r="C424" s="14" t="n"/>
      <c r="D424" s="14" t="n"/>
      <c r="E424" s="20" t="n"/>
      <c r="F424" s="24" t="n"/>
      <c r="G424" s="14" t="n"/>
      <c r="H424" s="22" t="n"/>
      <c r="I424" s="25">
        <f>IF(Q424="D",N(H424),0)</f>
        <v/>
      </c>
      <c r="J424" s="25">
        <f>IF(Q424="C",N(H424),0)</f>
        <v/>
      </c>
      <c r="K424" s="26">
        <f>IF(Z424="","",Z424)</f>
        <v/>
      </c>
      <c r="L424" s="27">
        <f>W424</f>
        <v/>
      </c>
      <c r="M424" s="28">
        <f>AA424</f>
        <v/>
      </c>
      <c r="N424" s="23">
        <f>IF(AND(B424="",C424="",D424="",N(H424)=0),"",IF(B424="","Enter the date",IF(C424="","Pick the party",IF(P424="?","Add this party on the Parties sheet first",IF(D424="","Pick the entry type",IF(Q424="?","Pick the entry type from the list",IF(N(H424)=0,"Enter the amount",IF(AND(R424&lt;&gt;"Any",R424&lt;&gt;P424),"Sales, receipts and credit notes are for debtors; purchases, payments and debit notes for creditors",IF(AND(F424&lt;&gt;"",D424&lt;&gt;"Purchase bill"),"The received-on date is only for purchase bills",IF(AND(P424="Creditor",X424=1,AA424&gt;0),"Past due to a micro or small supplier: interest runs under MSMED s.16, and if unpaid at year end it is not deductible that year, s.37(2)(g)",IF(AND(P424="Debtor",X424=1,AA424&gt;0),"Past due to you: as a micro or small supplier you can claim interest under MSMED s.16","OK")))))))))))</f>
        <v/>
      </c>
      <c r="P424">
        <f>IF(C424="","",IFERROR(VLOOKUP(C424,'Parties'!$B$13:$Q$112,2,FALSE),"?"))</f>
        <v/>
      </c>
      <c r="Q424">
        <f>IF(D424="","",IFERROR(VLOOKUP(D424,Lists!$A$2:$D$9,3,FALSE),"?"))</f>
        <v/>
      </c>
      <c r="R424">
        <f>IF(D424="","",IFERROR(VLOOKUP(D424,Lists!$A$2:$D$9,4,FALSE),"?"))</f>
        <v/>
      </c>
      <c r="S424">
        <f>IF(P424="Debtor",I424,IF(P424="Creditor",J424,0))</f>
        <v/>
      </c>
      <c r="T424">
        <f>IF(P424="Debtor",J424,IF(P424="Creditor",I424,0))</f>
        <v/>
      </c>
      <c r="U424">
        <f>IF(OR(S424=0,B424=""),0,IFERROR(VLOOKUP(C424,'Parties'!$B$13:$Q$112,13,FALSE),0)+SUMIFS($S$7:$S$506,$C$7:$C$506,C424,$B$7:$B$506,"&lt;"&amp;B424)+SUMIFS(S$7:S424,C$7:C424,C424,B$7:B424,B424))</f>
        <v/>
      </c>
      <c r="V424">
        <f>IF(S424=0,0,IFERROR(VLOOKUP(C424,'Parties'!$B$13:$Q$112,14,FALSE),0)+SUMIFS($T$7:$T$506,$C$7:$C$506,C424,$B$7:$B$506,"&lt;="&amp;'Outstanding'!$E$5))</f>
        <v/>
      </c>
      <c r="W424">
        <f>IF(OR('Outstanding'!$E$5="",S424=0,B424="",B424&gt;'Outstanding'!$E$5),0,MAX(0,MIN(S424,U424-V424)))</f>
        <v/>
      </c>
      <c r="X424">
        <f>IF(C424="",0,IFERROR(VLOOKUP(C424,'Parties'!$B$13:$Q$112,15,FALSE),0))</f>
        <v/>
      </c>
      <c r="Y424">
        <f>IF(C424="","",IFERROR(VLOOKUP(C424,'Parties'!$B$13:$Q$112,16,FALSE),0))</f>
        <v/>
      </c>
      <c r="Z424">
        <f>IF(OR(S424=0,B424="",Y424=""),"",IF(AND(F424&lt;&gt;"",D424="Purchase bill"),F424,B424)+Y424)</f>
        <v/>
      </c>
      <c r="AA424">
        <f>IF(OR(W424=0,Z424=""),0,MAX(0,'Outstanding'!$E$5-Z424))</f>
        <v/>
      </c>
      <c r="AB424">
        <f>IF(AND(X424=1,AA424&gt;0),W424*((1+3*N('Parties'!$E$10)/12)^(AA424*12/365)-1),0)</f>
        <v/>
      </c>
      <c r="AC424">
        <f>IF(W424=0,"",'Outstanding'!$E$5-B424)</f>
        <v/>
      </c>
      <c r="AD424">
        <f>IF(S424=0,0,IFERROR(VLOOKUP(C424,'Parties'!$B$13:$Q$112,14,FALSE),0)+SUMIFS($T$7:$T$506,$C$7:$C$506,C424,$B$7:$B$506,"&lt;="&amp;'Parties'!$E$8))</f>
        <v/>
      </c>
      <c r="AE424">
        <f>IF(OR('Parties'!$E$8="",S424=0,B424="",B424&gt;'Parties'!$E$8),0,MAX(0,MIN(S424,U424-AD424)))</f>
        <v/>
      </c>
      <c r="AF424">
        <f>IF(AND(P424="Creditor",X424=1,AE424&gt;0,Z424&lt;&gt;""),IF(Z424&lt;='Parties'!$E$8,AE424,0),0)</f>
        <v/>
      </c>
      <c r="AG424">
        <f>IF(OR(AE424=0,Z424=""),0,MAX(0,'Parties'!$E$8-Z424))</f>
        <v/>
      </c>
      <c r="AH424">
        <f>IF(AND(P424="Creditor",X424=1,AG424&gt;0),AE424*((1+3*N('Parties'!$E$10)/12)^(AG424*12/365)-1),0)</f>
        <v/>
      </c>
      <c r="AI424">
        <f>IF(AND(C424&lt;&gt;"",C424='Ledger Account'!$D$4,B424&lt;&gt;"",B424&gt;='Ledger Account'!$D$5,B424&lt;='Ledger Account'!$D$6),1,0)</f>
        <v/>
      </c>
      <c r="AJ424">
        <f>IF(AI424=1,SUM(AI$7:AI424),"")</f>
        <v/>
      </c>
      <c r="AK424">
        <f>IF(OR(N424="",N424="OK"),0,1)</f>
        <v/>
      </c>
    </row>
    <row r="425">
      <c r="B425" s="24" t="n"/>
      <c r="C425" s="14" t="n"/>
      <c r="D425" s="14" t="n"/>
      <c r="E425" s="20" t="n"/>
      <c r="F425" s="24" t="n"/>
      <c r="G425" s="14" t="n"/>
      <c r="H425" s="22" t="n"/>
      <c r="I425" s="25">
        <f>IF(Q425="D",N(H425),0)</f>
        <v/>
      </c>
      <c r="J425" s="25">
        <f>IF(Q425="C",N(H425),0)</f>
        <v/>
      </c>
      <c r="K425" s="26">
        <f>IF(Z425="","",Z425)</f>
        <v/>
      </c>
      <c r="L425" s="27">
        <f>W425</f>
        <v/>
      </c>
      <c r="M425" s="28">
        <f>AA425</f>
        <v/>
      </c>
      <c r="N425" s="23">
        <f>IF(AND(B425="",C425="",D425="",N(H425)=0),"",IF(B425="","Enter the date",IF(C425="","Pick the party",IF(P425="?","Add this party on the Parties sheet first",IF(D425="","Pick the entry type",IF(Q425="?","Pick the entry type from the list",IF(N(H425)=0,"Enter the amount",IF(AND(R425&lt;&gt;"Any",R425&lt;&gt;P425),"Sales, receipts and credit notes are for debtors; purchases, payments and debit notes for creditors",IF(AND(F425&lt;&gt;"",D425&lt;&gt;"Purchase bill"),"The received-on date is only for purchase bills",IF(AND(P425="Creditor",X425=1,AA425&gt;0),"Past due to a micro or small supplier: interest runs under MSMED s.16, and if unpaid at year end it is not deductible that year, s.37(2)(g)",IF(AND(P425="Debtor",X425=1,AA425&gt;0),"Past due to you: as a micro or small supplier you can claim interest under MSMED s.16","OK")))))))))))</f>
        <v/>
      </c>
      <c r="P425">
        <f>IF(C425="","",IFERROR(VLOOKUP(C425,'Parties'!$B$13:$Q$112,2,FALSE),"?"))</f>
        <v/>
      </c>
      <c r="Q425">
        <f>IF(D425="","",IFERROR(VLOOKUP(D425,Lists!$A$2:$D$9,3,FALSE),"?"))</f>
        <v/>
      </c>
      <c r="R425">
        <f>IF(D425="","",IFERROR(VLOOKUP(D425,Lists!$A$2:$D$9,4,FALSE),"?"))</f>
        <v/>
      </c>
      <c r="S425">
        <f>IF(P425="Debtor",I425,IF(P425="Creditor",J425,0))</f>
        <v/>
      </c>
      <c r="T425">
        <f>IF(P425="Debtor",J425,IF(P425="Creditor",I425,0))</f>
        <v/>
      </c>
      <c r="U425">
        <f>IF(OR(S425=0,B425=""),0,IFERROR(VLOOKUP(C425,'Parties'!$B$13:$Q$112,13,FALSE),0)+SUMIFS($S$7:$S$506,$C$7:$C$506,C425,$B$7:$B$506,"&lt;"&amp;B425)+SUMIFS(S$7:S425,C$7:C425,C425,B$7:B425,B425))</f>
        <v/>
      </c>
      <c r="V425">
        <f>IF(S425=0,0,IFERROR(VLOOKUP(C425,'Parties'!$B$13:$Q$112,14,FALSE),0)+SUMIFS($T$7:$T$506,$C$7:$C$506,C425,$B$7:$B$506,"&lt;="&amp;'Outstanding'!$E$5))</f>
        <v/>
      </c>
      <c r="W425">
        <f>IF(OR('Outstanding'!$E$5="",S425=0,B425="",B425&gt;'Outstanding'!$E$5),0,MAX(0,MIN(S425,U425-V425)))</f>
        <v/>
      </c>
      <c r="X425">
        <f>IF(C425="",0,IFERROR(VLOOKUP(C425,'Parties'!$B$13:$Q$112,15,FALSE),0))</f>
        <v/>
      </c>
      <c r="Y425">
        <f>IF(C425="","",IFERROR(VLOOKUP(C425,'Parties'!$B$13:$Q$112,16,FALSE),0))</f>
        <v/>
      </c>
      <c r="Z425">
        <f>IF(OR(S425=0,B425="",Y425=""),"",IF(AND(F425&lt;&gt;"",D425="Purchase bill"),F425,B425)+Y425)</f>
        <v/>
      </c>
      <c r="AA425">
        <f>IF(OR(W425=0,Z425=""),0,MAX(0,'Outstanding'!$E$5-Z425))</f>
        <v/>
      </c>
      <c r="AB425">
        <f>IF(AND(X425=1,AA425&gt;0),W425*((1+3*N('Parties'!$E$10)/12)^(AA425*12/365)-1),0)</f>
        <v/>
      </c>
      <c r="AC425">
        <f>IF(W425=0,"",'Outstanding'!$E$5-B425)</f>
        <v/>
      </c>
      <c r="AD425">
        <f>IF(S425=0,0,IFERROR(VLOOKUP(C425,'Parties'!$B$13:$Q$112,14,FALSE),0)+SUMIFS($T$7:$T$506,$C$7:$C$506,C425,$B$7:$B$506,"&lt;="&amp;'Parties'!$E$8))</f>
        <v/>
      </c>
      <c r="AE425">
        <f>IF(OR('Parties'!$E$8="",S425=0,B425="",B425&gt;'Parties'!$E$8),0,MAX(0,MIN(S425,U425-AD425)))</f>
        <v/>
      </c>
      <c r="AF425">
        <f>IF(AND(P425="Creditor",X425=1,AE425&gt;0,Z425&lt;&gt;""),IF(Z425&lt;='Parties'!$E$8,AE425,0),0)</f>
        <v/>
      </c>
      <c r="AG425">
        <f>IF(OR(AE425=0,Z425=""),0,MAX(0,'Parties'!$E$8-Z425))</f>
        <v/>
      </c>
      <c r="AH425">
        <f>IF(AND(P425="Creditor",X425=1,AG425&gt;0),AE425*((1+3*N('Parties'!$E$10)/12)^(AG425*12/365)-1),0)</f>
        <v/>
      </c>
      <c r="AI425">
        <f>IF(AND(C425&lt;&gt;"",C425='Ledger Account'!$D$4,B425&lt;&gt;"",B425&gt;='Ledger Account'!$D$5,B425&lt;='Ledger Account'!$D$6),1,0)</f>
        <v/>
      </c>
      <c r="AJ425">
        <f>IF(AI425=1,SUM(AI$7:AI425),"")</f>
        <v/>
      </c>
      <c r="AK425">
        <f>IF(OR(N425="",N425="OK"),0,1)</f>
        <v/>
      </c>
    </row>
    <row r="426">
      <c r="B426" s="24" t="n"/>
      <c r="C426" s="14" t="n"/>
      <c r="D426" s="14" t="n"/>
      <c r="E426" s="20" t="n"/>
      <c r="F426" s="24" t="n"/>
      <c r="G426" s="14" t="n"/>
      <c r="H426" s="22" t="n"/>
      <c r="I426" s="25">
        <f>IF(Q426="D",N(H426),0)</f>
        <v/>
      </c>
      <c r="J426" s="25">
        <f>IF(Q426="C",N(H426),0)</f>
        <v/>
      </c>
      <c r="K426" s="26">
        <f>IF(Z426="","",Z426)</f>
        <v/>
      </c>
      <c r="L426" s="27">
        <f>W426</f>
        <v/>
      </c>
      <c r="M426" s="28">
        <f>AA426</f>
        <v/>
      </c>
      <c r="N426" s="23">
        <f>IF(AND(B426="",C426="",D426="",N(H426)=0),"",IF(B426="","Enter the date",IF(C426="","Pick the party",IF(P426="?","Add this party on the Parties sheet first",IF(D426="","Pick the entry type",IF(Q426="?","Pick the entry type from the list",IF(N(H426)=0,"Enter the amount",IF(AND(R426&lt;&gt;"Any",R426&lt;&gt;P426),"Sales, receipts and credit notes are for debtors; purchases, payments and debit notes for creditors",IF(AND(F426&lt;&gt;"",D426&lt;&gt;"Purchase bill"),"The received-on date is only for purchase bills",IF(AND(P426="Creditor",X426=1,AA426&gt;0),"Past due to a micro or small supplier: interest runs under MSMED s.16, and if unpaid at year end it is not deductible that year, s.37(2)(g)",IF(AND(P426="Debtor",X426=1,AA426&gt;0),"Past due to you: as a micro or small supplier you can claim interest under MSMED s.16","OK")))))))))))</f>
        <v/>
      </c>
      <c r="P426">
        <f>IF(C426="","",IFERROR(VLOOKUP(C426,'Parties'!$B$13:$Q$112,2,FALSE),"?"))</f>
        <v/>
      </c>
      <c r="Q426">
        <f>IF(D426="","",IFERROR(VLOOKUP(D426,Lists!$A$2:$D$9,3,FALSE),"?"))</f>
        <v/>
      </c>
      <c r="R426">
        <f>IF(D426="","",IFERROR(VLOOKUP(D426,Lists!$A$2:$D$9,4,FALSE),"?"))</f>
        <v/>
      </c>
      <c r="S426">
        <f>IF(P426="Debtor",I426,IF(P426="Creditor",J426,0))</f>
        <v/>
      </c>
      <c r="T426">
        <f>IF(P426="Debtor",J426,IF(P426="Creditor",I426,0))</f>
        <v/>
      </c>
      <c r="U426">
        <f>IF(OR(S426=0,B426=""),0,IFERROR(VLOOKUP(C426,'Parties'!$B$13:$Q$112,13,FALSE),0)+SUMIFS($S$7:$S$506,$C$7:$C$506,C426,$B$7:$B$506,"&lt;"&amp;B426)+SUMIFS(S$7:S426,C$7:C426,C426,B$7:B426,B426))</f>
        <v/>
      </c>
      <c r="V426">
        <f>IF(S426=0,0,IFERROR(VLOOKUP(C426,'Parties'!$B$13:$Q$112,14,FALSE),0)+SUMIFS($T$7:$T$506,$C$7:$C$506,C426,$B$7:$B$506,"&lt;="&amp;'Outstanding'!$E$5))</f>
        <v/>
      </c>
      <c r="W426">
        <f>IF(OR('Outstanding'!$E$5="",S426=0,B426="",B426&gt;'Outstanding'!$E$5),0,MAX(0,MIN(S426,U426-V426)))</f>
        <v/>
      </c>
      <c r="X426">
        <f>IF(C426="",0,IFERROR(VLOOKUP(C426,'Parties'!$B$13:$Q$112,15,FALSE),0))</f>
        <v/>
      </c>
      <c r="Y426">
        <f>IF(C426="","",IFERROR(VLOOKUP(C426,'Parties'!$B$13:$Q$112,16,FALSE),0))</f>
        <v/>
      </c>
      <c r="Z426">
        <f>IF(OR(S426=0,B426="",Y426=""),"",IF(AND(F426&lt;&gt;"",D426="Purchase bill"),F426,B426)+Y426)</f>
        <v/>
      </c>
      <c r="AA426">
        <f>IF(OR(W426=0,Z426=""),0,MAX(0,'Outstanding'!$E$5-Z426))</f>
        <v/>
      </c>
      <c r="AB426">
        <f>IF(AND(X426=1,AA426&gt;0),W426*((1+3*N('Parties'!$E$10)/12)^(AA426*12/365)-1),0)</f>
        <v/>
      </c>
      <c r="AC426">
        <f>IF(W426=0,"",'Outstanding'!$E$5-B426)</f>
        <v/>
      </c>
      <c r="AD426">
        <f>IF(S426=0,0,IFERROR(VLOOKUP(C426,'Parties'!$B$13:$Q$112,14,FALSE),0)+SUMIFS($T$7:$T$506,$C$7:$C$506,C426,$B$7:$B$506,"&lt;="&amp;'Parties'!$E$8))</f>
        <v/>
      </c>
      <c r="AE426">
        <f>IF(OR('Parties'!$E$8="",S426=0,B426="",B426&gt;'Parties'!$E$8),0,MAX(0,MIN(S426,U426-AD426)))</f>
        <v/>
      </c>
      <c r="AF426">
        <f>IF(AND(P426="Creditor",X426=1,AE426&gt;0,Z426&lt;&gt;""),IF(Z426&lt;='Parties'!$E$8,AE426,0),0)</f>
        <v/>
      </c>
      <c r="AG426">
        <f>IF(OR(AE426=0,Z426=""),0,MAX(0,'Parties'!$E$8-Z426))</f>
        <v/>
      </c>
      <c r="AH426">
        <f>IF(AND(P426="Creditor",X426=1,AG426&gt;0),AE426*((1+3*N('Parties'!$E$10)/12)^(AG426*12/365)-1),0)</f>
        <v/>
      </c>
      <c r="AI426">
        <f>IF(AND(C426&lt;&gt;"",C426='Ledger Account'!$D$4,B426&lt;&gt;"",B426&gt;='Ledger Account'!$D$5,B426&lt;='Ledger Account'!$D$6),1,0)</f>
        <v/>
      </c>
      <c r="AJ426">
        <f>IF(AI426=1,SUM(AI$7:AI426),"")</f>
        <v/>
      </c>
      <c r="AK426">
        <f>IF(OR(N426="",N426="OK"),0,1)</f>
        <v/>
      </c>
    </row>
    <row r="427">
      <c r="B427" s="24" t="n"/>
      <c r="C427" s="14" t="n"/>
      <c r="D427" s="14" t="n"/>
      <c r="E427" s="20" t="n"/>
      <c r="F427" s="24" t="n"/>
      <c r="G427" s="14" t="n"/>
      <c r="H427" s="22" t="n"/>
      <c r="I427" s="25">
        <f>IF(Q427="D",N(H427),0)</f>
        <v/>
      </c>
      <c r="J427" s="25">
        <f>IF(Q427="C",N(H427),0)</f>
        <v/>
      </c>
      <c r="K427" s="26">
        <f>IF(Z427="","",Z427)</f>
        <v/>
      </c>
      <c r="L427" s="27">
        <f>W427</f>
        <v/>
      </c>
      <c r="M427" s="28">
        <f>AA427</f>
        <v/>
      </c>
      <c r="N427" s="23">
        <f>IF(AND(B427="",C427="",D427="",N(H427)=0),"",IF(B427="","Enter the date",IF(C427="","Pick the party",IF(P427="?","Add this party on the Parties sheet first",IF(D427="","Pick the entry type",IF(Q427="?","Pick the entry type from the list",IF(N(H427)=0,"Enter the amount",IF(AND(R427&lt;&gt;"Any",R427&lt;&gt;P427),"Sales, receipts and credit notes are for debtors; purchases, payments and debit notes for creditors",IF(AND(F427&lt;&gt;"",D427&lt;&gt;"Purchase bill"),"The received-on date is only for purchase bills",IF(AND(P427="Creditor",X427=1,AA427&gt;0),"Past due to a micro or small supplier: interest runs under MSMED s.16, and if unpaid at year end it is not deductible that year, s.37(2)(g)",IF(AND(P427="Debtor",X427=1,AA427&gt;0),"Past due to you: as a micro or small supplier you can claim interest under MSMED s.16","OK")))))))))))</f>
        <v/>
      </c>
      <c r="P427">
        <f>IF(C427="","",IFERROR(VLOOKUP(C427,'Parties'!$B$13:$Q$112,2,FALSE),"?"))</f>
        <v/>
      </c>
      <c r="Q427">
        <f>IF(D427="","",IFERROR(VLOOKUP(D427,Lists!$A$2:$D$9,3,FALSE),"?"))</f>
        <v/>
      </c>
      <c r="R427">
        <f>IF(D427="","",IFERROR(VLOOKUP(D427,Lists!$A$2:$D$9,4,FALSE),"?"))</f>
        <v/>
      </c>
      <c r="S427">
        <f>IF(P427="Debtor",I427,IF(P427="Creditor",J427,0))</f>
        <v/>
      </c>
      <c r="T427">
        <f>IF(P427="Debtor",J427,IF(P427="Creditor",I427,0))</f>
        <v/>
      </c>
      <c r="U427">
        <f>IF(OR(S427=0,B427=""),0,IFERROR(VLOOKUP(C427,'Parties'!$B$13:$Q$112,13,FALSE),0)+SUMIFS($S$7:$S$506,$C$7:$C$506,C427,$B$7:$B$506,"&lt;"&amp;B427)+SUMIFS(S$7:S427,C$7:C427,C427,B$7:B427,B427))</f>
        <v/>
      </c>
      <c r="V427">
        <f>IF(S427=0,0,IFERROR(VLOOKUP(C427,'Parties'!$B$13:$Q$112,14,FALSE),0)+SUMIFS($T$7:$T$506,$C$7:$C$506,C427,$B$7:$B$506,"&lt;="&amp;'Outstanding'!$E$5))</f>
        <v/>
      </c>
      <c r="W427">
        <f>IF(OR('Outstanding'!$E$5="",S427=0,B427="",B427&gt;'Outstanding'!$E$5),0,MAX(0,MIN(S427,U427-V427)))</f>
        <v/>
      </c>
      <c r="X427">
        <f>IF(C427="",0,IFERROR(VLOOKUP(C427,'Parties'!$B$13:$Q$112,15,FALSE),0))</f>
        <v/>
      </c>
      <c r="Y427">
        <f>IF(C427="","",IFERROR(VLOOKUP(C427,'Parties'!$B$13:$Q$112,16,FALSE),0))</f>
        <v/>
      </c>
      <c r="Z427">
        <f>IF(OR(S427=0,B427="",Y427=""),"",IF(AND(F427&lt;&gt;"",D427="Purchase bill"),F427,B427)+Y427)</f>
        <v/>
      </c>
      <c r="AA427">
        <f>IF(OR(W427=0,Z427=""),0,MAX(0,'Outstanding'!$E$5-Z427))</f>
        <v/>
      </c>
      <c r="AB427">
        <f>IF(AND(X427=1,AA427&gt;0),W427*((1+3*N('Parties'!$E$10)/12)^(AA427*12/365)-1),0)</f>
        <v/>
      </c>
      <c r="AC427">
        <f>IF(W427=0,"",'Outstanding'!$E$5-B427)</f>
        <v/>
      </c>
      <c r="AD427">
        <f>IF(S427=0,0,IFERROR(VLOOKUP(C427,'Parties'!$B$13:$Q$112,14,FALSE),0)+SUMIFS($T$7:$T$506,$C$7:$C$506,C427,$B$7:$B$506,"&lt;="&amp;'Parties'!$E$8))</f>
        <v/>
      </c>
      <c r="AE427">
        <f>IF(OR('Parties'!$E$8="",S427=0,B427="",B427&gt;'Parties'!$E$8),0,MAX(0,MIN(S427,U427-AD427)))</f>
        <v/>
      </c>
      <c r="AF427">
        <f>IF(AND(P427="Creditor",X427=1,AE427&gt;0,Z427&lt;&gt;""),IF(Z427&lt;='Parties'!$E$8,AE427,0),0)</f>
        <v/>
      </c>
      <c r="AG427">
        <f>IF(OR(AE427=0,Z427=""),0,MAX(0,'Parties'!$E$8-Z427))</f>
        <v/>
      </c>
      <c r="AH427">
        <f>IF(AND(P427="Creditor",X427=1,AG427&gt;0),AE427*((1+3*N('Parties'!$E$10)/12)^(AG427*12/365)-1),0)</f>
        <v/>
      </c>
      <c r="AI427">
        <f>IF(AND(C427&lt;&gt;"",C427='Ledger Account'!$D$4,B427&lt;&gt;"",B427&gt;='Ledger Account'!$D$5,B427&lt;='Ledger Account'!$D$6),1,0)</f>
        <v/>
      </c>
      <c r="AJ427">
        <f>IF(AI427=1,SUM(AI$7:AI427),"")</f>
        <v/>
      </c>
      <c r="AK427">
        <f>IF(OR(N427="",N427="OK"),0,1)</f>
        <v/>
      </c>
    </row>
    <row r="428">
      <c r="B428" s="24" t="n"/>
      <c r="C428" s="14" t="n"/>
      <c r="D428" s="14" t="n"/>
      <c r="E428" s="20" t="n"/>
      <c r="F428" s="24" t="n"/>
      <c r="G428" s="14" t="n"/>
      <c r="H428" s="22" t="n"/>
      <c r="I428" s="25">
        <f>IF(Q428="D",N(H428),0)</f>
        <v/>
      </c>
      <c r="J428" s="25">
        <f>IF(Q428="C",N(H428),0)</f>
        <v/>
      </c>
      <c r="K428" s="26">
        <f>IF(Z428="","",Z428)</f>
        <v/>
      </c>
      <c r="L428" s="27">
        <f>W428</f>
        <v/>
      </c>
      <c r="M428" s="28">
        <f>AA428</f>
        <v/>
      </c>
      <c r="N428" s="23">
        <f>IF(AND(B428="",C428="",D428="",N(H428)=0),"",IF(B428="","Enter the date",IF(C428="","Pick the party",IF(P428="?","Add this party on the Parties sheet first",IF(D428="","Pick the entry type",IF(Q428="?","Pick the entry type from the list",IF(N(H428)=0,"Enter the amount",IF(AND(R428&lt;&gt;"Any",R428&lt;&gt;P428),"Sales, receipts and credit notes are for debtors; purchases, payments and debit notes for creditors",IF(AND(F428&lt;&gt;"",D428&lt;&gt;"Purchase bill"),"The received-on date is only for purchase bills",IF(AND(P428="Creditor",X428=1,AA428&gt;0),"Past due to a micro or small supplier: interest runs under MSMED s.16, and if unpaid at year end it is not deductible that year, s.37(2)(g)",IF(AND(P428="Debtor",X428=1,AA428&gt;0),"Past due to you: as a micro or small supplier you can claim interest under MSMED s.16","OK")))))))))))</f>
        <v/>
      </c>
      <c r="P428">
        <f>IF(C428="","",IFERROR(VLOOKUP(C428,'Parties'!$B$13:$Q$112,2,FALSE),"?"))</f>
        <v/>
      </c>
      <c r="Q428">
        <f>IF(D428="","",IFERROR(VLOOKUP(D428,Lists!$A$2:$D$9,3,FALSE),"?"))</f>
        <v/>
      </c>
      <c r="R428">
        <f>IF(D428="","",IFERROR(VLOOKUP(D428,Lists!$A$2:$D$9,4,FALSE),"?"))</f>
        <v/>
      </c>
      <c r="S428">
        <f>IF(P428="Debtor",I428,IF(P428="Creditor",J428,0))</f>
        <v/>
      </c>
      <c r="T428">
        <f>IF(P428="Debtor",J428,IF(P428="Creditor",I428,0))</f>
        <v/>
      </c>
      <c r="U428">
        <f>IF(OR(S428=0,B428=""),0,IFERROR(VLOOKUP(C428,'Parties'!$B$13:$Q$112,13,FALSE),0)+SUMIFS($S$7:$S$506,$C$7:$C$506,C428,$B$7:$B$506,"&lt;"&amp;B428)+SUMIFS(S$7:S428,C$7:C428,C428,B$7:B428,B428))</f>
        <v/>
      </c>
      <c r="V428">
        <f>IF(S428=0,0,IFERROR(VLOOKUP(C428,'Parties'!$B$13:$Q$112,14,FALSE),0)+SUMIFS($T$7:$T$506,$C$7:$C$506,C428,$B$7:$B$506,"&lt;="&amp;'Outstanding'!$E$5))</f>
        <v/>
      </c>
      <c r="W428">
        <f>IF(OR('Outstanding'!$E$5="",S428=0,B428="",B428&gt;'Outstanding'!$E$5),0,MAX(0,MIN(S428,U428-V428)))</f>
        <v/>
      </c>
      <c r="X428">
        <f>IF(C428="",0,IFERROR(VLOOKUP(C428,'Parties'!$B$13:$Q$112,15,FALSE),0))</f>
        <v/>
      </c>
      <c r="Y428">
        <f>IF(C428="","",IFERROR(VLOOKUP(C428,'Parties'!$B$13:$Q$112,16,FALSE),0))</f>
        <v/>
      </c>
      <c r="Z428">
        <f>IF(OR(S428=0,B428="",Y428=""),"",IF(AND(F428&lt;&gt;"",D428="Purchase bill"),F428,B428)+Y428)</f>
        <v/>
      </c>
      <c r="AA428">
        <f>IF(OR(W428=0,Z428=""),0,MAX(0,'Outstanding'!$E$5-Z428))</f>
        <v/>
      </c>
      <c r="AB428">
        <f>IF(AND(X428=1,AA428&gt;0),W428*((1+3*N('Parties'!$E$10)/12)^(AA428*12/365)-1),0)</f>
        <v/>
      </c>
      <c r="AC428">
        <f>IF(W428=0,"",'Outstanding'!$E$5-B428)</f>
        <v/>
      </c>
      <c r="AD428">
        <f>IF(S428=0,0,IFERROR(VLOOKUP(C428,'Parties'!$B$13:$Q$112,14,FALSE),0)+SUMIFS($T$7:$T$506,$C$7:$C$506,C428,$B$7:$B$506,"&lt;="&amp;'Parties'!$E$8))</f>
        <v/>
      </c>
      <c r="AE428">
        <f>IF(OR('Parties'!$E$8="",S428=0,B428="",B428&gt;'Parties'!$E$8),0,MAX(0,MIN(S428,U428-AD428)))</f>
        <v/>
      </c>
      <c r="AF428">
        <f>IF(AND(P428="Creditor",X428=1,AE428&gt;0,Z428&lt;&gt;""),IF(Z428&lt;='Parties'!$E$8,AE428,0),0)</f>
        <v/>
      </c>
      <c r="AG428">
        <f>IF(OR(AE428=0,Z428=""),0,MAX(0,'Parties'!$E$8-Z428))</f>
        <v/>
      </c>
      <c r="AH428">
        <f>IF(AND(P428="Creditor",X428=1,AG428&gt;0),AE428*((1+3*N('Parties'!$E$10)/12)^(AG428*12/365)-1),0)</f>
        <v/>
      </c>
      <c r="AI428">
        <f>IF(AND(C428&lt;&gt;"",C428='Ledger Account'!$D$4,B428&lt;&gt;"",B428&gt;='Ledger Account'!$D$5,B428&lt;='Ledger Account'!$D$6),1,0)</f>
        <v/>
      </c>
      <c r="AJ428">
        <f>IF(AI428=1,SUM(AI$7:AI428),"")</f>
        <v/>
      </c>
      <c r="AK428">
        <f>IF(OR(N428="",N428="OK"),0,1)</f>
        <v/>
      </c>
    </row>
    <row r="429">
      <c r="B429" s="24" t="n"/>
      <c r="C429" s="14" t="n"/>
      <c r="D429" s="14" t="n"/>
      <c r="E429" s="20" t="n"/>
      <c r="F429" s="24" t="n"/>
      <c r="G429" s="14" t="n"/>
      <c r="H429" s="22" t="n"/>
      <c r="I429" s="25">
        <f>IF(Q429="D",N(H429),0)</f>
        <v/>
      </c>
      <c r="J429" s="25">
        <f>IF(Q429="C",N(H429),0)</f>
        <v/>
      </c>
      <c r="K429" s="26">
        <f>IF(Z429="","",Z429)</f>
        <v/>
      </c>
      <c r="L429" s="27">
        <f>W429</f>
        <v/>
      </c>
      <c r="M429" s="28">
        <f>AA429</f>
        <v/>
      </c>
      <c r="N429" s="23">
        <f>IF(AND(B429="",C429="",D429="",N(H429)=0),"",IF(B429="","Enter the date",IF(C429="","Pick the party",IF(P429="?","Add this party on the Parties sheet first",IF(D429="","Pick the entry type",IF(Q429="?","Pick the entry type from the list",IF(N(H429)=0,"Enter the amount",IF(AND(R429&lt;&gt;"Any",R429&lt;&gt;P429),"Sales, receipts and credit notes are for debtors; purchases, payments and debit notes for creditors",IF(AND(F429&lt;&gt;"",D429&lt;&gt;"Purchase bill"),"The received-on date is only for purchase bills",IF(AND(P429="Creditor",X429=1,AA429&gt;0),"Past due to a micro or small supplier: interest runs under MSMED s.16, and if unpaid at year end it is not deductible that year, s.37(2)(g)",IF(AND(P429="Debtor",X429=1,AA429&gt;0),"Past due to you: as a micro or small supplier you can claim interest under MSMED s.16","OK")))))))))))</f>
        <v/>
      </c>
      <c r="P429">
        <f>IF(C429="","",IFERROR(VLOOKUP(C429,'Parties'!$B$13:$Q$112,2,FALSE),"?"))</f>
        <v/>
      </c>
      <c r="Q429">
        <f>IF(D429="","",IFERROR(VLOOKUP(D429,Lists!$A$2:$D$9,3,FALSE),"?"))</f>
        <v/>
      </c>
      <c r="R429">
        <f>IF(D429="","",IFERROR(VLOOKUP(D429,Lists!$A$2:$D$9,4,FALSE),"?"))</f>
        <v/>
      </c>
      <c r="S429">
        <f>IF(P429="Debtor",I429,IF(P429="Creditor",J429,0))</f>
        <v/>
      </c>
      <c r="T429">
        <f>IF(P429="Debtor",J429,IF(P429="Creditor",I429,0))</f>
        <v/>
      </c>
      <c r="U429">
        <f>IF(OR(S429=0,B429=""),0,IFERROR(VLOOKUP(C429,'Parties'!$B$13:$Q$112,13,FALSE),0)+SUMIFS($S$7:$S$506,$C$7:$C$506,C429,$B$7:$B$506,"&lt;"&amp;B429)+SUMIFS(S$7:S429,C$7:C429,C429,B$7:B429,B429))</f>
        <v/>
      </c>
      <c r="V429">
        <f>IF(S429=0,0,IFERROR(VLOOKUP(C429,'Parties'!$B$13:$Q$112,14,FALSE),0)+SUMIFS($T$7:$T$506,$C$7:$C$506,C429,$B$7:$B$506,"&lt;="&amp;'Outstanding'!$E$5))</f>
        <v/>
      </c>
      <c r="W429">
        <f>IF(OR('Outstanding'!$E$5="",S429=0,B429="",B429&gt;'Outstanding'!$E$5),0,MAX(0,MIN(S429,U429-V429)))</f>
        <v/>
      </c>
      <c r="X429">
        <f>IF(C429="",0,IFERROR(VLOOKUP(C429,'Parties'!$B$13:$Q$112,15,FALSE),0))</f>
        <v/>
      </c>
      <c r="Y429">
        <f>IF(C429="","",IFERROR(VLOOKUP(C429,'Parties'!$B$13:$Q$112,16,FALSE),0))</f>
        <v/>
      </c>
      <c r="Z429">
        <f>IF(OR(S429=0,B429="",Y429=""),"",IF(AND(F429&lt;&gt;"",D429="Purchase bill"),F429,B429)+Y429)</f>
        <v/>
      </c>
      <c r="AA429">
        <f>IF(OR(W429=0,Z429=""),0,MAX(0,'Outstanding'!$E$5-Z429))</f>
        <v/>
      </c>
      <c r="AB429">
        <f>IF(AND(X429=1,AA429&gt;0),W429*((1+3*N('Parties'!$E$10)/12)^(AA429*12/365)-1),0)</f>
        <v/>
      </c>
      <c r="AC429">
        <f>IF(W429=0,"",'Outstanding'!$E$5-B429)</f>
        <v/>
      </c>
      <c r="AD429">
        <f>IF(S429=0,0,IFERROR(VLOOKUP(C429,'Parties'!$B$13:$Q$112,14,FALSE),0)+SUMIFS($T$7:$T$506,$C$7:$C$506,C429,$B$7:$B$506,"&lt;="&amp;'Parties'!$E$8))</f>
        <v/>
      </c>
      <c r="AE429">
        <f>IF(OR('Parties'!$E$8="",S429=0,B429="",B429&gt;'Parties'!$E$8),0,MAX(0,MIN(S429,U429-AD429)))</f>
        <v/>
      </c>
      <c r="AF429">
        <f>IF(AND(P429="Creditor",X429=1,AE429&gt;0,Z429&lt;&gt;""),IF(Z429&lt;='Parties'!$E$8,AE429,0),0)</f>
        <v/>
      </c>
      <c r="AG429">
        <f>IF(OR(AE429=0,Z429=""),0,MAX(0,'Parties'!$E$8-Z429))</f>
        <v/>
      </c>
      <c r="AH429">
        <f>IF(AND(P429="Creditor",X429=1,AG429&gt;0),AE429*((1+3*N('Parties'!$E$10)/12)^(AG429*12/365)-1),0)</f>
        <v/>
      </c>
      <c r="AI429">
        <f>IF(AND(C429&lt;&gt;"",C429='Ledger Account'!$D$4,B429&lt;&gt;"",B429&gt;='Ledger Account'!$D$5,B429&lt;='Ledger Account'!$D$6),1,0)</f>
        <v/>
      </c>
      <c r="AJ429">
        <f>IF(AI429=1,SUM(AI$7:AI429),"")</f>
        <v/>
      </c>
      <c r="AK429">
        <f>IF(OR(N429="",N429="OK"),0,1)</f>
        <v/>
      </c>
    </row>
    <row r="430">
      <c r="B430" s="24" t="n"/>
      <c r="C430" s="14" t="n"/>
      <c r="D430" s="14" t="n"/>
      <c r="E430" s="20" t="n"/>
      <c r="F430" s="24" t="n"/>
      <c r="G430" s="14" t="n"/>
      <c r="H430" s="22" t="n"/>
      <c r="I430" s="25">
        <f>IF(Q430="D",N(H430),0)</f>
        <v/>
      </c>
      <c r="J430" s="25">
        <f>IF(Q430="C",N(H430),0)</f>
        <v/>
      </c>
      <c r="K430" s="26">
        <f>IF(Z430="","",Z430)</f>
        <v/>
      </c>
      <c r="L430" s="27">
        <f>W430</f>
        <v/>
      </c>
      <c r="M430" s="28">
        <f>AA430</f>
        <v/>
      </c>
      <c r="N430" s="23">
        <f>IF(AND(B430="",C430="",D430="",N(H430)=0),"",IF(B430="","Enter the date",IF(C430="","Pick the party",IF(P430="?","Add this party on the Parties sheet first",IF(D430="","Pick the entry type",IF(Q430="?","Pick the entry type from the list",IF(N(H430)=0,"Enter the amount",IF(AND(R430&lt;&gt;"Any",R430&lt;&gt;P430),"Sales, receipts and credit notes are for debtors; purchases, payments and debit notes for creditors",IF(AND(F430&lt;&gt;"",D430&lt;&gt;"Purchase bill"),"The received-on date is only for purchase bills",IF(AND(P430="Creditor",X430=1,AA430&gt;0),"Past due to a micro or small supplier: interest runs under MSMED s.16, and if unpaid at year end it is not deductible that year, s.37(2)(g)",IF(AND(P430="Debtor",X430=1,AA430&gt;0),"Past due to you: as a micro or small supplier you can claim interest under MSMED s.16","OK")))))))))))</f>
        <v/>
      </c>
      <c r="P430">
        <f>IF(C430="","",IFERROR(VLOOKUP(C430,'Parties'!$B$13:$Q$112,2,FALSE),"?"))</f>
        <v/>
      </c>
      <c r="Q430">
        <f>IF(D430="","",IFERROR(VLOOKUP(D430,Lists!$A$2:$D$9,3,FALSE),"?"))</f>
        <v/>
      </c>
      <c r="R430">
        <f>IF(D430="","",IFERROR(VLOOKUP(D430,Lists!$A$2:$D$9,4,FALSE),"?"))</f>
        <v/>
      </c>
      <c r="S430">
        <f>IF(P430="Debtor",I430,IF(P430="Creditor",J430,0))</f>
        <v/>
      </c>
      <c r="T430">
        <f>IF(P430="Debtor",J430,IF(P430="Creditor",I430,0))</f>
        <v/>
      </c>
      <c r="U430">
        <f>IF(OR(S430=0,B430=""),0,IFERROR(VLOOKUP(C430,'Parties'!$B$13:$Q$112,13,FALSE),0)+SUMIFS($S$7:$S$506,$C$7:$C$506,C430,$B$7:$B$506,"&lt;"&amp;B430)+SUMIFS(S$7:S430,C$7:C430,C430,B$7:B430,B430))</f>
        <v/>
      </c>
      <c r="V430">
        <f>IF(S430=0,0,IFERROR(VLOOKUP(C430,'Parties'!$B$13:$Q$112,14,FALSE),0)+SUMIFS($T$7:$T$506,$C$7:$C$506,C430,$B$7:$B$506,"&lt;="&amp;'Outstanding'!$E$5))</f>
        <v/>
      </c>
      <c r="W430">
        <f>IF(OR('Outstanding'!$E$5="",S430=0,B430="",B430&gt;'Outstanding'!$E$5),0,MAX(0,MIN(S430,U430-V430)))</f>
        <v/>
      </c>
      <c r="X430">
        <f>IF(C430="",0,IFERROR(VLOOKUP(C430,'Parties'!$B$13:$Q$112,15,FALSE),0))</f>
        <v/>
      </c>
      <c r="Y430">
        <f>IF(C430="","",IFERROR(VLOOKUP(C430,'Parties'!$B$13:$Q$112,16,FALSE),0))</f>
        <v/>
      </c>
      <c r="Z430">
        <f>IF(OR(S430=0,B430="",Y430=""),"",IF(AND(F430&lt;&gt;"",D430="Purchase bill"),F430,B430)+Y430)</f>
        <v/>
      </c>
      <c r="AA430">
        <f>IF(OR(W430=0,Z430=""),0,MAX(0,'Outstanding'!$E$5-Z430))</f>
        <v/>
      </c>
      <c r="AB430">
        <f>IF(AND(X430=1,AA430&gt;0),W430*((1+3*N('Parties'!$E$10)/12)^(AA430*12/365)-1),0)</f>
        <v/>
      </c>
      <c r="AC430">
        <f>IF(W430=0,"",'Outstanding'!$E$5-B430)</f>
        <v/>
      </c>
      <c r="AD430">
        <f>IF(S430=0,0,IFERROR(VLOOKUP(C430,'Parties'!$B$13:$Q$112,14,FALSE),0)+SUMIFS($T$7:$T$506,$C$7:$C$506,C430,$B$7:$B$506,"&lt;="&amp;'Parties'!$E$8))</f>
        <v/>
      </c>
      <c r="AE430">
        <f>IF(OR('Parties'!$E$8="",S430=0,B430="",B430&gt;'Parties'!$E$8),0,MAX(0,MIN(S430,U430-AD430)))</f>
        <v/>
      </c>
      <c r="AF430">
        <f>IF(AND(P430="Creditor",X430=1,AE430&gt;0,Z430&lt;&gt;""),IF(Z430&lt;='Parties'!$E$8,AE430,0),0)</f>
        <v/>
      </c>
      <c r="AG430">
        <f>IF(OR(AE430=0,Z430=""),0,MAX(0,'Parties'!$E$8-Z430))</f>
        <v/>
      </c>
      <c r="AH430">
        <f>IF(AND(P430="Creditor",X430=1,AG430&gt;0),AE430*((1+3*N('Parties'!$E$10)/12)^(AG430*12/365)-1),0)</f>
        <v/>
      </c>
      <c r="AI430">
        <f>IF(AND(C430&lt;&gt;"",C430='Ledger Account'!$D$4,B430&lt;&gt;"",B430&gt;='Ledger Account'!$D$5,B430&lt;='Ledger Account'!$D$6),1,0)</f>
        <v/>
      </c>
      <c r="AJ430">
        <f>IF(AI430=1,SUM(AI$7:AI430),"")</f>
        <v/>
      </c>
      <c r="AK430">
        <f>IF(OR(N430="",N430="OK"),0,1)</f>
        <v/>
      </c>
    </row>
    <row r="431">
      <c r="B431" s="24" t="n"/>
      <c r="C431" s="14" t="n"/>
      <c r="D431" s="14" t="n"/>
      <c r="E431" s="20" t="n"/>
      <c r="F431" s="24" t="n"/>
      <c r="G431" s="14" t="n"/>
      <c r="H431" s="22" t="n"/>
      <c r="I431" s="25">
        <f>IF(Q431="D",N(H431),0)</f>
        <v/>
      </c>
      <c r="J431" s="25">
        <f>IF(Q431="C",N(H431),0)</f>
        <v/>
      </c>
      <c r="K431" s="26">
        <f>IF(Z431="","",Z431)</f>
        <v/>
      </c>
      <c r="L431" s="27">
        <f>W431</f>
        <v/>
      </c>
      <c r="M431" s="28">
        <f>AA431</f>
        <v/>
      </c>
      <c r="N431" s="23">
        <f>IF(AND(B431="",C431="",D431="",N(H431)=0),"",IF(B431="","Enter the date",IF(C431="","Pick the party",IF(P431="?","Add this party on the Parties sheet first",IF(D431="","Pick the entry type",IF(Q431="?","Pick the entry type from the list",IF(N(H431)=0,"Enter the amount",IF(AND(R431&lt;&gt;"Any",R431&lt;&gt;P431),"Sales, receipts and credit notes are for debtors; purchases, payments and debit notes for creditors",IF(AND(F431&lt;&gt;"",D431&lt;&gt;"Purchase bill"),"The received-on date is only for purchase bills",IF(AND(P431="Creditor",X431=1,AA431&gt;0),"Past due to a micro or small supplier: interest runs under MSMED s.16, and if unpaid at year end it is not deductible that year, s.37(2)(g)",IF(AND(P431="Debtor",X431=1,AA431&gt;0),"Past due to you: as a micro or small supplier you can claim interest under MSMED s.16","OK")))))))))))</f>
        <v/>
      </c>
      <c r="P431">
        <f>IF(C431="","",IFERROR(VLOOKUP(C431,'Parties'!$B$13:$Q$112,2,FALSE),"?"))</f>
        <v/>
      </c>
      <c r="Q431">
        <f>IF(D431="","",IFERROR(VLOOKUP(D431,Lists!$A$2:$D$9,3,FALSE),"?"))</f>
        <v/>
      </c>
      <c r="R431">
        <f>IF(D431="","",IFERROR(VLOOKUP(D431,Lists!$A$2:$D$9,4,FALSE),"?"))</f>
        <v/>
      </c>
      <c r="S431">
        <f>IF(P431="Debtor",I431,IF(P431="Creditor",J431,0))</f>
        <v/>
      </c>
      <c r="T431">
        <f>IF(P431="Debtor",J431,IF(P431="Creditor",I431,0))</f>
        <v/>
      </c>
      <c r="U431">
        <f>IF(OR(S431=0,B431=""),0,IFERROR(VLOOKUP(C431,'Parties'!$B$13:$Q$112,13,FALSE),0)+SUMIFS($S$7:$S$506,$C$7:$C$506,C431,$B$7:$B$506,"&lt;"&amp;B431)+SUMIFS(S$7:S431,C$7:C431,C431,B$7:B431,B431))</f>
        <v/>
      </c>
      <c r="V431">
        <f>IF(S431=0,0,IFERROR(VLOOKUP(C431,'Parties'!$B$13:$Q$112,14,FALSE),0)+SUMIFS($T$7:$T$506,$C$7:$C$506,C431,$B$7:$B$506,"&lt;="&amp;'Outstanding'!$E$5))</f>
        <v/>
      </c>
      <c r="W431">
        <f>IF(OR('Outstanding'!$E$5="",S431=0,B431="",B431&gt;'Outstanding'!$E$5),0,MAX(0,MIN(S431,U431-V431)))</f>
        <v/>
      </c>
      <c r="X431">
        <f>IF(C431="",0,IFERROR(VLOOKUP(C431,'Parties'!$B$13:$Q$112,15,FALSE),0))</f>
        <v/>
      </c>
      <c r="Y431">
        <f>IF(C431="","",IFERROR(VLOOKUP(C431,'Parties'!$B$13:$Q$112,16,FALSE),0))</f>
        <v/>
      </c>
      <c r="Z431">
        <f>IF(OR(S431=0,B431="",Y431=""),"",IF(AND(F431&lt;&gt;"",D431="Purchase bill"),F431,B431)+Y431)</f>
        <v/>
      </c>
      <c r="AA431">
        <f>IF(OR(W431=0,Z431=""),0,MAX(0,'Outstanding'!$E$5-Z431))</f>
        <v/>
      </c>
      <c r="AB431">
        <f>IF(AND(X431=1,AA431&gt;0),W431*((1+3*N('Parties'!$E$10)/12)^(AA431*12/365)-1),0)</f>
        <v/>
      </c>
      <c r="AC431">
        <f>IF(W431=0,"",'Outstanding'!$E$5-B431)</f>
        <v/>
      </c>
      <c r="AD431">
        <f>IF(S431=0,0,IFERROR(VLOOKUP(C431,'Parties'!$B$13:$Q$112,14,FALSE),0)+SUMIFS($T$7:$T$506,$C$7:$C$506,C431,$B$7:$B$506,"&lt;="&amp;'Parties'!$E$8))</f>
        <v/>
      </c>
      <c r="AE431">
        <f>IF(OR('Parties'!$E$8="",S431=0,B431="",B431&gt;'Parties'!$E$8),0,MAX(0,MIN(S431,U431-AD431)))</f>
        <v/>
      </c>
      <c r="AF431">
        <f>IF(AND(P431="Creditor",X431=1,AE431&gt;0,Z431&lt;&gt;""),IF(Z431&lt;='Parties'!$E$8,AE431,0),0)</f>
        <v/>
      </c>
      <c r="AG431">
        <f>IF(OR(AE431=0,Z431=""),0,MAX(0,'Parties'!$E$8-Z431))</f>
        <v/>
      </c>
      <c r="AH431">
        <f>IF(AND(P431="Creditor",X431=1,AG431&gt;0),AE431*((1+3*N('Parties'!$E$10)/12)^(AG431*12/365)-1),0)</f>
        <v/>
      </c>
      <c r="AI431">
        <f>IF(AND(C431&lt;&gt;"",C431='Ledger Account'!$D$4,B431&lt;&gt;"",B431&gt;='Ledger Account'!$D$5,B431&lt;='Ledger Account'!$D$6),1,0)</f>
        <v/>
      </c>
      <c r="AJ431">
        <f>IF(AI431=1,SUM(AI$7:AI431),"")</f>
        <v/>
      </c>
      <c r="AK431">
        <f>IF(OR(N431="",N431="OK"),0,1)</f>
        <v/>
      </c>
    </row>
    <row r="432">
      <c r="B432" s="24" t="n"/>
      <c r="C432" s="14" t="n"/>
      <c r="D432" s="14" t="n"/>
      <c r="E432" s="20" t="n"/>
      <c r="F432" s="24" t="n"/>
      <c r="G432" s="14" t="n"/>
      <c r="H432" s="22" t="n"/>
      <c r="I432" s="25">
        <f>IF(Q432="D",N(H432),0)</f>
        <v/>
      </c>
      <c r="J432" s="25">
        <f>IF(Q432="C",N(H432),0)</f>
        <v/>
      </c>
      <c r="K432" s="26">
        <f>IF(Z432="","",Z432)</f>
        <v/>
      </c>
      <c r="L432" s="27">
        <f>W432</f>
        <v/>
      </c>
      <c r="M432" s="28">
        <f>AA432</f>
        <v/>
      </c>
      <c r="N432" s="23">
        <f>IF(AND(B432="",C432="",D432="",N(H432)=0),"",IF(B432="","Enter the date",IF(C432="","Pick the party",IF(P432="?","Add this party on the Parties sheet first",IF(D432="","Pick the entry type",IF(Q432="?","Pick the entry type from the list",IF(N(H432)=0,"Enter the amount",IF(AND(R432&lt;&gt;"Any",R432&lt;&gt;P432),"Sales, receipts and credit notes are for debtors; purchases, payments and debit notes for creditors",IF(AND(F432&lt;&gt;"",D432&lt;&gt;"Purchase bill"),"The received-on date is only for purchase bills",IF(AND(P432="Creditor",X432=1,AA432&gt;0),"Past due to a micro or small supplier: interest runs under MSMED s.16, and if unpaid at year end it is not deductible that year, s.37(2)(g)",IF(AND(P432="Debtor",X432=1,AA432&gt;0),"Past due to you: as a micro or small supplier you can claim interest under MSMED s.16","OK")))))))))))</f>
        <v/>
      </c>
      <c r="P432">
        <f>IF(C432="","",IFERROR(VLOOKUP(C432,'Parties'!$B$13:$Q$112,2,FALSE),"?"))</f>
        <v/>
      </c>
      <c r="Q432">
        <f>IF(D432="","",IFERROR(VLOOKUP(D432,Lists!$A$2:$D$9,3,FALSE),"?"))</f>
        <v/>
      </c>
      <c r="R432">
        <f>IF(D432="","",IFERROR(VLOOKUP(D432,Lists!$A$2:$D$9,4,FALSE),"?"))</f>
        <v/>
      </c>
      <c r="S432">
        <f>IF(P432="Debtor",I432,IF(P432="Creditor",J432,0))</f>
        <v/>
      </c>
      <c r="T432">
        <f>IF(P432="Debtor",J432,IF(P432="Creditor",I432,0))</f>
        <v/>
      </c>
      <c r="U432">
        <f>IF(OR(S432=0,B432=""),0,IFERROR(VLOOKUP(C432,'Parties'!$B$13:$Q$112,13,FALSE),0)+SUMIFS($S$7:$S$506,$C$7:$C$506,C432,$B$7:$B$506,"&lt;"&amp;B432)+SUMIFS(S$7:S432,C$7:C432,C432,B$7:B432,B432))</f>
        <v/>
      </c>
      <c r="V432">
        <f>IF(S432=0,0,IFERROR(VLOOKUP(C432,'Parties'!$B$13:$Q$112,14,FALSE),0)+SUMIFS($T$7:$T$506,$C$7:$C$506,C432,$B$7:$B$506,"&lt;="&amp;'Outstanding'!$E$5))</f>
        <v/>
      </c>
      <c r="W432">
        <f>IF(OR('Outstanding'!$E$5="",S432=0,B432="",B432&gt;'Outstanding'!$E$5),0,MAX(0,MIN(S432,U432-V432)))</f>
        <v/>
      </c>
      <c r="X432">
        <f>IF(C432="",0,IFERROR(VLOOKUP(C432,'Parties'!$B$13:$Q$112,15,FALSE),0))</f>
        <v/>
      </c>
      <c r="Y432">
        <f>IF(C432="","",IFERROR(VLOOKUP(C432,'Parties'!$B$13:$Q$112,16,FALSE),0))</f>
        <v/>
      </c>
      <c r="Z432">
        <f>IF(OR(S432=0,B432="",Y432=""),"",IF(AND(F432&lt;&gt;"",D432="Purchase bill"),F432,B432)+Y432)</f>
        <v/>
      </c>
      <c r="AA432">
        <f>IF(OR(W432=0,Z432=""),0,MAX(0,'Outstanding'!$E$5-Z432))</f>
        <v/>
      </c>
      <c r="AB432">
        <f>IF(AND(X432=1,AA432&gt;0),W432*((1+3*N('Parties'!$E$10)/12)^(AA432*12/365)-1),0)</f>
        <v/>
      </c>
      <c r="AC432">
        <f>IF(W432=0,"",'Outstanding'!$E$5-B432)</f>
        <v/>
      </c>
      <c r="AD432">
        <f>IF(S432=0,0,IFERROR(VLOOKUP(C432,'Parties'!$B$13:$Q$112,14,FALSE),0)+SUMIFS($T$7:$T$506,$C$7:$C$506,C432,$B$7:$B$506,"&lt;="&amp;'Parties'!$E$8))</f>
        <v/>
      </c>
      <c r="AE432">
        <f>IF(OR('Parties'!$E$8="",S432=0,B432="",B432&gt;'Parties'!$E$8),0,MAX(0,MIN(S432,U432-AD432)))</f>
        <v/>
      </c>
      <c r="AF432">
        <f>IF(AND(P432="Creditor",X432=1,AE432&gt;0,Z432&lt;&gt;""),IF(Z432&lt;='Parties'!$E$8,AE432,0),0)</f>
        <v/>
      </c>
      <c r="AG432">
        <f>IF(OR(AE432=0,Z432=""),0,MAX(0,'Parties'!$E$8-Z432))</f>
        <v/>
      </c>
      <c r="AH432">
        <f>IF(AND(P432="Creditor",X432=1,AG432&gt;0),AE432*((1+3*N('Parties'!$E$10)/12)^(AG432*12/365)-1),0)</f>
        <v/>
      </c>
      <c r="AI432">
        <f>IF(AND(C432&lt;&gt;"",C432='Ledger Account'!$D$4,B432&lt;&gt;"",B432&gt;='Ledger Account'!$D$5,B432&lt;='Ledger Account'!$D$6),1,0)</f>
        <v/>
      </c>
      <c r="AJ432">
        <f>IF(AI432=1,SUM(AI$7:AI432),"")</f>
        <v/>
      </c>
      <c r="AK432">
        <f>IF(OR(N432="",N432="OK"),0,1)</f>
        <v/>
      </c>
    </row>
    <row r="433">
      <c r="B433" s="24" t="n"/>
      <c r="C433" s="14" t="n"/>
      <c r="D433" s="14" t="n"/>
      <c r="E433" s="20" t="n"/>
      <c r="F433" s="24" t="n"/>
      <c r="G433" s="14" t="n"/>
      <c r="H433" s="22" t="n"/>
      <c r="I433" s="25">
        <f>IF(Q433="D",N(H433),0)</f>
        <v/>
      </c>
      <c r="J433" s="25">
        <f>IF(Q433="C",N(H433),0)</f>
        <v/>
      </c>
      <c r="K433" s="26">
        <f>IF(Z433="","",Z433)</f>
        <v/>
      </c>
      <c r="L433" s="27">
        <f>W433</f>
        <v/>
      </c>
      <c r="M433" s="28">
        <f>AA433</f>
        <v/>
      </c>
      <c r="N433" s="23">
        <f>IF(AND(B433="",C433="",D433="",N(H433)=0),"",IF(B433="","Enter the date",IF(C433="","Pick the party",IF(P433="?","Add this party on the Parties sheet first",IF(D433="","Pick the entry type",IF(Q433="?","Pick the entry type from the list",IF(N(H433)=0,"Enter the amount",IF(AND(R433&lt;&gt;"Any",R433&lt;&gt;P433),"Sales, receipts and credit notes are for debtors; purchases, payments and debit notes for creditors",IF(AND(F433&lt;&gt;"",D433&lt;&gt;"Purchase bill"),"The received-on date is only for purchase bills",IF(AND(P433="Creditor",X433=1,AA433&gt;0),"Past due to a micro or small supplier: interest runs under MSMED s.16, and if unpaid at year end it is not deductible that year, s.37(2)(g)",IF(AND(P433="Debtor",X433=1,AA433&gt;0),"Past due to you: as a micro or small supplier you can claim interest under MSMED s.16","OK")))))))))))</f>
        <v/>
      </c>
      <c r="P433">
        <f>IF(C433="","",IFERROR(VLOOKUP(C433,'Parties'!$B$13:$Q$112,2,FALSE),"?"))</f>
        <v/>
      </c>
      <c r="Q433">
        <f>IF(D433="","",IFERROR(VLOOKUP(D433,Lists!$A$2:$D$9,3,FALSE),"?"))</f>
        <v/>
      </c>
      <c r="R433">
        <f>IF(D433="","",IFERROR(VLOOKUP(D433,Lists!$A$2:$D$9,4,FALSE),"?"))</f>
        <v/>
      </c>
      <c r="S433">
        <f>IF(P433="Debtor",I433,IF(P433="Creditor",J433,0))</f>
        <v/>
      </c>
      <c r="T433">
        <f>IF(P433="Debtor",J433,IF(P433="Creditor",I433,0))</f>
        <v/>
      </c>
      <c r="U433">
        <f>IF(OR(S433=0,B433=""),0,IFERROR(VLOOKUP(C433,'Parties'!$B$13:$Q$112,13,FALSE),0)+SUMIFS($S$7:$S$506,$C$7:$C$506,C433,$B$7:$B$506,"&lt;"&amp;B433)+SUMIFS(S$7:S433,C$7:C433,C433,B$7:B433,B433))</f>
        <v/>
      </c>
      <c r="V433">
        <f>IF(S433=0,0,IFERROR(VLOOKUP(C433,'Parties'!$B$13:$Q$112,14,FALSE),0)+SUMIFS($T$7:$T$506,$C$7:$C$506,C433,$B$7:$B$506,"&lt;="&amp;'Outstanding'!$E$5))</f>
        <v/>
      </c>
      <c r="W433">
        <f>IF(OR('Outstanding'!$E$5="",S433=0,B433="",B433&gt;'Outstanding'!$E$5),0,MAX(0,MIN(S433,U433-V433)))</f>
        <v/>
      </c>
      <c r="X433">
        <f>IF(C433="",0,IFERROR(VLOOKUP(C433,'Parties'!$B$13:$Q$112,15,FALSE),0))</f>
        <v/>
      </c>
      <c r="Y433">
        <f>IF(C433="","",IFERROR(VLOOKUP(C433,'Parties'!$B$13:$Q$112,16,FALSE),0))</f>
        <v/>
      </c>
      <c r="Z433">
        <f>IF(OR(S433=0,B433="",Y433=""),"",IF(AND(F433&lt;&gt;"",D433="Purchase bill"),F433,B433)+Y433)</f>
        <v/>
      </c>
      <c r="AA433">
        <f>IF(OR(W433=0,Z433=""),0,MAX(0,'Outstanding'!$E$5-Z433))</f>
        <v/>
      </c>
      <c r="AB433">
        <f>IF(AND(X433=1,AA433&gt;0),W433*((1+3*N('Parties'!$E$10)/12)^(AA433*12/365)-1),0)</f>
        <v/>
      </c>
      <c r="AC433">
        <f>IF(W433=0,"",'Outstanding'!$E$5-B433)</f>
        <v/>
      </c>
      <c r="AD433">
        <f>IF(S433=0,0,IFERROR(VLOOKUP(C433,'Parties'!$B$13:$Q$112,14,FALSE),0)+SUMIFS($T$7:$T$506,$C$7:$C$506,C433,$B$7:$B$506,"&lt;="&amp;'Parties'!$E$8))</f>
        <v/>
      </c>
      <c r="AE433">
        <f>IF(OR('Parties'!$E$8="",S433=0,B433="",B433&gt;'Parties'!$E$8),0,MAX(0,MIN(S433,U433-AD433)))</f>
        <v/>
      </c>
      <c r="AF433">
        <f>IF(AND(P433="Creditor",X433=1,AE433&gt;0,Z433&lt;&gt;""),IF(Z433&lt;='Parties'!$E$8,AE433,0),0)</f>
        <v/>
      </c>
      <c r="AG433">
        <f>IF(OR(AE433=0,Z433=""),0,MAX(0,'Parties'!$E$8-Z433))</f>
        <v/>
      </c>
      <c r="AH433">
        <f>IF(AND(P433="Creditor",X433=1,AG433&gt;0),AE433*((1+3*N('Parties'!$E$10)/12)^(AG433*12/365)-1),0)</f>
        <v/>
      </c>
      <c r="AI433">
        <f>IF(AND(C433&lt;&gt;"",C433='Ledger Account'!$D$4,B433&lt;&gt;"",B433&gt;='Ledger Account'!$D$5,B433&lt;='Ledger Account'!$D$6),1,0)</f>
        <v/>
      </c>
      <c r="AJ433">
        <f>IF(AI433=1,SUM(AI$7:AI433),"")</f>
        <v/>
      </c>
      <c r="AK433">
        <f>IF(OR(N433="",N433="OK"),0,1)</f>
        <v/>
      </c>
    </row>
    <row r="434">
      <c r="B434" s="24" t="n"/>
      <c r="C434" s="14" t="n"/>
      <c r="D434" s="14" t="n"/>
      <c r="E434" s="20" t="n"/>
      <c r="F434" s="24" t="n"/>
      <c r="G434" s="14" t="n"/>
      <c r="H434" s="22" t="n"/>
      <c r="I434" s="25">
        <f>IF(Q434="D",N(H434),0)</f>
        <v/>
      </c>
      <c r="J434" s="25">
        <f>IF(Q434="C",N(H434),0)</f>
        <v/>
      </c>
      <c r="K434" s="26">
        <f>IF(Z434="","",Z434)</f>
        <v/>
      </c>
      <c r="L434" s="27">
        <f>W434</f>
        <v/>
      </c>
      <c r="M434" s="28">
        <f>AA434</f>
        <v/>
      </c>
      <c r="N434" s="23">
        <f>IF(AND(B434="",C434="",D434="",N(H434)=0),"",IF(B434="","Enter the date",IF(C434="","Pick the party",IF(P434="?","Add this party on the Parties sheet first",IF(D434="","Pick the entry type",IF(Q434="?","Pick the entry type from the list",IF(N(H434)=0,"Enter the amount",IF(AND(R434&lt;&gt;"Any",R434&lt;&gt;P434),"Sales, receipts and credit notes are for debtors; purchases, payments and debit notes for creditors",IF(AND(F434&lt;&gt;"",D434&lt;&gt;"Purchase bill"),"The received-on date is only for purchase bills",IF(AND(P434="Creditor",X434=1,AA434&gt;0),"Past due to a micro or small supplier: interest runs under MSMED s.16, and if unpaid at year end it is not deductible that year, s.37(2)(g)",IF(AND(P434="Debtor",X434=1,AA434&gt;0),"Past due to you: as a micro or small supplier you can claim interest under MSMED s.16","OK")))))))))))</f>
        <v/>
      </c>
      <c r="P434">
        <f>IF(C434="","",IFERROR(VLOOKUP(C434,'Parties'!$B$13:$Q$112,2,FALSE),"?"))</f>
        <v/>
      </c>
      <c r="Q434">
        <f>IF(D434="","",IFERROR(VLOOKUP(D434,Lists!$A$2:$D$9,3,FALSE),"?"))</f>
        <v/>
      </c>
      <c r="R434">
        <f>IF(D434="","",IFERROR(VLOOKUP(D434,Lists!$A$2:$D$9,4,FALSE),"?"))</f>
        <v/>
      </c>
      <c r="S434">
        <f>IF(P434="Debtor",I434,IF(P434="Creditor",J434,0))</f>
        <v/>
      </c>
      <c r="T434">
        <f>IF(P434="Debtor",J434,IF(P434="Creditor",I434,0))</f>
        <v/>
      </c>
      <c r="U434">
        <f>IF(OR(S434=0,B434=""),0,IFERROR(VLOOKUP(C434,'Parties'!$B$13:$Q$112,13,FALSE),0)+SUMIFS($S$7:$S$506,$C$7:$C$506,C434,$B$7:$B$506,"&lt;"&amp;B434)+SUMIFS(S$7:S434,C$7:C434,C434,B$7:B434,B434))</f>
        <v/>
      </c>
      <c r="V434">
        <f>IF(S434=0,0,IFERROR(VLOOKUP(C434,'Parties'!$B$13:$Q$112,14,FALSE),0)+SUMIFS($T$7:$T$506,$C$7:$C$506,C434,$B$7:$B$506,"&lt;="&amp;'Outstanding'!$E$5))</f>
        <v/>
      </c>
      <c r="W434">
        <f>IF(OR('Outstanding'!$E$5="",S434=0,B434="",B434&gt;'Outstanding'!$E$5),0,MAX(0,MIN(S434,U434-V434)))</f>
        <v/>
      </c>
      <c r="X434">
        <f>IF(C434="",0,IFERROR(VLOOKUP(C434,'Parties'!$B$13:$Q$112,15,FALSE),0))</f>
        <v/>
      </c>
      <c r="Y434">
        <f>IF(C434="","",IFERROR(VLOOKUP(C434,'Parties'!$B$13:$Q$112,16,FALSE),0))</f>
        <v/>
      </c>
      <c r="Z434">
        <f>IF(OR(S434=0,B434="",Y434=""),"",IF(AND(F434&lt;&gt;"",D434="Purchase bill"),F434,B434)+Y434)</f>
        <v/>
      </c>
      <c r="AA434">
        <f>IF(OR(W434=0,Z434=""),0,MAX(0,'Outstanding'!$E$5-Z434))</f>
        <v/>
      </c>
      <c r="AB434">
        <f>IF(AND(X434=1,AA434&gt;0),W434*((1+3*N('Parties'!$E$10)/12)^(AA434*12/365)-1),0)</f>
        <v/>
      </c>
      <c r="AC434">
        <f>IF(W434=0,"",'Outstanding'!$E$5-B434)</f>
        <v/>
      </c>
      <c r="AD434">
        <f>IF(S434=0,0,IFERROR(VLOOKUP(C434,'Parties'!$B$13:$Q$112,14,FALSE),0)+SUMIFS($T$7:$T$506,$C$7:$C$506,C434,$B$7:$B$506,"&lt;="&amp;'Parties'!$E$8))</f>
        <v/>
      </c>
      <c r="AE434">
        <f>IF(OR('Parties'!$E$8="",S434=0,B434="",B434&gt;'Parties'!$E$8),0,MAX(0,MIN(S434,U434-AD434)))</f>
        <v/>
      </c>
      <c r="AF434">
        <f>IF(AND(P434="Creditor",X434=1,AE434&gt;0,Z434&lt;&gt;""),IF(Z434&lt;='Parties'!$E$8,AE434,0),0)</f>
        <v/>
      </c>
      <c r="AG434">
        <f>IF(OR(AE434=0,Z434=""),0,MAX(0,'Parties'!$E$8-Z434))</f>
        <v/>
      </c>
      <c r="AH434">
        <f>IF(AND(P434="Creditor",X434=1,AG434&gt;0),AE434*((1+3*N('Parties'!$E$10)/12)^(AG434*12/365)-1),0)</f>
        <v/>
      </c>
      <c r="AI434">
        <f>IF(AND(C434&lt;&gt;"",C434='Ledger Account'!$D$4,B434&lt;&gt;"",B434&gt;='Ledger Account'!$D$5,B434&lt;='Ledger Account'!$D$6),1,0)</f>
        <v/>
      </c>
      <c r="AJ434">
        <f>IF(AI434=1,SUM(AI$7:AI434),"")</f>
        <v/>
      </c>
      <c r="AK434">
        <f>IF(OR(N434="",N434="OK"),0,1)</f>
        <v/>
      </c>
    </row>
    <row r="435">
      <c r="B435" s="24" t="n"/>
      <c r="C435" s="14" t="n"/>
      <c r="D435" s="14" t="n"/>
      <c r="E435" s="20" t="n"/>
      <c r="F435" s="24" t="n"/>
      <c r="G435" s="14" t="n"/>
      <c r="H435" s="22" t="n"/>
      <c r="I435" s="25">
        <f>IF(Q435="D",N(H435),0)</f>
        <v/>
      </c>
      <c r="J435" s="25">
        <f>IF(Q435="C",N(H435),0)</f>
        <v/>
      </c>
      <c r="K435" s="26">
        <f>IF(Z435="","",Z435)</f>
        <v/>
      </c>
      <c r="L435" s="27">
        <f>W435</f>
        <v/>
      </c>
      <c r="M435" s="28">
        <f>AA435</f>
        <v/>
      </c>
      <c r="N435" s="23">
        <f>IF(AND(B435="",C435="",D435="",N(H435)=0),"",IF(B435="","Enter the date",IF(C435="","Pick the party",IF(P435="?","Add this party on the Parties sheet first",IF(D435="","Pick the entry type",IF(Q435="?","Pick the entry type from the list",IF(N(H435)=0,"Enter the amount",IF(AND(R435&lt;&gt;"Any",R435&lt;&gt;P435),"Sales, receipts and credit notes are for debtors; purchases, payments and debit notes for creditors",IF(AND(F435&lt;&gt;"",D435&lt;&gt;"Purchase bill"),"The received-on date is only for purchase bills",IF(AND(P435="Creditor",X435=1,AA435&gt;0),"Past due to a micro or small supplier: interest runs under MSMED s.16, and if unpaid at year end it is not deductible that year, s.37(2)(g)",IF(AND(P435="Debtor",X435=1,AA435&gt;0),"Past due to you: as a micro or small supplier you can claim interest under MSMED s.16","OK")))))))))))</f>
        <v/>
      </c>
      <c r="P435">
        <f>IF(C435="","",IFERROR(VLOOKUP(C435,'Parties'!$B$13:$Q$112,2,FALSE),"?"))</f>
        <v/>
      </c>
      <c r="Q435">
        <f>IF(D435="","",IFERROR(VLOOKUP(D435,Lists!$A$2:$D$9,3,FALSE),"?"))</f>
        <v/>
      </c>
      <c r="R435">
        <f>IF(D435="","",IFERROR(VLOOKUP(D435,Lists!$A$2:$D$9,4,FALSE),"?"))</f>
        <v/>
      </c>
      <c r="S435">
        <f>IF(P435="Debtor",I435,IF(P435="Creditor",J435,0))</f>
        <v/>
      </c>
      <c r="T435">
        <f>IF(P435="Debtor",J435,IF(P435="Creditor",I435,0))</f>
        <v/>
      </c>
      <c r="U435">
        <f>IF(OR(S435=0,B435=""),0,IFERROR(VLOOKUP(C435,'Parties'!$B$13:$Q$112,13,FALSE),0)+SUMIFS($S$7:$S$506,$C$7:$C$506,C435,$B$7:$B$506,"&lt;"&amp;B435)+SUMIFS(S$7:S435,C$7:C435,C435,B$7:B435,B435))</f>
        <v/>
      </c>
      <c r="V435">
        <f>IF(S435=0,0,IFERROR(VLOOKUP(C435,'Parties'!$B$13:$Q$112,14,FALSE),0)+SUMIFS($T$7:$T$506,$C$7:$C$506,C435,$B$7:$B$506,"&lt;="&amp;'Outstanding'!$E$5))</f>
        <v/>
      </c>
      <c r="W435">
        <f>IF(OR('Outstanding'!$E$5="",S435=0,B435="",B435&gt;'Outstanding'!$E$5),0,MAX(0,MIN(S435,U435-V435)))</f>
        <v/>
      </c>
      <c r="X435">
        <f>IF(C435="",0,IFERROR(VLOOKUP(C435,'Parties'!$B$13:$Q$112,15,FALSE),0))</f>
        <v/>
      </c>
      <c r="Y435">
        <f>IF(C435="","",IFERROR(VLOOKUP(C435,'Parties'!$B$13:$Q$112,16,FALSE),0))</f>
        <v/>
      </c>
      <c r="Z435">
        <f>IF(OR(S435=0,B435="",Y435=""),"",IF(AND(F435&lt;&gt;"",D435="Purchase bill"),F435,B435)+Y435)</f>
        <v/>
      </c>
      <c r="AA435">
        <f>IF(OR(W435=0,Z435=""),0,MAX(0,'Outstanding'!$E$5-Z435))</f>
        <v/>
      </c>
      <c r="AB435">
        <f>IF(AND(X435=1,AA435&gt;0),W435*((1+3*N('Parties'!$E$10)/12)^(AA435*12/365)-1),0)</f>
        <v/>
      </c>
      <c r="AC435">
        <f>IF(W435=0,"",'Outstanding'!$E$5-B435)</f>
        <v/>
      </c>
      <c r="AD435">
        <f>IF(S435=0,0,IFERROR(VLOOKUP(C435,'Parties'!$B$13:$Q$112,14,FALSE),0)+SUMIFS($T$7:$T$506,$C$7:$C$506,C435,$B$7:$B$506,"&lt;="&amp;'Parties'!$E$8))</f>
        <v/>
      </c>
      <c r="AE435">
        <f>IF(OR('Parties'!$E$8="",S435=0,B435="",B435&gt;'Parties'!$E$8),0,MAX(0,MIN(S435,U435-AD435)))</f>
        <v/>
      </c>
      <c r="AF435">
        <f>IF(AND(P435="Creditor",X435=1,AE435&gt;0,Z435&lt;&gt;""),IF(Z435&lt;='Parties'!$E$8,AE435,0),0)</f>
        <v/>
      </c>
      <c r="AG435">
        <f>IF(OR(AE435=0,Z435=""),0,MAX(0,'Parties'!$E$8-Z435))</f>
        <v/>
      </c>
      <c r="AH435">
        <f>IF(AND(P435="Creditor",X435=1,AG435&gt;0),AE435*((1+3*N('Parties'!$E$10)/12)^(AG435*12/365)-1),0)</f>
        <v/>
      </c>
      <c r="AI435">
        <f>IF(AND(C435&lt;&gt;"",C435='Ledger Account'!$D$4,B435&lt;&gt;"",B435&gt;='Ledger Account'!$D$5,B435&lt;='Ledger Account'!$D$6),1,0)</f>
        <v/>
      </c>
      <c r="AJ435">
        <f>IF(AI435=1,SUM(AI$7:AI435),"")</f>
        <v/>
      </c>
      <c r="AK435">
        <f>IF(OR(N435="",N435="OK"),0,1)</f>
        <v/>
      </c>
    </row>
    <row r="436">
      <c r="B436" s="24" t="n"/>
      <c r="C436" s="14" t="n"/>
      <c r="D436" s="14" t="n"/>
      <c r="E436" s="20" t="n"/>
      <c r="F436" s="24" t="n"/>
      <c r="G436" s="14" t="n"/>
      <c r="H436" s="22" t="n"/>
      <c r="I436" s="25">
        <f>IF(Q436="D",N(H436),0)</f>
        <v/>
      </c>
      <c r="J436" s="25">
        <f>IF(Q436="C",N(H436),0)</f>
        <v/>
      </c>
      <c r="K436" s="26">
        <f>IF(Z436="","",Z436)</f>
        <v/>
      </c>
      <c r="L436" s="27">
        <f>W436</f>
        <v/>
      </c>
      <c r="M436" s="28">
        <f>AA436</f>
        <v/>
      </c>
      <c r="N436" s="23">
        <f>IF(AND(B436="",C436="",D436="",N(H436)=0),"",IF(B436="","Enter the date",IF(C436="","Pick the party",IF(P436="?","Add this party on the Parties sheet first",IF(D436="","Pick the entry type",IF(Q436="?","Pick the entry type from the list",IF(N(H436)=0,"Enter the amount",IF(AND(R436&lt;&gt;"Any",R436&lt;&gt;P436),"Sales, receipts and credit notes are for debtors; purchases, payments and debit notes for creditors",IF(AND(F436&lt;&gt;"",D436&lt;&gt;"Purchase bill"),"The received-on date is only for purchase bills",IF(AND(P436="Creditor",X436=1,AA436&gt;0),"Past due to a micro or small supplier: interest runs under MSMED s.16, and if unpaid at year end it is not deductible that year, s.37(2)(g)",IF(AND(P436="Debtor",X436=1,AA436&gt;0),"Past due to you: as a micro or small supplier you can claim interest under MSMED s.16","OK")))))))))))</f>
        <v/>
      </c>
      <c r="P436">
        <f>IF(C436="","",IFERROR(VLOOKUP(C436,'Parties'!$B$13:$Q$112,2,FALSE),"?"))</f>
        <v/>
      </c>
      <c r="Q436">
        <f>IF(D436="","",IFERROR(VLOOKUP(D436,Lists!$A$2:$D$9,3,FALSE),"?"))</f>
        <v/>
      </c>
      <c r="R436">
        <f>IF(D436="","",IFERROR(VLOOKUP(D436,Lists!$A$2:$D$9,4,FALSE),"?"))</f>
        <v/>
      </c>
      <c r="S436">
        <f>IF(P436="Debtor",I436,IF(P436="Creditor",J436,0))</f>
        <v/>
      </c>
      <c r="T436">
        <f>IF(P436="Debtor",J436,IF(P436="Creditor",I436,0))</f>
        <v/>
      </c>
      <c r="U436">
        <f>IF(OR(S436=0,B436=""),0,IFERROR(VLOOKUP(C436,'Parties'!$B$13:$Q$112,13,FALSE),0)+SUMIFS($S$7:$S$506,$C$7:$C$506,C436,$B$7:$B$506,"&lt;"&amp;B436)+SUMIFS(S$7:S436,C$7:C436,C436,B$7:B436,B436))</f>
        <v/>
      </c>
      <c r="V436">
        <f>IF(S436=0,0,IFERROR(VLOOKUP(C436,'Parties'!$B$13:$Q$112,14,FALSE),0)+SUMIFS($T$7:$T$506,$C$7:$C$506,C436,$B$7:$B$506,"&lt;="&amp;'Outstanding'!$E$5))</f>
        <v/>
      </c>
      <c r="W436">
        <f>IF(OR('Outstanding'!$E$5="",S436=0,B436="",B436&gt;'Outstanding'!$E$5),0,MAX(0,MIN(S436,U436-V436)))</f>
        <v/>
      </c>
      <c r="X436">
        <f>IF(C436="",0,IFERROR(VLOOKUP(C436,'Parties'!$B$13:$Q$112,15,FALSE),0))</f>
        <v/>
      </c>
      <c r="Y436">
        <f>IF(C436="","",IFERROR(VLOOKUP(C436,'Parties'!$B$13:$Q$112,16,FALSE),0))</f>
        <v/>
      </c>
      <c r="Z436">
        <f>IF(OR(S436=0,B436="",Y436=""),"",IF(AND(F436&lt;&gt;"",D436="Purchase bill"),F436,B436)+Y436)</f>
        <v/>
      </c>
      <c r="AA436">
        <f>IF(OR(W436=0,Z436=""),0,MAX(0,'Outstanding'!$E$5-Z436))</f>
        <v/>
      </c>
      <c r="AB436">
        <f>IF(AND(X436=1,AA436&gt;0),W436*((1+3*N('Parties'!$E$10)/12)^(AA436*12/365)-1),0)</f>
        <v/>
      </c>
      <c r="AC436">
        <f>IF(W436=0,"",'Outstanding'!$E$5-B436)</f>
        <v/>
      </c>
      <c r="AD436">
        <f>IF(S436=0,0,IFERROR(VLOOKUP(C436,'Parties'!$B$13:$Q$112,14,FALSE),0)+SUMIFS($T$7:$T$506,$C$7:$C$506,C436,$B$7:$B$506,"&lt;="&amp;'Parties'!$E$8))</f>
        <v/>
      </c>
      <c r="AE436">
        <f>IF(OR('Parties'!$E$8="",S436=0,B436="",B436&gt;'Parties'!$E$8),0,MAX(0,MIN(S436,U436-AD436)))</f>
        <v/>
      </c>
      <c r="AF436">
        <f>IF(AND(P436="Creditor",X436=1,AE436&gt;0,Z436&lt;&gt;""),IF(Z436&lt;='Parties'!$E$8,AE436,0),0)</f>
        <v/>
      </c>
      <c r="AG436">
        <f>IF(OR(AE436=0,Z436=""),0,MAX(0,'Parties'!$E$8-Z436))</f>
        <v/>
      </c>
      <c r="AH436">
        <f>IF(AND(P436="Creditor",X436=1,AG436&gt;0),AE436*((1+3*N('Parties'!$E$10)/12)^(AG436*12/365)-1),0)</f>
        <v/>
      </c>
      <c r="AI436">
        <f>IF(AND(C436&lt;&gt;"",C436='Ledger Account'!$D$4,B436&lt;&gt;"",B436&gt;='Ledger Account'!$D$5,B436&lt;='Ledger Account'!$D$6),1,0)</f>
        <v/>
      </c>
      <c r="AJ436">
        <f>IF(AI436=1,SUM(AI$7:AI436),"")</f>
        <v/>
      </c>
      <c r="AK436">
        <f>IF(OR(N436="",N436="OK"),0,1)</f>
        <v/>
      </c>
    </row>
    <row r="437">
      <c r="B437" s="24" t="n"/>
      <c r="C437" s="14" t="n"/>
      <c r="D437" s="14" t="n"/>
      <c r="E437" s="20" t="n"/>
      <c r="F437" s="24" t="n"/>
      <c r="G437" s="14" t="n"/>
      <c r="H437" s="22" t="n"/>
      <c r="I437" s="25">
        <f>IF(Q437="D",N(H437),0)</f>
        <v/>
      </c>
      <c r="J437" s="25">
        <f>IF(Q437="C",N(H437),0)</f>
        <v/>
      </c>
      <c r="K437" s="26">
        <f>IF(Z437="","",Z437)</f>
        <v/>
      </c>
      <c r="L437" s="27">
        <f>W437</f>
        <v/>
      </c>
      <c r="M437" s="28">
        <f>AA437</f>
        <v/>
      </c>
      <c r="N437" s="23">
        <f>IF(AND(B437="",C437="",D437="",N(H437)=0),"",IF(B437="","Enter the date",IF(C437="","Pick the party",IF(P437="?","Add this party on the Parties sheet first",IF(D437="","Pick the entry type",IF(Q437="?","Pick the entry type from the list",IF(N(H437)=0,"Enter the amount",IF(AND(R437&lt;&gt;"Any",R437&lt;&gt;P437),"Sales, receipts and credit notes are for debtors; purchases, payments and debit notes for creditors",IF(AND(F437&lt;&gt;"",D437&lt;&gt;"Purchase bill"),"The received-on date is only for purchase bills",IF(AND(P437="Creditor",X437=1,AA437&gt;0),"Past due to a micro or small supplier: interest runs under MSMED s.16, and if unpaid at year end it is not deductible that year, s.37(2)(g)",IF(AND(P437="Debtor",X437=1,AA437&gt;0),"Past due to you: as a micro or small supplier you can claim interest under MSMED s.16","OK")))))))))))</f>
        <v/>
      </c>
      <c r="P437">
        <f>IF(C437="","",IFERROR(VLOOKUP(C437,'Parties'!$B$13:$Q$112,2,FALSE),"?"))</f>
        <v/>
      </c>
      <c r="Q437">
        <f>IF(D437="","",IFERROR(VLOOKUP(D437,Lists!$A$2:$D$9,3,FALSE),"?"))</f>
        <v/>
      </c>
      <c r="R437">
        <f>IF(D437="","",IFERROR(VLOOKUP(D437,Lists!$A$2:$D$9,4,FALSE),"?"))</f>
        <v/>
      </c>
      <c r="S437">
        <f>IF(P437="Debtor",I437,IF(P437="Creditor",J437,0))</f>
        <v/>
      </c>
      <c r="T437">
        <f>IF(P437="Debtor",J437,IF(P437="Creditor",I437,0))</f>
        <v/>
      </c>
      <c r="U437">
        <f>IF(OR(S437=0,B437=""),0,IFERROR(VLOOKUP(C437,'Parties'!$B$13:$Q$112,13,FALSE),0)+SUMIFS($S$7:$S$506,$C$7:$C$506,C437,$B$7:$B$506,"&lt;"&amp;B437)+SUMIFS(S$7:S437,C$7:C437,C437,B$7:B437,B437))</f>
        <v/>
      </c>
      <c r="V437">
        <f>IF(S437=0,0,IFERROR(VLOOKUP(C437,'Parties'!$B$13:$Q$112,14,FALSE),0)+SUMIFS($T$7:$T$506,$C$7:$C$506,C437,$B$7:$B$506,"&lt;="&amp;'Outstanding'!$E$5))</f>
        <v/>
      </c>
      <c r="W437">
        <f>IF(OR('Outstanding'!$E$5="",S437=0,B437="",B437&gt;'Outstanding'!$E$5),0,MAX(0,MIN(S437,U437-V437)))</f>
        <v/>
      </c>
      <c r="X437">
        <f>IF(C437="",0,IFERROR(VLOOKUP(C437,'Parties'!$B$13:$Q$112,15,FALSE),0))</f>
        <v/>
      </c>
      <c r="Y437">
        <f>IF(C437="","",IFERROR(VLOOKUP(C437,'Parties'!$B$13:$Q$112,16,FALSE),0))</f>
        <v/>
      </c>
      <c r="Z437">
        <f>IF(OR(S437=0,B437="",Y437=""),"",IF(AND(F437&lt;&gt;"",D437="Purchase bill"),F437,B437)+Y437)</f>
        <v/>
      </c>
      <c r="AA437">
        <f>IF(OR(W437=0,Z437=""),0,MAX(0,'Outstanding'!$E$5-Z437))</f>
        <v/>
      </c>
      <c r="AB437">
        <f>IF(AND(X437=1,AA437&gt;0),W437*((1+3*N('Parties'!$E$10)/12)^(AA437*12/365)-1),0)</f>
        <v/>
      </c>
      <c r="AC437">
        <f>IF(W437=0,"",'Outstanding'!$E$5-B437)</f>
        <v/>
      </c>
      <c r="AD437">
        <f>IF(S437=0,0,IFERROR(VLOOKUP(C437,'Parties'!$B$13:$Q$112,14,FALSE),0)+SUMIFS($T$7:$T$506,$C$7:$C$506,C437,$B$7:$B$506,"&lt;="&amp;'Parties'!$E$8))</f>
        <v/>
      </c>
      <c r="AE437">
        <f>IF(OR('Parties'!$E$8="",S437=0,B437="",B437&gt;'Parties'!$E$8),0,MAX(0,MIN(S437,U437-AD437)))</f>
        <v/>
      </c>
      <c r="AF437">
        <f>IF(AND(P437="Creditor",X437=1,AE437&gt;0,Z437&lt;&gt;""),IF(Z437&lt;='Parties'!$E$8,AE437,0),0)</f>
        <v/>
      </c>
      <c r="AG437">
        <f>IF(OR(AE437=0,Z437=""),0,MAX(0,'Parties'!$E$8-Z437))</f>
        <v/>
      </c>
      <c r="AH437">
        <f>IF(AND(P437="Creditor",X437=1,AG437&gt;0),AE437*((1+3*N('Parties'!$E$10)/12)^(AG437*12/365)-1),0)</f>
        <v/>
      </c>
      <c r="AI437">
        <f>IF(AND(C437&lt;&gt;"",C437='Ledger Account'!$D$4,B437&lt;&gt;"",B437&gt;='Ledger Account'!$D$5,B437&lt;='Ledger Account'!$D$6),1,0)</f>
        <v/>
      </c>
      <c r="AJ437">
        <f>IF(AI437=1,SUM(AI$7:AI437),"")</f>
        <v/>
      </c>
      <c r="AK437">
        <f>IF(OR(N437="",N437="OK"),0,1)</f>
        <v/>
      </c>
    </row>
    <row r="438">
      <c r="B438" s="24" t="n"/>
      <c r="C438" s="14" t="n"/>
      <c r="D438" s="14" t="n"/>
      <c r="E438" s="20" t="n"/>
      <c r="F438" s="24" t="n"/>
      <c r="G438" s="14" t="n"/>
      <c r="H438" s="22" t="n"/>
      <c r="I438" s="25">
        <f>IF(Q438="D",N(H438),0)</f>
        <v/>
      </c>
      <c r="J438" s="25">
        <f>IF(Q438="C",N(H438),0)</f>
        <v/>
      </c>
      <c r="K438" s="26">
        <f>IF(Z438="","",Z438)</f>
        <v/>
      </c>
      <c r="L438" s="27">
        <f>W438</f>
        <v/>
      </c>
      <c r="M438" s="28">
        <f>AA438</f>
        <v/>
      </c>
      <c r="N438" s="23">
        <f>IF(AND(B438="",C438="",D438="",N(H438)=0),"",IF(B438="","Enter the date",IF(C438="","Pick the party",IF(P438="?","Add this party on the Parties sheet first",IF(D438="","Pick the entry type",IF(Q438="?","Pick the entry type from the list",IF(N(H438)=0,"Enter the amount",IF(AND(R438&lt;&gt;"Any",R438&lt;&gt;P438),"Sales, receipts and credit notes are for debtors; purchases, payments and debit notes for creditors",IF(AND(F438&lt;&gt;"",D438&lt;&gt;"Purchase bill"),"The received-on date is only for purchase bills",IF(AND(P438="Creditor",X438=1,AA438&gt;0),"Past due to a micro or small supplier: interest runs under MSMED s.16, and if unpaid at year end it is not deductible that year, s.37(2)(g)",IF(AND(P438="Debtor",X438=1,AA438&gt;0),"Past due to you: as a micro or small supplier you can claim interest under MSMED s.16","OK")))))))))))</f>
        <v/>
      </c>
      <c r="P438">
        <f>IF(C438="","",IFERROR(VLOOKUP(C438,'Parties'!$B$13:$Q$112,2,FALSE),"?"))</f>
        <v/>
      </c>
      <c r="Q438">
        <f>IF(D438="","",IFERROR(VLOOKUP(D438,Lists!$A$2:$D$9,3,FALSE),"?"))</f>
        <v/>
      </c>
      <c r="R438">
        <f>IF(D438="","",IFERROR(VLOOKUP(D438,Lists!$A$2:$D$9,4,FALSE),"?"))</f>
        <v/>
      </c>
      <c r="S438">
        <f>IF(P438="Debtor",I438,IF(P438="Creditor",J438,0))</f>
        <v/>
      </c>
      <c r="T438">
        <f>IF(P438="Debtor",J438,IF(P438="Creditor",I438,0))</f>
        <v/>
      </c>
      <c r="U438">
        <f>IF(OR(S438=0,B438=""),0,IFERROR(VLOOKUP(C438,'Parties'!$B$13:$Q$112,13,FALSE),0)+SUMIFS($S$7:$S$506,$C$7:$C$506,C438,$B$7:$B$506,"&lt;"&amp;B438)+SUMIFS(S$7:S438,C$7:C438,C438,B$7:B438,B438))</f>
        <v/>
      </c>
      <c r="V438">
        <f>IF(S438=0,0,IFERROR(VLOOKUP(C438,'Parties'!$B$13:$Q$112,14,FALSE),0)+SUMIFS($T$7:$T$506,$C$7:$C$506,C438,$B$7:$B$506,"&lt;="&amp;'Outstanding'!$E$5))</f>
        <v/>
      </c>
      <c r="W438">
        <f>IF(OR('Outstanding'!$E$5="",S438=0,B438="",B438&gt;'Outstanding'!$E$5),0,MAX(0,MIN(S438,U438-V438)))</f>
        <v/>
      </c>
      <c r="X438">
        <f>IF(C438="",0,IFERROR(VLOOKUP(C438,'Parties'!$B$13:$Q$112,15,FALSE),0))</f>
        <v/>
      </c>
      <c r="Y438">
        <f>IF(C438="","",IFERROR(VLOOKUP(C438,'Parties'!$B$13:$Q$112,16,FALSE),0))</f>
        <v/>
      </c>
      <c r="Z438">
        <f>IF(OR(S438=0,B438="",Y438=""),"",IF(AND(F438&lt;&gt;"",D438="Purchase bill"),F438,B438)+Y438)</f>
        <v/>
      </c>
      <c r="AA438">
        <f>IF(OR(W438=0,Z438=""),0,MAX(0,'Outstanding'!$E$5-Z438))</f>
        <v/>
      </c>
      <c r="AB438">
        <f>IF(AND(X438=1,AA438&gt;0),W438*((1+3*N('Parties'!$E$10)/12)^(AA438*12/365)-1),0)</f>
        <v/>
      </c>
      <c r="AC438">
        <f>IF(W438=0,"",'Outstanding'!$E$5-B438)</f>
        <v/>
      </c>
      <c r="AD438">
        <f>IF(S438=0,0,IFERROR(VLOOKUP(C438,'Parties'!$B$13:$Q$112,14,FALSE),0)+SUMIFS($T$7:$T$506,$C$7:$C$506,C438,$B$7:$B$506,"&lt;="&amp;'Parties'!$E$8))</f>
        <v/>
      </c>
      <c r="AE438">
        <f>IF(OR('Parties'!$E$8="",S438=0,B438="",B438&gt;'Parties'!$E$8),0,MAX(0,MIN(S438,U438-AD438)))</f>
        <v/>
      </c>
      <c r="AF438">
        <f>IF(AND(P438="Creditor",X438=1,AE438&gt;0,Z438&lt;&gt;""),IF(Z438&lt;='Parties'!$E$8,AE438,0),0)</f>
        <v/>
      </c>
      <c r="AG438">
        <f>IF(OR(AE438=0,Z438=""),0,MAX(0,'Parties'!$E$8-Z438))</f>
        <v/>
      </c>
      <c r="AH438">
        <f>IF(AND(P438="Creditor",X438=1,AG438&gt;0),AE438*((1+3*N('Parties'!$E$10)/12)^(AG438*12/365)-1),0)</f>
        <v/>
      </c>
      <c r="AI438">
        <f>IF(AND(C438&lt;&gt;"",C438='Ledger Account'!$D$4,B438&lt;&gt;"",B438&gt;='Ledger Account'!$D$5,B438&lt;='Ledger Account'!$D$6),1,0)</f>
        <v/>
      </c>
      <c r="AJ438">
        <f>IF(AI438=1,SUM(AI$7:AI438),"")</f>
        <v/>
      </c>
      <c r="AK438">
        <f>IF(OR(N438="",N438="OK"),0,1)</f>
        <v/>
      </c>
    </row>
    <row r="439">
      <c r="B439" s="24" t="n"/>
      <c r="C439" s="14" t="n"/>
      <c r="D439" s="14" t="n"/>
      <c r="E439" s="20" t="n"/>
      <c r="F439" s="24" t="n"/>
      <c r="G439" s="14" t="n"/>
      <c r="H439" s="22" t="n"/>
      <c r="I439" s="25">
        <f>IF(Q439="D",N(H439),0)</f>
        <v/>
      </c>
      <c r="J439" s="25">
        <f>IF(Q439="C",N(H439),0)</f>
        <v/>
      </c>
      <c r="K439" s="26">
        <f>IF(Z439="","",Z439)</f>
        <v/>
      </c>
      <c r="L439" s="27">
        <f>W439</f>
        <v/>
      </c>
      <c r="M439" s="28">
        <f>AA439</f>
        <v/>
      </c>
      <c r="N439" s="23">
        <f>IF(AND(B439="",C439="",D439="",N(H439)=0),"",IF(B439="","Enter the date",IF(C439="","Pick the party",IF(P439="?","Add this party on the Parties sheet first",IF(D439="","Pick the entry type",IF(Q439="?","Pick the entry type from the list",IF(N(H439)=0,"Enter the amount",IF(AND(R439&lt;&gt;"Any",R439&lt;&gt;P439),"Sales, receipts and credit notes are for debtors; purchases, payments and debit notes for creditors",IF(AND(F439&lt;&gt;"",D439&lt;&gt;"Purchase bill"),"The received-on date is only for purchase bills",IF(AND(P439="Creditor",X439=1,AA439&gt;0),"Past due to a micro or small supplier: interest runs under MSMED s.16, and if unpaid at year end it is not deductible that year, s.37(2)(g)",IF(AND(P439="Debtor",X439=1,AA439&gt;0),"Past due to you: as a micro or small supplier you can claim interest under MSMED s.16","OK")))))))))))</f>
        <v/>
      </c>
      <c r="P439">
        <f>IF(C439="","",IFERROR(VLOOKUP(C439,'Parties'!$B$13:$Q$112,2,FALSE),"?"))</f>
        <v/>
      </c>
      <c r="Q439">
        <f>IF(D439="","",IFERROR(VLOOKUP(D439,Lists!$A$2:$D$9,3,FALSE),"?"))</f>
        <v/>
      </c>
      <c r="R439">
        <f>IF(D439="","",IFERROR(VLOOKUP(D439,Lists!$A$2:$D$9,4,FALSE),"?"))</f>
        <v/>
      </c>
      <c r="S439">
        <f>IF(P439="Debtor",I439,IF(P439="Creditor",J439,0))</f>
        <v/>
      </c>
      <c r="T439">
        <f>IF(P439="Debtor",J439,IF(P439="Creditor",I439,0))</f>
        <v/>
      </c>
      <c r="U439">
        <f>IF(OR(S439=0,B439=""),0,IFERROR(VLOOKUP(C439,'Parties'!$B$13:$Q$112,13,FALSE),0)+SUMIFS($S$7:$S$506,$C$7:$C$506,C439,$B$7:$B$506,"&lt;"&amp;B439)+SUMIFS(S$7:S439,C$7:C439,C439,B$7:B439,B439))</f>
        <v/>
      </c>
      <c r="V439">
        <f>IF(S439=0,0,IFERROR(VLOOKUP(C439,'Parties'!$B$13:$Q$112,14,FALSE),0)+SUMIFS($T$7:$T$506,$C$7:$C$506,C439,$B$7:$B$506,"&lt;="&amp;'Outstanding'!$E$5))</f>
        <v/>
      </c>
      <c r="W439">
        <f>IF(OR('Outstanding'!$E$5="",S439=0,B439="",B439&gt;'Outstanding'!$E$5),0,MAX(0,MIN(S439,U439-V439)))</f>
        <v/>
      </c>
      <c r="X439">
        <f>IF(C439="",0,IFERROR(VLOOKUP(C439,'Parties'!$B$13:$Q$112,15,FALSE),0))</f>
        <v/>
      </c>
      <c r="Y439">
        <f>IF(C439="","",IFERROR(VLOOKUP(C439,'Parties'!$B$13:$Q$112,16,FALSE),0))</f>
        <v/>
      </c>
      <c r="Z439">
        <f>IF(OR(S439=0,B439="",Y439=""),"",IF(AND(F439&lt;&gt;"",D439="Purchase bill"),F439,B439)+Y439)</f>
        <v/>
      </c>
      <c r="AA439">
        <f>IF(OR(W439=0,Z439=""),0,MAX(0,'Outstanding'!$E$5-Z439))</f>
        <v/>
      </c>
      <c r="AB439">
        <f>IF(AND(X439=1,AA439&gt;0),W439*((1+3*N('Parties'!$E$10)/12)^(AA439*12/365)-1),0)</f>
        <v/>
      </c>
      <c r="AC439">
        <f>IF(W439=0,"",'Outstanding'!$E$5-B439)</f>
        <v/>
      </c>
      <c r="AD439">
        <f>IF(S439=0,0,IFERROR(VLOOKUP(C439,'Parties'!$B$13:$Q$112,14,FALSE),0)+SUMIFS($T$7:$T$506,$C$7:$C$506,C439,$B$7:$B$506,"&lt;="&amp;'Parties'!$E$8))</f>
        <v/>
      </c>
      <c r="AE439">
        <f>IF(OR('Parties'!$E$8="",S439=0,B439="",B439&gt;'Parties'!$E$8),0,MAX(0,MIN(S439,U439-AD439)))</f>
        <v/>
      </c>
      <c r="AF439">
        <f>IF(AND(P439="Creditor",X439=1,AE439&gt;0,Z439&lt;&gt;""),IF(Z439&lt;='Parties'!$E$8,AE439,0),0)</f>
        <v/>
      </c>
      <c r="AG439">
        <f>IF(OR(AE439=0,Z439=""),0,MAX(0,'Parties'!$E$8-Z439))</f>
        <v/>
      </c>
      <c r="AH439">
        <f>IF(AND(P439="Creditor",X439=1,AG439&gt;0),AE439*((1+3*N('Parties'!$E$10)/12)^(AG439*12/365)-1),0)</f>
        <v/>
      </c>
      <c r="AI439">
        <f>IF(AND(C439&lt;&gt;"",C439='Ledger Account'!$D$4,B439&lt;&gt;"",B439&gt;='Ledger Account'!$D$5,B439&lt;='Ledger Account'!$D$6),1,0)</f>
        <v/>
      </c>
      <c r="AJ439">
        <f>IF(AI439=1,SUM(AI$7:AI439),"")</f>
        <v/>
      </c>
      <c r="AK439">
        <f>IF(OR(N439="",N439="OK"),0,1)</f>
        <v/>
      </c>
    </row>
    <row r="440">
      <c r="B440" s="24" t="n"/>
      <c r="C440" s="14" t="n"/>
      <c r="D440" s="14" t="n"/>
      <c r="E440" s="20" t="n"/>
      <c r="F440" s="24" t="n"/>
      <c r="G440" s="14" t="n"/>
      <c r="H440" s="22" t="n"/>
      <c r="I440" s="25">
        <f>IF(Q440="D",N(H440),0)</f>
        <v/>
      </c>
      <c r="J440" s="25">
        <f>IF(Q440="C",N(H440),0)</f>
        <v/>
      </c>
      <c r="K440" s="26">
        <f>IF(Z440="","",Z440)</f>
        <v/>
      </c>
      <c r="L440" s="27">
        <f>W440</f>
        <v/>
      </c>
      <c r="M440" s="28">
        <f>AA440</f>
        <v/>
      </c>
      <c r="N440" s="23">
        <f>IF(AND(B440="",C440="",D440="",N(H440)=0),"",IF(B440="","Enter the date",IF(C440="","Pick the party",IF(P440="?","Add this party on the Parties sheet first",IF(D440="","Pick the entry type",IF(Q440="?","Pick the entry type from the list",IF(N(H440)=0,"Enter the amount",IF(AND(R440&lt;&gt;"Any",R440&lt;&gt;P440),"Sales, receipts and credit notes are for debtors; purchases, payments and debit notes for creditors",IF(AND(F440&lt;&gt;"",D440&lt;&gt;"Purchase bill"),"The received-on date is only for purchase bills",IF(AND(P440="Creditor",X440=1,AA440&gt;0),"Past due to a micro or small supplier: interest runs under MSMED s.16, and if unpaid at year end it is not deductible that year, s.37(2)(g)",IF(AND(P440="Debtor",X440=1,AA440&gt;0),"Past due to you: as a micro or small supplier you can claim interest under MSMED s.16","OK")))))))))))</f>
        <v/>
      </c>
      <c r="P440">
        <f>IF(C440="","",IFERROR(VLOOKUP(C440,'Parties'!$B$13:$Q$112,2,FALSE),"?"))</f>
        <v/>
      </c>
      <c r="Q440">
        <f>IF(D440="","",IFERROR(VLOOKUP(D440,Lists!$A$2:$D$9,3,FALSE),"?"))</f>
        <v/>
      </c>
      <c r="R440">
        <f>IF(D440="","",IFERROR(VLOOKUP(D440,Lists!$A$2:$D$9,4,FALSE),"?"))</f>
        <v/>
      </c>
      <c r="S440">
        <f>IF(P440="Debtor",I440,IF(P440="Creditor",J440,0))</f>
        <v/>
      </c>
      <c r="T440">
        <f>IF(P440="Debtor",J440,IF(P440="Creditor",I440,0))</f>
        <v/>
      </c>
      <c r="U440">
        <f>IF(OR(S440=0,B440=""),0,IFERROR(VLOOKUP(C440,'Parties'!$B$13:$Q$112,13,FALSE),0)+SUMIFS($S$7:$S$506,$C$7:$C$506,C440,$B$7:$B$506,"&lt;"&amp;B440)+SUMIFS(S$7:S440,C$7:C440,C440,B$7:B440,B440))</f>
        <v/>
      </c>
      <c r="V440">
        <f>IF(S440=0,0,IFERROR(VLOOKUP(C440,'Parties'!$B$13:$Q$112,14,FALSE),0)+SUMIFS($T$7:$T$506,$C$7:$C$506,C440,$B$7:$B$506,"&lt;="&amp;'Outstanding'!$E$5))</f>
        <v/>
      </c>
      <c r="W440">
        <f>IF(OR('Outstanding'!$E$5="",S440=0,B440="",B440&gt;'Outstanding'!$E$5),0,MAX(0,MIN(S440,U440-V440)))</f>
        <v/>
      </c>
      <c r="X440">
        <f>IF(C440="",0,IFERROR(VLOOKUP(C440,'Parties'!$B$13:$Q$112,15,FALSE),0))</f>
        <v/>
      </c>
      <c r="Y440">
        <f>IF(C440="","",IFERROR(VLOOKUP(C440,'Parties'!$B$13:$Q$112,16,FALSE),0))</f>
        <v/>
      </c>
      <c r="Z440">
        <f>IF(OR(S440=0,B440="",Y440=""),"",IF(AND(F440&lt;&gt;"",D440="Purchase bill"),F440,B440)+Y440)</f>
        <v/>
      </c>
      <c r="AA440">
        <f>IF(OR(W440=0,Z440=""),0,MAX(0,'Outstanding'!$E$5-Z440))</f>
        <v/>
      </c>
      <c r="AB440">
        <f>IF(AND(X440=1,AA440&gt;0),W440*((1+3*N('Parties'!$E$10)/12)^(AA440*12/365)-1),0)</f>
        <v/>
      </c>
      <c r="AC440">
        <f>IF(W440=0,"",'Outstanding'!$E$5-B440)</f>
        <v/>
      </c>
      <c r="AD440">
        <f>IF(S440=0,0,IFERROR(VLOOKUP(C440,'Parties'!$B$13:$Q$112,14,FALSE),0)+SUMIFS($T$7:$T$506,$C$7:$C$506,C440,$B$7:$B$506,"&lt;="&amp;'Parties'!$E$8))</f>
        <v/>
      </c>
      <c r="AE440">
        <f>IF(OR('Parties'!$E$8="",S440=0,B440="",B440&gt;'Parties'!$E$8),0,MAX(0,MIN(S440,U440-AD440)))</f>
        <v/>
      </c>
      <c r="AF440">
        <f>IF(AND(P440="Creditor",X440=1,AE440&gt;0,Z440&lt;&gt;""),IF(Z440&lt;='Parties'!$E$8,AE440,0),0)</f>
        <v/>
      </c>
      <c r="AG440">
        <f>IF(OR(AE440=0,Z440=""),0,MAX(0,'Parties'!$E$8-Z440))</f>
        <v/>
      </c>
      <c r="AH440">
        <f>IF(AND(P440="Creditor",X440=1,AG440&gt;0),AE440*((1+3*N('Parties'!$E$10)/12)^(AG440*12/365)-1),0)</f>
        <v/>
      </c>
      <c r="AI440">
        <f>IF(AND(C440&lt;&gt;"",C440='Ledger Account'!$D$4,B440&lt;&gt;"",B440&gt;='Ledger Account'!$D$5,B440&lt;='Ledger Account'!$D$6),1,0)</f>
        <v/>
      </c>
      <c r="AJ440">
        <f>IF(AI440=1,SUM(AI$7:AI440),"")</f>
        <v/>
      </c>
      <c r="AK440">
        <f>IF(OR(N440="",N440="OK"),0,1)</f>
        <v/>
      </c>
    </row>
    <row r="441">
      <c r="B441" s="24" t="n"/>
      <c r="C441" s="14" t="n"/>
      <c r="D441" s="14" t="n"/>
      <c r="E441" s="20" t="n"/>
      <c r="F441" s="24" t="n"/>
      <c r="G441" s="14" t="n"/>
      <c r="H441" s="22" t="n"/>
      <c r="I441" s="25">
        <f>IF(Q441="D",N(H441),0)</f>
        <v/>
      </c>
      <c r="J441" s="25">
        <f>IF(Q441="C",N(H441),0)</f>
        <v/>
      </c>
      <c r="K441" s="26">
        <f>IF(Z441="","",Z441)</f>
        <v/>
      </c>
      <c r="L441" s="27">
        <f>W441</f>
        <v/>
      </c>
      <c r="M441" s="28">
        <f>AA441</f>
        <v/>
      </c>
      <c r="N441" s="23">
        <f>IF(AND(B441="",C441="",D441="",N(H441)=0),"",IF(B441="","Enter the date",IF(C441="","Pick the party",IF(P441="?","Add this party on the Parties sheet first",IF(D441="","Pick the entry type",IF(Q441="?","Pick the entry type from the list",IF(N(H441)=0,"Enter the amount",IF(AND(R441&lt;&gt;"Any",R441&lt;&gt;P441),"Sales, receipts and credit notes are for debtors; purchases, payments and debit notes for creditors",IF(AND(F441&lt;&gt;"",D441&lt;&gt;"Purchase bill"),"The received-on date is only for purchase bills",IF(AND(P441="Creditor",X441=1,AA441&gt;0),"Past due to a micro or small supplier: interest runs under MSMED s.16, and if unpaid at year end it is not deductible that year, s.37(2)(g)",IF(AND(P441="Debtor",X441=1,AA441&gt;0),"Past due to you: as a micro or small supplier you can claim interest under MSMED s.16","OK")))))))))))</f>
        <v/>
      </c>
      <c r="P441">
        <f>IF(C441="","",IFERROR(VLOOKUP(C441,'Parties'!$B$13:$Q$112,2,FALSE),"?"))</f>
        <v/>
      </c>
      <c r="Q441">
        <f>IF(D441="","",IFERROR(VLOOKUP(D441,Lists!$A$2:$D$9,3,FALSE),"?"))</f>
        <v/>
      </c>
      <c r="R441">
        <f>IF(D441="","",IFERROR(VLOOKUP(D441,Lists!$A$2:$D$9,4,FALSE),"?"))</f>
        <v/>
      </c>
      <c r="S441">
        <f>IF(P441="Debtor",I441,IF(P441="Creditor",J441,0))</f>
        <v/>
      </c>
      <c r="T441">
        <f>IF(P441="Debtor",J441,IF(P441="Creditor",I441,0))</f>
        <v/>
      </c>
      <c r="U441">
        <f>IF(OR(S441=0,B441=""),0,IFERROR(VLOOKUP(C441,'Parties'!$B$13:$Q$112,13,FALSE),0)+SUMIFS($S$7:$S$506,$C$7:$C$506,C441,$B$7:$B$506,"&lt;"&amp;B441)+SUMIFS(S$7:S441,C$7:C441,C441,B$7:B441,B441))</f>
        <v/>
      </c>
      <c r="V441">
        <f>IF(S441=0,0,IFERROR(VLOOKUP(C441,'Parties'!$B$13:$Q$112,14,FALSE),0)+SUMIFS($T$7:$T$506,$C$7:$C$506,C441,$B$7:$B$506,"&lt;="&amp;'Outstanding'!$E$5))</f>
        <v/>
      </c>
      <c r="W441">
        <f>IF(OR('Outstanding'!$E$5="",S441=0,B441="",B441&gt;'Outstanding'!$E$5),0,MAX(0,MIN(S441,U441-V441)))</f>
        <v/>
      </c>
      <c r="X441">
        <f>IF(C441="",0,IFERROR(VLOOKUP(C441,'Parties'!$B$13:$Q$112,15,FALSE),0))</f>
        <v/>
      </c>
      <c r="Y441">
        <f>IF(C441="","",IFERROR(VLOOKUP(C441,'Parties'!$B$13:$Q$112,16,FALSE),0))</f>
        <v/>
      </c>
      <c r="Z441">
        <f>IF(OR(S441=0,B441="",Y441=""),"",IF(AND(F441&lt;&gt;"",D441="Purchase bill"),F441,B441)+Y441)</f>
        <v/>
      </c>
      <c r="AA441">
        <f>IF(OR(W441=0,Z441=""),0,MAX(0,'Outstanding'!$E$5-Z441))</f>
        <v/>
      </c>
      <c r="AB441">
        <f>IF(AND(X441=1,AA441&gt;0),W441*((1+3*N('Parties'!$E$10)/12)^(AA441*12/365)-1),0)</f>
        <v/>
      </c>
      <c r="AC441">
        <f>IF(W441=0,"",'Outstanding'!$E$5-B441)</f>
        <v/>
      </c>
      <c r="AD441">
        <f>IF(S441=0,0,IFERROR(VLOOKUP(C441,'Parties'!$B$13:$Q$112,14,FALSE),0)+SUMIFS($T$7:$T$506,$C$7:$C$506,C441,$B$7:$B$506,"&lt;="&amp;'Parties'!$E$8))</f>
        <v/>
      </c>
      <c r="AE441">
        <f>IF(OR('Parties'!$E$8="",S441=0,B441="",B441&gt;'Parties'!$E$8),0,MAX(0,MIN(S441,U441-AD441)))</f>
        <v/>
      </c>
      <c r="AF441">
        <f>IF(AND(P441="Creditor",X441=1,AE441&gt;0,Z441&lt;&gt;""),IF(Z441&lt;='Parties'!$E$8,AE441,0),0)</f>
        <v/>
      </c>
      <c r="AG441">
        <f>IF(OR(AE441=0,Z441=""),0,MAX(0,'Parties'!$E$8-Z441))</f>
        <v/>
      </c>
      <c r="AH441">
        <f>IF(AND(P441="Creditor",X441=1,AG441&gt;0),AE441*((1+3*N('Parties'!$E$10)/12)^(AG441*12/365)-1),0)</f>
        <v/>
      </c>
      <c r="AI441">
        <f>IF(AND(C441&lt;&gt;"",C441='Ledger Account'!$D$4,B441&lt;&gt;"",B441&gt;='Ledger Account'!$D$5,B441&lt;='Ledger Account'!$D$6),1,0)</f>
        <v/>
      </c>
      <c r="AJ441">
        <f>IF(AI441=1,SUM(AI$7:AI441),"")</f>
        <v/>
      </c>
      <c r="AK441">
        <f>IF(OR(N441="",N441="OK"),0,1)</f>
        <v/>
      </c>
    </row>
    <row r="442">
      <c r="B442" s="24" t="n"/>
      <c r="C442" s="14" t="n"/>
      <c r="D442" s="14" t="n"/>
      <c r="E442" s="20" t="n"/>
      <c r="F442" s="24" t="n"/>
      <c r="G442" s="14" t="n"/>
      <c r="H442" s="22" t="n"/>
      <c r="I442" s="25">
        <f>IF(Q442="D",N(H442),0)</f>
        <v/>
      </c>
      <c r="J442" s="25">
        <f>IF(Q442="C",N(H442),0)</f>
        <v/>
      </c>
      <c r="K442" s="26">
        <f>IF(Z442="","",Z442)</f>
        <v/>
      </c>
      <c r="L442" s="27">
        <f>W442</f>
        <v/>
      </c>
      <c r="M442" s="28">
        <f>AA442</f>
        <v/>
      </c>
      <c r="N442" s="23">
        <f>IF(AND(B442="",C442="",D442="",N(H442)=0),"",IF(B442="","Enter the date",IF(C442="","Pick the party",IF(P442="?","Add this party on the Parties sheet first",IF(D442="","Pick the entry type",IF(Q442="?","Pick the entry type from the list",IF(N(H442)=0,"Enter the amount",IF(AND(R442&lt;&gt;"Any",R442&lt;&gt;P442),"Sales, receipts and credit notes are for debtors; purchases, payments and debit notes for creditors",IF(AND(F442&lt;&gt;"",D442&lt;&gt;"Purchase bill"),"The received-on date is only for purchase bills",IF(AND(P442="Creditor",X442=1,AA442&gt;0),"Past due to a micro or small supplier: interest runs under MSMED s.16, and if unpaid at year end it is not deductible that year, s.37(2)(g)",IF(AND(P442="Debtor",X442=1,AA442&gt;0),"Past due to you: as a micro or small supplier you can claim interest under MSMED s.16","OK")))))))))))</f>
        <v/>
      </c>
      <c r="P442">
        <f>IF(C442="","",IFERROR(VLOOKUP(C442,'Parties'!$B$13:$Q$112,2,FALSE),"?"))</f>
        <v/>
      </c>
      <c r="Q442">
        <f>IF(D442="","",IFERROR(VLOOKUP(D442,Lists!$A$2:$D$9,3,FALSE),"?"))</f>
        <v/>
      </c>
      <c r="R442">
        <f>IF(D442="","",IFERROR(VLOOKUP(D442,Lists!$A$2:$D$9,4,FALSE),"?"))</f>
        <v/>
      </c>
      <c r="S442">
        <f>IF(P442="Debtor",I442,IF(P442="Creditor",J442,0))</f>
        <v/>
      </c>
      <c r="T442">
        <f>IF(P442="Debtor",J442,IF(P442="Creditor",I442,0))</f>
        <v/>
      </c>
      <c r="U442">
        <f>IF(OR(S442=0,B442=""),0,IFERROR(VLOOKUP(C442,'Parties'!$B$13:$Q$112,13,FALSE),0)+SUMIFS($S$7:$S$506,$C$7:$C$506,C442,$B$7:$B$506,"&lt;"&amp;B442)+SUMIFS(S$7:S442,C$7:C442,C442,B$7:B442,B442))</f>
        <v/>
      </c>
      <c r="V442">
        <f>IF(S442=0,0,IFERROR(VLOOKUP(C442,'Parties'!$B$13:$Q$112,14,FALSE),0)+SUMIFS($T$7:$T$506,$C$7:$C$506,C442,$B$7:$B$506,"&lt;="&amp;'Outstanding'!$E$5))</f>
        <v/>
      </c>
      <c r="W442">
        <f>IF(OR('Outstanding'!$E$5="",S442=0,B442="",B442&gt;'Outstanding'!$E$5),0,MAX(0,MIN(S442,U442-V442)))</f>
        <v/>
      </c>
      <c r="X442">
        <f>IF(C442="",0,IFERROR(VLOOKUP(C442,'Parties'!$B$13:$Q$112,15,FALSE),0))</f>
        <v/>
      </c>
      <c r="Y442">
        <f>IF(C442="","",IFERROR(VLOOKUP(C442,'Parties'!$B$13:$Q$112,16,FALSE),0))</f>
        <v/>
      </c>
      <c r="Z442">
        <f>IF(OR(S442=0,B442="",Y442=""),"",IF(AND(F442&lt;&gt;"",D442="Purchase bill"),F442,B442)+Y442)</f>
        <v/>
      </c>
      <c r="AA442">
        <f>IF(OR(W442=0,Z442=""),0,MAX(0,'Outstanding'!$E$5-Z442))</f>
        <v/>
      </c>
      <c r="AB442">
        <f>IF(AND(X442=1,AA442&gt;0),W442*((1+3*N('Parties'!$E$10)/12)^(AA442*12/365)-1),0)</f>
        <v/>
      </c>
      <c r="AC442">
        <f>IF(W442=0,"",'Outstanding'!$E$5-B442)</f>
        <v/>
      </c>
      <c r="AD442">
        <f>IF(S442=0,0,IFERROR(VLOOKUP(C442,'Parties'!$B$13:$Q$112,14,FALSE),0)+SUMIFS($T$7:$T$506,$C$7:$C$506,C442,$B$7:$B$506,"&lt;="&amp;'Parties'!$E$8))</f>
        <v/>
      </c>
      <c r="AE442">
        <f>IF(OR('Parties'!$E$8="",S442=0,B442="",B442&gt;'Parties'!$E$8),0,MAX(0,MIN(S442,U442-AD442)))</f>
        <v/>
      </c>
      <c r="AF442">
        <f>IF(AND(P442="Creditor",X442=1,AE442&gt;0,Z442&lt;&gt;""),IF(Z442&lt;='Parties'!$E$8,AE442,0),0)</f>
        <v/>
      </c>
      <c r="AG442">
        <f>IF(OR(AE442=0,Z442=""),0,MAX(0,'Parties'!$E$8-Z442))</f>
        <v/>
      </c>
      <c r="AH442">
        <f>IF(AND(P442="Creditor",X442=1,AG442&gt;0),AE442*((1+3*N('Parties'!$E$10)/12)^(AG442*12/365)-1),0)</f>
        <v/>
      </c>
      <c r="AI442">
        <f>IF(AND(C442&lt;&gt;"",C442='Ledger Account'!$D$4,B442&lt;&gt;"",B442&gt;='Ledger Account'!$D$5,B442&lt;='Ledger Account'!$D$6),1,0)</f>
        <v/>
      </c>
      <c r="AJ442">
        <f>IF(AI442=1,SUM(AI$7:AI442),"")</f>
        <v/>
      </c>
      <c r="AK442">
        <f>IF(OR(N442="",N442="OK"),0,1)</f>
        <v/>
      </c>
    </row>
    <row r="443">
      <c r="B443" s="24" t="n"/>
      <c r="C443" s="14" t="n"/>
      <c r="D443" s="14" t="n"/>
      <c r="E443" s="20" t="n"/>
      <c r="F443" s="24" t="n"/>
      <c r="G443" s="14" t="n"/>
      <c r="H443" s="22" t="n"/>
      <c r="I443" s="25">
        <f>IF(Q443="D",N(H443),0)</f>
        <v/>
      </c>
      <c r="J443" s="25">
        <f>IF(Q443="C",N(H443),0)</f>
        <v/>
      </c>
      <c r="K443" s="26">
        <f>IF(Z443="","",Z443)</f>
        <v/>
      </c>
      <c r="L443" s="27">
        <f>W443</f>
        <v/>
      </c>
      <c r="M443" s="28">
        <f>AA443</f>
        <v/>
      </c>
      <c r="N443" s="23">
        <f>IF(AND(B443="",C443="",D443="",N(H443)=0),"",IF(B443="","Enter the date",IF(C443="","Pick the party",IF(P443="?","Add this party on the Parties sheet first",IF(D443="","Pick the entry type",IF(Q443="?","Pick the entry type from the list",IF(N(H443)=0,"Enter the amount",IF(AND(R443&lt;&gt;"Any",R443&lt;&gt;P443),"Sales, receipts and credit notes are for debtors; purchases, payments and debit notes for creditors",IF(AND(F443&lt;&gt;"",D443&lt;&gt;"Purchase bill"),"The received-on date is only for purchase bills",IF(AND(P443="Creditor",X443=1,AA443&gt;0),"Past due to a micro or small supplier: interest runs under MSMED s.16, and if unpaid at year end it is not deductible that year, s.37(2)(g)",IF(AND(P443="Debtor",X443=1,AA443&gt;0),"Past due to you: as a micro or small supplier you can claim interest under MSMED s.16","OK")))))))))))</f>
        <v/>
      </c>
      <c r="P443">
        <f>IF(C443="","",IFERROR(VLOOKUP(C443,'Parties'!$B$13:$Q$112,2,FALSE),"?"))</f>
        <v/>
      </c>
      <c r="Q443">
        <f>IF(D443="","",IFERROR(VLOOKUP(D443,Lists!$A$2:$D$9,3,FALSE),"?"))</f>
        <v/>
      </c>
      <c r="R443">
        <f>IF(D443="","",IFERROR(VLOOKUP(D443,Lists!$A$2:$D$9,4,FALSE),"?"))</f>
        <v/>
      </c>
      <c r="S443">
        <f>IF(P443="Debtor",I443,IF(P443="Creditor",J443,0))</f>
        <v/>
      </c>
      <c r="T443">
        <f>IF(P443="Debtor",J443,IF(P443="Creditor",I443,0))</f>
        <v/>
      </c>
      <c r="U443">
        <f>IF(OR(S443=0,B443=""),0,IFERROR(VLOOKUP(C443,'Parties'!$B$13:$Q$112,13,FALSE),0)+SUMIFS($S$7:$S$506,$C$7:$C$506,C443,$B$7:$B$506,"&lt;"&amp;B443)+SUMIFS(S$7:S443,C$7:C443,C443,B$7:B443,B443))</f>
        <v/>
      </c>
      <c r="V443">
        <f>IF(S443=0,0,IFERROR(VLOOKUP(C443,'Parties'!$B$13:$Q$112,14,FALSE),0)+SUMIFS($T$7:$T$506,$C$7:$C$506,C443,$B$7:$B$506,"&lt;="&amp;'Outstanding'!$E$5))</f>
        <v/>
      </c>
      <c r="W443">
        <f>IF(OR('Outstanding'!$E$5="",S443=0,B443="",B443&gt;'Outstanding'!$E$5),0,MAX(0,MIN(S443,U443-V443)))</f>
        <v/>
      </c>
      <c r="X443">
        <f>IF(C443="",0,IFERROR(VLOOKUP(C443,'Parties'!$B$13:$Q$112,15,FALSE),0))</f>
        <v/>
      </c>
      <c r="Y443">
        <f>IF(C443="","",IFERROR(VLOOKUP(C443,'Parties'!$B$13:$Q$112,16,FALSE),0))</f>
        <v/>
      </c>
      <c r="Z443">
        <f>IF(OR(S443=0,B443="",Y443=""),"",IF(AND(F443&lt;&gt;"",D443="Purchase bill"),F443,B443)+Y443)</f>
        <v/>
      </c>
      <c r="AA443">
        <f>IF(OR(W443=0,Z443=""),0,MAX(0,'Outstanding'!$E$5-Z443))</f>
        <v/>
      </c>
      <c r="AB443">
        <f>IF(AND(X443=1,AA443&gt;0),W443*((1+3*N('Parties'!$E$10)/12)^(AA443*12/365)-1),0)</f>
        <v/>
      </c>
      <c r="AC443">
        <f>IF(W443=0,"",'Outstanding'!$E$5-B443)</f>
        <v/>
      </c>
      <c r="AD443">
        <f>IF(S443=0,0,IFERROR(VLOOKUP(C443,'Parties'!$B$13:$Q$112,14,FALSE),0)+SUMIFS($T$7:$T$506,$C$7:$C$506,C443,$B$7:$B$506,"&lt;="&amp;'Parties'!$E$8))</f>
        <v/>
      </c>
      <c r="AE443">
        <f>IF(OR('Parties'!$E$8="",S443=0,B443="",B443&gt;'Parties'!$E$8),0,MAX(0,MIN(S443,U443-AD443)))</f>
        <v/>
      </c>
      <c r="AF443">
        <f>IF(AND(P443="Creditor",X443=1,AE443&gt;0,Z443&lt;&gt;""),IF(Z443&lt;='Parties'!$E$8,AE443,0),0)</f>
        <v/>
      </c>
      <c r="AG443">
        <f>IF(OR(AE443=0,Z443=""),0,MAX(0,'Parties'!$E$8-Z443))</f>
        <v/>
      </c>
      <c r="AH443">
        <f>IF(AND(P443="Creditor",X443=1,AG443&gt;0),AE443*((1+3*N('Parties'!$E$10)/12)^(AG443*12/365)-1),0)</f>
        <v/>
      </c>
      <c r="AI443">
        <f>IF(AND(C443&lt;&gt;"",C443='Ledger Account'!$D$4,B443&lt;&gt;"",B443&gt;='Ledger Account'!$D$5,B443&lt;='Ledger Account'!$D$6),1,0)</f>
        <v/>
      </c>
      <c r="AJ443">
        <f>IF(AI443=1,SUM(AI$7:AI443),"")</f>
        <v/>
      </c>
      <c r="AK443">
        <f>IF(OR(N443="",N443="OK"),0,1)</f>
        <v/>
      </c>
    </row>
    <row r="444">
      <c r="B444" s="24" t="n"/>
      <c r="C444" s="14" t="n"/>
      <c r="D444" s="14" t="n"/>
      <c r="E444" s="20" t="n"/>
      <c r="F444" s="24" t="n"/>
      <c r="G444" s="14" t="n"/>
      <c r="H444" s="22" t="n"/>
      <c r="I444" s="25">
        <f>IF(Q444="D",N(H444),0)</f>
        <v/>
      </c>
      <c r="J444" s="25">
        <f>IF(Q444="C",N(H444),0)</f>
        <v/>
      </c>
      <c r="K444" s="26">
        <f>IF(Z444="","",Z444)</f>
        <v/>
      </c>
      <c r="L444" s="27">
        <f>W444</f>
        <v/>
      </c>
      <c r="M444" s="28">
        <f>AA444</f>
        <v/>
      </c>
      <c r="N444" s="23">
        <f>IF(AND(B444="",C444="",D444="",N(H444)=0),"",IF(B444="","Enter the date",IF(C444="","Pick the party",IF(P444="?","Add this party on the Parties sheet first",IF(D444="","Pick the entry type",IF(Q444="?","Pick the entry type from the list",IF(N(H444)=0,"Enter the amount",IF(AND(R444&lt;&gt;"Any",R444&lt;&gt;P444),"Sales, receipts and credit notes are for debtors; purchases, payments and debit notes for creditors",IF(AND(F444&lt;&gt;"",D444&lt;&gt;"Purchase bill"),"The received-on date is only for purchase bills",IF(AND(P444="Creditor",X444=1,AA444&gt;0),"Past due to a micro or small supplier: interest runs under MSMED s.16, and if unpaid at year end it is not deductible that year, s.37(2)(g)",IF(AND(P444="Debtor",X444=1,AA444&gt;0),"Past due to you: as a micro or small supplier you can claim interest under MSMED s.16","OK")))))))))))</f>
        <v/>
      </c>
      <c r="P444">
        <f>IF(C444="","",IFERROR(VLOOKUP(C444,'Parties'!$B$13:$Q$112,2,FALSE),"?"))</f>
        <v/>
      </c>
      <c r="Q444">
        <f>IF(D444="","",IFERROR(VLOOKUP(D444,Lists!$A$2:$D$9,3,FALSE),"?"))</f>
        <v/>
      </c>
      <c r="R444">
        <f>IF(D444="","",IFERROR(VLOOKUP(D444,Lists!$A$2:$D$9,4,FALSE),"?"))</f>
        <v/>
      </c>
      <c r="S444">
        <f>IF(P444="Debtor",I444,IF(P444="Creditor",J444,0))</f>
        <v/>
      </c>
      <c r="T444">
        <f>IF(P444="Debtor",J444,IF(P444="Creditor",I444,0))</f>
        <v/>
      </c>
      <c r="U444">
        <f>IF(OR(S444=0,B444=""),0,IFERROR(VLOOKUP(C444,'Parties'!$B$13:$Q$112,13,FALSE),0)+SUMIFS($S$7:$S$506,$C$7:$C$506,C444,$B$7:$B$506,"&lt;"&amp;B444)+SUMIFS(S$7:S444,C$7:C444,C444,B$7:B444,B444))</f>
        <v/>
      </c>
      <c r="V444">
        <f>IF(S444=0,0,IFERROR(VLOOKUP(C444,'Parties'!$B$13:$Q$112,14,FALSE),0)+SUMIFS($T$7:$T$506,$C$7:$C$506,C444,$B$7:$B$506,"&lt;="&amp;'Outstanding'!$E$5))</f>
        <v/>
      </c>
      <c r="W444">
        <f>IF(OR('Outstanding'!$E$5="",S444=0,B444="",B444&gt;'Outstanding'!$E$5),0,MAX(0,MIN(S444,U444-V444)))</f>
        <v/>
      </c>
      <c r="X444">
        <f>IF(C444="",0,IFERROR(VLOOKUP(C444,'Parties'!$B$13:$Q$112,15,FALSE),0))</f>
        <v/>
      </c>
      <c r="Y444">
        <f>IF(C444="","",IFERROR(VLOOKUP(C444,'Parties'!$B$13:$Q$112,16,FALSE),0))</f>
        <v/>
      </c>
      <c r="Z444">
        <f>IF(OR(S444=0,B444="",Y444=""),"",IF(AND(F444&lt;&gt;"",D444="Purchase bill"),F444,B444)+Y444)</f>
        <v/>
      </c>
      <c r="AA444">
        <f>IF(OR(W444=0,Z444=""),0,MAX(0,'Outstanding'!$E$5-Z444))</f>
        <v/>
      </c>
      <c r="AB444">
        <f>IF(AND(X444=1,AA444&gt;0),W444*((1+3*N('Parties'!$E$10)/12)^(AA444*12/365)-1),0)</f>
        <v/>
      </c>
      <c r="AC444">
        <f>IF(W444=0,"",'Outstanding'!$E$5-B444)</f>
        <v/>
      </c>
      <c r="AD444">
        <f>IF(S444=0,0,IFERROR(VLOOKUP(C444,'Parties'!$B$13:$Q$112,14,FALSE),0)+SUMIFS($T$7:$T$506,$C$7:$C$506,C444,$B$7:$B$506,"&lt;="&amp;'Parties'!$E$8))</f>
        <v/>
      </c>
      <c r="AE444">
        <f>IF(OR('Parties'!$E$8="",S444=0,B444="",B444&gt;'Parties'!$E$8),0,MAX(0,MIN(S444,U444-AD444)))</f>
        <v/>
      </c>
      <c r="AF444">
        <f>IF(AND(P444="Creditor",X444=1,AE444&gt;0,Z444&lt;&gt;""),IF(Z444&lt;='Parties'!$E$8,AE444,0),0)</f>
        <v/>
      </c>
      <c r="AG444">
        <f>IF(OR(AE444=0,Z444=""),0,MAX(0,'Parties'!$E$8-Z444))</f>
        <v/>
      </c>
      <c r="AH444">
        <f>IF(AND(P444="Creditor",X444=1,AG444&gt;0),AE444*((1+3*N('Parties'!$E$10)/12)^(AG444*12/365)-1),0)</f>
        <v/>
      </c>
      <c r="AI444">
        <f>IF(AND(C444&lt;&gt;"",C444='Ledger Account'!$D$4,B444&lt;&gt;"",B444&gt;='Ledger Account'!$D$5,B444&lt;='Ledger Account'!$D$6),1,0)</f>
        <v/>
      </c>
      <c r="AJ444">
        <f>IF(AI444=1,SUM(AI$7:AI444),"")</f>
        <v/>
      </c>
      <c r="AK444">
        <f>IF(OR(N444="",N444="OK"),0,1)</f>
        <v/>
      </c>
    </row>
    <row r="445">
      <c r="B445" s="24" t="n"/>
      <c r="C445" s="14" t="n"/>
      <c r="D445" s="14" t="n"/>
      <c r="E445" s="20" t="n"/>
      <c r="F445" s="24" t="n"/>
      <c r="G445" s="14" t="n"/>
      <c r="H445" s="22" t="n"/>
      <c r="I445" s="25">
        <f>IF(Q445="D",N(H445),0)</f>
        <v/>
      </c>
      <c r="J445" s="25">
        <f>IF(Q445="C",N(H445),0)</f>
        <v/>
      </c>
      <c r="K445" s="26">
        <f>IF(Z445="","",Z445)</f>
        <v/>
      </c>
      <c r="L445" s="27">
        <f>W445</f>
        <v/>
      </c>
      <c r="M445" s="28">
        <f>AA445</f>
        <v/>
      </c>
      <c r="N445" s="23">
        <f>IF(AND(B445="",C445="",D445="",N(H445)=0),"",IF(B445="","Enter the date",IF(C445="","Pick the party",IF(P445="?","Add this party on the Parties sheet first",IF(D445="","Pick the entry type",IF(Q445="?","Pick the entry type from the list",IF(N(H445)=0,"Enter the amount",IF(AND(R445&lt;&gt;"Any",R445&lt;&gt;P445),"Sales, receipts and credit notes are for debtors; purchases, payments and debit notes for creditors",IF(AND(F445&lt;&gt;"",D445&lt;&gt;"Purchase bill"),"The received-on date is only for purchase bills",IF(AND(P445="Creditor",X445=1,AA445&gt;0),"Past due to a micro or small supplier: interest runs under MSMED s.16, and if unpaid at year end it is not deductible that year, s.37(2)(g)",IF(AND(P445="Debtor",X445=1,AA445&gt;0),"Past due to you: as a micro or small supplier you can claim interest under MSMED s.16","OK")))))))))))</f>
        <v/>
      </c>
      <c r="P445">
        <f>IF(C445="","",IFERROR(VLOOKUP(C445,'Parties'!$B$13:$Q$112,2,FALSE),"?"))</f>
        <v/>
      </c>
      <c r="Q445">
        <f>IF(D445="","",IFERROR(VLOOKUP(D445,Lists!$A$2:$D$9,3,FALSE),"?"))</f>
        <v/>
      </c>
      <c r="R445">
        <f>IF(D445="","",IFERROR(VLOOKUP(D445,Lists!$A$2:$D$9,4,FALSE),"?"))</f>
        <v/>
      </c>
      <c r="S445">
        <f>IF(P445="Debtor",I445,IF(P445="Creditor",J445,0))</f>
        <v/>
      </c>
      <c r="T445">
        <f>IF(P445="Debtor",J445,IF(P445="Creditor",I445,0))</f>
        <v/>
      </c>
      <c r="U445">
        <f>IF(OR(S445=0,B445=""),0,IFERROR(VLOOKUP(C445,'Parties'!$B$13:$Q$112,13,FALSE),0)+SUMIFS($S$7:$S$506,$C$7:$C$506,C445,$B$7:$B$506,"&lt;"&amp;B445)+SUMIFS(S$7:S445,C$7:C445,C445,B$7:B445,B445))</f>
        <v/>
      </c>
      <c r="V445">
        <f>IF(S445=0,0,IFERROR(VLOOKUP(C445,'Parties'!$B$13:$Q$112,14,FALSE),0)+SUMIFS($T$7:$T$506,$C$7:$C$506,C445,$B$7:$B$506,"&lt;="&amp;'Outstanding'!$E$5))</f>
        <v/>
      </c>
      <c r="W445">
        <f>IF(OR('Outstanding'!$E$5="",S445=0,B445="",B445&gt;'Outstanding'!$E$5),0,MAX(0,MIN(S445,U445-V445)))</f>
        <v/>
      </c>
      <c r="X445">
        <f>IF(C445="",0,IFERROR(VLOOKUP(C445,'Parties'!$B$13:$Q$112,15,FALSE),0))</f>
        <v/>
      </c>
      <c r="Y445">
        <f>IF(C445="","",IFERROR(VLOOKUP(C445,'Parties'!$B$13:$Q$112,16,FALSE),0))</f>
        <v/>
      </c>
      <c r="Z445">
        <f>IF(OR(S445=0,B445="",Y445=""),"",IF(AND(F445&lt;&gt;"",D445="Purchase bill"),F445,B445)+Y445)</f>
        <v/>
      </c>
      <c r="AA445">
        <f>IF(OR(W445=0,Z445=""),0,MAX(0,'Outstanding'!$E$5-Z445))</f>
        <v/>
      </c>
      <c r="AB445">
        <f>IF(AND(X445=1,AA445&gt;0),W445*((1+3*N('Parties'!$E$10)/12)^(AA445*12/365)-1),0)</f>
        <v/>
      </c>
      <c r="AC445">
        <f>IF(W445=0,"",'Outstanding'!$E$5-B445)</f>
        <v/>
      </c>
      <c r="AD445">
        <f>IF(S445=0,0,IFERROR(VLOOKUP(C445,'Parties'!$B$13:$Q$112,14,FALSE),0)+SUMIFS($T$7:$T$506,$C$7:$C$506,C445,$B$7:$B$506,"&lt;="&amp;'Parties'!$E$8))</f>
        <v/>
      </c>
      <c r="AE445">
        <f>IF(OR('Parties'!$E$8="",S445=0,B445="",B445&gt;'Parties'!$E$8),0,MAX(0,MIN(S445,U445-AD445)))</f>
        <v/>
      </c>
      <c r="AF445">
        <f>IF(AND(P445="Creditor",X445=1,AE445&gt;0,Z445&lt;&gt;""),IF(Z445&lt;='Parties'!$E$8,AE445,0),0)</f>
        <v/>
      </c>
      <c r="AG445">
        <f>IF(OR(AE445=0,Z445=""),0,MAX(0,'Parties'!$E$8-Z445))</f>
        <v/>
      </c>
      <c r="AH445">
        <f>IF(AND(P445="Creditor",X445=1,AG445&gt;0),AE445*((1+3*N('Parties'!$E$10)/12)^(AG445*12/365)-1),0)</f>
        <v/>
      </c>
      <c r="AI445">
        <f>IF(AND(C445&lt;&gt;"",C445='Ledger Account'!$D$4,B445&lt;&gt;"",B445&gt;='Ledger Account'!$D$5,B445&lt;='Ledger Account'!$D$6),1,0)</f>
        <v/>
      </c>
      <c r="AJ445">
        <f>IF(AI445=1,SUM(AI$7:AI445),"")</f>
        <v/>
      </c>
      <c r="AK445">
        <f>IF(OR(N445="",N445="OK"),0,1)</f>
        <v/>
      </c>
    </row>
    <row r="446">
      <c r="B446" s="24" t="n"/>
      <c r="C446" s="14" t="n"/>
      <c r="D446" s="14" t="n"/>
      <c r="E446" s="20" t="n"/>
      <c r="F446" s="24" t="n"/>
      <c r="G446" s="14" t="n"/>
      <c r="H446" s="22" t="n"/>
      <c r="I446" s="25">
        <f>IF(Q446="D",N(H446),0)</f>
        <v/>
      </c>
      <c r="J446" s="25">
        <f>IF(Q446="C",N(H446),0)</f>
        <v/>
      </c>
      <c r="K446" s="26">
        <f>IF(Z446="","",Z446)</f>
        <v/>
      </c>
      <c r="L446" s="27">
        <f>W446</f>
        <v/>
      </c>
      <c r="M446" s="28">
        <f>AA446</f>
        <v/>
      </c>
      <c r="N446" s="23">
        <f>IF(AND(B446="",C446="",D446="",N(H446)=0),"",IF(B446="","Enter the date",IF(C446="","Pick the party",IF(P446="?","Add this party on the Parties sheet first",IF(D446="","Pick the entry type",IF(Q446="?","Pick the entry type from the list",IF(N(H446)=0,"Enter the amount",IF(AND(R446&lt;&gt;"Any",R446&lt;&gt;P446),"Sales, receipts and credit notes are for debtors; purchases, payments and debit notes for creditors",IF(AND(F446&lt;&gt;"",D446&lt;&gt;"Purchase bill"),"The received-on date is only for purchase bills",IF(AND(P446="Creditor",X446=1,AA446&gt;0),"Past due to a micro or small supplier: interest runs under MSMED s.16, and if unpaid at year end it is not deductible that year, s.37(2)(g)",IF(AND(P446="Debtor",X446=1,AA446&gt;0),"Past due to you: as a micro or small supplier you can claim interest under MSMED s.16","OK")))))))))))</f>
        <v/>
      </c>
      <c r="P446">
        <f>IF(C446="","",IFERROR(VLOOKUP(C446,'Parties'!$B$13:$Q$112,2,FALSE),"?"))</f>
        <v/>
      </c>
      <c r="Q446">
        <f>IF(D446="","",IFERROR(VLOOKUP(D446,Lists!$A$2:$D$9,3,FALSE),"?"))</f>
        <v/>
      </c>
      <c r="R446">
        <f>IF(D446="","",IFERROR(VLOOKUP(D446,Lists!$A$2:$D$9,4,FALSE),"?"))</f>
        <v/>
      </c>
      <c r="S446">
        <f>IF(P446="Debtor",I446,IF(P446="Creditor",J446,0))</f>
        <v/>
      </c>
      <c r="T446">
        <f>IF(P446="Debtor",J446,IF(P446="Creditor",I446,0))</f>
        <v/>
      </c>
      <c r="U446">
        <f>IF(OR(S446=0,B446=""),0,IFERROR(VLOOKUP(C446,'Parties'!$B$13:$Q$112,13,FALSE),0)+SUMIFS($S$7:$S$506,$C$7:$C$506,C446,$B$7:$B$506,"&lt;"&amp;B446)+SUMIFS(S$7:S446,C$7:C446,C446,B$7:B446,B446))</f>
        <v/>
      </c>
      <c r="V446">
        <f>IF(S446=0,0,IFERROR(VLOOKUP(C446,'Parties'!$B$13:$Q$112,14,FALSE),0)+SUMIFS($T$7:$T$506,$C$7:$C$506,C446,$B$7:$B$506,"&lt;="&amp;'Outstanding'!$E$5))</f>
        <v/>
      </c>
      <c r="W446">
        <f>IF(OR('Outstanding'!$E$5="",S446=0,B446="",B446&gt;'Outstanding'!$E$5),0,MAX(0,MIN(S446,U446-V446)))</f>
        <v/>
      </c>
      <c r="X446">
        <f>IF(C446="",0,IFERROR(VLOOKUP(C446,'Parties'!$B$13:$Q$112,15,FALSE),0))</f>
        <v/>
      </c>
      <c r="Y446">
        <f>IF(C446="","",IFERROR(VLOOKUP(C446,'Parties'!$B$13:$Q$112,16,FALSE),0))</f>
        <v/>
      </c>
      <c r="Z446">
        <f>IF(OR(S446=0,B446="",Y446=""),"",IF(AND(F446&lt;&gt;"",D446="Purchase bill"),F446,B446)+Y446)</f>
        <v/>
      </c>
      <c r="AA446">
        <f>IF(OR(W446=0,Z446=""),0,MAX(0,'Outstanding'!$E$5-Z446))</f>
        <v/>
      </c>
      <c r="AB446">
        <f>IF(AND(X446=1,AA446&gt;0),W446*((1+3*N('Parties'!$E$10)/12)^(AA446*12/365)-1),0)</f>
        <v/>
      </c>
      <c r="AC446">
        <f>IF(W446=0,"",'Outstanding'!$E$5-B446)</f>
        <v/>
      </c>
      <c r="AD446">
        <f>IF(S446=0,0,IFERROR(VLOOKUP(C446,'Parties'!$B$13:$Q$112,14,FALSE),0)+SUMIFS($T$7:$T$506,$C$7:$C$506,C446,$B$7:$B$506,"&lt;="&amp;'Parties'!$E$8))</f>
        <v/>
      </c>
      <c r="AE446">
        <f>IF(OR('Parties'!$E$8="",S446=0,B446="",B446&gt;'Parties'!$E$8),0,MAX(0,MIN(S446,U446-AD446)))</f>
        <v/>
      </c>
      <c r="AF446">
        <f>IF(AND(P446="Creditor",X446=1,AE446&gt;0,Z446&lt;&gt;""),IF(Z446&lt;='Parties'!$E$8,AE446,0),0)</f>
        <v/>
      </c>
      <c r="AG446">
        <f>IF(OR(AE446=0,Z446=""),0,MAX(0,'Parties'!$E$8-Z446))</f>
        <v/>
      </c>
      <c r="AH446">
        <f>IF(AND(P446="Creditor",X446=1,AG446&gt;0),AE446*((1+3*N('Parties'!$E$10)/12)^(AG446*12/365)-1),0)</f>
        <v/>
      </c>
      <c r="AI446">
        <f>IF(AND(C446&lt;&gt;"",C446='Ledger Account'!$D$4,B446&lt;&gt;"",B446&gt;='Ledger Account'!$D$5,B446&lt;='Ledger Account'!$D$6),1,0)</f>
        <v/>
      </c>
      <c r="AJ446">
        <f>IF(AI446=1,SUM(AI$7:AI446),"")</f>
        <v/>
      </c>
      <c r="AK446">
        <f>IF(OR(N446="",N446="OK"),0,1)</f>
        <v/>
      </c>
    </row>
    <row r="447">
      <c r="B447" s="24" t="n"/>
      <c r="C447" s="14" t="n"/>
      <c r="D447" s="14" t="n"/>
      <c r="E447" s="20" t="n"/>
      <c r="F447" s="24" t="n"/>
      <c r="G447" s="14" t="n"/>
      <c r="H447" s="22" t="n"/>
      <c r="I447" s="25">
        <f>IF(Q447="D",N(H447),0)</f>
        <v/>
      </c>
      <c r="J447" s="25">
        <f>IF(Q447="C",N(H447),0)</f>
        <v/>
      </c>
      <c r="K447" s="26">
        <f>IF(Z447="","",Z447)</f>
        <v/>
      </c>
      <c r="L447" s="27">
        <f>W447</f>
        <v/>
      </c>
      <c r="M447" s="28">
        <f>AA447</f>
        <v/>
      </c>
      <c r="N447" s="23">
        <f>IF(AND(B447="",C447="",D447="",N(H447)=0),"",IF(B447="","Enter the date",IF(C447="","Pick the party",IF(P447="?","Add this party on the Parties sheet first",IF(D447="","Pick the entry type",IF(Q447="?","Pick the entry type from the list",IF(N(H447)=0,"Enter the amount",IF(AND(R447&lt;&gt;"Any",R447&lt;&gt;P447),"Sales, receipts and credit notes are for debtors; purchases, payments and debit notes for creditors",IF(AND(F447&lt;&gt;"",D447&lt;&gt;"Purchase bill"),"The received-on date is only for purchase bills",IF(AND(P447="Creditor",X447=1,AA447&gt;0),"Past due to a micro or small supplier: interest runs under MSMED s.16, and if unpaid at year end it is not deductible that year, s.37(2)(g)",IF(AND(P447="Debtor",X447=1,AA447&gt;0),"Past due to you: as a micro or small supplier you can claim interest under MSMED s.16","OK")))))))))))</f>
        <v/>
      </c>
      <c r="P447">
        <f>IF(C447="","",IFERROR(VLOOKUP(C447,'Parties'!$B$13:$Q$112,2,FALSE),"?"))</f>
        <v/>
      </c>
      <c r="Q447">
        <f>IF(D447="","",IFERROR(VLOOKUP(D447,Lists!$A$2:$D$9,3,FALSE),"?"))</f>
        <v/>
      </c>
      <c r="R447">
        <f>IF(D447="","",IFERROR(VLOOKUP(D447,Lists!$A$2:$D$9,4,FALSE),"?"))</f>
        <v/>
      </c>
      <c r="S447">
        <f>IF(P447="Debtor",I447,IF(P447="Creditor",J447,0))</f>
        <v/>
      </c>
      <c r="T447">
        <f>IF(P447="Debtor",J447,IF(P447="Creditor",I447,0))</f>
        <v/>
      </c>
      <c r="U447">
        <f>IF(OR(S447=0,B447=""),0,IFERROR(VLOOKUP(C447,'Parties'!$B$13:$Q$112,13,FALSE),0)+SUMIFS($S$7:$S$506,$C$7:$C$506,C447,$B$7:$B$506,"&lt;"&amp;B447)+SUMIFS(S$7:S447,C$7:C447,C447,B$7:B447,B447))</f>
        <v/>
      </c>
      <c r="V447">
        <f>IF(S447=0,0,IFERROR(VLOOKUP(C447,'Parties'!$B$13:$Q$112,14,FALSE),0)+SUMIFS($T$7:$T$506,$C$7:$C$506,C447,$B$7:$B$506,"&lt;="&amp;'Outstanding'!$E$5))</f>
        <v/>
      </c>
      <c r="W447">
        <f>IF(OR('Outstanding'!$E$5="",S447=0,B447="",B447&gt;'Outstanding'!$E$5),0,MAX(0,MIN(S447,U447-V447)))</f>
        <v/>
      </c>
      <c r="X447">
        <f>IF(C447="",0,IFERROR(VLOOKUP(C447,'Parties'!$B$13:$Q$112,15,FALSE),0))</f>
        <v/>
      </c>
      <c r="Y447">
        <f>IF(C447="","",IFERROR(VLOOKUP(C447,'Parties'!$B$13:$Q$112,16,FALSE),0))</f>
        <v/>
      </c>
      <c r="Z447">
        <f>IF(OR(S447=0,B447="",Y447=""),"",IF(AND(F447&lt;&gt;"",D447="Purchase bill"),F447,B447)+Y447)</f>
        <v/>
      </c>
      <c r="AA447">
        <f>IF(OR(W447=0,Z447=""),0,MAX(0,'Outstanding'!$E$5-Z447))</f>
        <v/>
      </c>
      <c r="AB447">
        <f>IF(AND(X447=1,AA447&gt;0),W447*((1+3*N('Parties'!$E$10)/12)^(AA447*12/365)-1),0)</f>
        <v/>
      </c>
      <c r="AC447">
        <f>IF(W447=0,"",'Outstanding'!$E$5-B447)</f>
        <v/>
      </c>
      <c r="AD447">
        <f>IF(S447=0,0,IFERROR(VLOOKUP(C447,'Parties'!$B$13:$Q$112,14,FALSE),0)+SUMIFS($T$7:$T$506,$C$7:$C$506,C447,$B$7:$B$506,"&lt;="&amp;'Parties'!$E$8))</f>
        <v/>
      </c>
      <c r="AE447">
        <f>IF(OR('Parties'!$E$8="",S447=0,B447="",B447&gt;'Parties'!$E$8),0,MAX(0,MIN(S447,U447-AD447)))</f>
        <v/>
      </c>
      <c r="AF447">
        <f>IF(AND(P447="Creditor",X447=1,AE447&gt;0,Z447&lt;&gt;""),IF(Z447&lt;='Parties'!$E$8,AE447,0),0)</f>
        <v/>
      </c>
      <c r="AG447">
        <f>IF(OR(AE447=0,Z447=""),0,MAX(0,'Parties'!$E$8-Z447))</f>
        <v/>
      </c>
      <c r="AH447">
        <f>IF(AND(P447="Creditor",X447=1,AG447&gt;0),AE447*((1+3*N('Parties'!$E$10)/12)^(AG447*12/365)-1),0)</f>
        <v/>
      </c>
      <c r="AI447">
        <f>IF(AND(C447&lt;&gt;"",C447='Ledger Account'!$D$4,B447&lt;&gt;"",B447&gt;='Ledger Account'!$D$5,B447&lt;='Ledger Account'!$D$6),1,0)</f>
        <v/>
      </c>
      <c r="AJ447">
        <f>IF(AI447=1,SUM(AI$7:AI447),"")</f>
        <v/>
      </c>
      <c r="AK447">
        <f>IF(OR(N447="",N447="OK"),0,1)</f>
        <v/>
      </c>
    </row>
    <row r="448">
      <c r="B448" s="24" t="n"/>
      <c r="C448" s="14" t="n"/>
      <c r="D448" s="14" t="n"/>
      <c r="E448" s="20" t="n"/>
      <c r="F448" s="24" t="n"/>
      <c r="G448" s="14" t="n"/>
      <c r="H448" s="22" t="n"/>
      <c r="I448" s="25">
        <f>IF(Q448="D",N(H448),0)</f>
        <v/>
      </c>
      <c r="J448" s="25">
        <f>IF(Q448="C",N(H448),0)</f>
        <v/>
      </c>
      <c r="K448" s="26">
        <f>IF(Z448="","",Z448)</f>
        <v/>
      </c>
      <c r="L448" s="27">
        <f>W448</f>
        <v/>
      </c>
      <c r="M448" s="28">
        <f>AA448</f>
        <v/>
      </c>
      <c r="N448" s="23">
        <f>IF(AND(B448="",C448="",D448="",N(H448)=0),"",IF(B448="","Enter the date",IF(C448="","Pick the party",IF(P448="?","Add this party on the Parties sheet first",IF(D448="","Pick the entry type",IF(Q448="?","Pick the entry type from the list",IF(N(H448)=0,"Enter the amount",IF(AND(R448&lt;&gt;"Any",R448&lt;&gt;P448),"Sales, receipts and credit notes are for debtors; purchases, payments and debit notes for creditors",IF(AND(F448&lt;&gt;"",D448&lt;&gt;"Purchase bill"),"The received-on date is only for purchase bills",IF(AND(P448="Creditor",X448=1,AA448&gt;0),"Past due to a micro or small supplier: interest runs under MSMED s.16, and if unpaid at year end it is not deductible that year, s.37(2)(g)",IF(AND(P448="Debtor",X448=1,AA448&gt;0),"Past due to you: as a micro or small supplier you can claim interest under MSMED s.16","OK")))))))))))</f>
        <v/>
      </c>
      <c r="P448">
        <f>IF(C448="","",IFERROR(VLOOKUP(C448,'Parties'!$B$13:$Q$112,2,FALSE),"?"))</f>
        <v/>
      </c>
      <c r="Q448">
        <f>IF(D448="","",IFERROR(VLOOKUP(D448,Lists!$A$2:$D$9,3,FALSE),"?"))</f>
        <v/>
      </c>
      <c r="R448">
        <f>IF(D448="","",IFERROR(VLOOKUP(D448,Lists!$A$2:$D$9,4,FALSE),"?"))</f>
        <v/>
      </c>
      <c r="S448">
        <f>IF(P448="Debtor",I448,IF(P448="Creditor",J448,0))</f>
        <v/>
      </c>
      <c r="T448">
        <f>IF(P448="Debtor",J448,IF(P448="Creditor",I448,0))</f>
        <v/>
      </c>
      <c r="U448">
        <f>IF(OR(S448=0,B448=""),0,IFERROR(VLOOKUP(C448,'Parties'!$B$13:$Q$112,13,FALSE),0)+SUMIFS($S$7:$S$506,$C$7:$C$506,C448,$B$7:$B$506,"&lt;"&amp;B448)+SUMIFS(S$7:S448,C$7:C448,C448,B$7:B448,B448))</f>
        <v/>
      </c>
      <c r="V448">
        <f>IF(S448=0,0,IFERROR(VLOOKUP(C448,'Parties'!$B$13:$Q$112,14,FALSE),0)+SUMIFS($T$7:$T$506,$C$7:$C$506,C448,$B$7:$B$506,"&lt;="&amp;'Outstanding'!$E$5))</f>
        <v/>
      </c>
      <c r="W448">
        <f>IF(OR('Outstanding'!$E$5="",S448=0,B448="",B448&gt;'Outstanding'!$E$5),0,MAX(0,MIN(S448,U448-V448)))</f>
        <v/>
      </c>
      <c r="X448">
        <f>IF(C448="",0,IFERROR(VLOOKUP(C448,'Parties'!$B$13:$Q$112,15,FALSE),0))</f>
        <v/>
      </c>
      <c r="Y448">
        <f>IF(C448="","",IFERROR(VLOOKUP(C448,'Parties'!$B$13:$Q$112,16,FALSE),0))</f>
        <v/>
      </c>
      <c r="Z448">
        <f>IF(OR(S448=0,B448="",Y448=""),"",IF(AND(F448&lt;&gt;"",D448="Purchase bill"),F448,B448)+Y448)</f>
        <v/>
      </c>
      <c r="AA448">
        <f>IF(OR(W448=0,Z448=""),0,MAX(0,'Outstanding'!$E$5-Z448))</f>
        <v/>
      </c>
      <c r="AB448">
        <f>IF(AND(X448=1,AA448&gt;0),W448*((1+3*N('Parties'!$E$10)/12)^(AA448*12/365)-1),0)</f>
        <v/>
      </c>
      <c r="AC448">
        <f>IF(W448=0,"",'Outstanding'!$E$5-B448)</f>
        <v/>
      </c>
      <c r="AD448">
        <f>IF(S448=0,0,IFERROR(VLOOKUP(C448,'Parties'!$B$13:$Q$112,14,FALSE),0)+SUMIFS($T$7:$T$506,$C$7:$C$506,C448,$B$7:$B$506,"&lt;="&amp;'Parties'!$E$8))</f>
        <v/>
      </c>
      <c r="AE448">
        <f>IF(OR('Parties'!$E$8="",S448=0,B448="",B448&gt;'Parties'!$E$8),0,MAX(0,MIN(S448,U448-AD448)))</f>
        <v/>
      </c>
      <c r="AF448">
        <f>IF(AND(P448="Creditor",X448=1,AE448&gt;0,Z448&lt;&gt;""),IF(Z448&lt;='Parties'!$E$8,AE448,0),0)</f>
        <v/>
      </c>
      <c r="AG448">
        <f>IF(OR(AE448=0,Z448=""),0,MAX(0,'Parties'!$E$8-Z448))</f>
        <v/>
      </c>
      <c r="AH448">
        <f>IF(AND(P448="Creditor",X448=1,AG448&gt;0),AE448*((1+3*N('Parties'!$E$10)/12)^(AG448*12/365)-1),0)</f>
        <v/>
      </c>
      <c r="AI448">
        <f>IF(AND(C448&lt;&gt;"",C448='Ledger Account'!$D$4,B448&lt;&gt;"",B448&gt;='Ledger Account'!$D$5,B448&lt;='Ledger Account'!$D$6),1,0)</f>
        <v/>
      </c>
      <c r="AJ448">
        <f>IF(AI448=1,SUM(AI$7:AI448),"")</f>
        <v/>
      </c>
      <c r="AK448">
        <f>IF(OR(N448="",N448="OK"),0,1)</f>
        <v/>
      </c>
    </row>
    <row r="449">
      <c r="B449" s="24" t="n"/>
      <c r="C449" s="14" t="n"/>
      <c r="D449" s="14" t="n"/>
      <c r="E449" s="20" t="n"/>
      <c r="F449" s="24" t="n"/>
      <c r="G449" s="14" t="n"/>
      <c r="H449" s="22" t="n"/>
      <c r="I449" s="25">
        <f>IF(Q449="D",N(H449),0)</f>
        <v/>
      </c>
      <c r="J449" s="25">
        <f>IF(Q449="C",N(H449),0)</f>
        <v/>
      </c>
      <c r="K449" s="26">
        <f>IF(Z449="","",Z449)</f>
        <v/>
      </c>
      <c r="L449" s="27">
        <f>W449</f>
        <v/>
      </c>
      <c r="M449" s="28">
        <f>AA449</f>
        <v/>
      </c>
      <c r="N449" s="23">
        <f>IF(AND(B449="",C449="",D449="",N(H449)=0),"",IF(B449="","Enter the date",IF(C449="","Pick the party",IF(P449="?","Add this party on the Parties sheet first",IF(D449="","Pick the entry type",IF(Q449="?","Pick the entry type from the list",IF(N(H449)=0,"Enter the amount",IF(AND(R449&lt;&gt;"Any",R449&lt;&gt;P449),"Sales, receipts and credit notes are for debtors; purchases, payments and debit notes for creditors",IF(AND(F449&lt;&gt;"",D449&lt;&gt;"Purchase bill"),"The received-on date is only for purchase bills",IF(AND(P449="Creditor",X449=1,AA449&gt;0),"Past due to a micro or small supplier: interest runs under MSMED s.16, and if unpaid at year end it is not deductible that year, s.37(2)(g)",IF(AND(P449="Debtor",X449=1,AA449&gt;0),"Past due to you: as a micro or small supplier you can claim interest under MSMED s.16","OK")))))))))))</f>
        <v/>
      </c>
      <c r="P449">
        <f>IF(C449="","",IFERROR(VLOOKUP(C449,'Parties'!$B$13:$Q$112,2,FALSE),"?"))</f>
        <v/>
      </c>
      <c r="Q449">
        <f>IF(D449="","",IFERROR(VLOOKUP(D449,Lists!$A$2:$D$9,3,FALSE),"?"))</f>
        <v/>
      </c>
      <c r="R449">
        <f>IF(D449="","",IFERROR(VLOOKUP(D449,Lists!$A$2:$D$9,4,FALSE),"?"))</f>
        <v/>
      </c>
      <c r="S449">
        <f>IF(P449="Debtor",I449,IF(P449="Creditor",J449,0))</f>
        <v/>
      </c>
      <c r="T449">
        <f>IF(P449="Debtor",J449,IF(P449="Creditor",I449,0))</f>
        <v/>
      </c>
      <c r="U449">
        <f>IF(OR(S449=0,B449=""),0,IFERROR(VLOOKUP(C449,'Parties'!$B$13:$Q$112,13,FALSE),0)+SUMIFS($S$7:$S$506,$C$7:$C$506,C449,$B$7:$B$506,"&lt;"&amp;B449)+SUMIFS(S$7:S449,C$7:C449,C449,B$7:B449,B449))</f>
        <v/>
      </c>
      <c r="V449">
        <f>IF(S449=0,0,IFERROR(VLOOKUP(C449,'Parties'!$B$13:$Q$112,14,FALSE),0)+SUMIFS($T$7:$T$506,$C$7:$C$506,C449,$B$7:$B$506,"&lt;="&amp;'Outstanding'!$E$5))</f>
        <v/>
      </c>
      <c r="W449">
        <f>IF(OR('Outstanding'!$E$5="",S449=0,B449="",B449&gt;'Outstanding'!$E$5),0,MAX(0,MIN(S449,U449-V449)))</f>
        <v/>
      </c>
      <c r="X449">
        <f>IF(C449="",0,IFERROR(VLOOKUP(C449,'Parties'!$B$13:$Q$112,15,FALSE),0))</f>
        <v/>
      </c>
      <c r="Y449">
        <f>IF(C449="","",IFERROR(VLOOKUP(C449,'Parties'!$B$13:$Q$112,16,FALSE),0))</f>
        <v/>
      </c>
      <c r="Z449">
        <f>IF(OR(S449=0,B449="",Y449=""),"",IF(AND(F449&lt;&gt;"",D449="Purchase bill"),F449,B449)+Y449)</f>
        <v/>
      </c>
      <c r="AA449">
        <f>IF(OR(W449=0,Z449=""),0,MAX(0,'Outstanding'!$E$5-Z449))</f>
        <v/>
      </c>
      <c r="AB449">
        <f>IF(AND(X449=1,AA449&gt;0),W449*((1+3*N('Parties'!$E$10)/12)^(AA449*12/365)-1),0)</f>
        <v/>
      </c>
      <c r="AC449">
        <f>IF(W449=0,"",'Outstanding'!$E$5-B449)</f>
        <v/>
      </c>
      <c r="AD449">
        <f>IF(S449=0,0,IFERROR(VLOOKUP(C449,'Parties'!$B$13:$Q$112,14,FALSE),0)+SUMIFS($T$7:$T$506,$C$7:$C$506,C449,$B$7:$B$506,"&lt;="&amp;'Parties'!$E$8))</f>
        <v/>
      </c>
      <c r="AE449">
        <f>IF(OR('Parties'!$E$8="",S449=0,B449="",B449&gt;'Parties'!$E$8),0,MAX(0,MIN(S449,U449-AD449)))</f>
        <v/>
      </c>
      <c r="AF449">
        <f>IF(AND(P449="Creditor",X449=1,AE449&gt;0,Z449&lt;&gt;""),IF(Z449&lt;='Parties'!$E$8,AE449,0),0)</f>
        <v/>
      </c>
      <c r="AG449">
        <f>IF(OR(AE449=0,Z449=""),0,MAX(0,'Parties'!$E$8-Z449))</f>
        <v/>
      </c>
      <c r="AH449">
        <f>IF(AND(P449="Creditor",X449=1,AG449&gt;0),AE449*((1+3*N('Parties'!$E$10)/12)^(AG449*12/365)-1),0)</f>
        <v/>
      </c>
      <c r="AI449">
        <f>IF(AND(C449&lt;&gt;"",C449='Ledger Account'!$D$4,B449&lt;&gt;"",B449&gt;='Ledger Account'!$D$5,B449&lt;='Ledger Account'!$D$6),1,0)</f>
        <v/>
      </c>
      <c r="AJ449">
        <f>IF(AI449=1,SUM(AI$7:AI449),"")</f>
        <v/>
      </c>
      <c r="AK449">
        <f>IF(OR(N449="",N449="OK"),0,1)</f>
        <v/>
      </c>
    </row>
    <row r="450">
      <c r="B450" s="24" t="n"/>
      <c r="C450" s="14" t="n"/>
      <c r="D450" s="14" t="n"/>
      <c r="E450" s="20" t="n"/>
      <c r="F450" s="24" t="n"/>
      <c r="G450" s="14" t="n"/>
      <c r="H450" s="22" t="n"/>
      <c r="I450" s="25">
        <f>IF(Q450="D",N(H450),0)</f>
        <v/>
      </c>
      <c r="J450" s="25">
        <f>IF(Q450="C",N(H450),0)</f>
        <v/>
      </c>
      <c r="K450" s="26">
        <f>IF(Z450="","",Z450)</f>
        <v/>
      </c>
      <c r="L450" s="27">
        <f>W450</f>
        <v/>
      </c>
      <c r="M450" s="28">
        <f>AA450</f>
        <v/>
      </c>
      <c r="N450" s="23">
        <f>IF(AND(B450="",C450="",D450="",N(H450)=0),"",IF(B450="","Enter the date",IF(C450="","Pick the party",IF(P450="?","Add this party on the Parties sheet first",IF(D450="","Pick the entry type",IF(Q450="?","Pick the entry type from the list",IF(N(H450)=0,"Enter the amount",IF(AND(R450&lt;&gt;"Any",R450&lt;&gt;P450),"Sales, receipts and credit notes are for debtors; purchases, payments and debit notes for creditors",IF(AND(F450&lt;&gt;"",D450&lt;&gt;"Purchase bill"),"The received-on date is only for purchase bills",IF(AND(P450="Creditor",X450=1,AA450&gt;0),"Past due to a micro or small supplier: interest runs under MSMED s.16, and if unpaid at year end it is not deductible that year, s.37(2)(g)",IF(AND(P450="Debtor",X450=1,AA450&gt;0),"Past due to you: as a micro or small supplier you can claim interest under MSMED s.16","OK")))))))))))</f>
        <v/>
      </c>
      <c r="P450">
        <f>IF(C450="","",IFERROR(VLOOKUP(C450,'Parties'!$B$13:$Q$112,2,FALSE),"?"))</f>
        <v/>
      </c>
      <c r="Q450">
        <f>IF(D450="","",IFERROR(VLOOKUP(D450,Lists!$A$2:$D$9,3,FALSE),"?"))</f>
        <v/>
      </c>
      <c r="R450">
        <f>IF(D450="","",IFERROR(VLOOKUP(D450,Lists!$A$2:$D$9,4,FALSE),"?"))</f>
        <v/>
      </c>
      <c r="S450">
        <f>IF(P450="Debtor",I450,IF(P450="Creditor",J450,0))</f>
        <v/>
      </c>
      <c r="T450">
        <f>IF(P450="Debtor",J450,IF(P450="Creditor",I450,0))</f>
        <v/>
      </c>
      <c r="U450">
        <f>IF(OR(S450=0,B450=""),0,IFERROR(VLOOKUP(C450,'Parties'!$B$13:$Q$112,13,FALSE),0)+SUMIFS($S$7:$S$506,$C$7:$C$506,C450,$B$7:$B$506,"&lt;"&amp;B450)+SUMIFS(S$7:S450,C$7:C450,C450,B$7:B450,B450))</f>
        <v/>
      </c>
      <c r="V450">
        <f>IF(S450=0,0,IFERROR(VLOOKUP(C450,'Parties'!$B$13:$Q$112,14,FALSE),0)+SUMIFS($T$7:$T$506,$C$7:$C$506,C450,$B$7:$B$506,"&lt;="&amp;'Outstanding'!$E$5))</f>
        <v/>
      </c>
      <c r="W450">
        <f>IF(OR('Outstanding'!$E$5="",S450=0,B450="",B450&gt;'Outstanding'!$E$5),0,MAX(0,MIN(S450,U450-V450)))</f>
        <v/>
      </c>
      <c r="X450">
        <f>IF(C450="",0,IFERROR(VLOOKUP(C450,'Parties'!$B$13:$Q$112,15,FALSE),0))</f>
        <v/>
      </c>
      <c r="Y450">
        <f>IF(C450="","",IFERROR(VLOOKUP(C450,'Parties'!$B$13:$Q$112,16,FALSE),0))</f>
        <v/>
      </c>
      <c r="Z450">
        <f>IF(OR(S450=0,B450="",Y450=""),"",IF(AND(F450&lt;&gt;"",D450="Purchase bill"),F450,B450)+Y450)</f>
        <v/>
      </c>
      <c r="AA450">
        <f>IF(OR(W450=0,Z450=""),0,MAX(0,'Outstanding'!$E$5-Z450))</f>
        <v/>
      </c>
      <c r="AB450">
        <f>IF(AND(X450=1,AA450&gt;0),W450*((1+3*N('Parties'!$E$10)/12)^(AA450*12/365)-1),0)</f>
        <v/>
      </c>
      <c r="AC450">
        <f>IF(W450=0,"",'Outstanding'!$E$5-B450)</f>
        <v/>
      </c>
      <c r="AD450">
        <f>IF(S450=0,0,IFERROR(VLOOKUP(C450,'Parties'!$B$13:$Q$112,14,FALSE),0)+SUMIFS($T$7:$T$506,$C$7:$C$506,C450,$B$7:$B$506,"&lt;="&amp;'Parties'!$E$8))</f>
        <v/>
      </c>
      <c r="AE450">
        <f>IF(OR('Parties'!$E$8="",S450=0,B450="",B450&gt;'Parties'!$E$8),0,MAX(0,MIN(S450,U450-AD450)))</f>
        <v/>
      </c>
      <c r="AF450">
        <f>IF(AND(P450="Creditor",X450=1,AE450&gt;0,Z450&lt;&gt;""),IF(Z450&lt;='Parties'!$E$8,AE450,0),0)</f>
        <v/>
      </c>
      <c r="AG450">
        <f>IF(OR(AE450=0,Z450=""),0,MAX(0,'Parties'!$E$8-Z450))</f>
        <v/>
      </c>
      <c r="AH450">
        <f>IF(AND(P450="Creditor",X450=1,AG450&gt;0),AE450*((1+3*N('Parties'!$E$10)/12)^(AG450*12/365)-1),0)</f>
        <v/>
      </c>
      <c r="AI450">
        <f>IF(AND(C450&lt;&gt;"",C450='Ledger Account'!$D$4,B450&lt;&gt;"",B450&gt;='Ledger Account'!$D$5,B450&lt;='Ledger Account'!$D$6),1,0)</f>
        <v/>
      </c>
      <c r="AJ450">
        <f>IF(AI450=1,SUM(AI$7:AI450),"")</f>
        <v/>
      </c>
      <c r="AK450">
        <f>IF(OR(N450="",N450="OK"),0,1)</f>
        <v/>
      </c>
    </row>
    <row r="451">
      <c r="B451" s="24" t="n"/>
      <c r="C451" s="14" t="n"/>
      <c r="D451" s="14" t="n"/>
      <c r="E451" s="20" t="n"/>
      <c r="F451" s="24" t="n"/>
      <c r="G451" s="14" t="n"/>
      <c r="H451" s="22" t="n"/>
      <c r="I451" s="25">
        <f>IF(Q451="D",N(H451),0)</f>
        <v/>
      </c>
      <c r="J451" s="25">
        <f>IF(Q451="C",N(H451),0)</f>
        <v/>
      </c>
      <c r="K451" s="26">
        <f>IF(Z451="","",Z451)</f>
        <v/>
      </c>
      <c r="L451" s="27">
        <f>W451</f>
        <v/>
      </c>
      <c r="M451" s="28">
        <f>AA451</f>
        <v/>
      </c>
      <c r="N451" s="23">
        <f>IF(AND(B451="",C451="",D451="",N(H451)=0),"",IF(B451="","Enter the date",IF(C451="","Pick the party",IF(P451="?","Add this party on the Parties sheet first",IF(D451="","Pick the entry type",IF(Q451="?","Pick the entry type from the list",IF(N(H451)=0,"Enter the amount",IF(AND(R451&lt;&gt;"Any",R451&lt;&gt;P451),"Sales, receipts and credit notes are for debtors; purchases, payments and debit notes for creditors",IF(AND(F451&lt;&gt;"",D451&lt;&gt;"Purchase bill"),"The received-on date is only for purchase bills",IF(AND(P451="Creditor",X451=1,AA451&gt;0),"Past due to a micro or small supplier: interest runs under MSMED s.16, and if unpaid at year end it is not deductible that year, s.37(2)(g)",IF(AND(P451="Debtor",X451=1,AA451&gt;0),"Past due to you: as a micro or small supplier you can claim interest under MSMED s.16","OK")))))))))))</f>
        <v/>
      </c>
      <c r="P451">
        <f>IF(C451="","",IFERROR(VLOOKUP(C451,'Parties'!$B$13:$Q$112,2,FALSE),"?"))</f>
        <v/>
      </c>
      <c r="Q451">
        <f>IF(D451="","",IFERROR(VLOOKUP(D451,Lists!$A$2:$D$9,3,FALSE),"?"))</f>
        <v/>
      </c>
      <c r="R451">
        <f>IF(D451="","",IFERROR(VLOOKUP(D451,Lists!$A$2:$D$9,4,FALSE),"?"))</f>
        <v/>
      </c>
      <c r="S451">
        <f>IF(P451="Debtor",I451,IF(P451="Creditor",J451,0))</f>
        <v/>
      </c>
      <c r="T451">
        <f>IF(P451="Debtor",J451,IF(P451="Creditor",I451,0))</f>
        <v/>
      </c>
      <c r="U451">
        <f>IF(OR(S451=0,B451=""),0,IFERROR(VLOOKUP(C451,'Parties'!$B$13:$Q$112,13,FALSE),0)+SUMIFS($S$7:$S$506,$C$7:$C$506,C451,$B$7:$B$506,"&lt;"&amp;B451)+SUMIFS(S$7:S451,C$7:C451,C451,B$7:B451,B451))</f>
        <v/>
      </c>
      <c r="V451">
        <f>IF(S451=0,0,IFERROR(VLOOKUP(C451,'Parties'!$B$13:$Q$112,14,FALSE),0)+SUMIFS($T$7:$T$506,$C$7:$C$506,C451,$B$7:$B$506,"&lt;="&amp;'Outstanding'!$E$5))</f>
        <v/>
      </c>
      <c r="W451">
        <f>IF(OR('Outstanding'!$E$5="",S451=0,B451="",B451&gt;'Outstanding'!$E$5),0,MAX(0,MIN(S451,U451-V451)))</f>
        <v/>
      </c>
      <c r="X451">
        <f>IF(C451="",0,IFERROR(VLOOKUP(C451,'Parties'!$B$13:$Q$112,15,FALSE),0))</f>
        <v/>
      </c>
      <c r="Y451">
        <f>IF(C451="","",IFERROR(VLOOKUP(C451,'Parties'!$B$13:$Q$112,16,FALSE),0))</f>
        <v/>
      </c>
      <c r="Z451">
        <f>IF(OR(S451=0,B451="",Y451=""),"",IF(AND(F451&lt;&gt;"",D451="Purchase bill"),F451,B451)+Y451)</f>
        <v/>
      </c>
      <c r="AA451">
        <f>IF(OR(W451=0,Z451=""),0,MAX(0,'Outstanding'!$E$5-Z451))</f>
        <v/>
      </c>
      <c r="AB451">
        <f>IF(AND(X451=1,AA451&gt;0),W451*((1+3*N('Parties'!$E$10)/12)^(AA451*12/365)-1),0)</f>
        <v/>
      </c>
      <c r="AC451">
        <f>IF(W451=0,"",'Outstanding'!$E$5-B451)</f>
        <v/>
      </c>
      <c r="AD451">
        <f>IF(S451=0,0,IFERROR(VLOOKUP(C451,'Parties'!$B$13:$Q$112,14,FALSE),0)+SUMIFS($T$7:$T$506,$C$7:$C$506,C451,$B$7:$B$506,"&lt;="&amp;'Parties'!$E$8))</f>
        <v/>
      </c>
      <c r="AE451">
        <f>IF(OR('Parties'!$E$8="",S451=0,B451="",B451&gt;'Parties'!$E$8),0,MAX(0,MIN(S451,U451-AD451)))</f>
        <v/>
      </c>
      <c r="AF451">
        <f>IF(AND(P451="Creditor",X451=1,AE451&gt;0,Z451&lt;&gt;""),IF(Z451&lt;='Parties'!$E$8,AE451,0),0)</f>
        <v/>
      </c>
      <c r="AG451">
        <f>IF(OR(AE451=0,Z451=""),0,MAX(0,'Parties'!$E$8-Z451))</f>
        <v/>
      </c>
      <c r="AH451">
        <f>IF(AND(P451="Creditor",X451=1,AG451&gt;0),AE451*((1+3*N('Parties'!$E$10)/12)^(AG451*12/365)-1),0)</f>
        <v/>
      </c>
      <c r="AI451">
        <f>IF(AND(C451&lt;&gt;"",C451='Ledger Account'!$D$4,B451&lt;&gt;"",B451&gt;='Ledger Account'!$D$5,B451&lt;='Ledger Account'!$D$6),1,0)</f>
        <v/>
      </c>
      <c r="AJ451">
        <f>IF(AI451=1,SUM(AI$7:AI451),"")</f>
        <v/>
      </c>
      <c r="AK451">
        <f>IF(OR(N451="",N451="OK"),0,1)</f>
        <v/>
      </c>
    </row>
    <row r="452">
      <c r="B452" s="24" t="n"/>
      <c r="C452" s="14" t="n"/>
      <c r="D452" s="14" t="n"/>
      <c r="E452" s="20" t="n"/>
      <c r="F452" s="24" t="n"/>
      <c r="G452" s="14" t="n"/>
      <c r="H452" s="22" t="n"/>
      <c r="I452" s="25">
        <f>IF(Q452="D",N(H452),0)</f>
        <v/>
      </c>
      <c r="J452" s="25">
        <f>IF(Q452="C",N(H452),0)</f>
        <v/>
      </c>
      <c r="K452" s="26">
        <f>IF(Z452="","",Z452)</f>
        <v/>
      </c>
      <c r="L452" s="27">
        <f>W452</f>
        <v/>
      </c>
      <c r="M452" s="28">
        <f>AA452</f>
        <v/>
      </c>
      <c r="N452" s="23">
        <f>IF(AND(B452="",C452="",D452="",N(H452)=0),"",IF(B452="","Enter the date",IF(C452="","Pick the party",IF(P452="?","Add this party on the Parties sheet first",IF(D452="","Pick the entry type",IF(Q452="?","Pick the entry type from the list",IF(N(H452)=0,"Enter the amount",IF(AND(R452&lt;&gt;"Any",R452&lt;&gt;P452),"Sales, receipts and credit notes are for debtors; purchases, payments and debit notes for creditors",IF(AND(F452&lt;&gt;"",D452&lt;&gt;"Purchase bill"),"The received-on date is only for purchase bills",IF(AND(P452="Creditor",X452=1,AA452&gt;0),"Past due to a micro or small supplier: interest runs under MSMED s.16, and if unpaid at year end it is not deductible that year, s.37(2)(g)",IF(AND(P452="Debtor",X452=1,AA452&gt;0),"Past due to you: as a micro or small supplier you can claim interest under MSMED s.16","OK")))))))))))</f>
        <v/>
      </c>
      <c r="P452">
        <f>IF(C452="","",IFERROR(VLOOKUP(C452,'Parties'!$B$13:$Q$112,2,FALSE),"?"))</f>
        <v/>
      </c>
      <c r="Q452">
        <f>IF(D452="","",IFERROR(VLOOKUP(D452,Lists!$A$2:$D$9,3,FALSE),"?"))</f>
        <v/>
      </c>
      <c r="R452">
        <f>IF(D452="","",IFERROR(VLOOKUP(D452,Lists!$A$2:$D$9,4,FALSE),"?"))</f>
        <v/>
      </c>
      <c r="S452">
        <f>IF(P452="Debtor",I452,IF(P452="Creditor",J452,0))</f>
        <v/>
      </c>
      <c r="T452">
        <f>IF(P452="Debtor",J452,IF(P452="Creditor",I452,0))</f>
        <v/>
      </c>
      <c r="U452">
        <f>IF(OR(S452=0,B452=""),0,IFERROR(VLOOKUP(C452,'Parties'!$B$13:$Q$112,13,FALSE),0)+SUMIFS($S$7:$S$506,$C$7:$C$506,C452,$B$7:$B$506,"&lt;"&amp;B452)+SUMIFS(S$7:S452,C$7:C452,C452,B$7:B452,B452))</f>
        <v/>
      </c>
      <c r="V452">
        <f>IF(S452=0,0,IFERROR(VLOOKUP(C452,'Parties'!$B$13:$Q$112,14,FALSE),0)+SUMIFS($T$7:$T$506,$C$7:$C$506,C452,$B$7:$B$506,"&lt;="&amp;'Outstanding'!$E$5))</f>
        <v/>
      </c>
      <c r="W452">
        <f>IF(OR('Outstanding'!$E$5="",S452=0,B452="",B452&gt;'Outstanding'!$E$5),0,MAX(0,MIN(S452,U452-V452)))</f>
        <v/>
      </c>
      <c r="X452">
        <f>IF(C452="",0,IFERROR(VLOOKUP(C452,'Parties'!$B$13:$Q$112,15,FALSE),0))</f>
        <v/>
      </c>
      <c r="Y452">
        <f>IF(C452="","",IFERROR(VLOOKUP(C452,'Parties'!$B$13:$Q$112,16,FALSE),0))</f>
        <v/>
      </c>
      <c r="Z452">
        <f>IF(OR(S452=0,B452="",Y452=""),"",IF(AND(F452&lt;&gt;"",D452="Purchase bill"),F452,B452)+Y452)</f>
        <v/>
      </c>
      <c r="AA452">
        <f>IF(OR(W452=0,Z452=""),0,MAX(0,'Outstanding'!$E$5-Z452))</f>
        <v/>
      </c>
      <c r="AB452">
        <f>IF(AND(X452=1,AA452&gt;0),W452*((1+3*N('Parties'!$E$10)/12)^(AA452*12/365)-1),0)</f>
        <v/>
      </c>
      <c r="AC452">
        <f>IF(W452=0,"",'Outstanding'!$E$5-B452)</f>
        <v/>
      </c>
      <c r="AD452">
        <f>IF(S452=0,0,IFERROR(VLOOKUP(C452,'Parties'!$B$13:$Q$112,14,FALSE),0)+SUMIFS($T$7:$T$506,$C$7:$C$506,C452,$B$7:$B$506,"&lt;="&amp;'Parties'!$E$8))</f>
        <v/>
      </c>
      <c r="AE452">
        <f>IF(OR('Parties'!$E$8="",S452=0,B452="",B452&gt;'Parties'!$E$8),0,MAX(0,MIN(S452,U452-AD452)))</f>
        <v/>
      </c>
      <c r="AF452">
        <f>IF(AND(P452="Creditor",X452=1,AE452&gt;0,Z452&lt;&gt;""),IF(Z452&lt;='Parties'!$E$8,AE452,0),0)</f>
        <v/>
      </c>
      <c r="AG452">
        <f>IF(OR(AE452=0,Z452=""),0,MAX(0,'Parties'!$E$8-Z452))</f>
        <v/>
      </c>
      <c r="AH452">
        <f>IF(AND(P452="Creditor",X452=1,AG452&gt;0),AE452*((1+3*N('Parties'!$E$10)/12)^(AG452*12/365)-1),0)</f>
        <v/>
      </c>
      <c r="AI452">
        <f>IF(AND(C452&lt;&gt;"",C452='Ledger Account'!$D$4,B452&lt;&gt;"",B452&gt;='Ledger Account'!$D$5,B452&lt;='Ledger Account'!$D$6),1,0)</f>
        <v/>
      </c>
      <c r="AJ452">
        <f>IF(AI452=1,SUM(AI$7:AI452),"")</f>
        <v/>
      </c>
      <c r="AK452">
        <f>IF(OR(N452="",N452="OK"),0,1)</f>
        <v/>
      </c>
    </row>
    <row r="453">
      <c r="B453" s="24" t="n"/>
      <c r="C453" s="14" t="n"/>
      <c r="D453" s="14" t="n"/>
      <c r="E453" s="20" t="n"/>
      <c r="F453" s="24" t="n"/>
      <c r="G453" s="14" t="n"/>
      <c r="H453" s="22" t="n"/>
      <c r="I453" s="25">
        <f>IF(Q453="D",N(H453),0)</f>
        <v/>
      </c>
      <c r="J453" s="25">
        <f>IF(Q453="C",N(H453),0)</f>
        <v/>
      </c>
      <c r="K453" s="26">
        <f>IF(Z453="","",Z453)</f>
        <v/>
      </c>
      <c r="L453" s="27">
        <f>W453</f>
        <v/>
      </c>
      <c r="M453" s="28">
        <f>AA453</f>
        <v/>
      </c>
      <c r="N453" s="23">
        <f>IF(AND(B453="",C453="",D453="",N(H453)=0),"",IF(B453="","Enter the date",IF(C453="","Pick the party",IF(P453="?","Add this party on the Parties sheet first",IF(D453="","Pick the entry type",IF(Q453="?","Pick the entry type from the list",IF(N(H453)=0,"Enter the amount",IF(AND(R453&lt;&gt;"Any",R453&lt;&gt;P453),"Sales, receipts and credit notes are for debtors; purchases, payments and debit notes for creditors",IF(AND(F453&lt;&gt;"",D453&lt;&gt;"Purchase bill"),"The received-on date is only for purchase bills",IF(AND(P453="Creditor",X453=1,AA453&gt;0),"Past due to a micro or small supplier: interest runs under MSMED s.16, and if unpaid at year end it is not deductible that year, s.37(2)(g)",IF(AND(P453="Debtor",X453=1,AA453&gt;0),"Past due to you: as a micro or small supplier you can claim interest under MSMED s.16","OK")))))))))))</f>
        <v/>
      </c>
      <c r="P453">
        <f>IF(C453="","",IFERROR(VLOOKUP(C453,'Parties'!$B$13:$Q$112,2,FALSE),"?"))</f>
        <v/>
      </c>
      <c r="Q453">
        <f>IF(D453="","",IFERROR(VLOOKUP(D453,Lists!$A$2:$D$9,3,FALSE),"?"))</f>
        <v/>
      </c>
      <c r="R453">
        <f>IF(D453="","",IFERROR(VLOOKUP(D453,Lists!$A$2:$D$9,4,FALSE),"?"))</f>
        <v/>
      </c>
      <c r="S453">
        <f>IF(P453="Debtor",I453,IF(P453="Creditor",J453,0))</f>
        <v/>
      </c>
      <c r="T453">
        <f>IF(P453="Debtor",J453,IF(P453="Creditor",I453,0))</f>
        <v/>
      </c>
      <c r="U453">
        <f>IF(OR(S453=0,B453=""),0,IFERROR(VLOOKUP(C453,'Parties'!$B$13:$Q$112,13,FALSE),0)+SUMIFS($S$7:$S$506,$C$7:$C$506,C453,$B$7:$B$506,"&lt;"&amp;B453)+SUMIFS(S$7:S453,C$7:C453,C453,B$7:B453,B453))</f>
        <v/>
      </c>
      <c r="V453">
        <f>IF(S453=0,0,IFERROR(VLOOKUP(C453,'Parties'!$B$13:$Q$112,14,FALSE),0)+SUMIFS($T$7:$T$506,$C$7:$C$506,C453,$B$7:$B$506,"&lt;="&amp;'Outstanding'!$E$5))</f>
        <v/>
      </c>
      <c r="W453">
        <f>IF(OR('Outstanding'!$E$5="",S453=0,B453="",B453&gt;'Outstanding'!$E$5),0,MAX(0,MIN(S453,U453-V453)))</f>
        <v/>
      </c>
      <c r="X453">
        <f>IF(C453="",0,IFERROR(VLOOKUP(C453,'Parties'!$B$13:$Q$112,15,FALSE),0))</f>
        <v/>
      </c>
      <c r="Y453">
        <f>IF(C453="","",IFERROR(VLOOKUP(C453,'Parties'!$B$13:$Q$112,16,FALSE),0))</f>
        <v/>
      </c>
      <c r="Z453">
        <f>IF(OR(S453=0,B453="",Y453=""),"",IF(AND(F453&lt;&gt;"",D453="Purchase bill"),F453,B453)+Y453)</f>
        <v/>
      </c>
      <c r="AA453">
        <f>IF(OR(W453=0,Z453=""),0,MAX(0,'Outstanding'!$E$5-Z453))</f>
        <v/>
      </c>
      <c r="AB453">
        <f>IF(AND(X453=1,AA453&gt;0),W453*((1+3*N('Parties'!$E$10)/12)^(AA453*12/365)-1),0)</f>
        <v/>
      </c>
      <c r="AC453">
        <f>IF(W453=0,"",'Outstanding'!$E$5-B453)</f>
        <v/>
      </c>
      <c r="AD453">
        <f>IF(S453=0,0,IFERROR(VLOOKUP(C453,'Parties'!$B$13:$Q$112,14,FALSE),0)+SUMIFS($T$7:$T$506,$C$7:$C$506,C453,$B$7:$B$506,"&lt;="&amp;'Parties'!$E$8))</f>
        <v/>
      </c>
      <c r="AE453">
        <f>IF(OR('Parties'!$E$8="",S453=0,B453="",B453&gt;'Parties'!$E$8),0,MAX(0,MIN(S453,U453-AD453)))</f>
        <v/>
      </c>
      <c r="AF453">
        <f>IF(AND(P453="Creditor",X453=1,AE453&gt;0,Z453&lt;&gt;""),IF(Z453&lt;='Parties'!$E$8,AE453,0),0)</f>
        <v/>
      </c>
      <c r="AG453">
        <f>IF(OR(AE453=0,Z453=""),0,MAX(0,'Parties'!$E$8-Z453))</f>
        <v/>
      </c>
      <c r="AH453">
        <f>IF(AND(P453="Creditor",X453=1,AG453&gt;0),AE453*((1+3*N('Parties'!$E$10)/12)^(AG453*12/365)-1),0)</f>
        <v/>
      </c>
      <c r="AI453">
        <f>IF(AND(C453&lt;&gt;"",C453='Ledger Account'!$D$4,B453&lt;&gt;"",B453&gt;='Ledger Account'!$D$5,B453&lt;='Ledger Account'!$D$6),1,0)</f>
        <v/>
      </c>
      <c r="AJ453">
        <f>IF(AI453=1,SUM(AI$7:AI453),"")</f>
        <v/>
      </c>
      <c r="AK453">
        <f>IF(OR(N453="",N453="OK"),0,1)</f>
        <v/>
      </c>
    </row>
    <row r="454">
      <c r="B454" s="24" t="n"/>
      <c r="C454" s="14" t="n"/>
      <c r="D454" s="14" t="n"/>
      <c r="E454" s="20" t="n"/>
      <c r="F454" s="24" t="n"/>
      <c r="G454" s="14" t="n"/>
      <c r="H454" s="22" t="n"/>
      <c r="I454" s="25">
        <f>IF(Q454="D",N(H454),0)</f>
        <v/>
      </c>
      <c r="J454" s="25">
        <f>IF(Q454="C",N(H454),0)</f>
        <v/>
      </c>
      <c r="K454" s="26">
        <f>IF(Z454="","",Z454)</f>
        <v/>
      </c>
      <c r="L454" s="27">
        <f>W454</f>
        <v/>
      </c>
      <c r="M454" s="28">
        <f>AA454</f>
        <v/>
      </c>
      <c r="N454" s="23">
        <f>IF(AND(B454="",C454="",D454="",N(H454)=0),"",IF(B454="","Enter the date",IF(C454="","Pick the party",IF(P454="?","Add this party on the Parties sheet first",IF(D454="","Pick the entry type",IF(Q454="?","Pick the entry type from the list",IF(N(H454)=0,"Enter the amount",IF(AND(R454&lt;&gt;"Any",R454&lt;&gt;P454),"Sales, receipts and credit notes are for debtors; purchases, payments and debit notes for creditors",IF(AND(F454&lt;&gt;"",D454&lt;&gt;"Purchase bill"),"The received-on date is only for purchase bills",IF(AND(P454="Creditor",X454=1,AA454&gt;0),"Past due to a micro or small supplier: interest runs under MSMED s.16, and if unpaid at year end it is not deductible that year, s.37(2)(g)",IF(AND(P454="Debtor",X454=1,AA454&gt;0),"Past due to you: as a micro or small supplier you can claim interest under MSMED s.16","OK")))))))))))</f>
        <v/>
      </c>
      <c r="P454">
        <f>IF(C454="","",IFERROR(VLOOKUP(C454,'Parties'!$B$13:$Q$112,2,FALSE),"?"))</f>
        <v/>
      </c>
      <c r="Q454">
        <f>IF(D454="","",IFERROR(VLOOKUP(D454,Lists!$A$2:$D$9,3,FALSE),"?"))</f>
        <v/>
      </c>
      <c r="R454">
        <f>IF(D454="","",IFERROR(VLOOKUP(D454,Lists!$A$2:$D$9,4,FALSE),"?"))</f>
        <v/>
      </c>
      <c r="S454">
        <f>IF(P454="Debtor",I454,IF(P454="Creditor",J454,0))</f>
        <v/>
      </c>
      <c r="T454">
        <f>IF(P454="Debtor",J454,IF(P454="Creditor",I454,0))</f>
        <v/>
      </c>
      <c r="U454">
        <f>IF(OR(S454=0,B454=""),0,IFERROR(VLOOKUP(C454,'Parties'!$B$13:$Q$112,13,FALSE),0)+SUMIFS($S$7:$S$506,$C$7:$C$506,C454,$B$7:$B$506,"&lt;"&amp;B454)+SUMIFS(S$7:S454,C$7:C454,C454,B$7:B454,B454))</f>
        <v/>
      </c>
      <c r="V454">
        <f>IF(S454=0,0,IFERROR(VLOOKUP(C454,'Parties'!$B$13:$Q$112,14,FALSE),0)+SUMIFS($T$7:$T$506,$C$7:$C$506,C454,$B$7:$B$506,"&lt;="&amp;'Outstanding'!$E$5))</f>
        <v/>
      </c>
      <c r="W454">
        <f>IF(OR('Outstanding'!$E$5="",S454=0,B454="",B454&gt;'Outstanding'!$E$5),0,MAX(0,MIN(S454,U454-V454)))</f>
        <v/>
      </c>
      <c r="X454">
        <f>IF(C454="",0,IFERROR(VLOOKUP(C454,'Parties'!$B$13:$Q$112,15,FALSE),0))</f>
        <v/>
      </c>
      <c r="Y454">
        <f>IF(C454="","",IFERROR(VLOOKUP(C454,'Parties'!$B$13:$Q$112,16,FALSE),0))</f>
        <v/>
      </c>
      <c r="Z454">
        <f>IF(OR(S454=0,B454="",Y454=""),"",IF(AND(F454&lt;&gt;"",D454="Purchase bill"),F454,B454)+Y454)</f>
        <v/>
      </c>
      <c r="AA454">
        <f>IF(OR(W454=0,Z454=""),0,MAX(0,'Outstanding'!$E$5-Z454))</f>
        <v/>
      </c>
      <c r="AB454">
        <f>IF(AND(X454=1,AA454&gt;0),W454*((1+3*N('Parties'!$E$10)/12)^(AA454*12/365)-1),0)</f>
        <v/>
      </c>
      <c r="AC454">
        <f>IF(W454=0,"",'Outstanding'!$E$5-B454)</f>
        <v/>
      </c>
      <c r="AD454">
        <f>IF(S454=0,0,IFERROR(VLOOKUP(C454,'Parties'!$B$13:$Q$112,14,FALSE),0)+SUMIFS($T$7:$T$506,$C$7:$C$506,C454,$B$7:$B$506,"&lt;="&amp;'Parties'!$E$8))</f>
        <v/>
      </c>
      <c r="AE454">
        <f>IF(OR('Parties'!$E$8="",S454=0,B454="",B454&gt;'Parties'!$E$8),0,MAX(0,MIN(S454,U454-AD454)))</f>
        <v/>
      </c>
      <c r="AF454">
        <f>IF(AND(P454="Creditor",X454=1,AE454&gt;0,Z454&lt;&gt;""),IF(Z454&lt;='Parties'!$E$8,AE454,0),0)</f>
        <v/>
      </c>
      <c r="AG454">
        <f>IF(OR(AE454=0,Z454=""),0,MAX(0,'Parties'!$E$8-Z454))</f>
        <v/>
      </c>
      <c r="AH454">
        <f>IF(AND(P454="Creditor",X454=1,AG454&gt;0),AE454*((1+3*N('Parties'!$E$10)/12)^(AG454*12/365)-1),0)</f>
        <v/>
      </c>
      <c r="AI454">
        <f>IF(AND(C454&lt;&gt;"",C454='Ledger Account'!$D$4,B454&lt;&gt;"",B454&gt;='Ledger Account'!$D$5,B454&lt;='Ledger Account'!$D$6),1,0)</f>
        <v/>
      </c>
      <c r="AJ454">
        <f>IF(AI454=1,SUM(AI$7:AI454),"")</f>
        <v/>
      </c>
      <c r="AK454">
        <f>IF(OR(N454="",N454="OK"),0,1)</f>
        <v/>
      </c>
    </row>
    <row r="455">
      <c r="B455" s="24" t="n"/>
      <c r="C455" s="14" t="n"/>
      <c r="D455" s="14" t="n"/>
      <c r="E455" s="20" t="n"/>
      <c r="F455" s="24" t="n"/>
      <c r="G455" s="14" t="n"/>
      <c r="H455" s="22" t="n"/>
      <c r="I455" s="25">
        <f>IF(Q455="D",N(H455),0)</f>
        <v/>
      </c>
      <c r="J455" s="25">
        <f>IF(Q455="C",N(H455),0)</f>
        <v/>
      </c>
      <c r="K455" s="26">
        <f>IF(Z455="","",Z455)</f>
        <v/>
      </c>
      <c r="L455" s="27">
        <f>W455</f>
        <v/>
      </c>
      <c r="M455" s="28">
        <f>AA455</f>
        <v/>
      </c>
      <c r="N455" s="23">
        <f>IF(AND(B455="",C455="",D455="",N(H455)=0),"",IF(B455="","Enter the date",IF(C455="","Pick the party",IF(P455="?","Add this party on the Parties sheet first",IF(D455="","Pick the entry type",IF(Q455="?","Pick the entry type from the list",IF(N(H455)=0,"Enter the amount",IF(AND(R455&lt;&gt;"Any",R455&lt;&gt;P455),"Sales, receipts and credit notes are for debtors; purchases, payments and debit notes for creditors",IF(AND(F455&lt;&gt;"",D455&lt;&gt;"Purchase bill"),"The received-on date is only for purchase bills",IF(AND(P455="Creditor",X455=1,AA455&gt;0),"Past due to a micro or small supplier: interest runs under MSMED s.16, and if unpaid at year end it is not deductible that year, s.37(2)(g)",IF(AND(P455="Debtor",X455=1,AA455&gt;0),"Past due to you: as a micro or small supplier you can claim interest under MSMED s.16","OK")))))))))))</f>
        <v/>
      </c>
      <c r="P455">
        <f>IF(C455="","",IFERROR(VLOOKUP(C455,'Parties'!$B$13:$Q$112,2,FALSE),"?"))</f>
        <v/>
      </c>
      <c r="Q455">
        <f>IF(D455="","",IFERROR(VLOOKUP(D455,Lists!$A$2:$D$9,3,FALSE),"?"))</f>
        <v/>
      </c>
      <c r="R455">
        <f>IF(D455="","",IFERROR(VLOOKUP(D455,Lists!$A$2:$D$9,4,FALSE),"?"))</f>
        <v/>
      </c>
      <c r="S455">
        <f>IF(P455="Debtor",I455,IF(P455="Creditor",J455,0))</f>
        <v/>
      </c>
      <c r="T455">
        <f>IF(P455="Debtor",J455,IF(P455="Creditor",I455,0))</f>
        <v/>
      </c>
      <c r="U455">
        <f>IF(OR(S455=0,B455=""),0,IFERROR(VLOOKUP(C455,'Parties'!$B$13:$Q$112,13,FALSE),0)+SUMIFS($S$7:$S$506,$C$7:$C$506,C455,$B$7:$B$506,"&lt;"&amp;B455)+SUMIFS(S$7:S455,C$7:C455,C455,B$7:B455,B455))</f>
        <v/>
      </c>
      <c r="V455">
        <f>IF(S455=0,0,IFERROR(VLOOKUP(C455,'Parties'!$B$13:$Q$112,14,FALSE),0)+SUMIFS($T$7:$T$506,$C$7:$C$506,C455,$B$7:$B$506,"&lt;="&amp;'Outstanding'!$E$5))</f>
        <v/>
      </c>
      <c r="W455">
        <f>IF(OR('Outstanding'!$E$5="",S455=0,B455="",B455&gt;'Outstanding'!$E$5),0,MAX(0,MIN(S455,U455-V455)))</f>
        <v/>
      </c>
      <c r="X455">
        <f>IF(C455="",0,IFERROR(VLOOKUP(C455,'Parties'!$B$13:$Q$112,15,FALSE),0))</f>
        <v/>
      </c>
      <c r="Y455">
        <f>IF(C455="","",IFERROR(VLOOKUP(C455,'Parties'!$B$13:$Q$112,16,FALSE),0))</f>
        <v/>
      </c>
      <c r="Z455">
        <f>IF(OR(S455=0,B455="",Y455=""),"",IF(AND(F455&lt;&gt;"",D455="Purchase bill"),F455,B455)+Y455)</f>
        <v/>
      </c>
      <c r="AA455">
        <f>IF(OR(W455=0,Z455=""),0,MAX(0,'Outstanding'!$E$5-Z455))</f>
        <v/>
      </c>
      <c r="AB455">
        <f>IF(AND(X455=1,AA455&gt;0),W455*((1+3*N('Parties'!$E$10)/12)^(AA455*12/365)-1),0)</f>
        <v/>
      </c>
      <c r="AC455">
        <f>IF(W455=0,"",'Outstanding'!$E$5-B455)</f>
        <v/>
      </c>
      <c r="AD455">
        <f>IF(S455=0,0,IFERROR(VLOOKUP(C455,'Parties'!$B$13:$Q$112,14,FALSE),0)+SUMIFS($T$7:$T$506,$C$7:$C$506,C455,$B$7:$B$506,"&lt;="&amp;'Parties'!$E$8))</f>
        <v/>
      </c>
      <c r="AE455">
        <f>IF(OR('Parties'!$E$8="",S455=0,B455="",B455&gt;'Parties'!$E$8),0,MAX(0,MIN(S455,U455-AD455)))</f>
        <v/>
      </c>
      <c r="AF455">
        <f>IF(AND(P455="Creditor",X455=1,AE455&gt;0,Z455&lt;&gt;""),IF(Z455&lt;='Parties'!$E$8,AE455,0),0)</f>
        <v/>
      </c>
      <c r="AG455">
        <f>IF(OR(AE455=0,Z455=""),0,MAX(0,'Parties'!$E$8-Z455))</f>
        <v/>
      </c>
      <c r="AH455">
        <f>IF(AND(P455="Creditor",X455=1,AG455&gt;0),AE455*((1+3*N('Parties'!$E$10)/12)^(AG455*12/365)-1),0)</f>
        <v/>
      </c>
      <c r="AI455">
        <f>IF(AND(C455&lt;&gt;"",C455='Ledger Account'!$D$4,B455&lt;&gt;"",B455&gt;='Ledger Account'!$D$5,B455&lt;='Ledger Account'!$D$6),1,0)</f>
        <v/>
      </c>
      <c r="AJ455">
        <f>IF(AI455=1,SUM(AI$7:AI455),"")</f>
        <v/>
      </c>
      <c r="AK455">
        <f>IF(OR(N455="",N455="OK"),0,1)</f>
        <v/>
      </c>
    </row>
    <row r="456">
      <c r="B456" s="24" t="n"/>
      <c r="C456" s="14" t="n"/>
      <c r="D456" s="14" t="n"/>
      <c r="E456" s="20" t="n"/>
      <c r="F456" s="24" t="n"/>
      <c r="G456" s="14" t="n"/>
      <c r="H456" s="22" t="n"/>
      <c r="I456" s="25">
        <f>IF(Q456="D",N(H456),0)</f>
        <v/>
      </c>
      <c r="J456" s="25">
        <f>IF(Q456="C",N(H456),0)</f>
        <v/>
      </c>
      <c r="K456" s="26">
        <f>IF(Z456="","",Z456)</f>
        <v/>
      </c>
      <c r="L456" s="27">
        <f>W456</f>
        <v/>
      </c>
      <c r="M456" s="28">
        <f>AA456</f>
        <v/>
      </c>
      <c r="N456" s="23">
        <f>IF(AND(B456="",C456="",D456="",N(H456)=0),"",IF(B456="","Enter the date",IF(C456="","Pick the party",IF(P456="?","Add this party on the Parties sheet first",IF(D456="","Pick the entry type",IF(Q456="?","Pick the entry type from the list",IF(N(H456)=0,"Enter the amount",IF(AND(R456&lt;&gt;"Any",R456&lt;&gt;P456),"Sales, receipts and credit notes are for debtors; purchases, payments and debit notes for creditors",IF(AND(F456&lt;&gt;"",D456&lt;&gt;"Purchase bill"),"The received-on date is only for purchase bills",IF(AND(P456="Creditor",X456=1,AA456&gt;0),"Past due to a micro or small supplier: interest runs under MSMED s.16, and if unpaid at year end it is not deductible that year, s.37(2)(g)",IF(AND(P456="Debtor",X456=1,AA456&gt;0),"Past due to you: as a micro or small supplier you can claim interest under MSMED s.16","OK")))))))))))</f>
        <v/>
      </c>
      <c r="P456">
        <f>IF(C456="","",IFERROR(VLOOKUP(C456,'Parties'!$B$13:$Q$112,2,FALSE),"?"))</f>
        <v/>
      </c>
      <c r="Q456">
        <f>IF(D456="","",IFERROR(VLOOKUP(D456,Lists!$A$2:$D$9,3,FALSE),"?"))</f>
        <v/>
      </c>
      <c r="R456">
        <f>IF(D456="","",IFERROR(VLOOKUP(D456,Lists!$A$2:$D$9,4,FALSE),"?"))</f>
        <v/>
      </c>
      <c r="S456">
        <f>IF(P456="Debtor",I456,IF(P456="Creditor",J456,0))</f>
        <v/>
      </c>
      <c r="T456">
        <f>IF(P456="Debtor",J456,IF(P456="Creditor",I456,0))</f>
        <v/>
      </c>
      <c r="U456">
        <f>IF(OR(S456=0,B456=""),0,IFERROR(VLOOKUP(C456,'Parties'!$B$13:$Q$112,13,FALSE),0)+SUMIFS($S$7:$S$506,$C$7:$C$506,C456,$B$7:$B$506,"&lt;"&amp;B456)+SUMIFS(S$7:S456,C$7:C456,C456,B$7:B456,B456))</f>
        <v/>
      </c>
      <c r="V456">
        <f>IF(S456=0,0,IFERROR(VLOOKUP(C456,'Parties'!$B$13:$Q$112,14,FALSE),0)+SUMIFS($T$7:$T$506,$C$7:$C$506,C456,$B$7:$B$506,"&lt;="&amp;'Outstanding'!$E$5))</f>
        <v/>
      </c>
      <c r="W456">
        <f>IF(OR('Outstanding'!$E$5="",S456=0,B456="",B456&gt;'Outstanding'!$E$5),0,MAX(0,MIN(S456,U456-V456)))</f>
        <v/>
      </c>
      <c r="X456">
        <f>IF(C456="",0,IFERROR(VLOOKUP(C456,'Parties'!$B$13:$Q$112,15,FALSE),0))</f>
        <v/>
      </c>
      <c r="Y456">
        <f>IF(C456="","",IFERROR(VLOOKUP(C456,'Parties'!$B$13:$Q$112,16,FALSE),0))</f>
        <v/>
      </c>
      <c r="Z456">
        <f>IF(OR(S456=0,B456="",Y456=""),"",IF(AND(F456&lt;&gt;"",D456="Purchase bill"),F456,B456)+Y456)</f>
        <v/>
      </c>
      <c r="AA456">
        <f>IF(OR(W456=0,Z456=""),0,MAX(0,'Outstanding'!$E$5-Z456))</f>
        <v/>
      </c>
      <c r="AB456">
        <f>IF(AND(X456=1,AA456&gt;0),W456*((1+3*N('Parties'!$E$10)/12)^(AA456*12/365)-1),0)</f>
        <v/>
      </c>
      <c r="AC456">
        <f>IF(W456=0,"",'Outstanding'!$E$5-B456)</f>
        <v/>
      </c>
      <c r="AD456">
        <f>IF(S456=0,0,IFERROR(VLOOKUP(C456,'Parties'!$B$13:$Q$112,14,FALSE),0)+SUMIFS($T$7:$T$506,$C$7:$C$506,C456,$B$7:$B$506,"&lt;="&amp;'Parties'!$E$8))</f>
        <v/>
      </c>
      <c r="AE456">
        <f>IF(OR('Parties'!$E$8="",S456=0,B456="",B456&gt;'Parties'!$E$8),0,MAX(0,MIN(S456,U456-AD456)))</f>
        <v/>
      </c>
      <c r="AF456">
        <f>IF(AND(P456="Creditor",X456=1,AE456&gt;0,Z456&lt;&gt;""),IF(Z456&lt;='Parties'!$E$8,AE456,0),0)</f>
        <v/>
      </c>
      <c r="AG456">
        <f>IF(OR(AE456=0,Z456=""),0,MAX(0,'Parties'!$E$8-Z456))</f>
        <v/>
      </c>
      <c r="AH456">
        <f>IF(AND(P456="Creditor",X456=1,AG456&gt;0),AE456*((1+3*N('Parties'!$E$10)/12)^(AG456*12/365)-1),0)</f>
        <v/>
      </c>
      <c r="AI456">
        <f>IF(AND(C456&lt;&gt;"",C456='Ledger Account'!$D$4,B456&lt;&gt;"",B456&gt;='Ledger Account'!$D$5,B456&lt;='Ledger Account'!$D$6),1,0)</f>
        <v/>
      </c>
      <c r="AJ456">
        <f>IF(AI456=1,SUM(AI$7:AI456),"")</f>
        <v/>
      </c>
      <c r="AK456">
        <f>IF(OR(N456="",N456="OK"),0,1)</f>
        <v/>
      </c>
    </row>
    <row r="457">
      <c r="B457" s="24" t="n"/>
      <c r="C457" s="14" t="n"/>
      <c r="D457" s="14" t="n"/>
      <c r="E457" s="20" t="n"/>
      <c r="F457" s="24" t="n"/>
      <c r="G457" s="14" t="n"/>
      <c r="H457" s="22" t="n"/>
      <c r="I457" s="25">
        <f>IF(Q457="D",N(H457),0)</f>
        <v/>
      </c>
      <c r="J457" s="25">
        <f>IF(Q457="C",N(H457),0)</f>
        <v/>
      </c>
      <c r="K457" s="26">
        <f>IF(Z457="","",Z457)</f>
        <v/>
      </c>
      <c r="L457" s="27">
        <f>W457</f>
        <v/>
      </c>
      <c r="M457" s="28">
        <f>AA457</f>
        <v/>
      </c>
      <c r="N457" s="23">
        <f>IF(AND(B457="",C457="",D457="",N(H457)=0),"",IF(B457="","Enter the date",IF(C457="","Pick the party",IF(P457="?","Add this party on the Parties sheet first",IF(D457="","Pick the entry type",IF(Q457="?","Pick the entry type from the list",IF(N(H457)=0,"Enter the amount",IF(AND(R457&lt;&gt;"Any",R457&lt;&gt;P457),"Sales, receipts and credit notes are for debtors; purchases, payments and debit notes for creditors",IF(AND(F457&lt;&gt;"",D457&lt;&gt;"Purchase bill"),"The received-on date is only for purchase bills",IF(AND(P457="Creditor",X457=1,AA457&gt;0),"Past due to a micro or small supplier: interest runs under MSMED s.16, and if unpaid at year end it is not deductible that year, s.37(2)(g)",IF(AND(P457="Debtor",X457=1,AA457&gt;0),"Past due to you: as a micro or small supplier you can claim interest under MSMED s.16","OK")))))))))))</f>
        <v/>
      </c>
      <c r="P457">
        <f>IF(C457="","",IFERROR(VLOOKUP(C457,'Parties'!$B$13:$Q$112,2,FALSE),"?"))</f>
        <v/>
      </c>
      <c r="Q457">
        <f>IF(D457="","",IFERROR(VLOOKUP(D457,Lists!$A$2:$D$9,3,FALSE),"?"))</f>
        <v/>
      </c>
      <c r="R457">
        <f>IF(D457="","",IFERROR(VLOOKUP(D457,Lists!$A$2:$D$9,4,FALSE),"?"))</f>
        <v/>
      </c>
      <c r="S457">
        <f>IF(P457="Debtor",I457,IF(P457="Creditor",J457,0))</f>
        <v/>
      </c>
      <c r="T457">
        <f>IF(P457="Debtor",J457,IF(P457="Creditor",I457,0))</f>
        <v/>
      </c>
      <c r="U457">
        <f>IF(OR(S457=0,B457=""),0,IFERROR(VLOOKUP(C457,'Parties'!$B$13:$Q$112,13,FALSE),0)+SUMIFS($S$7:$S$506,$C$7:$C$506,C457,$B$7:$B$506,"&lt;"&amp;B457)+SUMIFS(S$7:S457,C$7:C457,C457,B$7:B457,B457))</f>
        <v/>
      </c>
      <c r="V457">
        <f>IF(S457=0,0,IFERROR(VLOOKUP(C457,'Parties'!$B$13:$Q$112,14,FALSE),0)+SUMIFS($T$7:$T$506,$C$7:$C$506,C457,$B$7:$B$506,"&lt;="&amp;'Outstanding'!$E$5))</f>
        <v/>
      </c>
      <c r="W457">
        <f>IF(OR('Outstanding'!$E$5="",S457=0,B457="",B457&gt;'Outstanding'!$E$5),0,MAX(0,MIN(S457,U457-V457)))</f>
        <v/>
      </c>
      <c r="X457">
        <f>IF(C457="",0,IFERROR(VLOOKUP(C457,'Parties'!$B$13:$Q$112,15,FALSE),0))</f>
        <v/>
      </c>
      <c r="Y457">
        <f>IF(C457="","",IFERROR(VLOOKUP(C457,'Parties'!$B$13:$Q$112,16,FALSE),0))</f>
        <v/>
      </c>
      <c r="Z457">
        <f>IF(OR(S457=0,B457="",Y457=""),"",IF(AND(F457&lt;&gt;"",D457="Purchase bill"),F457,B457)+Y457)</f>
        <v/>
      </c>
      <c r="AA457">
        <f>IF(OR(W457=0,Z457=""),0,MAX(0,'Outstanding'!$E$5-Z457))</f>
        <v/>
      </c>
      <c r="AB457">
        <f>IF(AND(X457=1,AA457&gt;0),W457*((1+3*N('Parties'!$E$10)/12)^(AA457*12/365)-1),0)</f>
        <v/>
      </c>
      <c r="AC457">
        <f>IF(W457=0,"",'Outstanding'!$E$5-B457)</f>
        <v/>
      </c>
      <c r="AD457">
        <f>IF(S457=0,0,IFERROR(VLOOKUP(C457,'Parties'!$B$13:$Q$112,14,FALSE),0)+SUMIFS($T$7:$T$506,$C$7:$C$506,C457,$B$7:$B$506,"&lt;="&amp;'Parties'!$E$8))</f>
        <v/>
      </c>
      <c r="AE457">
        <f>IF(OR('Parties'!$E$8="",S457=0,B457="",B457&gt;'Parties'!$E$8),0,MAX(0,MIN(S457,U457-AD457)))</f>
        <v/>
      </c>
      <c r="AF457">
        <f>IF(AND(P457="Creditor",X457=1,AE457&gt;0,Z457&lt;&gt;""),IF(Z457&lt;='Parties'!$E$8,AE457,0),0)</f>
        <v/>
      </c>
      <c r="AG457">
        <f>IF(OR(AE457=0,Z457=""),0,MAX(0,'Parties'!$E$8-Z457))</f>
        <v/>
      </c>
      <c r="AH457">
        <f>IF(AND(P457="Creditor",X457=1,AG457&gt;0),AE457*((1+3*N('Parties'!$E$10)/12)^(AG457*12/365)-1),0)</f>
        <v/>
      </c>
      <c r="AI457">
        <f>IF(AND(C457&lt;&gt;"",C457='Ledger Account'!$D$4,B457&lt;&gt;"",B457&gt;='Ledger Account'!$D$5,B457&lt;='Ledger Account'!$D$6),1,0)</f>
        <v/>
      </c>
      <c r="AJ457">
        <f>IF(AI457=1,SUM(AI$7:AI457),"")</f>
        <v/>
      </c>
      <c r="AK457">
        <f>IF(OR(N457="",N457="OK"),0,1)</f>
        <v/>
      </c>
    </row>
    <row r="458">
      <c r="B458" s="24" t="n"/>
      <c r="C458" s="14" t="n"/>
      <c r="D458" s="14" t="n"/>
      <c r="E458" s="20" t="n"/>
      <c r="F458" s="24" t="n"/>
      <c r="G458" s="14" t="n"/>
      <c r="H458" s="22" t="n"/>
      <c r="I458" s="25">
        <f>IF(Q458="D",N(H458),0)</f>
        <v/>
      </c>
      <c r="J458" s="25">
        <f>IF(Q458="C",N(H458),0)</f>
        <v/>
      </c>
      <c r="K458" s="26">
        <f>IF(Z458="","",Z458)</f>
        <v/>
      </c>
      <c r="L458" s="27">
        <f>W458</f>
        <v/>
      </c>
      <c r="M458" s="28">
        <f>AA458</f>
        <v/>
      </c>
      <c r="N458" s="23">
        <f>IF(AND(B458="",C458="",D458="",N(H458)=0),"",IF(B458="","Enter the date",IF(C458="","Pick the party",IF(P458="?","Add this party on the Parties sheet first",IF(D458="","Pick the entry type",IF(Q458="?","Pick the entry type from the list",IF(N(H458)=0,"Enter the amount",IF(AND(R458&lt;&gt;"Any",R458&lt;&gt;P458),"Sales, receipts and credit notes are for debtors; purchases, payments and debit notes for creditors",IF(AND(F458&lt;&gt;"",D458&lt;&gt;"Purchase bill"),"The received-on date is only for purchase bills",IF(AND(P458="Creditor",X458=1,AA458&gt;0),"Past due to a micro or small supplier: interest runs under MSMED s.16, and if unpaid at year end it is not deductible that year, s.37(2)(g)",IF(AND(P458="Debtor",X458=1,AA458&gt;0),"Past due to you: as a micro or small supplier you can claim interest under MSMED s.16","OK")))))))))))</f>
        <v/>
      </c>
      <c r="P458">
        <f>IF(C458="","",IFERROR(VLOOKUP(C458,'Parties'!$B$13:$Q$112,2,FALSE),"?"))</f>
        <v/>
      </c>
      <c r="Q458">
        <f>IF(D458="","",IFERROR(VLOOKUP(D458,Lists!$A$2:$D$9,3,FALSE),"?"))</f>
        <v/>
      </c>
      <c r="R458">
        <f>IF(D458="","",IFERROR(VLOOKUP(D458,Lists!$A$2:$D$9,4,FALSE),"?"))</f>
        <v/>
      </c>
      <c r="S458">
        <f>IF(P458="Debtor",I458,IF(P458="Creditor",J458,0))</f>
        <v/>
      </c>
      <c r="T458">
        <f>IF(P458="Debtor",J458,IF(P458="Creditor",I458,0))</f>
        <v/>
      </c>
      <c r="U458">
        <f>IF(OR(S458=0,B458=""),0,IFERROR(VLOOKUP(C458,'Parties'!$B$13:$Q$112,13,FALSE),0)+SUMIFS($S$7:$S$506,$C$7:$C$506,C458,$B$7:$B$506,"&lt;"&amp;B458)+SUMIFS(S$7:S458,C$7:C458,C458,B$7:B458,B458))</f>
        <v/>
      </c>
      <c r="V458">
        <f>IF(S458=0,0,IFERROR(VLOOKUP(C458,'Parties'!$B$13:$Q$112,14,FALSE),0)+SUMIFS($T$7:$T$506,$C$7:$C$506,C458,$B$7:$B$506,"&lt;="&amp;'Outstanding'!$E$5))</f>
        <v/>
      </c>
      <c r="W458">
        <f>IF(OR('Outstanding'!$E$5="",S458=0,B458="",B458&gt;'Outstanding'!$E$5),0,MAX(0,MIN(S458,U458-V458)))</f>
        <v/>
      </c>
      <c r="X458">
        <f>IF(C458="",0,IFERROR(VLOOKUP(C458,'Parties'!$B$13:$Q$112,15,FALSE),0))</f>
        <v/>
      </c>
      <c r="Y458">
        <f>IF(C458="","",IFERROR(VLOOKUP(C458,'Parties'!$B$13:$Q$112,16,FALSE),0))</f>
        <v/>
      </c>
      <c r="Z458">
        <f>IF(OR(S458=0,B458="",Y458=""),"",IF(AND(F458&lt;&gt;"",D458="Purchase bill"),F458,B458)+Y458)</f>
        <v/>
      </c>
      <c r="AA458">
        <f>IF(OR(W458=0,Z458=""),0,MAX(0,'Outstanding'!$E$5-Z458))</f>
        <v/>
      </c>
      <c r="AB458">
        <f>IF(AND(X458=1,AA458&gt;0),W458*((1+3*N('Parties'!$E$10)/12)^(AA458*12/365)-1),0)</f>
        <v/>
      </c>
      <c r="AC458">
        <f>IF(W458=0,"",'Outstanding'!$E$5-B458)</f>
        <v/>
      </c>
      <c r="AD458">
        <f>IF(S458=0,0,IFERROR(VLOOKUP(C458,'Parties'!$B$13:$Q$112,14,FALSE),0)+SUMIFS($T$7:$T$506,$C$7:$C$506,C458,$B$7:$B$506,"&lt;="&amp;'Parties'!$E$8))</f>
        <v/>
      </c>
      <c r="AE458">
        <f>IF(OR('Parties'!$E$8="",S458=0,B458="",B458&gt;'Parties'!$E$8),0,MAX(0,MIN(S458,U458-AD458)))</f>
        <v/>
      </c>
      <c r="AF458">
        <f>IF(AND(P458="Creditor",X458=1,AE458&gt;0,Z458&lt;&gt;""),IF(Z458&lt;='Parties'!$E$8,AE458,0),0)</f>
        <v/>
      </c>
      <c r="AG458">
        <f>IF(OR(AE458=0,Z458=""),0,MAX(0,'Parties'!$E$8-Z458))</f>
        <v/>
      </c>
      <c r="AH458">
        <f>IF(AND(P458="Creditor",X458=1,AG458&gt;0),AE458*((1+3*N('Parties'!$E$10)/12)^(AG458*12/365)-1),0)</f>
        <v/>
      </c>
      <c r="AI458">
        <f>IF(AND(C458&lt;&gt;"",C458='Ledger Account'!$D$4,B458&lt;&gt;"",B458&gt;='Ledger Account'!$D$5,B458&lt;='Ledger Account'!$D$6),1,0)</f>
        <v/>
      </c>
      <c r="AJ458">
        <f>IF(AI458=1,SUM(AI$7:AI458),"")</f>
        <v/>
      </c>
      <c r="AK458">
        <f>IF(OR(N458="",N458="OK"),0,1)</f>
        <v/>
      </c>
    </row>
    <row r="459">
      <c r="B459" s="24" t="n"/>
      <c r="C459" s="14" t="n"/>
      <c r="D459" s="14" t="n"/>
      <c r="E459" s="20" t="n"/>
      <c r="F459" s="24" t="n"/>
      <c r="G459" s="14" t="n"/>
      <c r="H459" s="22" t="n"/>
      <c r="I459" s="25">
        <f>IF(Q459="D",N(H459),0)</f>
        <v/>
      </c>
      <c r="J459" s="25">
        <f>IF(Q459="C",N(H459),0)</f>
        <v/>
      </c>
      <c r="K459" s="26">
        <f>IF(Z459="","",Z459)</f>
        <v/>
      </c>
      <c r="L459" s="27">
        <f>W459</f>
        <v/>
      </c>
      <c r="M459" s="28">
        <f>AA459</f>
        <v/>
      </c>
      <c r="N459" s="23">
        <f>IF(AND(B459="",C459="",D459="",N(H459)=0),"",IF(B459="","Enter the date",IF(C459="","Pick the party",IF(P459="?","Add this party on the Parties sheet first",IF(D459="","Pick the entry type",IF(Q459="?","Pick the entry type from the list",IF(N(H459)=0,"Enter the amount",IF(AND(R459&lt;&gt;"Any",R459&lt;&gt;P459),"Sales, receipts and credit notes are for debtors; purchases, payments and debit notes for creditors",IF(AND(F459&lt;&gt;"",D459&lt;&gt;"Purchase bill"),"The received-on date is only for purchase bills",IF(AND(P459="Creditor",X459=1,AA459&gt;0),"Past due to a micro or small supplier: interest runs under MSMED s.16, and if unpaid at year end it is not deductible that year, s.37(2)(g)",IF(AND(P459="Debtor",X459=1,AA459&gt;0),"Past due to you: as a micro or small supplier you can claim interest under MSMED s.16","OK")))))))))))</f>
        <v/>
      </c>
      <c r="P459">
        <f>IF(C459="","",IFERROR(VLOOKUP(C459,'Parties'!$B$13:$Q$112,2,FALSE),"?"))</f>
        <v/>
      </c>
      <c r="Q459">
        <f>IF(D459="","",IFERROR(VLOOKUP(D459,Lists!$A$2:$D$9,3,FALSE),"?"))</f>
        <v/>
      </c>
      <c r="R459">
        <f>IF(D459="","",IFERROR(VLOOKUP(D459,Lists!$A$2:$D$9,4,FALSE),"?"))</f>
        <v/>
      </c>
      <c r="S459">
        <f>IF(P459="Debtor",I459,IF(P459="Creditor",J459,0))</f>
        <v/>
      </c>
      <c r="T459">
        <f>IF(P459="Debtor",J459,IF(P459="Creditor",I459,0))</f>
        <v/>
      </c>
      <c r="U459">
        <f>IF(OR(S459=0,B459=""),0,IFERROR(VLOOKUP(C459,'Parties'!$B$13:$Q$112,13,FALSE),0)+SUMIFS($S$7:$S$506,$C$7:$C$506,C459,$B$7:$B$506,"&lt;"&amp;B459)+SUMIFS(S$7:S459,C$7:C459,C459,B$7:B459,B459))</f>
        <v/>
      </c>
      <c r="V459">
        <f>IF(S459=0,0,IFERROR(VLOOKUP(C459,'Parties'!$B$13:$Q$112,14,FALSE),0)+SUMIFS($T$7:$T$506,$C$7:$C$506,C459,$B$7:$B$506,"&lt;="&amp;'Outstanding'!$E$5))</f>
        <v/>
      </c>
      <c r="W459">
        <f>IF(OR('Outstanding'!$E$5="",S459=0,B459="",B459&gt;'Outstanding'!$E$5),0,MAX(0,MIN(S459,U459-V459)))</f>
        <v/>
      </c>
      <c r="X459">
        <f>IF(C459="",0,IFERROR(VLOOKUP(C459,'Parties'!$B$13:$Q$112,15,FALSE),0))</f>
        <v/>
      </c>
      <c r="Y459">
        <f>IF(C459="","",IFERROR(VLOOKUP(C459,'Parties'!$B$13:$Q$112,16,FALSE),0))</f>
        <v/>
      </c>
      <c r="Z459">
        <f>IF(OR(S459=0,B459="",Y459=""),"",IF(AND(F459&lt;&gt;"",D459="Purchase bill"),F459,B459)+Y459)</f>
        <v/>
      </c>
      <c r="AA459">
        <f>IF(OR(W459=0,Z459=""),0,MAX(0,'Outstanding'!$E$5-Z459))</f>
        <v/>
      </c>
      <c r="AB459">
        <f>IF(AND(X459=1,AA459&gt;0),W459*((1+3*N('Parties'!$E$10)/12)^(AA459*12/365)-1),0)</f>
        <v/>
      </c>
      <c r="AC459">
        <f>IF(W459=0,"",'Outstanding'!$E$5-B459)</f>
        <v/>
      </c>
      <c r="AD459">
        <f>IF(S459=0,0,IFERROR(VLOOKUP(C459,'Parties'!$B$13:$Q$112,14,FALSE),0)+SUMIFS($T$7:$T$506,$C$7:$C$506,C459,$B$7:$B$506,"&lt;="&amp;'Parties'!$E$8))</f>
        <v/>
      </c>
      <c r="AE459">
        <f>IF(OR('Parties'!$E$8="",S459=0,B459="",B459&gt;'Parties'!$E$8),0,MAX(0,MIN(S459,U459-AD459)))</f>
        <v/>
      </c>
      <c r="AF459">
        <f>IF(AND(P459="Creditor",X459=1,AE459&gt;0,Z459&lt;&gt;""),IF(Z459&lt;='Parties'!$E$8,AE459,0),0)</f>
        <v/>
      </c>
      <c r="AG459">
        <f>IF(OR(AE459=0,Z459=""),0,MAX(0,'Parties'!$E$8-Z459))</f>
        <v/>
      </c>
      <c r="AH459">
        <f>IF(AND(P459="Creditor",X459=1,AG459&gt;0),AE459*((1+3*N('Parties'!$E$10)/12)^(AG459*12/365)-1),0)</f>
        <v/>
      </c>
      <c r="AI459">
        <f>IF(AND(C459&lt;&gt;"",C459='Ledger Account'!$D$4,B459&lt;&gt;"",B459&gt;='Ledger Account'!$D$5,B459&lt;='Ledger Account'!$D$6),1,0)</f>
        <v/>
      </c>
      <c r="AJ459">
        <f>IF(AI459=1,SUM(AI$7:AI459),"")</f>
        <v/>
      </c>
      <c r="AK459">
        <f>IF(OR(N459="",N459="OK"),0,1)</f>
        <v/>
      </c>
    </row>
    <row r="460">
      <c r="B460" s="24" t="n"/>
      <c r="C460" s="14" t="n"/>
      <c r="D460" s="14" t="n"/>
      <c r="E460" s="20" t="n"/>
      <c r="F460" s="24" t="n"/>
      <c r="G460" s="14" t="n"/>
      <c r="H460" s="22" t="n"/>
      <c r="I460" s="25">
        <f>IF(Q460="D",N(H460),0)</f>
        <v/>
      </c>
      <c r="J460" s="25">
        <f>IF(Q460="C",N(H460),0)</f>
        <v/>
      </c>
      <c r="K460" s="26">
        <f>IF(Z460="","",Z460)</f>
        <v/>
      </c>
      <c r="L460" s="27">
        <f>W460</f>
        <v/>
      </c>
      <c r="M460" s="28">
        <f>AA460</f>
        <v/>
      </c>
      <c r="N460" s="23">
        <f>IF(AND(B460="",C460="",D460="",N(H460)=0),"",IF(B460="","Enter the date",IF(C460="","Pick the party",IF(P460="?","Add this party on the Parties sheet first",IF(D460="","Pick the entry type",IF(Q460="?","Pick the entry type from the list",IF(N(H460)=0,"Enter the amount",IF(AND(R460&lt;&gt;"Any",R460&lt;&gt;P460),"Sales, receipts and credit notes are for debtors; purchases, payments and debit notes for creditors",IF(AND(F460&lt;&gt;"",D460&lt;&gt;"Purchase bill"),"The received-on date is only for purchase bills",IF(AND(P460="Creditor",X460=1,AA460&gt;0),"Past due to a micro or small supplier: interest runs under MSMED s.16, and if unpaid at year end it is not deductible that year, s.37(2)(g)",IF(AND(P460="Debtor",X460=1,AA460&gt;0),"Past due to you: as a micro or small supplier you can claim interest under MSMED s.16","OK")))))))))))</f>
        <v/>
      </c>
      <c r="P460">
        <f>IF(C460="","",IFERROR(VLOOKUP(C460,'Parties'!$B$13:$Q$112,2,FALSE),"?"))</f>
        <v/>
      </c>
      <c r="Q460">
        <f>IF(D460="","",IFERROR(VLOOKUP(D460,Lists!$A$2:$D$9,3,FALSE),"?"))</f>
        <v/>
      </c>
      <c r="R460">
        <f>IF(D460="","",IFERROR(VLOOKUP(D460,Lists!$A$2:$D$9,4,FALSE),"?"))</f>
        <v/>
      </c>
      <c r="S460">
        <f>IF(P460="Debtor",I460,IF(P460="Creditor",J460,0))</f>
        <v/>
      </c>
      <c r="T460">
        <f>IF(P460="Debtor",J460,IF(P460="Creditor",I460,0))</f>
        <v/>
      </c>
      <c r="U460">
        <f>IF(OR(S460=0,B460=""),0,IFERROR(VLOOKUP(C460,'Parties'!$B$13:$Q$112,13,FALSE),0)+SUMIFS($S$7:$S$506,$C$7:$C$506,C460,$B$7:$B$506,"&lt;"&amp;B460)+SUMIFS(S$7:S460,C$7:C460,C460,B$7:B460,B460))</f>
        <v/>
      </c>
      <c r="V460">
        <f>IF(S460=0,0,IFERROR(VLOOKUP(C460,'Parties'!$B$13:$Q$112,14,FALSE),0)+SUMIFS($T$7:$T$506,$C$7:$C$506,C460,$B$7:$B$506,"&lt;="&amp;'Outstanding'!$E$5))</f>
        <v/>
      </c>
      <c r="W460">
        <f>IF(OR('Outstanding'!$E$5="",S460=0,B460="",B460&gt;'Outstanding'!$E$5),0,MAX(0,MIN(S460,U460-V460)))</f>
        <v/>
      </c>
      <c r="X460">
        <f>IF(C460="",0,IFERROR(VLOOKUP(C460,'Parties'!$B$13:$Q$112,15,FALSE),0))</f>
        <v/>
      </c>
      <c r="Y460">
        <f>IF(C460="","",IFERROR(VLOOKUP(C460,'Parties'!$B$13:$Q$112,16,FALSE),0))</f>
        <v/>
      </c>
      <c r="Z460">
        <f>IF(OR(S460=0,B460="",Y460=""),"",IF(AND(F460&lt;&gt;"",D460="Purchase bill"),F460,B460)+Y460)</f>
        <v/>
      </c>
      <c r="AA460">
        <f>IF(OR(W460=0,Z460=""),0,MAX(0,'Outstanding'!$E$5-Z460))</f>
        <v/>
      </c>
      <c r="AB460">
        <f>IF(AND(X460=1,AA460&gt;0),W460*((1+3*N('Parties'!$E$10)/12)^(AA460*12/365)-1),0)</f>
        <v/>
      </c>
      <c r="AC460">
        <f>IF(W460=0,"",'Outstanding'!$E$5-B460)</f>
        <v/>
      </c>
      <c r="AD460">
        <f>IF(S460=0,0,IFERROR(VLOOKUP(C460,'Parties'!$B$13:$Q$112,14,FALSE),0)+SUMIFS($T$7:$T$506,$C$7:$C$506,C460,$B$7:$B$506,"&lt;="&amp;'Parties'!$E$8))</f>
        <v/>
      </c>
      <c r="AE460">
        <f>IF(OR('Parties'!$E$8="",S460=0,B460="",B460&gt;'Parties'!$E$8),0,MAX(0,MIN(S460,U460-AD460)))</f>
        <v/>
      </c>
      <c r="AF460">
        <f>IF(AND(P460="Creditor",X460=1,AE460&gt;0,Z460&lt;&gt;""),IF(Z460&lt;='Parties'!$E$8,AE460,0),0)</f>
        <v/>
      </c>
      <c r="AG460">
        <f>IF(OR(AE460=0,Z460=""),0,MAX(0,'Parties'!$E$8-Z460))</f>
        <v/>
      </c>
      <c r="AH460">
        <f>IF(AND(P460="Creditor",X460=1,AG460&gt;0),AE460*((1+3*N('Parties'!$E$10)/12)^(AG460*12/365)-1),0)</f>
        <v/>
      </c>
      <c r="AI460">
        <f>IF(AND(C460&lt;&gt;"",C460='Ledger Account'!$D$4,B460&lt;&gt;"",B460&gt;='Ledger Account'!$D$5,B460&lt;='Ledger Account'!$D$6),1,0)</f>
        <v/>
      </c>
      <c r="AJ460">
        <f>IF(AI460=1,SUM(AI$7:AI460),"")</f>
        <v/>
      </c>
      <c r="AK460">
        <f>IF(OR(N460="",N460="OK"),0,1)</f>
        <v/>
      </c>
    </row>
    <row r="461">
      <c r="B461" s="24" t="n"/>
      <c r="C461" s="14" t="n"/>
      <c r="D461" s="14" t="n"/>
      <c r="E461" s="20" t="n"/>
      <c r="F461" s="24" t="n"/>
      <c r="G461" s="14" t="n"/>
      <c r="H461" s="22" t="n"/>
      <c r="I461" s="25">
        <f>IF(Q461="D",N(H461),0)</f>
        <v/>
      </c>
      <c r="J461" s="25">
        <f>IF(Q461="C",N(H461),0)</f>
        <v/>
      </c>
      <c r="K461" s="26">
        <f>IF(Z461="","",Z461)</f>
        <v/>
      </c>
      <c r="L461" s="27">
        <f>W461</f>
        <v/>
      </c>
      <c r="M461" s="28">
        <f>AA461</f>
        <v/>
      </c>
      <c r="N461" s="23">
        <f>IF(AND(B461="",C461="",D461="",N(H461)=0),"",IF(B461="","Enter the date",IF(C461="","Pick the party",IF(P461="?","Add this party on the Parties sheet first",IF(D461="","Pick the entry type",IF(Q461="?","Pick the entry type from the list",IF(N(H461)=0,"Enter the amount",IF(AND(R461&lt;&gt;"Any",R461&lt;&gt;P461),"Sales, receipts and credit notes are for debtors; purchases, payments and debit notes for creditors",IF(AND(F461&lt;&gt;"",D461&lt;&gt;"Purchase bill"),"The received-on date is only for purchase bills",IF(AND(P461="Creditor",X461=1,AA461&gt;0),"Past due to a micro or small supplier: interest runs under MSMED s.16, and if unpaid at year end it is not deductible that year, s.37(2)(g)",IF(AND(P461="Debtor",X461=1,AA461&gt;0),"Past due to you: as a micro or small supplier you can claim interest under MSMED s.16","OK")))))))))))</f>
        <v/>
      </c>
      <c r="P461">
        <f>IF(C461="","",IFERROR(VLOOKUP(C461,'Parties'!$B$13:$Q$112,2,FALSE),"?"))</f>
        <v/>
      </c>
      <c r="Q461">
        <f>IF(D461="","",IFERROR(VLOOKUP(D461,Lists!$A$2:$D$9,3,FALSE),"?"))</f>
        <v/>
      </c>
      <c r="R461">
        <f>IF(D461="","",IFERROR(VLOOKUP(D461,Lists!$A$2:$D$9,4,FALSE),"?"))</f>
        <v/>
      </c>
      <c r="S461">
        <f>IF(P461="Debtor",I461,IF(P461="Creditor",J461,0))</f>
        <v/>
      </c>
      <c r="T461">
        <f>IF(P461="Debtor",J461,IF(P461="Creditor",I461,0))</f>
        <v/>
      </c>
      <c r="U461">
        <f>IF(OR(S461=0,B461=""),0,IFERROR(VLOOKUP(C461,'Parties'!$B$13:$Q$112,13,FALSE),0)+SUMIFS($S$7:$S$506,$C$7:$C$506,C461,$B$7:$B$506,"&lt;"&amp;B461)+SUMIFS(S$7:S461,C$7:C461,C461,B$7:B461,B461))</f>
        <v/>
      </c>
      <c r="V461">
        <f>IF(S461=0,0,IFERROR(VLOOKUP(C461,'Parties'!$B$13:$Q$112,14,FALSE),0)+SUMIFS($T$7:$T$506,$C$7:$C$506,C461,$B$7:$B$506,"&lt;="&amp;'Outstanding'!$E$5))</f>
        <v/>
      </c>
      <c r="W461">
        <f>IF(OR('Outstanding'!$E$5="",S461=0,B461="",B461&gt;'Outstanding'!$E$5),0,MAX(0,MIN(S461,U461-V461)))</f>
        <v/>
      </c>
      <c r="X461">
        <f>IF(C461="",0,IFERROR(VLOOKUP(C461,'Parties'!$B$13:$Q$112,15,FALSE),0))</f>
        <v/>
      </c>
      <c r="Y461">
        <f>IF(C461="","",IFERROR(VLOOKUP(C461,'Parties'!$B$13:$Q$112,16,FALSE),0))</f>
        <v/>
      </c>
      <c r="Z461">
        <f>IF(OR(S461=0,B461="",Y461=""),"",IF(AND(F461&lt;&gt;"",D461="Purchase bill"),F461,B461)+Y461)</f>
        <v/>
      </c>
      <c r="AA461">
        <f>IF(OR(W461=0,Z461=""),0,MAX(0,'Outstanding'!$E$5-Z461))</f>
        <v/>
      </c>
      <c r="AB461">
        <f>IF(AND(X461=1,AA461&gt;0),W461*((1+3*N('Parties'!$E$10)/12)^(AA461*12/365)-1),0)</f>
        <v/>
      </c>
      <c r="AC461">
        <f>IF(W461=0,"",'Outstanding'!$E$5-B461)</f>
        <v/>
      </c>
      <c r="AD461">
        <f>IF(S461=0,0,IFERROR(VLOOKUP(C461,'Parties'!$B$13:$Q$112,14,FALSE),0)+SUMIFS($T$7:$T$506,$C$7:$C$506,C461,$B$7:$B$506,"&lt;="&amp;'Parties'!$E$8))</f>
        <v/>
      </c>
      <c r="AE461">
        <f>IF(OR('Parties'!$E$8="",S461=0,B461="",B461&gt;'Parties'!$E$8),0,MAX(0,MIN(S461,U461-AD461)))</f>
        <v/>
      </c>
      <c r="AF461">
        <f>IF(AND(P461="Creditor",X461=1,AE461&gt;0,Z461&lt;&gt;""),IF(Z461&lt;='Parties'!$E$8,AE461,0),0)</f>
        <v/>
      </c>
      <c r="AG461">
        <f>IF(OR(AE461=0,Z461=""),0,MAX(0,'Parties'!$E$8-Z461))</f>
        <v/>
      </c>
      <c r="AH461">
        <f>IF(AND(P461="Creditor",X461=1,AG461&gt;0),AE461*((1+3*N('Parties'!$E$10)/12)^(AG461*12/365)-1),0)</f>
        <v/>
      </c>
      <c r="AI461">
        <f>IF(AND(C461&lt;&gt;"",C461='Ledger Account'!$D$4,B461&lt;&gt;"",B461&gt;='Ledger Account'!$D$5,B461&lt;='Ledger Account'!$D$6),1,0)</f>
        <v/>
      </c>
      <c r="AJ461">
        <f>IF(AI461=1,SUM(AI$7:AI461),"")</f>
        <v/>
      </c>
      <c r="AK461">
        <f>IF(OR(N461="",N461="OK"),0,1)</f>
        <v/>
      </c>
    </row>
    <row r="462">
      <c r="B462" s="24" t="n"/>
      <c r="C462" s="14" t="n"/>
      <c r="D462" s="14" t="n"/>
      <c r="E462" s="20" t="n"/>
      <c r="F462" s="24" t="n"/>
      <c r="G462" s="14" t="n"/>
      <c r="H462" s="22" t="n"/>
      <c r="I462" s="25">
        <f>IF(Q462="D",N(H462),0)</f>
        <v/>
      </c>
      <c r="J462" s="25">
        <f>IF(Q462="C",N(H462),0)</f>
        <v/>
      </c>
      <c r="K462" s="26">
        <f>IF(Z462="","",Z462)</f>
        <v/>
      </c>
      <c r="L462" s="27">
        <f>W462</f>
        <v/>
      </c>
      <c r="M462" s="28">
        <f>AA462</f>
        <v/>
      </c>
      <c r="N462" s="23">
        <f>IF(AND(B462="",C462="",D462="",N(H462)=0),"",IF(B462="","Enter the date",IF(C462="","Pick the party",IF(P462="?","Add this party on the Parties sheet first",IF(D462="","Pick the entry type",IF(Q462="?","Pick the entry type from the list",IF(N(H462)=0,"Enter the amount",IF(AND(R462&lt;&gt;"Any",R462&lt;&gt;P462),"Sales, receipts and credit notes are for debtors; purchases, payments and debit notes for creditors",IF(AND(F462&lt;&gt;"",D462&lt;&gt;"Purchase bill"),"The received-on date is only for purchase bills",IF(AND(P462="Creditor",X462=1,AA462&gt;0),"Past due to a micro or small supplier: interest runs under MSMED s.16, and if unpaid at year end it is not deductible that year, s.37(2)(g)",IF(AND(P462="Debtor",X462=1,AA462&gt;0),"Past due to you: as a micro or small supplier you can claim interest under MSMED s.16","OK")))))))))))</f>
        <v/>
      </c>
      <c r="P462">
        <f>IF(C462="","",IFERROR(VLOOKUP(C462,'Parties'!$B$13:$Q$112,2,FALSE),"?"))</f>
        <v/>
      </c>
      <c r="Q462">
        <f>IF(D462="","",IFERROR(VLOOKUP(D462,Lists!$A$2:$D$9,3,FALSE),"?"))</f>
        <v/>
      </c>
      <c r="R462">
        <f>IF(D462="","",IFERROR(VLOOKUP(D462,Lists!$A$2:$D$9,4,FALSE),"?"))</f>
        <v/>
      </c>
      <c r="S462">
        <f>IF(P462="Debtor",I462,IF(P462="Creditor",J462,0))</f>
        <v/>
      </c>
      <c r="T462">
        <f>IF(P462="Debtor",J462,IF(P462="Creditor",I462,0))</f>
        <v/>
      </c>
      <c r="U462">
        <f>IF(OR(S462=0,B462=""),0,IFERROR(VLOOKUP(C462,'Parties'!$B$13:$Q$112,13,FALSE),0)+SUMIFS($S$7:$S$506,$C$7:$C$506,C462,$B$7:$B$506,"&lt;"&amp;B462)+SUMIFS(S$7:S462,C$7:C462,C462,B$7:B462,B462))</f>
        <v/>
      </c>
      <c r="V462">
        <f>IF(S462=0,0,IFERROR(VLOOKUP(C462,'Parties'!$B$13:$Q$112,14,FALSE),0)+SUMIFS($T$7:$T$506,$C$7:$C$506,C462,$B$7:$B$506,"&lt;="&amp;'Outstanding'!$E$5))</f>
        <v/>
      </c>
      <c r="W462">
        <f>IF(OR('Outstanding'!$E$5="",S462=0,B462="",B462&gt;'Outstanding'!$E$5),0,MAX(0,MIN(S462,U462-V462)))</f>
        <v/>
      </c>
      <c r="X462">
        <f>IF(C462="",0,IFERROR(VLOOKUP(C462,'Parties'!$B$13:$Q$112,15,FALSE),0))</f>
        <v/>
      </c>
      <c r="Y462">
        <f>IF(C462="","",IFERROR(VLOOKUP(C462,'Parties'!$B$13:$Q$112,16,FALSE),0))</f>
        <v/>
      </c>
      <c r="Z462">
        <f>IF(OR(S462=0,B462="",Y462=""),"",IF(AND(F462&lt;&gt;"",D462="Purchase bill"),F462,B462)+Y462)</f>
        <v/>
      </c>
      <c r="AA462">
        <f>IF(OR(W462=0,Z462=""),0,MAX(0,'Outstanding'!$E$5-Z462))</f>
        <v/>
      </c>
      <c r="AB462">
        <f>IF(AND(X462=1,AA462&gt;0),W462*((1+3*N('Parties'!$E$10)/12)^(AA462*12/365)-1),0)</f>
        <v/>
      </c>
      <c r="AC462">
        <f>IF(W462=0,"",'Outstanding'!$E$5-B462)</f>
        <v/>
      </c>
      <c r="AD462">
        <f>IF(S462=0,0,IFERROR(VLOOKUP(C462,'Parties'!$B$13:$Q$112,14,FALSE),0)+SUMIFS($T$7:$T$506,$C$7:$C$506,C462,$B$7:$B$506,"&lt;="&amp;'Parties'!$E$8))</f>
        <v/>
      </c>
      <c r="AE462">
        <f>IF(OR('Parties'!$E$8="",S462=0,B462="",B462&gt;'Parties'!$E$8),0,MAX(0,MIN(S462,U462-AD462)))</f>
        <v/>
      </c>
      <c r="AF462">
        <f>IF(AND(P462="Creditor",X462=1,AE462&gt;0,Z462&lt;&gt;""),IF(Z462&lt;='Parties'!$E$8,AE462,0),0)</f>
        <v/>
      </c>
      <c r="AG462">
        <f>IF(OR(AE462=0,Z462=""),0,MAX(0,'Parties'!$E$8-Z462))</f>
        <v/>
      </c>
      <c r="AH462">
        <f>IF(AND(P462="Creditor",X462=1,AG462&gt;0),AE462*((1+3*N('Parties'!$E$10)/12)^(AG462*12/365)-1),0)</f>
        <v/>
      </c>
      <c r="AI462">
        <f>IF(AND(C462&lt;&gt;"",C462='Ledger Account'!$D$4,B462&lt;&gt;"",B462&gt;='Ledger Account'!$D$5,B462&lt;='Ledger Account'!$D$6),1,0)</f>
        <v/>
      </c>
      <c r="AJ462">
        <f>IF(AI462=1,SUM(AI$7:AI462),"")</f>
        <v/>
      </c>
      <c r="AK462">
        <f>IF(OR(N462="",N462="OK"),0,1)</f>
        <v/>
      </c>
    </row>
    <row r="463">
      <c r="B463" s="24" t="n"/>
      <c r="C463" s="14" t="n"/>
      <c r="D463" s="14" t="n"/>
      <c r="E463" s="20" t="n"/>
      <c r="F463" s="24" t="n"/>
      <c r="G463" s="14" t="n"/>
      <c r="H463" s="22" t="n"/>
      <c r="I463" s="25">
        <f>IF(Q463="D",N(H463),0)</f>
        <v/>
      </c>
      <c r="J463" s="25">
        <f>IF(Q463="C",N(H463),0)</f>
        <v/>
      </c>
      <c r="K463" s="26">
        <f>IF(Z463="","",Z463)</f>
        <v/>
      </c>
      <c r="L463" s="27">
        <f>W463</f>
        <v/>
      </c>
      <c r="M463" s="28">
        <f>AA463</f>
        <v/>
      </c>
      <c r="N463" s="23">
        <f>IF(AND(B463="",C463="",D463="",N(H463)=0),"",IF(B463="","Enter the date",IF(C463="","Pick the party",IF(P463="?","Add this party on the Parties sheet first",IF(D463="","Pick the entry type",IF(Q463="?","Pick the entry type from the list",IF(N(H463)=0,"Enter the amount",IF(AND(R463&lt;&gt;"Any",R463&lt;&gt;P463),"Sales, receipts and credit notes are for debtors; purchases, payments and debit notes for creditors",IF(AND(F463&lt;&gt;"",D463&lt;&gt;"Purchase bill"),"The received-on date is only for purchase bills",IF(AND(P463="Creditor",X463=1,AA463&gt;0),"Past due to a micro or small supplier: interest runs under MSMED s.16, and if unpaid at year end it is not deductible that year, s.37(2)(g)",IF(AND(P463="Debtor",X463=1,AA463&gt;0),"Past due to you: as a micro or small supplier you can claim interest under MSMED s.16","OK")))))))))))</f>
        <v/>
      </c>
      <c r="P463">
        <f>IF(C463="","",IFERROR(VLOOKUP(C463,'Parties'!$B$13:$Q$112,2,FALSE),"?"))</f>
        <v/>
      </c>
      <c r="Q463">
        <f>IF(D463="","",IFERROR(VLOOKUP(D463,Lists!$A$2:$D$9,3,FALSE),"?"))</f>
        <v/>
      </c>
      <c r="R463">
        <f>IF(D463="","",IFERROR(VLOOKUP(D463,Lists!$A$2:$D$9,4,FALSE),"?"))</f>
        <v/>
      </c>
      <c r="S463">
        <f>IF(P463="Debtor",I463,IF(P463="Creditor",J463,0))</f>
        <v/>
      </c>
      <c r="T463">
        <f>IF(P463="Debtor",J463,IF(P463="Creditor",I463,0))</f>
        <v/>
      </c>
      <c r="U463">
        <f>IF(OR(S463=0,B463=""),0,IFERROR(VLOOKUP(C463,'Parties'!$B$13:$Q$112,13,FALSE),0)+SUMIFS($S$7:$S$506,$C$7:$C$506,C463,$B$7:$B$506,"&lt;"&amp;B463)+SUMIFS(S$7:S463,C$7:C463,C463,B$7:B463,B463))</f>
        <v/>
      </c>
      <c r="V463">
        <f>IF(S463=0,0,IFERROR(VLOOKUP(C463,'Parties'!$B$13:$Q$112,14,FALSE),0)+SUMIFS($T$7:$T$506,$C$7:$C$506,C463,$B$7:$B$506,"&lt;="&amp;'Outstanding'!$E$5))</f>
        <v/>
      </c>
      <c r="W463">
        <f>IF(OR('Outstanding'!$E$5="",S463=0,B463="",B463&gt;'Outstanding'!$E$5),0,MAX(0,MIN(S463,U463-V463)))</f>
        <v/>
      </c>
      <c r="X463">
        <f>IF(C463="",0,IFERROR(VLOOKUP(C463,'Parties'!$B$13:$Q$112,15,FALSE),0))</f>
        <v/>
      </c>
      <c r="Y463">
        <f>IF(C463="","",IFERROR(VLOOKUP(C463,'Parties'!$B$13:$Q$112,16,FALSE),0))</f>
        <v/>
      </c>
      <c r="Z463">
        <f>IF(OR(S463=0,B463="",Y463=""),"",IF(AND(F463&lt;&gt;"",D463="Purchase bill"),F463,B463)+Y463)</f>
        <v/>
      </c>
      <c r="AA463">
        <f>IF(OR(W463=0,Z463=""),0,MAX(0,'Outstanding'!$E$5-Z463))</f>
        <v/>
      </c>
      <c r="AB463">
        <f>IF(AND(X463=1,AA463&gt;0),W463*((1+3*N('Parties'!$E$10)/12)^(AA463*12/365)-1),0)</f>
        <v/>
      </c>
      <c r="AC463">
        <f>IF(W463=0,"",'Outstanding'!$E$5-B463)</f>
        <v/>
      </c>
      <c r="AD463">
        <f>IF(S463=0,0,IFERROR(VLOOKUP(C463,'Parties'!$B$13:$Q$112,14,FALSE),0)+SUMIFS($T$7:$T$506,$C$7:$C$506,C463,$B$7:$B$506,"&lt;="&amp;'Parties'!$E$8))</f>
        <v/>
      </c>
      <c r="AE463">
        <f>IF(OR('Parties'!$E$8="",S463=0,B463="",B463&gt;'Parties'!$E$8),0,MAX(0,MIN(S463,U463-AD463)))</f>
        <v/>
      </c>
      <c r="AF463">
        <f>IF(AND(P463="Creditor",X463=1,AE463&gt;0,Z463&lt;&gt;""),IF(Z463&lt;='Parties'!$E$8,AE463,0),0)</f>
        <v/>
      </c>
      <c r="AG463">
        <f>IF(OR(AE463=0,Z463=""),0,MAX(0,'Parties'!$E$8-Z463))</f>
        <v/>
      </c>
      <c r="AH463">
        <f>IF(AND(P463="Creditor",X463=1,AG463&gt;0),AE463*((1+3*N('Parties'!$E$10)/12)^(AG463*12/365)-1),0)</f>
        <v/>
      </c>
      <c r="AI463">
        <f>IF(AND(C463&lt;&gt;"",C463='Ledger Account'!$D$4,B463&lt;&gt;"",B463&gt;='Ledger Account'!$D$5,B463&lt;='Ledger Account'!$D$6),1,0)</f>
        <v/>
      </c>
      <c r="AJ463">
        <f>IF(AI463=1,SUM(AI$7:AI463),"")</f>
        <v/>
      </c>
      <c r="AK463">
        <f>IF(OR(N463="",N463="OK"),0,1)</f>
        <v/>
      </c>
    </row>
    <row r="464">
      <c r="B464" s="24" t="n"/>
      <c r="C464" s="14" t="n"/>
      <c r="D464" s="14" t="n"/>
      <c r="E464" s="20" t="n"/>
      <c r="F464" s="24" t="n"/>
      <c r="G464" s="14" t="n"/>
      <c r="H464" s="22" t="n"/>
      <c r="I464" s="25">
        <f>IF(Q464="D",N(H464),0)</f>
        <v/>
      </c>
      <c r="J464" s="25">
        <f>IF(Q464="C",N(H464),0)</f>
        <v/>
      </c>
      <c r="K464" s="26">
        <f>IF(Z464="","",Z464)</f>
        <v/>
      </c>
      <c r="L464" s="27">
        <f>W464</f>
        <v/>
      </c>
      <c r="M464" s="28">
        <f>AA464</f>
        <v/>
      </c>
      <c r="N464" s="23">
        <f>IF(AND(B464="",C464="",D464="",N(H464)=0),"",IF(B464="","Enter the date",IF(C464="","Pick the party",IF(P464="?","Add this party on the Parties sheet first",IF(D464="","Pick the entry type",IF(Q464="?","Pick the entry type from the list",IF(N(H464)=0,"Enter the amount",IF(AND(R464&lt;&gt;"Any",R464&lt;&gt;P464),"Sales, receipts and credit notes are for debtors; purchases, payments and debit notes for creditors",IF(AND(F464&lt;&gt;"",D464&lt;&gt;"Purchase bill"),"The received-on date is only for purchase bills",IF(AND(P464="Creditor",X464=1,AA464&gt;0),"Past due to a micro or small supplier: interest runs under MSMED s.16, and if unpaid at year end it is not deductible that year, s.37(2)(g)",IF(AND(P464="Debtor",X464=1,AA464&gt;0),"Past due to you: as a micro or small supplier you can claim interest under MSMED s.16","OK")))))))))))</f>
        <v/>
      </c>
      <c r="P464">
        <f>IF(C464="","",IFERROR(VLOOKUP(C464,'Parties'!$B$13:$Q$112,2,FALSE),"?"))</f>
        <v/>
      </c>
      <c r="Q464">
        <f>IF(D464="","",IFERROR(VLOOKUP(D464,Lists!$A$2:$D$9,3,FALSE),"?"))</f>
        <v/>
      </c>
      <c r="R464">
        <f>IF(D464="","",IFERROR(VLOOKUP(D464,Lists!$A$2:$D$9,4,FALSE),"?"))</f>
        <v/>
      </c>
      <c r="S464">
        <f>IF(P464="Debtor",I464,IF(P464="Creditor",J464,0))</f>
        <v/>
      </c>
      <c r="T464">
        <f>IF(P464="Debtor",J464,IF(P464="Creditor",I464,0))</f>
        <v/>
      </c>
      <c r="U464">
        <f>IF(OR(S464=0,B464=""),0,IFERROR(VLOOKUP(C464,'Parties'!$B$13:$Q$112,13,FALSE),0)+SUMIFS($S$7:$S$506,$C$7:$C$506,C464,$B$7:$B$506,"&lt;"&amp;B464)+SUMIFS(S$7:S464,C$7:C464,C464,B$7:B464,B464))</f>
        <v/>
      </c>
      <c r="V464">
        <f>IF(S464=0,0,IFERROR(VLOOKUP(C464,'Parties'!$B$13:$Q$112,14,FALSE),0)+SUMIFS($T$7:$T$506,$C$7:$C$506,C464,$B$7:$B$506,"&lt;="&amp;'Outstanding'!$E$5))</f>
        <v/>
      </c>
      <c r="W464">
        <f>IF(OR('Outstanding'!$E$5="",S464=0,B464="",B464&gt;'Outstanding'!$E$5),0,MAX(0,MIN(S464,U464-V464)))</f>
        <v/>
      </c>
      <c r="X464">
        <f>IF(C464="",0,IFERROR(VLOOKUP(C464,'Parties'!$B$13:$Q$112,15,FALSE),0))</f>
        <v/>
      </c>
      <c r="Y464">
        <f>IF(C464="","",IFERROR(VLOOKUP(C464,'Parties'!$B$13:$Q$112,16,FALSE),0))</f>
        <v/>
      </c>
      <c r="Z464">
        <f>IF(OR(S464=0,B464="",Y464=""),"",IF(AND(F464&lt;&gt;"",D464="Purchase bill"),F464,B464)+Y464)</f>
        <v/>
      </c>
      <c r="AA464">
        <f>IF(OR(W464=0,Z464=""),0,MAX(0,'Outstanding'!$E$5-Z464))</f>
        <v/>
      </c>
      <c r="AB464">
        <f>IF(AND(X464=1,AA464&gt;0),W464*((1+3*N('Parties'!$E$10)/12)^(AA464*12/365)-1),0)</f>
        <v/>
      </c>
      <c r="AC464">
        <f>IF(W464=0,"",'Outstanding'!$E$5-B464)</f>
        <v/>
      </c>
      <c r="AD464">
        <f>IF(S464=0,0,IFERROR(VLOOKUP(C464,'Parties'!$B$13:$Q$112,14,FALSE),0)+SUMIFS($T$7:$T$506,$C$7:$C$506,C464,$B$7:$B$506,"&lt;="&amp;'Parties'!$E$8))</f>
        <v/>
      </c>
      <c r="AE464">
        <f>IF(OR('Parties'!$E$8="",S464=0,B464="",B464&gt;'Parties'!$E$8),0,MAX(0,MIN(S464,U464-AD464)))</f>
        <v/>
      </c>
      <c r="AF464">
        <f>IF(AND(P464="Creditor",X464=1,AE464&gt;0,Z464&lt;&gt;""),IF(Z464&lt;='Parties'!$E$8,AE464,0),0)</f>
        <v/>
      </c>
      <c r="AG464">
        <f>IF(OR(AE464=0,Z464=""),0,MAX(0,'Parties'!$E$8-Z464))</f>
        <v/>
      </c>
      <c r="AH464">
        <f>IF(AND(P464="Creditor",X464=1,AG464&gt;0),AE464*((1+3*N('Parties'!$E$10)/12)^(AG464*12/365)-1),0)</f>
        <v/>
      </c>
      <c r="AI464">
        <f>IF(AND(C464&lt;&gt;"",C464='Ledger Account'!$D$4,B464&lt;&gt;"",B464&gt;='Ledger Account'!$D$5,B464&lt;='Ledger Account'!$D$6),1,0)</f>
        <v/>
      </c>
      <c r="AJ464">
        <f>IF(AI464=1,SUM(AI$7:AI464),"")</f>
        <v/>
      </c>
      <c r="AK464">
        <f>IF(OR(N464="",N464="OK"),0,1)</f>
        <v/>
      </c>
    </row>
    <row r="465">
      <c r="B465" s="24" t="n"/>
      <c r="C465" s="14" t="n"/>
      <c r="D465" s="14" t="n"/>
      <c r="E465" s="20" t="n"/>
      <c r="F465" s="24" t="n"/>
      <c r="G465" s="14" t="n"/>
      <c r="H465" s="22" t="n"/>
      <c r="I465" s="25">
        <f>IF(Q465="D",N(H465),0)</f>
        <v/>
      </c>
      <c r="J465" s="25">
        <f>IF(Q465="C",N(H465),0)</f>
        <v/>
      </c>
      <c r="K465" s="26">
        <f>IF(Z465="","",Z465)</f>
        <v/>
      </c>
      <c r="L465" s="27">
        <f>W465</f>
        <v/>
      </c>
      <c r="M465" s="28">
        <f>AA465</f>
        <v/>
      </c>
      <c r="N465" s="23">
        <f>IF(AND(B465="",C465="",D465="",N(H465)=0),"",IF(B465="","Enter the date",IF(C465="","Pick the party",IF(P465="?","Add this party on the Parties sheet first",IF(D465="","Pick the entry type",IF(Q465="?","Pick the entry type from the list",IF(N(H465)=0,"Enter the amount",IF(AND(R465&lt;&gt;"Any",R465&lt;&gt;P465),"Sales, receipts and credit notes are for debtors; purchases, payments and debit notes for creditors",IF(AND(F465&lt;&gt;"",D465&lt;&gt;"Purchase bill"),"The received-on date is only for purchase bills",IF(AND(P465="Creditor",X465=1,AA465&gt;0),"Past due to a micro or small supplier: interest runs under MSMED s.16, and if unpaid at year end it is not deductible that year, s.37(2)(g)",IF(AND(P465="Debtor",X465=1,AA465&gt;0),"Past due to you: as a micro or small supplier you can claim interest under MSMED s.16","OK")))))))))))</f>
        <v/>
      </c>
      <c r="P465">
        <f>IF(C465="","",IFERROR(VLOOKUP(C465,'Parties'!$B$13:$Q$112,2,FALSE),"?"))</f>
        <v/>
      </c>
      <c r="Q465">
        <f>IF(D465="","",IFERROR(VLOOKUP(D465,Lists!$A$2:$D$9,3,FALSE),"?"))</f>
        <v/>
      </c>
      <c r="R465">
        <f>IF(D465="","",IFERROR(VLOOKUP(D465,Lists!$A$2:$D$9,4,FALSE),"?"))</f>
        <v/>
      </c>
      <c r="S465">
        <f>IF(P465="Debtor",I465,IF(P465="Creditor",J465,0))</f>
        <v/>
      </c>
      <c r="T465">
        <f>IF(P465="Debtor",J465,IF(P465="Creditor",I465,0))</f>
        <v/>
      </c>
      <c r="U465">
        <f>IF(OR(S465=0,B465=""),0,IFERROR(VLOOKUP(C465,'Parties'!$B$13:$Q$112,13,FALSE),0)+SUMIFS($S$7:$S$506,$C$7:$C$506,C465,$B$7:$B$506,"&lt;"&amp;B465)+SUMIFS(S$7:S465,C$7:C465,C465,B$7:B465,B465))</f>
        <v/>
      </c>
      <c r="V465">
        <f>IF(S465=0,0,IFERROR(VLOOKUP(C465,'Parties'!$B$13:$Q$112,14,FALSE),0)+SUMIFS($T$7:$T$506,$C$7:$C$506,C465,$B$7:$B$506,"&lt;="&amp;'Outstanding'!$E$5))</f>
        <v/>
      </c>
      <c r="W465">
        <f>IF(OR('Outstanding'!$E$5="",S465=0,B465="",B465&gt;'Outstanding'!$E$5),0,MAX(0,MIN(S465,U465-V465)))</f>
        <v/>
      </c>
      <c r="X465">
        <f>IF(C465="",0,IFERROR(VLOOKUP(C465,'Parties'!$B$13:$Q$112,15,FALSE),0))</f>
        <v/>
      </c>
      <c r="Y465">
        <f>IF(C465="","",IFERROR(VLOOKUP(C465,'Parties'!$B$13:$Q$112,16,FALSE),0))</f>
        <v/>
      </c>
      <c r="Z465">
        <f>IF(OR(S465=0,B465="",Y465=""),"",IF(AND(F465&lt;&gt;"",D465="Purchase bill"),F465,B465)+Y465)</f>
        <v/>
      </c>
      <c r="AA465">
        <f>IF(OR(W465=0,Z465=""),0,MAX(0,'Outstanding'!$E$5-Z465))</f>
        <v/>
      </c>
      <c r="AB465">
        <f>IF(AND(X465=1,AA465&gt;0),W465*((1+3*N('Parties'!$E$10)/12)^(AA465*12/365)-1),0)</f>
        <v/>
      </c>
      <c r="AC465">
        <f>IF(W465=0,"",'Outstanding'!$E$5-B465)</f>
        <v/>
      </c>
      <c r="AD465">
        <f>IF(S465=0,0,IFERROR(VLOOKUP(C465,'Parties'!$B$13:$Q$112,14,FALSE),0)+SUMIFS($T$7:$T$506,$C$7:$C$506,C465,$B$7:$B$506,"&lt;="&amp;'Parties'!$E$8))</f>
        <v/>
      </c>
      <c r="AE465">
        <f>IF(OR('Parties'!$E$8="",S465=0,B465="",B465&gt;'Parties'!$E$8),0,MAX(0,MIN(S465,U465-AD465)))</f>
        <v/>
      </c>
      <c r="AF465">
        <f>IF(AND(P465="Creditor",X465=1,AE465&gt;0,Z465&lt;&gt;""),IF(Z465&lt;='Parties'!$E$8,AE465,0),0)</f>
        <v/>
      </c>
      <c r="AG465">
        <f>IF(OR(AE465=0,Z465=""),0,MAX(0,'Parties'!$E$8-Z465))</f>
        <v/>
      </c>
      <c r="AH465">
        <f>IF(AND(P465="Creditor",X465=1,AG465&gt;0),AE465*((1+3*N('Parties'!$E$10)/12)^(AG465*12/365)-1),0)</f>
        <v/>
      </c>
      <c r="AI465">
        <f>IF(AND(C465&lt;&gt;"",C465='Ledger Account'!$D$4,B465&lt;&gt;"",B465&gt;='Ledger Account'!$D$5,B465&lt;='Ledger Account'!$D$6),1,0)</f>
        <v/>
      </c>
      <c r="AJ465">
        <f>IF(AI465=1,SUM(AI$7:AI465),"")</f>
        <v/>
      </c>
      <c r="AK465">
        <f>IF(OR(N465="",N465="OK"),0,1)</f>
        <v/>
      </c>
    </row>
    <row r="466">
      <c r="B466" s="24" t="n"/>
      <c r="C466" s="14" t="n"/>
      <c r="D466" s="14" t="n"/>
      <c r="E466" s="20" t="n"/>
      <c r="F466" s="24" t="n"/>
      <c r="G466" s="14" t="n"/>
      <c r="H466" s="22" t="n"/>
      <c r="I466" s="25">
        <f>IF(Q466="D",N(H466),0)</f>
        <v/>
      </c>
      <c r="J466" s="25">
        <f>IF(Q466="C",N(H466),0)</f>
        <v/>
      </c>
      <c r="K466" s="26">
        <f>IF(Z466="","",Z466)</f>
        <v/>
      </c>
      <c r="L466" s="27">
        <f>W466</f>
        <v/>
      </c>
      <c r="M466" s="28">
        <f>AA466</f>
        <v/>
      </c>
      <c r="N466" s="23">
        <f>IF(AND(B466="",C466="",D466="",N(H466)=0),"",IF(B466="","Enter the date",IF(C466="","Pick the party",IF(P466="?","Add this party on the Parties sheet first",IF(D466="","Pick the entry type",IF(Q466="?","Pick the entry type from the list",IF(N(H466)=0,"Enter the amount",IF(AND(R466&lt;&gt;"Any",R466&lt;&gt;P466),"Sales, receipts and credit notes are for debtors; purchases, payments and debit notes for creditors",IF(AND(F466&lt;&gt;"",D466&lt;&gt;"Purchase bill"),"The received-on date is only for purchase bills",IF(AND(P466="Creditor",X466=1,AA466&gt;0),"Past due to a micro or small supplier: interest runs under MSMED s.16, and if unpaid at year end it is not deductible that year, s.37(2)(g)",IF(AND(P466="Debtor",X466=1,AA466&gt;0),"Past due to you: as a micro or small supplier you can claim interest under MSMED s.16","OK")))))))))))</f>
        <v/>
      </c>
      <c r="P466">
        <f>IF(C466="","",IFERROR(VLOOKUP(C466,'Parties'!$B$13:$Q$112,2,FALSE),"?"))</f>
        <v/>
      </c>
      <c r="Q466">
        <f>IF(D466="","",IFERROR(VLOOKUP(D466,Lists!$A$2:$D$9,3,FALSE),"?"))</f>
        <v/>
      </c>
      <c r="R466">
        <f>IF(D466="","",IFERROR(VLOOKUP(D466,Lists!$A$2:$D$9,4,FALSE),"?"))</f>
        <v/>
      </c>
      <c r="S466">
        <f>IF(P466="Debtor",I466,IF(P466="Creditor",J466,0))</f>
        <v/>
      </c>
      <c r="T466">
        <f>IF(P466="Debtor",J466,IF(P466="Creditor",I466,0))</f>
        <v/>
      </c>
      <c r="U466">
        <f>IF(OR(S466=0,B466=""),0,IFERROR(VLOOKUP(C466,'Parties'!$B$13:$Q$112,13,FALSE),0)+SUMIFS($S$7:$S$506,$C$7:$C$506,C466,$B$7:$B$506,"&lt;"&amp;B466)+SUMIFS(S$7:S466,C$7:C466,C466,B$7:B466,B466))</f>
        <v/>
      </c>
      <c r="V466">
        <f>IF(S466=0,0,IFERROR(VLOOKUP(C466,'Parties'!$B$13:$Q$112,14,FALSE),0)+SUMIFS($T$7:$T$506,$C$7:$C$506,C466,$B$7:$B$506,"&lt;="&amp;'Outstanding'!$E$5))</f>
        <v/>
      </c>
      <c r="W466">
        <f>IF(OR('Outstanding'!$E$5="",S466=0,B466="",B466&gt;'Outstanding'!$E$5),0,MAX(0,MIN(S466,U466-V466)))</f>
        <v/>
      </c>
      <c r="X466">
        <f>IF(C466="",0,IFERROR(VLOOKUP(C466,'Parties'!$B$13:$Q$112,15,FALSE),0))</f>
        <v/>
      </c>
      <c r="Y466">
        <f>IF(C466="","",IFERROR(VLOOKUP(C466,'Parties'!$B$13:$Q$112,16,FALSE),0))</f>
        <v/>
      </c>
      <c r="Z466">
        <f>IF(OR(S466=0,B466="",Y466=""),"",IF(AND(F466&lt;&gt;"",D466="Purchase bill"),F466,B466)+Y466)</f>
        <v/>
      </c>
      <c r="AA466">
        <f>IF(OR(W466=0,Z466=""),0,MAX(0,'Outstanding'!$E$5-Z466))</f>
        <v/>
      </c>
      <c r="AB466">
        <f>IF(AND(X466=1,AA466&gt;0),W466*((1+3*N('Parties'!$E$10)/12)^(AA466*12/365)-1),0)</f>
        <v/>
      </c>
      <c r="AC466">
        <f>IF(W466=0,"",'Outstanding'!$E$5-B466)</f>
        <v/>
      </c>
      <c r="AD466">
        <f>IF(S466=0,0,IFERROR(VLOOKUP(C466,'Parties'!$B$13:$Q$112,14,FALSE),0)+SUMIFS($T$7:$T$506,$C$7:$C$506,C466,$B$7:$B$506,"&lt;="&amp;'Parties'!$E$8))</f>
        <v/>
      </c>
      <c r="AE466">
        <f>IF(OR('Parties'!$E$8="",S466=0,B466="",B466&gt;'Parties'!$E$8),0,MAX(0,MIN(S466,U466-AD466)))</f>
        <v/>
      </c>
      <c r="AF466">
        <f>IF(AND(P466="Creditor",X466=1,AE466&gt;0,Z466&lt;&gt;""),IF(Z466&lt;='Parties'!$E$8,AE466,0),0)</f>
        <v/>
      </c>
      <c r="AG466">
        <f>IF(OR(AE466=0,Z466=""),0,MAX(0,'Parties'!$E$8-Z466))</f>
        <v/>
      </c>
      <c r="AH466">
        <f>IF(AND(P466="Creditor",X466=1,AG466&gt;0),AE466*((1+3*N('Parties'!$E$10)/12)^(AG466*12/365)-1),0)</f>
        <v/>
      </c>
      <c r="AI466">
        <f>IF(AND(C466&lt;&gt;"",C466='Ledger Account'!$D$4,B466&lt;&gt;"",B466&gt;='Ledger Account'!$D$5,B466&lt;='Ledger Account'!$D$6),1,0)</f>
        <v/>
      </c>
      <c r="AJ466">
        <f>IF(AI466=1,SUM(AI$7:AI466),"")</f>
        <v/>
      </c>
      <c r="AK466">
        <f>IF(OR(N466="",N466="OK"),0,1)</f>
        <v/>
      </c>
    </row>
    <row r="467">
      <c r="B467" s="24" t="n"/>
      <c r="C467" s="14" t="n"/>
      <c r="D467" s="14" t="n"/>
      <c r="E467" s="20" t="n"/>
      <c r="F467" s="24" t="n"/>
      <c r="G467" s="14" t="n"/>
      <c r="H467" s="22" t="n"/>
      <c r="I467" s="25">
        <f>IF(Q467="D",N(H467),0)</f>
        <v/>
      </c>
      <c r="J467" s="25">
        <f>IF(Q467="C",N(H467),0)</f>
        <v/>
      </c>
      <c r="K467" s="26">
        <f>IF(Z467="","",Z467)</f>
        <v/>
      </c>
      <c r="L467" s="27">
        <f>W467</f>
        <v/>
      </c>
      <c r="M467" s="28">
        <f>AA467</f>
        <v/>
      </c>
      <c r="N467" s="23">
        <f>IF(AND(B467="",C467="",D467="",N(H467)=0),"",IF(B467="","Enter the date",IF(C467="","Pick the party",IF(P467="?","Add this party on the Parties sheet first",IF(D467="","Pick the entry type",IF(Q467="?","Pick the entry type from the list",IF(N(H467)=0,"Enter the amount",IF(AND(R467&lt;&gt;"Any",R467&lt;&gt;P467),"Sales, receipts and credit notes are for debtors; purchases, payments and debit notes for creditors",IF(AND(F467&lt;&gt;"",D467&lt;&gt;"Purchase bill"),"The received-on date is only for purchase bills",IF(AND(P467="Creditor",X467=1,AA467&gt;0),"Past due to a micro or small supplier: interest runs under MSMED s.16, and if unpaid at year end it is not deductible that year, s.37(2)(g)",IF(AND(P467="Debtor",X467=1,AA467&gt;0),"Past due to you: as a micro or small supplier you can claim interest under MSMED s.16","OK")))))))))))</f>
        <v/>
      </c>
      <c r="P467">
        <f>IF(C467="","",IFERROR(VLOOKUP(C467,'Parties'!$B$13:$Q$112,2,FALSE),"?"))</f>
        <v/>
      </c>
      <c r="Q467">
        <f>IF(D467="","",IFERROR(VLOOKUP(D467,Lists!$A$2:$D$9,3,FALSE),"?"))</f>
        <v/>
      </c>
      <c r="R467">
        <f>IF(D467="","",IFERROR(VLOOKUP(D467,Lists!$A$2:$D$9,4,FALSE),"?"))</f>
        <v/>
      </c>
      <c r="S467">
        <f>IF(P467="Debtor",I467,IF(P467="Creditor",J467,0))</f>
        <v/>
      </c>
      <c r="T467">
        <f>IF(P467="Debtor",J467,IF(P467="Creditor",I467,0))</f>
        <v/>
      </c>
      <c r="U467">
        <f>IF(OR(S467=0,B467=""),0,IFERROR(VLOOKUP(C467,'Parties'!$B$13:$Q$112,13,FALSE),0)+SUMIFS($S$7:$S$506,$C$7:$C$506,C467,$B$7:$B$506,"&lt;"&amp;B467)+SUMIFS(S$7:S467,C$7:C467,C467,B$7:B467,B467))</f>
        <v/>
      </c>
      <c r="V467">
        <f>IF(S467=0,0,IFERROR(VLOOKUP(C467,'Parties'!$B$13:$Q$112,14,FALSE),0)+SUMIFS($T$7:$T$506,$C$7:$C$506,C467,$B$7:$B$506,"&lt;="&amp;'Outstanding'!$E$5))</f>
        <v/>
      </c>
      <c r="W467">
        <f>IF(OR('Outstanding'!$E$5="",S467=0,B467="",B467&gt;'Outstanding'!$E$5),0,MAX(0,MIN(S467,U467-V467)))</f>
        <v/>
      </c>
      <c r="X467">
        <f>IF(C467="",0,IFERROR(VLOOKUP(C467,'Parties'!$B$13:$Q$112,15,FALSE),0))</f>
        <v/>
      </c>
      <c r="Y467">
        <f>IF(C467="","",IFERROR(VLOOKUP(C467,'Parties'!$B$13:$Q$112,16,FALSE),0))</f>
        <v/>
      </c>
      <c r="Z467">
        <f>IF(OR(S467=0,B467="",Y467=""),"",IF(AND(F467&lt;&gt;"",D467="Purchase bill"),F467,B467)+Y467)</f>
        <v/>
      </c>
      <c r="AA467">
        <f>IF(OR(W467=0,Z467=""),0,MAX(0,'Outstanding'!$E$5-Z467))</f>
        <v/>
      </c>
      <c r="AB467">
        <f>IF(AND(X467=1,AA467&gt;0),W467*((1+3*N('Parties'!$E$10)/12)^(AA467*12/365)-1),0)</f>
        <v/>
      </c>
      <c r="AC467">
        <f>IF(W467=0,"",'Outstanding'!$E$5-B467)</f>
        <v/>
      </c>
      <c r="AD467">
        <f>IF(S467=0,0,IFERROR(VLOOKUP(C467,'Parties'!$B$13:$Q$112,14,FALSE),0)+SUMIFS($T$7:$T$506,$C$7:$C$506,C467,$B$7:$B$506,"&lt;="&amp;'Parties'!$E$8))</f>
        <v/>
      </c>
      <c r="AE467">
        <f>IF(OR('Parties'!$E$8="",S467=0,B467="",B467&gt;'Parties'!$E$8),0,MAX(0,MIN(S467,U467-AD467)))</f>
        <v/>
      </c>
      <c r="AF467">
        <f>IF(AND(P467="Creditor",X467=1,AE467&gt;0,Z467&lt;&gt;""),IF(Z467&lt;='Parties'!$E$8,AE467,0),0)</f>
        <v/>
      </c>
      <c r="AG467">
        <f>IF(OR(AE467=0,Z467=""),0,MAX(0,'Parties'!$E$8-Z467))</f>
        <v/>
      </c>
      <c r="AH467">
        <f>IF(AND(P467="Creditor",X467=1,AG467&gt;0),AE467*((1+3*N('Parties'!$E$10)/12)^(AG467*12/365)-1),0)</f>
        <v/>
      </c>
      <c r="AI467">
        <f>IF(AND(C467&lt;&gt;"",C467='Ledger Account'!$D$4,B467&lt;&gt;"",B467&gt;='Ledger Account'!$D$5,B467&lt;='Ledger Account'!$D$6),1,0)</f>
        <v/>
      </c>
      <c r="AJ467">
        <f>IF(AI467=1,SUM(AI$7:AI467),"")</f>
        <v/>
      </c>
      <c r="AK467">
        <f>IF(OR(N467="",N467="OK"),0,1)</f>
        <v/>
      </c>
    </row>
    <row r="468">
      <c r="B468" s="24" t="n"/>
      <c r="C468" s="14" t="n"/>
      <c r="D468" s="14" t="n"/>
      <c r="E468" s="20" t="n"/>
      <c r="F468" s="24" t="n"/>
      <c r="G468" s="14" t="n"/>
      <c r="H468" s="22" t="n"/>
      <c r="I468" s="25">
        <f>IF(Q468="D",N(H468),0)</f>
        <v/>
      </c>
      <c r="J468" s="25">
        <f>IF(Q468="C",N(H468),0)</f>
        <v/>
      </c>
      <c r="K468" s="26">
        <f>IF(Z468="","",Z468)</f>
        <v/>
      </c>
      <c r="L468" s="27">
        <f>W468</f>
        <v/>
      </c>
      <c r="M468" s="28">
        <f>AA468</f>
        <v/>
      </c>
      <c r="N468" s="23">
        <f>IF(AND(B468="",C468="",D468="",N(H468)=0),"",IF(B468="","Enter the date",IF(C468="","Pick the party",IF(P468="?","Add this party on the Parties sheet first",IF(D468="","Pick the entry type",IF(Q468="?","Pick the entry type from the list",IF(N(H468)=0,"Enter the amount",IF(AND(R468&lt;&gt;"Any",R468&lt;&gt;P468),"Sales, receipts and credit notes are for debtors; purchases, payments and debit notes for creditors",IF(AND(F468&lt;&gt;"",D468&lt;&gt;"Purchase bill"),"The received-on date is only for purchase bills",IF(AND(P468="Creditor",X468=1,AA468&gt;0),"Past due to a micro or small supplier: interest runs under MSMED s.16, and if unpaid at year end it is not deductible that year, s.37(2)(g)",IF(AND(P468="Debtor",X468=1,AA468&gt;0),"Past due to you: as a micro or small supplier you can claim interest under MSMED s.16","OK")))))))))))</f>
        <v/>
      </c>
      <c r="P468">
        <f>IF(C468="","",IFERROR(VLOOKUP(C468,'Parties'!$B$13:$Q$112,2,FALSE),"?"))</f>
        <v/>
      </c>
      <c r="Q468">
        <f>IF(D468="","",IFERROR(VLOOKUP(D468,Lists!$A$2:$D$9,3,FALSE),"?"))</f>
        <v/>
      </c>
      <c r="R468">
        <f>IF(D468="","",IFERROR(VLOOKUP(D468,Lists!$A$2:$D$9,4,FALSE),"?"))</f>
        <v/>
      </c>
      <c r="S468">
        <f>IF(P468="Debtor",I468,IF(P468="Creditor",J468,0))</f>
        <v/>
      </c>
      <c r="T468">
        <f>IF(P468="Debtor",J468,IF(P468="Creditor",I468,0))</f>
        <v/>
      </c>
      <c r="U468">
        <f>IF(OR(S468=0,B468=""),0,IFERROR(VLOOKUP(C468,'Parties'!$B$13:$Q$112,13,FALSE),0)+SUMIFS($S$7:$S$506,$C$7:$C$506,C468,$B$7:$B$506,"&lt;"&amp;B468)+SUMIFS(S$7:S468,C$7:C468,C468,B$7:B468,B468))</f>
        <v/>
      </c>
      <c r="V468">
        <f>IF(S468=0,0,IFERROR(VLOOKUP(C468,'Parties'!$B$13:$Q$112,14,FALSE),0)+SUMIFS($T$7:$T$506,$C$7:$C$506,C468,$B$7:$B$506,"&lt;="&amp;'Outstanding'!$E$5))</f>
        <v/>
      </c>
      <c r="W468">
        <f>IF(OR('Outstanding'!$E$5="",S468=0,B468="",B468&gt;'Outstanding'!$E$5),0,MAX(0,MIN(S468,U468-V468)))</f>
        <v/>
      </c>
      <c r="X468">
        <f>IF(C468="",0,IFERROR(VLOOKUP(C468,'Parties'!$B$13:$Q$112,15,FALSE),0))</f>
        <v/>
      </c>
      <c r="Y468">
        <f>IF(C468="","",IFERROR(VLOOKUP(C468,'Parties'!$B$13:$Q$112,16,FALSE),0))</f>
        <v/>
      </c>
      <c r="Z468">
        <f>IF(OR(S468=0,B468="",Y468=""),"",IF(AND(F468&lt;&gt;"",D468="Purchase bill"),F468,B468)+Y468)</f>
        <v/>
      </c>
      <c r="AA468">
        <f>IF(OR(W468=0,Z468=""),0,MAX(0,'Outstanding'!$E$5-Z468))</f>
        <v/>
      </c>
      <c r="AB468">
        <f>IF(AND(X468=1,AA468&gt;0),W468*((1+3*N('Parties'!$E$10)/12)^(AA468*12/365)-1),0)</f>
        <v/>
      </c>
      <c r="AC468">
        <f>IF(W468=0,"",'Outstanding'!$E$5-B468)</f>
        <v/>
      </c>
      <c r="AD468">
        <f>IF(S468=0,0,IFERROR(VLOOKUP(C468,'Parties'!$B$13:$Q$112,14,FALSE),0)+SUMIFS($T$7:$T$506,$C$7:$C$506,C468,$B$7:$B$506,"&lt;="&amp;'Parties'!$E$8))</f>
        <v/>
      </c>
      <c r="AE468">
        <f>IF(OR('Parties'!$E$8="",S468=0,B468="",B468&gt;'Parties'!$E$8),0,MAX(0,MIN(S468,U468-AD468)))</f>
        <v/>
      </c>
      <c r="AF468">
        <f>IF(AND(P468="Creditor",X468=1,AE468&gt;0,Z468&lt;&gt;""),IF(Z468&lt;='Parties'!$E$8,AE468,0),0)</f>
        <v/>
      </c>
      <c r="AG468">
        <f>IF(OR(AE468=0,Z468=""),0,MAX(0,'Parties'!$E$8-Z468))</f>
        <v/>
      </c>
      <c r="AH468">
        <f>IF(AND(P468="Creditor",X468=1,AG468&gt;0),AE468*((1+3*N('Parties'!$E$10)/12)^(AG468*12/365)-1),0)</f>
        <v/>
      </c>
      <c r="AI468">
        <f>IF(AND(C468&lt;&gt;"",C468='Ledger Account'!$D$4,B468&lt;&gt;"",B468&gt;='Ledger Account'!$D$5,B468&lt;='Ledger Account'!$D$6),1,0)</f>
        <v/>
      </c>
      <c r="AJ468">
        <f>IF(AI468=1,SUM(AI$7:AI468),"")</f>
        <v/>
      </c>
      <c r="AK468">
        <f>IF(OR(N468="",N468="OK"),0,1)</f>
        <v/>
      </c>
    </row>
    <row r="469">
      <c r="B469" s="24" t="n"/>
      <c r="C469" s="14" t="n"/>
      <c r="D469" s="14" t="n"/>
      <c r="E469" s="20" t="n"/>
      <c r="F469" s="24" t="n"/>
      <c r="G469" s="14" t="n"/>
      <c r="H469" s="22" t="n"/>
      <c r="I469" s="25">
        <f>IF(Q469="D",N(H469),0)</f>
        <v/>
      </c>
      <c r="J469" s="25">
        <f>IF(Q469="C",N(H469),0)</f>
        <v/>
      </c>
      <c r="K469" s="26">
        <f>IF(Z469="","",Z469)</f>
        <v/>
      </c>
      <c r="L469" s="27">
        <f>W469</f>
        <v/>
      </c>
      <c r="M469" s="28">
        <f>AA469</f>
        <v/>
      </c>
      <c r="N469" s="23">
        <f>IF(AND(B469="",C469="",D469="",N(H469)=0),"",IF(B469="","Enter the date",IF(C469="","Pick the party",IF(P469="?","Add this party on the Parties sheet first",IF(D469="","Pick the entry type",IF(Q469="?","Pick the entry type from the list",IF(N(H469)=0,"Enter the amount",IF(AND(R469&lt;&gt;"Any",R469&lt;&gt;P469),"Sales, receipts and credit notes are for debtors; purchases, payments and debit notes for creditors",IF(AND(F469&lt;&gt;"",D469&lt;&gt;"Purchase bill"),"The received-on date is only for purchase bills",IF(AND(P469="Creditor",X469=1,AA469&gt;0),"Past due to a micro or small supplier: interest runs under MSMED s.16, and if unpaid at year end it is not deductible that year, s.37(2)(g)",IF(AND(P469="Debtor",X469=1,AA469&gt;0),"Past due to you: as a micro or small supplier you can claim interest under MSMED s.16","OK")))))))))))</f>
        <v/>
      </c>
      <c r="P469">
        <f>IF(C469="","",IFERROR(VLOOKUP(C469,'Parties'!$B$13:$Q$112,2,FALSE),"?"))</f>
        <v/>
      </c>
      <c r="Q469">
        <f>IF(D469="","",IFERROR(VLOOKUP(D469,Lists!$A$2:$D$9,3,FALSE),"?"))</f>
        <v/>
      </c>
      <c r="R469">
        <f>IF(D469="","",IFERROR(VLOOKUP(D469,Lists!$A$2:$D$9,4,FALSE),"?"))</f>
        <v/>
      </c>
      <c r="S469">
        <f>IF(P469="Debtor",I469,IF(P469="Creditor",J469,0))</f>
        <v/>
      </c>
      <c r="T469">
        <f>IF(P469="Debtor",J469,IF(P469="Creditor",I469,0))</f>
        <v/>
      </c>
      <c r="U469">
        <f>IF(OR(S469=0,B469=""),0,IFERROR(VLOOKUP(C469,'Parties'!$B$13:$Q$112,13,FALSE),0)+SUMIFS($S$7:$S$506,$C$7:$C$506,C469,$B$7:$B$506,"&lt;"&amp;B469)+SUMIFS(S$7:S469,C$7:C469,C469,B$7:B469,B469))</f>
        <v/>
      </c>
      <c r="V469">
        <f>IF(S469=0,0,IFERROR(VLOOKUP(C469,'Parties'!$B$13:$Q$112,14,FALSE),0)+SUMIFS($T$7:$T$506,$C$7:$C$506,C469,$B$7:$B$506,"&lt;="&amp;'Outstanding'!$E$5))</f>
        <v/>
      </c>
      <c r="W469">
        <f>IF(OR('Outstanding'!$E$5="",S469=0,B469="",B469&gt;'Outstanding'!$E$5),0,MAX(0,MIN(S469,U469-V469)))</f>
        <v/>
      </c>
      <c r="X469">
        <f>IF(C469="",0,IFERROR(VLOOKUP(C469,'Parties'!$B$13:$Q$112,15,FALSE),0))</f>
        <v/>
      </c>
      <c r="Y469">
        <f>IF(C469="","",IFERROR(VLOOKUP(C469,'Parties'!$B$13:$Q$112,16,FALSE),0))</f>
        <v/>
      </c>
      <c r="Z469">
        <f>IF(OR(S469=0,B469="",Y469=""),"",IF(AND(F469&lt;&gt;"",D469="Purchase bill"),F469,B469)+Y469)</f>
        <v/>
      </c>
      <c r="AA469">
        <f>IF(OR(W469=0,Z469=""),0,MAX(0,'Outstanding'!$E$5-Z469))</f>
        <v/>
      </c>
      <c r="AB469">
        <f>IF(AND(X469=1,AA469&gt;0),W469*((1+3*N('Parties'!$E$10)/12)^(AA469*12/365)-1),0)</f>
        <v/>
      </c>
      <c r="AC469">
        <f>IF(W469=0,"",'Outstanding'!$E$5-B469)</f>
        <v/>
      </c>
      <c r="AD469">
        <f>IF(S469=0,0,IFERROR(VLOOKUP(C469,'Parties'!$B$13:$Q$112,14,FALSE),0)+SUMIFS($T$7:$T$506,$C$7:$C$506,C469,$B$7:$B$506,"&lt;="&amp;'Parties'!$E$8))</f>
        <v/>
      </c>
      <c r="AE469">
        <f>IF(OR('Parties'!$E$8="",S469=0,B469="",B469&gt;'Parties'!$E$8),0,MAX(0,MIN(S469,U469-AD469)))</f>
        <v/>
      </c>
      <c r="AF469">
        <f>IF(AND(P469="Creditor",X469=1,AE469&gt;0,Z469&lt;&gt;""),IF(Z469&lt;='Parties'!$E$8,AE469,0),0)</f>
        <v/>
      </c>
      <c r="AG469">
        <f>IF(OR(AE469=0,Z469=""),0,MAX(0,'Parties'!$E$8-Z469))</f>
        <v/>
      </c>
      <c r="AH469">
        <f>IF(AND(P469="Creditor",X469=1,AG469&gt;0),AE469*((1+3*N('Parties'!$E$10)/12)^(AG469*12/365)-1),0)</f>
        <v/>
      </c>
      <c r="AI469">
        <f>IF(AND(C469&lt;&gt;"",C469='Ledger Account'!$D$4,B469&lt;&gt;"",B469&gt;='Ledger Account'!$D$5,B469&lt;='Ledger Account'!$D$6),1,0)</f>
        <v/>
      </c>
      <c r="AJ469">
        <f>IF(AI469=1,SUM(AI$7:AI469),"")</f>
        <v/>
      </c>
      <c r="AK469">
        <f>IF(OR(N469="",N469="OK"),0,1)</f>
        <v/>
      </c>
    </row>
    <row r="470">
      <c r="B470" s="24" t="n"/>
      <c r="C470" s="14" t="n"/>
      <c r="D470" s="14" t="n"/>
      <c r="E470" s="20" t="n"/>
      <c r="F470" s="24" t="n"/>
      <c r="G470" s="14" t="n"/>
      <c r="H470" s="22" t="n"/>
      <c r="I470" s="25">
        <f>IF(Q470="D",N(H470),0)</f>
        <v/>
      </c>
      <c r="J470" s="25">
        <f>IF(Q470="C",N(H470),0)</f>
        <v/>
      </c>
      <c r="K470" s="26">
        <f>IF(Z470="","",Z470)</f>
        <v/>
      </c>
      <c r="L470" s="27">
        <f>W470</f>
        <v/>
      </c>
      <c r="M470" s="28">
        <f>AA470</f>
        <v/>
      </c>
      <c r="N470" s="23">
        <f>IF(AND(B470="",C470="",D470="",N(H470)=0),"",IF(B470="","Enter the date",IF(C470="","Pick the party",IF(P470="?","Add this party on the Parties sheet first",IF(D470="","Pick the entry type",IF(Q470="?","Pick the entry type from the list",IF(N(H470)=0,"Enter the amount",IF(AND(R470&lt;&gt;"Any",R470&lt;&gt;P470),"Sales, receipts and credit notes are for debtors; purchases, payments and debit notes for creditors",IF(AND(F470&lt;&gt;"",D470&lt;&gt;"Purchase bill"),"The received-on date is only for purchase bills",IF(AND(P470="Creditor",X470=1,AA470&gt;0),"Past due to a micro or small supplier: interest runs under MSMED s.16, and if unpaid at year end it is not deductible that year, s.37(2)(g)",IF(AND(P470="Debtor",X470=1,AA470&gt;0),"Past due to you: as a micro or small supplier you can claim interest under MSMED s.16","OK")))))))))))</f>
        <v/>
      </c>
      <c r="P470">
        <f>IF(C470="","",IFERROR(VLOOKUP(C470,'Parties'!$B$13:$Q$112,2,FALSE),"?"))</f>
        <v/>
      </c>
      <c r="Q470">
        <f>IF(D470="","",IFERROR(VLOOKUP(D470,Lists!$A$2:$D$9,3,FALSE),"?"))</f>
        <v/>
      </c>
      <c r="R470">
        <f>IF(D470="","",IFERROR(VLOOKUP(D470,Lists!$A$2:$D$9,4,FALSE),"?"))</f>
        <v/>
      </c>
      <c r="S470">
        <f>IF(P470="Debtor",I470,IF(P470="Creditor",J470,0))</f>
        <v/>
      </c>
      <c r="T470">
        <f>IF(P470="Debtor",J470,IF(P470="Creditor",I470,0))</f>
        <v/>
      </c>
      <c r="U470">
        <f>IF(OR(S470=0,B470=""),0,IFERROR(VLOOKUP(C470,'Parties'!$B$13:$Q$112,13,FALSE),0)+SUMIFS($S$7:$S$506,$C$7:$C$506,C470,$B$7:$B$506,"&lt;"&amp;B470)+SUMIFS(S$7:S470,C$7:C470,C470,B$7:B470,B470))</f>
        <v/>
      </c>
      <c r="V470">
        <f>IF(S470=0,0,IFERROR(VLOOKUP(C470,'Parties'!$B$13:$Q$112,14,FALSE),0)+SUMIFS($T$7:$T$506,$C$7:$C$506,C470,$B$7:$B$506,"&lt;="&amp;'Outstanding'!$E$5))</f>
        <v/>
      </c>
      <c r="W470">
        <f>IF(OR('Outstanding'!$E$5="",S470=0,B470="",B470&gt;'Outstanding'!$E$5),0,MAX(0,MIN(S470,U470-V470)))</f>
        <v/>
      </c>
      <c r="X470">
        <f>IF(C470="",0,IFERROR(VLOOKUP(C470,'Parties'!$B$13:$Q$112,15,FALSE),0))</f>
        <v/>
      </c>
      <c r="Y470">
        <f>IF(C470="","",IFERROR(VLOOKUP(C470,'Parties'!$B$13:$Q$112,16,FALSE),0))</f>
        <v/>
      </c>
      <c r="Z470">
        <f>IF(OR(S470=0,B470="",Y470=""),"",IF(AND(F470&lt;&gt;"",D470="Purchase bill"),F470,B470)+Y470)</f>
        <v/>
      </c>
      <c r="AA470">
        <f>IF(OR(W470=0,Z470=""),0,MAX(0,'Outstanding'!$E$5-Z470))</f>
        <v/>
      </c>
      <c r="AB470">
        <f>IF(AND(X470=1,AA470&gt;0),W470*((1+3*N('Parties'!$E$10)/12)^(AA470*12/365)-1),0)</f>
        <v/>
      </c>
      <c r="AC470">
        <f>IF(W470=0,"",'Outstanding'!$E$5-B470)</f>
        <v/>
      </c>
      <c r="AD470">
        <f>IF(S470=0,0,IFERROR(VLOOKUP(C470,'Parties'!$B$13:$Q$112,14,FALSE),0)+SUMIFS($T$7:$T$506,$C$7:$C$506,C470,$B$7:$B$506,"&lt;="&amp;'Parties'!$E$8))</f>
        <v/>
      </c>
      <c r="AE470">
        <f>IF(OR('Parties'!$E$8="",S470=0,B470="",B470&gt;'Parties'!$E$8),0,MAX(0,MIN(S470,U470-AD470)))</f>
        <v/>
      </c>
      <c r="AF470">
        <f>IF(AND(P470="Creditor",X470=1,AE470&gt;0,Z470&lt;&gt;""),IF(Z470&lt;='Parties'!$E$8,AE470,0),0)</f>
        <v/>
      </c>
      <c r="AG470">
        <f>IF(OR(AE470=0,Z470=""),0,MAX(0,'Parties'!$E$8-Z470))</f>
        <v/>
      </c>
      <c r="AH470">
        <f>IF(AND(P470="Creditor",X470=1,AG470&gt;0),AE470*((1+3*N('Parties'!$E$10)/12)^(AG470*12/365)-1),0)</f>
        <v/>
      </c>
      <c r="AI470">
        <f>IF(AND(C470&lt;&gt;"",C470='Ledger Account'!$D$4,B470&lt;&gt;"",B470&gt;='Ledger Account'!$D$5,B470&lt;='Ledger Account'!$D$6),1,0)</f>
        <v/>
      </c>
      <c r="AJ470">
        <f>IF(AI470=1,SUM(AI$7:AI470),"")</f>
        <v/>
      </c>
      <c r="AK470">
        <f>IF(OR(N470="",N470="OK"),0,1)</f>
        <v/>
      </c>
    </row>
    <row r="471">
      <c r="B471" s="24" t="n"/>
      <c r="C471" s="14" t="n"/>
      <c r="D471" s="14" t="n"/>
      <c r="E471" s="20" t="n"/>
      <c r="F471" s="24" t="n"/>
      <c r="G471" s="14" t="n"/>
      <c r="H471" s="22" t="n"/>
      <c r="I471" s="25">
        <f>IF(Q471="D",N(H471),0)</f>
        <v/>
      </c>
      <c r="J471" s="25">
        <f>IF(Q471="C",N(H471),0)</f>
        <v/>
      </c>
      <c r="K471" s="26">
        <f>IF(Z471="","",Z471)</f>
        <v/>
      </c>
      <c r="L471" s="27">
        <f>W471</f>
        <v/>
      </c>
      <c r="M471" s="28">
        <f>AA471</f>
        <v/>
      </c>
      <c r="N471" s="23">
        <f>IF(AND(B471="",C471="",D471="",N(H471)=0),"",IF(B471="","Enter the date",IF(C471="","Pick the party",IF(P471="?","Add this party on the Parties sheet first",IF(D471="","Pick the entry type",IF(Q471="?","Pick the entry type from the list",IF(N(H471)=0,"Enter the amount",IF(AND(R471&lt;&gt;"Any",R471&lt;&gt;P471),"Sales, receipts and credit notes are for debtors; purchases, payments and debit notes for creditors",IF(AND(F471&lt;&gt;"",D471&lt;&gt;"Purchase bill"),"The received-on date is only for purchase bills",IF(AND(P471="Creditor",X471=1,AA471&gt;0),"Past due to a micro or small supplier: interest runs under MSMED s.16, and if unpaid at year end it is not deductible that year, s.37(2)(g)",IF(AND(P471="Debtor",X471=1,AA471&gt;0),"Past due to you: as a micro or small supplier you can claim interest under MSMED s.16","OK")))))))))))</f>
        <v/>
      </c>
      <c r="P471">
        <f>IF(C471="","",IFERROR(VLOOKUP(C471,'Parties'!$B$13:$Q$112,2,FALSE),"?"))</f>
        <v/>
      </c>
      <c r="Q471">
        <f>IF(D471="","",IFERROR(VLOOKUP(D471,Lists!$A$2:$D$9,3,FALSE),"?"))</f>
        <v/>
      </c>
      <c r="R471">
        <f>IF(D471="","",IFERROR(VLOOKUP(D471,Lists!$A$2:$D$9,4,FALSE),"?"))</f>
        <v/>
      </c>
      <c r="S471">
        <f>IF(P471="Debtor",I471,IF(P471="Creditor",J471,0))</f>
        <v/>
      </c>
      <c r="T471">
        <f>IF(P471="Debtor",J471,IF(P471="Creditor",I471,0))</f>
        <v/>
      </c>
      <c r="U471">
        <f>IF(OR(S471=0,B471=""),0,IFERROR(VLOOKUP(C471,'Parties'!$B$13:$Q$112,13,FALSE),0)+SUMIFS($S$7:$S$506,$C$7:$C$506,C471,$B$7:$B$506,"&lt;"&amp;B471)+SUMIFS(S$7:S471,C$7:C471,C471,B$7:B471,B471))</f>
        <v/>
      </c>
      <c r="V471">
        <f>IF(S471=0,0,IFERROR(VLOOKUP(C471,'Parties'!$B$13:$Q$112,14,FALSE),0)+SUMIFS($T$7:$T$506,$C$7:$C$506,C471,$B$7:$B$506,"&lt;="&amp;'Outstanding'!$E$5))</f>
        <v/>
      </c>
      <c r="W471">
        <f>IF(OR('Outstanding'!$E$5="",S471=0,B471="",B471&gt;'Outstanding'!$E$5),0,MAX(0,MIN(S471,U471-V471)))</f>
        <v/>
      </c>
      <c r="X471">
        <f>IF(C471="",0,IFERROR(VLOOKUP(C471,'Parties'!$B$13:$Q$112,15,FALSE),0))</f>
        <v/>
      </c>
      <c r="Y471">
        <f>IF(C471="","",IFERROR(VLOOKUP(C471,'Parties'!$B$13:$Q$112,16,FALSE),0))</f>
        <v/>
      </c>
      <c r="Z471">
        <f>IF(OR(S471=0,B471="",Y471=""),"",IF(AND(F471&lt;&gt;"",D471="Purchase bill"),F471,B471)+Y471)</f>
        <v/>
      </c>
      <c r="AA471">
        <f>IF(OR(W471=0,Z471=""),0,MAX(0,'Outstanding'!$E$5-Z471))</f>
        <v/>
      </c>
      <c r="AB471">
        <f>IF(AND(X471=1,AA471&gt;0),W471*((1+3*N('Parties'!$E$10)/12)^(AA471*12/365)-1),0)</f>
        <v/>
      </c>
      <c r="AC471">
        <f>IF(W471=0,"",'Outstanding'!$E$5-B471)</f>
        <v/>
      </c>
      <c r="AD471">
        <f>IF(S471=0,0,IFERROR(VLOOKUP(C471,'Parties'!$B$13:$Q$112,14,FALSE),0)+SUMIFS($T$7:$T$506,$C$7:$C$506,C471,$B$7:$B$506,"&lt;="&amp;'Parties'!$E$8))</f>
        <v/>
      </c>
      <c r="AE471">
        <f>IF(OR('Parties'!$E$8="",S471=0,B471="",B471&gt;'Parties'!$E$8),0,MAX(0,MIN(S471,U471-AD471)))</f>
        <v/>
      </c>
      <c r="AF471">
        <f>IF(AND(P471="Creditor",X471=1,AE471&gt;0,Z471&lt;&gt;""),IF(Z471&lt;='Parties'!$E$8,AE471,0),0)</f>
        <v/>
      </c>
      <c r="AG471">
        <f>IF(OR(AE471=0,Z471=""),0,MAX(0,'Parties'!$E$8-Z471))</f>
        <v/>
      </c>
      <c r="AH471">
        <f>IF(AND(P471="Creditor",X471=1,AG471&gt;0),AE471*((1+3*N('Parties'!$E$10)/12)^(AG471*12/365)-1),0)</f>
        <v/>
      </c>
      <c r="AI471">
        <f>IF(AND(C471&lt;&gt;"",C471='Ledger Account'!$D$4,B471&lt;&gt;"",B471&gt;='Ledger Account'!$D$5,B471&lt;='Ledger Account'!$D$6),1,0)</f>
        <v/>
      </c>
      <c r="AJ471">
        <f>IF(AI471=1,SUM(AI$7:AI471),"")</f>
        <v/>
      </c>
      <c r="AK471">
        <f>IF(OR(N471="",N471="OK"),0,1)</f>
        <v/>
      </c>
    </row>
    <row r="472">
      <c r="B472" s="24" t="n"/>
      <c r="C472" s="14" t="n"/>
      <c r="D472" s="14" t="n"/>
      <c r="E472" s="20" t="n"/>
      <c r="F472" s="24" t="n"/>
      <c r="G472" s="14" t="n"/>
      <c r="H472" s="22" t="n"/>
      <c r="I472" s="25">
        <f>IF(Q472="D",N(H472),0)</f>
        <v/>
      </c>
      <c r="J472" s="25">
        <f>IF(Q472="C",N(H472),0)</f>
        <v/>
      </c>
      <c r="K472" s="26">
        <f>IF(Z472="","",Z472)</f>
        <v/>
      </c>
      <c r="L472" s="27">
        <f>W472</f>
        <v/>
      </c>
      <c r="M472" s="28">
        <f>AA472</f>
        <v/>
      </c>
      <c r="N472" s="23">
        <f>IF(AND(B472="",C472="",D472="",N(H472)=0),"",IF(B472="","Enter the date",IF(C472="","Pick the party",IF(P472="?","Add this party on the Parties sheet first",IF(D472="","Pick the entry type",IF(Q472="?","Pick the entry type from the list",IF(N(H472)=0,"Enter the amount",IF(AND(R472&lt;&gt;"Any",R472&lt;&gt;P472),"Sales, receipts and credit notes are for debtors; purchases, payments and debit notes for creditors",IF(AND(F472&lt;&gt;"",D472&lt;&gt;"Purchase bill"),"The received-on date is only for purchase bills",IF(AND(P472="Creditor",X472=1,AA472&gt;0),"Past due to a micro or small supplier: interest runs under MSMED s.16, and if unpaid at year end it is not deductible that year, s.37(2)(g)",IF(AND(P472="Debtor",X472=1,AA472&gt;0),"Past due to you: as a micro or small supplier you can claim interest under MSMED s.16","OK")))))))))))</f>
        <v/>
      </c>
      <c r="P472">
        <f>IF(C472="","",IFERROR(VLOOKUP(C472,'Parties'!$B$13:$Q$112,2,FALSE),"?"))</f>
        <v/>
      </c>
      <c r="Q472">
        <f>IF(D472="","",IFERROR(VLOOKUP(D472,Lists!$A$2:$D$9,3,FALSE),"?"))</f>
        <v/>
      </c>
      <c r="R472">
        <f>IF(D472="","",IFERROR(VLOOKUP(D472,Lists!$A$2:$D$9,4,FALSE),"?"))</f>
        <v/>
      </c>
      <c r="S472">
        <f>IF(P472="Debtor",I472,IF(P472="Creditor",J472,0))</f>
        <v/>
      </c>
      <c r="T472">
        <f>IF(P472="Debtor",J472,IF(P472="Creditor",I472,0))</f>
        <v/>
      </c>
      <c r="U472">
        <f>IF(OR(S472=0,B472=""),0,IFERROR(VLOOKUP(C472,'Parties'!$B$13:$Q$112,13,FALSE),0)+SUMIFS($S$7:$S$506,$C$7:$C$506,C472,$B$7:$B$506,"&lt;"&amp;B472)+SUMIFS(S$7:S472,C$7:C472,C472,B$7:B472,B472))</f>
        <v/>
      </c>
      <c r="V472">
        <f>IF(S472=0,0,IFERROR(VLOOKUP(C472,'Parties'!$B$13:$Q$112,14,FALSE),0)+SUMIFS($T$7:$T$506,$C$7:$C$506,C472,$B$7:$B$506,"&lt;="&amp;'Outstanding'!$E$5))</f>
        <v/>
      </c>
      <c r="W472">
        <f>IF(OR('Outstanding'!$E$5="",S472=0,B472="",B472&gt;'Outstanding'!$E$5),0,MAX(0,MIN(S472,U472-V472)))</f>
        <v/>
      </c>
      <c r="X472">
        <f>IF(C472="",0,IFERROR(VLOOKUP(C472,'Parties'!$B$13:$Q$112,15,FALSE),0))</f>
        <v/>
      </c>
      <c r="Y472">
        <f>IF(C472="","",IFERROR(VLOOKUP(C472,'Parties'!$B$13:$Q$112,16,FALSE),0))</f>
        <v/>
      </c>
      <c r="Z472">
        <f>IF(OR(S472=0,B472="",Y472=""),"",IF(AND(F472&lt;&gt;"",D472="Purchase bill"),F472,B472)+Y472)</f>
        <v/>
      </c>
      <c r="AA472">
        <f>IF(OR(W472=0,Z472=""),0,MAX(0,'Outstanding'!$E$5-Z472))</f>
        <v/>
      </c>
      <c r="AB472">
        <f>IF(AND(X472=1,AA472&gt;0),W472*((1+3*N('Parties'!$E$10)/12)^(AA472*12/365)-1),0)</f>
        <v/>
      </c>
      <c r="AC472">
        <f>IF(W472=0,"",'Outstanding'!$E$5-B472)</f>
        <v/>
      </c>
      <c r="AD472">
        <f>IF(S472=0,0,IFERROR(VLOOKUP(C472,'Parties'!$B$13:$Q$112,14,FALSE),0)+SUMIFS($T$7:$T$506,$C$7:$C$506,C472,$B$7:$B$506,"&lt;="&amp;'Parties'!$E$8))</f>
        <v/>
      </c>
      <c r="AE472">
        <f>IF(OR('Parties'!$E$8="",S472=0,B472="",B472&gt;'Parties'!$E$8),0,MAX(0,MIN(S472,U472-AD472)))</f>
        <v/>
      </c>
      <c r="AF472">
        <f>IF(AND(P472="Creditor",X472=1,AE472&gt;0,Z472&lt;&gt;""),IF(Z472&lt;='Parties'!$E$8,AE472,0),0)</f>
        <v/>
      </c>
      <c r="AG472">
        <f>IF(OR(AE472=0,Z472=""),0,MAX(0,'Parties'!$E$8-Z472))</f>
        <v/>
      </c>
      <c r="AH472">
        <f>IF(AND(P472="Creditor",X472=1,AG472&gt;0),AE472*((1+3*N('Parties'!$E$10)/12)^(AG472*12/365)-1),0)</f>
        <v/>
      </c>
      <c r="AI472">
        <f>IF(AND(C472&lt;&gt;"",C472='Ledger Account'!$D$4,B472&lt;&gt;"",B472&gt;='Ledger Account'!$D$5,B472&lt;='Ledger Account'!$D$6),1,0)</f>
        <v/>
      </c>
      <c r="AJ472">
        <f>IF(AI472=1,SUM(AI$7:AI472),"")</f>
        <v/>
      </c>
      <c r="AK472">
        <f>IF(OR(N472="",N472="OK"),0,1)</f>
        <v/>
      </c>
    </row>
    <row r="473">
      <c r="B473" s="24" t="n"/>
      <c r="C473" s="14" t="n"/>
      <c r="D473" s="14" t="n"/>
      <c r="E473" s="20" t="n"/>
      <c r="F473" s="24" t="n"/>
      <c r="G473" s="14" t="n"/>
      <c r="H473" s="22" t="n"/>
      <c r="I473" s="25">
        <f>IF(Q473="D",N(H473),0)</f>
        <v/>
      </c>
      <c r="J473" s="25">
        <f>IF(Q473="C",N(H473),0)</f>
        <v/>
      </c>
      <c r="K473" s="26">
        <f>IF(Z473="","",Z473)</f>
        <v/>
      </c>
      <c r="L473" s="27">
        <f>W473</f>
        <v/>
      </c>
      <c r="M473" s="28">
        <f>AA473</f>
        <v/>
      </c>
      <c r="N473" s="23">
        <f>IF(AND(B473="",C473="",D473="",N(H473)=0),"",IF(B473="","Enter the date",IF(C473="","Pick the party",IF(P473="?","Add this party on the Parties sheet first",IF(D473="","Pick the entry type",IF(Q473="?","Pick the entry type from the list",IF(N(H473)=0,"Enter the amount",IF(AND(R473&lt;&gt;"Any",R473&lt;&gt;P473),"Sales, receipts and credit notes are for debtors; purchases, payments and debit notes for creditors",IF(AND(F473&lt;&gt;"",D473&lt;&gt;"Purchase bill"),"The received-on date is only for purchase bills",IF(AND(P473="Creditor",X473=1,AA473&gt;0),"Past due to a micro or small supplier: interest runs under MSMED s.16, and if unpaid at year end it is not deductible that year, s.37(2)(g)",IF(AND(P473="Debtor",X473=1,AA473&gt;0),"Past due to you: as a micro or small supplier you can claim interest under MSMED s.16","OK")))))))))))</f>
        <v/>
      </c>
      <c r="P473">
        <f>IF(C473="","",IFERROR(VLOOKUP(C473,'Parties'!$B$13:$Q$112,2,FALSE),"?"))</f>
        <v/>
      </c>
      <c r="Q473">
        <f>IF(D473="","",IFERROR(VLOOKUP(D473,Lists!$A$2:$D$9,3,FALSE),"?"))</f>
        <v/>
      </c>
      <c r="R473">
        <f>IF(D473="","",IFERROR(VLOOKUP(D473,Lists!$A$2:$D$9,4,FALSE),"?"))</f>
        <v/>
      </c>
      <c r="S473">
        <f>IF(P473="Debtor",I473,IF(P473="Creditor",J473,0))</f>
        <v/>
      </c>
      <c r="T473">
        <f>IF(P473="Debtor",J473,IF(P473="Creditor",I473,0))</f>
        <v/>
      </c>
      <c r="U473">
        <f>IF(OR(S473=0,B473=""),0,IFERROR(VLOOKUP(C473,'Parties'!$B$13:$Q$112,13,FALSE),0)+SUMIFS($S$7:$S$506,$C$7:$C$506,C473,$B$7:$B$506,"&lt;"&amp;B473)+SUMIFS(S$7:S473,C$7:C473,C473,B$7:B473,B473))</f>
        <v/>
      </c>
      <c r="V473">
        <f>IF(S473=0,0,IFERROR(VLOOKUP(C473,'Parties'!$B$13:$Q$112,14,FALSE),0)+SUMIFS($T$7:$T$506,$C$7:$C$506,C473,$B$7:$B$506,"&lt;="&amp;'Outstanding'!$E$5))</f>
        <v/>
      </c>
      <c r="W473">
        <f>IF(OR('Outstanding'!$E$5="",S473=0,B473="",B473&gt;'Outstanding'!$E$5),0,MAX(0,MIN(S473,U473-V473)))</f>
        <v/>
      </c>
      <c r="X473">
        <f>IF(C473="",0,IFERROR(VLOOKUP(C473,'Parties'!$B$13:$Q$112,15,FALSE),0))</f>
        <v/>
      </c>
      <c r="Y473">
        <f>IF(C473="","",IFERROR(VLOOKUP(C473,'Parties'!$B$13:$Q$112,16,FALSE),0))</f>
        <v/>
      </c>
      <c r="Z473">
        <f>IF(OR(S473=0,B473="",Y473=""),"",IF(AND(F473&lt;&gt;"",D473="Purchase bill"),F473,B473)+Y473)</f>
        <v/>
      </c>
      <c r="AA473">
        <f>IF(OR(W473=0,Z473=""),0,MAX(0,'Outstanding'!$E$5-Z473))</f>
        <v/>
      </c>
      <c r="AB473">
        <f>IF(AND(X473=1,AA473&gt;0),W473*((1+3*N('Parties'!$E$10)/12)^(AA473*12/365)-1),0)</f>
        <v/>
      </c>
      <c r="AC473">
        <f>IF(W473=0,"",'Outstanding'!$E$5-B473)</f>
        <v/>
      </c>
      <c r="AD473">
        <f>IF(S473=0,0,IFERROR(VLOOKUP(C473,'Parties'!$B$13:$Q$112,14,FALSE),0)+SUMIFS($T$7:$T$506,$C$7:$C$506,C473,$B$7:$B$506,"&lt;="&amp;'Parties'!$E$8))</f>
        <v/>
      </c>
      <c r="AE473">
        <f>IF(OR('Parties'!$E$8="",S473=0,B473="",B473&gt;'Parties'!$E$8),0,MAX(0,MIN(S473,U473-AD473)))</f>
        <v/>
      </c>
      <c r="AF473">
        <f>IF(AND(P473="Creditor",X473=1,AE473&gt;0,Z473&lt;&gt;""),IF(Z473&lt;='Parties'!$E$8,AE473,0),0)</f>
        <v/>
      </c>
      <c r="AG473">
        <f>IF(OR(AE473=0,Z473=""),0,MAX(0,'Parties'!$E$8-Z473))</f>
        <v/>
      </c>
      <c r="AH473">
        <f>IF(AND(P473="Creditor",X473=1,AG473&gt;0),AE473*((1+3*N('Parties'!$E$10)/12)^(AG473*12/365)-1),0)</f>
        <v/>
      </c>
      <c r="AI473">
        <f>IF(AND(C473&lt;&gt;"",C473='Ledger Account'!$D$4,B473&lt;&gt;"",B473&gt;='Ledger Account'!$D$5,B473&lt;='Ledger Account'!$D$6),1,0)</f>
        <v/>
      </c>
      <c r="AJ473">
        <f>IF(AI473=1,SUM(AI$7:AI473),"")</f>
        <v/>
      </c>
      <c r="AK473">
        <f>IF(OR(N473="",N473="OK"),0,1)</f>
        <v/>
      </c>
    </row>
    <row r="474">
      <c r="B474" s="24" t="n"/>
      <c r="C474" s="14" t="n"/>
      <c r="D474" s="14" t="n"/>
      <c r="E474" s="20" t="n"/>
      <c r="F474" s="24" t="n"/>
      <c r="G474" s="14" t="n"/>
      <c r="H474" s="22" t="n"/>
      <c r="I474" s="25">
        <f>IF(Q474="D",N(H474),0)</f>
        <v/>
      </c>
      <c r="J474" s="25">
        <f>IF(Q474="C",N(H474),0)</f>
        <v/>
      </c>
      <c r="K474" s="26">
        <f>IF(Z474="","",Z474)</f>
        <v/>
      </c>
      <c r="L474" s="27">
        <f>W474</f>
        <v/>
      </c>
      <c r="M474" s="28">
        <f>AA474</f>
        <v/>
      </c>
      <c r="N474" s="23">
        <f>IF(AND(B474="",C474="",D474="",N(H474)=0),"",IF(B474="","Enter the date",IF(C474="","Pick the party",IF(P474="?","Add this party on the Parties sheet first",IF(D474="","Pick the entry type",IF(Q474="?","Pick the entry type from the list",IF(N(H474)=0,"Enter the amount",IF(AND(R474&lt;&gt;"Any",R474&lt;&gt;P474),"Sales, receipts and credit notes are for debtors; purchases, payments and debit notes for creditors",IF(AND(F474&lt;&gt;"",D474&lt;&gt;"Purchase bill"),"The received-on date is only for purchase bills",IF(AND(P474="Creditor",X474=1,AA474&gt;0),"Past due to a micro or small supplier: interest runs under MSMED s.16, and if unpaid at year end it is not deductible that year, s.37(2)(g)",IF(AND(P474="Debtor",X474=1,AA474&gt;0),"Past due to you: as a micro or small supplier you can claim interest under MSMED s.16","OK")))))))))))</f>
        <v/>
      </c>
      <c r="P474">
        <f>IF(C474="","",IFERROR(VLOOKUP(C474,'Parties'!$B$13:$Q$112,2,FALSE),"?"))</f>
        <v/>
      </c>
      <c r="Q474">
        <f>IF(D474="","",IFERROR(VLOOKUP(D474,Lists!$A$2:$D$9,3,FALSE),"?"))</f>
        <v/>
      </c>
      <c r="R474">
        <f>IF(D474="","",IFERROR(VLOOKUP(D474,Lists!$A$2:$D$9,4,FALSE),"?"))</f>
        <v/>
      </c>
      <c r="S474">
        <f>IF(P474="Debtor",I474,IF(P474="Creditor",J474,0))</f>
        <v/>
      </c>
      <c r="T474">
        <f>IF(P474="Debtor",J474,IF(P474="Creditor",I474,0))</f>
        <v/>
      </c>
      <c r="U474">
        <f>IF(OR(S474=0,B474=""),0,IFERROR(VLOOKUP(C474,'Parties'!$B$13:$Q$112,13,FALSE),0)+SUMIFS($S$7:$S$506,$C$7:$C$506,C474,$B$7:$B$506,"&lt;"&amp;B474)+SUMIFS(S$7:S474,C$7:C474,C474,B$7:B474,B474))</f>
        <v/>
      </c>
      <c r="V474">
        <f>IF(S474=0,0,IFERROR(VLOOKUP(C474,'Parties'!$B$13:$Q$112,14,FALSE),0)+SUMIFS($T$7:$T$506,$C$7:$C$506,C474,$B$7:$B$506,"&lt;="&amp;'Outstanding'!$E$5))</f>
        <v/>
      </c>
      <c r="W474">
        <f>IF(OR('Outstanding'!$E$5="",S474=0,B474="",B474&gt;'Outstanding'!$E$5),0,MAX(0,MIN(S474,U474-V474)))</f>
        <v/>
      </c>
      <c r="X474">
        <f>IF(C474="",0,IFERROR(VLOOKUP(C474,'Parties'!$B$13:$Q$112,15,FALSE),0))</f>
        <v/>
      </c>
      <c r="Y474">
        <f>IF(C474="","",IFERROR(VLOOKUP(C474,'Parties'!$B$13:$Q$112,16,FALSE),0))</f>
        <v/>
      </c>
      <c r="Z474">
        <f>IF(OR(S474=0,B474="",Y474=""),"",IF(AND(F474&lt;&gt;"",D474="Purchase bill"),F474,B474)+Y474)</f>
        <v/>
      </c>
      <c r="AA474">
        <f>IF(OR(W474=0,Z474=""),0,MAX(0,'Outstanding'!$E$5-Z474))</f>
        <v/>
      </c>
      <c r="AB474">
        <f>IF(AND(X474=1,AA474&gt;0),W474*((1+3*N('Parties'!$E$10)/12)^(AA474*12/365)-1),0)</f>
        <v/>
      </c>
      <c r="AC474">
        <f>IF(W474=0,"",'Outstanding'!$E$5-B474)</f>
        <v/>
      </c>
      <c r="AD474">
        <f>IF(S474=0,0,IFERROR(VLOOKUP(C474,'Parties'!$B$13:$Q$112,14,FALSE),0)+SUMIFS($T$7:$T$506,$C$7:$C$506,C474,$B$7:$B$506,"&lt;="&amp;'Parties'!$E$8))</f>
        <v/>
      </c>
      <c r="AE474">
        <f>IF(OR('Parties'!$E$8="",S474=0,B474="",B474&gt;'Parties'!$E$8),0,MAX(0,MIN(S474,U474-AD474)))</f>
        <v/>
      </c>
      <c r="AF474">
        <f>IF(AND(P474="Creditor",X474=1,AE474&gt;0,Z474&lt;&gt;""),IF(Z474&lt;='Parties'!$E$8,AE474,0),0)</f>
        <v/>
      </c>
      <c r="AG474">
        <f>IF(OR(AE474=0,Z474=""),0,MAX(0,'Parties'!$E$8-Z474))</f>
        <v/>
      </c>
      <c r="AH474">
        <f>IF(AND(P474="Creditor",X474=1,AG474&gt;0),AE474*((1+3*N('Parties'!$E$10)/12)^(AG474*12/365)-1),0)</f>
        <v/>
      </c>
      <c r="AI474">
        <f>IF(AND(C474&lt;&gt;"",C474='Ledger Account'!$D$4,B474&lt;&gt;"",B474&gt;='Ledger Account'!$D$5,B474&lt;='Ledger Account'!$D$6),1,0)</f>
        <v/>
      </c>
      <c r="AJ474">
        <f>IF(AI474=1,SUM(AI$7:AI474),"")</f>
        <v/>
      </c>
      <c r="AK474">
        <f>IF(OR(N474="",N474="OK"),0,1)</f>
        <v/>
      </c>
    </row>
    <row r="475">
      <c r="B475" s="24" t="n"/>
      <c r="C475" s="14" t="n"/>
      <c r="D475" s="14" t="n"/>
      <c r="E475" s="20" t="n"/>
      <c r="F475" s="24" t="n"/>
      <c r="G475" s="14" t="n"/>
      <c r="H475" s="22" t="n"/>
      <c r="I475" s="25">
        <f>IF(Q475="D",N(H475),0)</f>
        <v/>
      </c>
      <c r="J475" s="25">
        <f>IF(Q475="C",N(H475),0)</f>
        <v/>
      </c>
      <c r="K475" s="26">
        <f>IF(Z475="","",Z475)</f>
        <v/>
      </c>
      <c r="L475" s="27">
        <f>W475</f>
        <v/>
      </c>
      <c r="M475" s="28">
        <f>AA475</f>
        <v/>
      </c>
      <c r="N475" s="23">
        <f>IF(AND(B475="",C475="",D475="",N(H475)=0),"",IF(B475="","Enter the date",IF(C475="","Pick the party",IF(P475="?","Add this party on the Parties sheet first",IF(D475="","Pick the entry type",IF(Q475="?","Pick the entry type from the list",IF(N(H475)=0,"Enter the amount",IF(AND(R475&lt;&gt;"Any",R475&lt;&gt;P475),"Sales, receipts and credit notes are for debtors; purchases, payments and debit notes for creditors",IF(AND(F475&lt;&gt;"",D475&lt;&gt;"Purchase bill"),"The received-on date is only for purchase bills",IF(AND(P475="Creditor",X475=1,AA475&gt;0),"Past due to a micro or small supplier: interest runs under MSMED s.16, and if unpaid at year end it is not deductible that year, s.37(2)(g)",IF(AND(P475="Debtor",X475=1,AA475&gt;0),"Past due to you: as a micro or small supplier you can claim interest under MSMED s.16","OK")))))))))))</f>
        <v/>
      </c>
      <c r="P475">
        <f>IF(C475="","",IFERROR(VLOOKUP(C475,'Parties'!$B$13:$Q$112,2,FALSE),"?"))</f>
        <v/>
      </c>
      <c r="Q475">
        <f>IF(D475="","",IFERROR(VLOOKUP(D475,Lists!$A$2:$D$9,3,FALSE),"?"))</f>
        <v/>
      </c>
      <c r="R475">
        <f>IF(D475="","",IFERROR(VLOOKUP(D475,Lists!$A$2:$D$9,4,FALSE),"?"))</f>
        <v/>
      </c>
      <c r="S475">
        <f>IF(P475="Debtor",I475,IF(P475="Creditor",J475,0))</f>
        <v/>
      </c>
      <c r="T475">
        <f>IF(P475="Debtor",J475,IF(P475="Creditor",I475,0))</f>
        <v/>
      </c>
      <c r="U475">
        <f>IF(OR(S475=0,B475=""),0,IFERROR(VLOOKUP(C475,'Parties'!$B$13:$Q$112,13,FALSE),0)+SUMIFS($S$7:$S$506,$C$7:$C$506,C475,$B$7:$B$506,"&lt;"&amp;B475)+SUMIFS(S$7:S475,C$7:C475,C475,B$7:B475,B475))</f>
        <v/>
      </c>
      <c r="V475">
        <f>IF(S475=0,0,IFERROR(VLOOKUP(C475,'Parties'!$B$13:$Q$112,14,FALSE),0)+SUMIFS($T$7:$T$506,$C$7:$C$506,C475,$B$7:$B$506,"&lt;="&amp;'Outstanding'!$E$5))</f>
        <v/>
      </c>
      <c r="W475">
        <f>IF(OR('Outstanding'!$E$5="",S475=0,B475="",B475&gt;'Outstanding'!$E$5),0,MAX(0,MIN(S475,U475-V475)))</f>
        <v/>
      </c>
      <c r="X475">
        <f>IF(C475="",0,IFERROR(VLOOKUP(C475,'Parties'!$B$13:$Q$112,15,FALSE),0))</f>
        <v/>
      </c>
      <c r="Y475">
        <f>IF(C475="","",IFERROR(VLOOKUP(C475,'Parties'!$B$13:$Q$112,16,FALSE),0))</f>
        <v/>
      </c>
      <c r="Z475">
        <f>IF(OR(S475=0,B475="",Y475=""),"",IF(AND(F475&lt;&gt;"",D475="Purchase bill"),F475,B475)+Y475)</f>
        <v/>
      </c>
      <c r="AA475">
        <f>IF(OR(W475=0,Z475=""),0,MAX(0,'Outstanding'!$E$5-Z475))</f>
        <v/>
      </c>
      <c r="AB475">
        <f>IF(AND(X475=1,AA475&gt;0),W475*((1+3*N('Parties'!$E$10)/12)^(AA475*12/365)-1),0)</f>
        <v/>
      </c>
      <c r="AC475">
        <f>IF(W475=0,"",'Outstanding'!$E$5-B475)</f>
        <v/>
      </c>
      <c r="AD475">
        <f>IF(S475=0,0,IFERROR(VLOOKUP(C475,'Parties'!$B$13:$Q$112,14,FALSE),0)+SUMIFS($T$7:$T$506,$C$7:$C$506,C475,$B$7:$B$506,"&lt;="&amp;'Parties'!$E$8))</f>
        <v/>
      </c>
      <c r="AE475">
        <f>IF(OR('Parties'!$E$8="",S475=0,B475="",B475&gt;'Parties'!$E$8),0,MAX(0,MIN(S475,U475-AD475)))</f>
        <v/>
      </c>
      <c r="AF475">
        <f>IF(AND(P475="Creditor",X475=1,AE475&gt;0,Z475&lt;&gt;""),IF(Z475&lt;='Parties'!$E$8,AE475,0),0)</f>
        <v/>
      </c>
      <c r="AG475">
        <f>IF(OR(AE475=0,Z475=""),0,MAX(0,'Parties'!$E$8-Z475))</f>
        <v/>
      </c>
      <c r="AH475">
        <f>IF(AND(P475="Creditor",X475=1,AG475&gt;0),AE475*((1+3*N('Parties'!$E$10)/12)^(AG475*12/365)-1),0)</f>
        <v/>
      </c>
      <c r="AI475">
        <f>IF(AND(C475&lt;&gt;"",C475='Ledger Account'!$D$4,B475&lt;&gt;"",B475&gt;='Ledger Account'!$D$5,B475&lt;='Ledger Account'!$D$6),1,0)</f>
        <v/>
      </c>
      <c r="AJ475">
        <f>IF(AI475=1,SUM(AI$7:AI475),"")</f>
        <v/>
      </c>
      <c r="AK475">
        <f>IF(OR(N475="",N475="OK"),0,1)</f>
        <v/>
      </c>
    </row>
    <row r="476">
      <c r="B476" s="24" t="n"/>
      <c r="C476" s="14" t="n"/>
      <c r="D476" s="14" t="n"/>
      <c r="E476" s="20" t="n"/>
      <c r="F476" s="24" t="n"/>
      <c r="G476" s="14" t="n"/>
      <c r="H476" s="22" t="n"/>
      <c r="I476" s="25">
        <f>IF(Q476="D",N(H476),0)</f>
        <v/>
      </c>
      <c r="J476" s="25">
        <f>IF(Q476="C",N(H476),0)</f>
        <v/>
      </c>
      <c r="K476" s="26">
        <f>IF(Z476="","",Z476)</f>
        <v/>
      </c>
      <c r="L476" s="27">
        <f>W476</f>
        <v/>
      </c>
      <c r="M476" s="28">
        <f>AA476</f>
        <v/>
      </c>
      <c r="N476" s="23">
        <f>IF(AND(B476="",C476="",D476="",N(H476)=0),"",IF(B476="","Enter the date",IF(C476="","Pick the party",IF(P476="?","Add this party on the Parties sheet first",IF(D476="","Pick the entry type",IF(Q476="?","Pick the entry type from the list",IF(N(H476)=0,"Enter the amount",IF(AND(R476&lt;&gt;"Any",R476&lt;&gt;P476),"Sales, receipts and credit notes are for debtors; purchases, payments and debit notes for creditors",IF(AND(F476&lt;&gt;"",D476&lt;&gt;"Purchase bill"),"The received-on date is only for purchase bills",IF(AND(P476="Creditor",X476=1,AA476&gt;0),"Past due to a micro or small supplier: interest runs under MSMED s.16, and if unpaid at year end it is not deductible that year, s.37(2)(g)",IF(AND(P476="Debtor",X476=1,AA476&gt;0),"Past due to you: as a micro or small supplier you can claim interest under MSMED s.16","OK")))))))))))</f>
        <v/>
      </c>
      <c r="P476">
        <f>IF(C476="","",IFERROR(VLOOKUP(C476,'Parties'!$B$13:$Q$112,2,FALSE),"?"))</f>
        <v/>
      </c>
      <c r="Q476">
        <f>IF(D476="","",IFERROR(VLOOKUP(D476,Lists!$A$2:$D$9,3,FALSE),"?"))</f>
        <v/>
      </c>
      <c r="R476">
        <f>IF(D476="","",IFERROR(VLOOKUP(D476,Lists!$A$2:$D$9,4,FALSE),"?"))</f>
        <v/>
      </c>
      <c r="S476">
        <f>IF(P476="Debtor",I476,IF(P476="Creditor",J476,0))</f>
        <v/>
      </c>
      <c r="T476">
        <f>IF(P476="Debtor",J476,IF(P476="Creditor",I476,0))</f>
        <v/>
      </c>
      <c r="U476">
        <f>IF(OR(S476=0,B476=""),0,IFERROR(VLOOKUP(C476,'Parties'!$B$13:$Q$112,13,FALSE),0)+SUMIFS($S$7:$S$506,$C$7:$C$506,C476,$B$7:$B$506,"&lt;"&amp;B476)+SUMIFS(S$7:S476,C$7:C476,C476,B$7:B476,B476))</f>
        <v/>
      </c>
      <c r="V476">
        <f>IF(S476=0,0,IFERROR(VLOOKUP(C476,'Parties'!$B$13:$Q$112,14,FALSE),0)+SUMIFS($T$7:$T$506,$C$7:$C$506,C476,$B$7:$B$506,"&lt;="&amp;'Outstanding'!$E$5))</f>
        <v/>
      </c>
      <c r="W476">
        <f>IF(OR('Outstanding'!$E$5="",S476=0,B476="",B476&gt;'Outstanding'!$E$5),0,MAX(0,MIN(S476,U476-V476)))</f>
        <v/>
      </c>
      <c r="X476">
        <f>IF(C476="",0,IFERROR(VLOOKUP(C476,'Parties'!$B$13:$Q$112,15,FALSE),0))</f>
        <v/>
      </c>
      <c r="Y476">
        <f>IF(C476="","",IFERROR(VLOOKUP(C476,'Parties'!$B$13:$Q$112,16,FALSE),0))</f>
        <v/>
      </c>
      <c r="Z476">
        <f>IF(OR(S476=0,B476="",Y476=""),"",IF(AND(F476&lt;&gt;"",D476="Purchase bill"),F476,B476)+Y476)</f>
        <v/>
      </c>
      <c r="AA476">
        <f>IF(OR(W476=0,Z476=""),0,MAX(0,'Outstanding'!$E$5-Z476))</f>
        <v/>
      </c>
      <c r="AB476">
        <f>IF(AND(X476=1,AA476&gt;0),W476*((1+3*N('Parties'!$E$10)/12)^(AA476*12/365)-1),0)</f>
        <v/>
      </c>
      <c r="AC476">
        <f>IF(W476=0,"",'Outstanding'!$E$5-B476)</f>
        <v/>
      </c>
      <c r="AD476">
        <f>IF(S476=0,0,IFERROR(VLOOKUP(C476,'Parties'!$B$13:$Q$112,14,FALSE),0)+SUMIFS($T$7:$T$506,$C$7:$C$506,C476,$B$7:$B$506,"&lt;="&amp;'Parties'!$E$8))</f>
        <v/>
      </c>
      <c r="AE476">
        <f>IF(OR('Parties'!$E$8="",S476=0,B476="",B476&gt;'Parties'!$E$8),0,MAX(0,MIN(S476,U476-AD476)))</f>
        <v/>
      </c>
      <c r="AF476">
        <f>IF(AND(P476="Creditor",X476=1,AE476&gt;0,Z476&lt;&gt;""),IF(Z476&lt;='Parties'!$E$8,AE476,0),0)</f>
        <v/>
      </c>
      <c r="AG476">
        <f>IF(OR(AE476=0,Z476=""),0,MAX(0,'Parties'!$E$8-Z476))</f>
        <v/>
      </c>
      <c r="AH476">
        <f>IF(AND(P476="Creditor",X476=1,AG476&gt;0),AE476*((1+3*N('Parties'!$E$10)/12)^(AG476*12/365)-1),0)</f>
        <v/>
      </c>
      <c r="AI476">
        <f>IF(AND(C476&lt;&gt;"",C476='Ledger Account'!$D$4,B476&lt;&gt;"",B476&gt;='Ledger Account'!$D$5,B476&lt;='Ledger Account'!$D$6),1,0)</f>
        <v/>
      </c>
      <c r="AJ476">
        <f>IF(AI476=1,SUM(AI$7:AI476),"")</f>
        <v/>
      </c>
      <c r="AK476">
        <f>IF(OR(N476="",N476="OK"),0,1)</f>
        <v/>
      </c>
    </row>
    <row r="477">
      <c r="B477" s="24" t="n"/>
      <c r="C477" s="14" t="n"/>
      <c r="D477" s="14" t="n"/>
      <c r="E477" s="20" t="n"/>
      <c r="F477" s="24" t="n"/>
      <c r="G477" s="14" t="n"/>
      <c r="H477" s="22" t="n"/>
      <c r="I477" s="25">
        <f>IF(Q477="D",N(H477),0)</f>
        <v/>
      </c>
      <c r="J477" s="25">
        <f>IF(Q477="C",N(H477),0)</f>
        <v/>
      </c>
      <c r="K477" s="26">
        <f>IF(Z477="","",Z477)</f>
        <v/>
      </c>
      <c r="L477" s="27">
        <f>W477</f>
        <v/>
      </c>
      <c r="M477" s="28">
        <f>AA477</f>
        <v/>
      </c>
      <c r="N477" s="23">
        <f>IF(AND(B477="",C477="",D477="",N(H477)=0),"",IF(B477="","Enter the date",IF(C477="","Pick the party",IF(P477="?","Add this party on the Parties sheet first",IF(D477="","Pick the entry type",IF(Q477="?","Pick the entry type from the list",IF(N(H477)=0,"Enter the amount",IF(AND(R477&lt;&gt;"Any",R477&lt;&gt;P477),"Sales, receipts and credit notes are for debtors; purchases, payments and debit notes for creditors",IF(AND(F477&lt;&gt;"",D477&lt;&gt;"Purchase bill"),"The received-on date is only for purchase bills",IF(AND(P477="Creditor",X477=1,AA477&gt;0),"Past due to a micro or small supplier: interest runs under MSMED s.16, and if unpaid at year end it is not deductible that year, s.37(2)(g)",IF(AND(P477="Debtor",X477=1,AA477&gt;0),"Past due to you: as a micro or small supplier you can claim interest under MSMED s.16","OK")))))))))))</f>
        <v/>
      </c>
      <c r="P477">
        <f>IF(C477="","",IFERROR(VLOOKUP(C477,'Parties'!$B$13:$Q$112,2,FALSE),"?"))</f>
        <v/>
      </c>
      <c r="Q477">
        <f>IF(D477="","",IFERROR(VLOOKUP(D477,Lists!$A$2:$D$9,3,FALSE),"?"))</f>
        <v/>
      </c>
      <c r="R477">
        <f>IF(D477="","",IFERROR(VLOOKUP(D477,Lists!$A$2:$D$9,4,FALSE),"?"))</f>
        <v/>
      </c>
      <c r="S477">
        <f>IF(P477="Debtor",I477,IF(P477="Creditor",J477,0))</f>
        <v/>
      </c>
      <c r="T477">
        <f>IF(P477="Debtor",J477,IF(P477="Creditor",I477,0))</f>
        <v/>
      </c>
      <c r="U477">
        <f>IF(OR(S477=0,B477=""),0,IFERROR(VLOOKUP(C477,'Parties'!$B$13:$Q$112,13,FALSE),0)+SUMIFS($S$7:$S$506,$C$7:$C$506,C477,$B$7:$B$506,"&lt;"&amp;B477)+SUMIFS(S$7:S477,C$7:C477,C477,B$7:B477,B477))</f>
        <v/>
      </c>
      <c r="V477">
        <f>IF(S477=0,0,IFERROR(VLOOKUP(C477,'Parties'!$B$13:$Q$112,14,FALSE),0)+SUMIFS($T$7:$T$506,$C$7:$C$506,C477,$B$7:$B$506,"&lt;="&amp;'Outstanding'!$E$5))</f>
        <v/>
      </c>
      <c r="W477">
        <f>IF(OR('Outstanding'!$E$5="",S477=0,B477="",B477&gt;'Outstanding'!$E$5),0,MAX(0,MIN(S477,U477-V477)))</f>
        <v/>
      </c>
      <c r="X477">
        <f>IF(C477="",0,IFERROR(VLOOKUP(C477,'Parties'!$B$13:$Q$112,15,FALSE),0))</f>
        <v/>
      </c>
      <c r="Y477">
        <f>IF(C477="","",IFERROR(VLOOKUP(C477,'Parties'!$B$13:$Q$112,16,FALSE),0))</f>
        <v/>
      </c>
      <c r="Z477">
        <f>IF(OR(S477=0,B477="",Y477=""),"",IF(AND(F477&lt;&gt;"",D477="Purchase bill"),F477,B477)+Y477)</f>
        <v/>
      </c>
      <c r="AA477">
        <f>IF(OR(W477=0,Z477=""),0,MAX(0,'Outstanding'!$E$5-Z477))</f>
        <v/>
      </c>
      <c r="AB477">
        <f>IF(AND(X477=1,AA477&gt;0),W477*((1+3*N('Parties'!$E$10)/12)^(AA477*12/365)-1),0)</f>
        <v/>
      </c>
      <c r="AC477">
        <f>IF(W477=0,"",'Outstanding'!$E$5-B477)</f>
        <v/>
      </c>
      <c r="AD477">
        <f>IF(S477=0,0,IFERROR(VLOOKUP(C477,'Parties'!$B$13:$Q$112,14,FALSE),0)+SUMIFS($T$7:$T$506,$C$7:$C$506,C477,$B$7:$B$506,"&lt;="&amp;'Parties'!$E$8))</f>
        <v/>
      </c>
      <c r="AE477">
        <f>IF(OR('Parties'!$E$8="",S477=0,B477="",B477&gt;'Parties'!$E$8),0,MAX(0,MIN(S477,U477-AD477)))</f>
        <v/>
      </c>
      <c r="AF477">
        <f>IF(AND(P477="Creditor",X477=1,AE477&gt;0,Z477&lt;&gt;""),IF(Z477&lt;='Parties'!$E$8,AE477,0),0)</f>
        <v/>
      </c>
      <c r="AG477">
        <f>IF(OR(AE477=0,Z477=""),0,MAX(0,'Parties'!$E$8-Z477))</f>
        <v/>
      </c>
      <c r="AH477">
        <f>IF(AND(P477="Creditor",X477=1,AG477&gt;0),AE477*((1+3*N('Parties'!$E$10)/12)^(AG477*12/365)-1),0)</f>
        <v/>
      </c>
      <c r="AI477">
        <f>IF(AND(C477&lt;&gt;"",C477='Ledger Account'!$D$4,B477&lt;&gt;"",B477&gt;='Ledger Account'!$D$5,B477&lt;='Ledger Account'!$D$6),1,0)</f>
        <v/>
      </c>
      <c r="AJ477">
        <f>IF(AI477=1,SUM(AI$7:AI477),"")</f>
        <v/>
      </c>
      <c r="AK477">
        <f>IF(OR(N477="",N477="OK"),0,1)</f>
        <v/>
      </c>
    </row>
    <row r="478">
      <c r="B478" s="24" t="n"/>
      <c r="C478" s="14" t="n"/>
      <c r="D478" s="14" t="n"/>
      <c r="E478" s="20" t="n"/>
      <c r="F478" s="24" t="n"/>
      <c r="G478" s="14" t="n"/>
      <c r="H478" s="22" t="n"/>
      <c r="I478" s="25">
        <f>IF(Q478="D",N(H478),0)</f>
        <v/>
      </c>
      <c r="J478" s="25">
        <f>IF(Q478="C",N(H478),0)</f>
        <v/>
      </c>
      <c r="K478" s="26">
        <f>IF(Z478="","",Z478)</f>
        <v/>
      </c>
      <c r="L478" s="27">
        <f>W478</f>
        <v/>
      </c>
      <c r="M478" s="28">
        <f>AA478</f>
        <v/>
      </c>
      <c r="N478" s="23">
        <f>IF(AND(B478="",C478="",D478="",N(H478)=0),"",IF(B478="","Enter the date",IF(C478="","Pick the party",IF(P478="?","Add this party on the Parties sheet first",IF(D478="","Pick the entry type",IF(Q478="?","Pick the entry type from the list",IF(N(H478)=0,"Enter the amount",IF(AND(R478&lt;&gt;"Any",R478&lt;&gt;P478),"Sales, receipts and credit notes are for debtors; purchases, payments and debit notes for creditors",IF(AND(F478&lt;&gt;"",D478&lt;&gt;"Purchase bill"),"The received-on date is only for purchase bills",IF(AND(P478="Creditor",X478=1,AA478&gt;0),"Past due to a micro or small supplier: interest runs under MSMED s.16, and if unpaid at year end it is not deductible that year, s.37(2)(g)",IF(AND(P478="Debtor",X478=1,AA478&gt;0),"Past due to you: as a micro or small supplier you can claim interest under MSMED s.16","OK")))))))))))</f>
        <v/>
      </c>
      <c r="P478">
        <f>IF(C478="","",IFERROR(VLOOKUP(C478,'Parties'!$B$13:$Q$112,2,FALSE),"?"))</f>
        <v/>
      </c>
      <c r="Q478">
        <f>IF(D478="","",IFERROR(VLOOKUP(D478,Lists!$A$2:$D$9,3,FALSE),"?"))</f>
        <v/>
      </c>
      <c r="R478">
        <f>IF(D478="","",IFERROR(VLOOKUP(D478,Lists!$A$2:$D$9,4,FALSE),"?"))</f>
        <v/>
      </c>
      <c r="S478">
        <f>IF(P478="Debtor",I478,IF(P478="Creditor",J478,0))</f>
        <v/>
      </c>
      <c r="T478">
        <f>IF(P478="Debtor",J478,IF(P478="Creditor",I478,0))</f>
        <v/>
      </c>
      <c r="U478">
        <f>IF(OR(S478=0,B478=""),0,IFERROR(VLOOKUP(C478,'Parties'!$B$13:$Q$112,13,FALSE),0)+SUMIFS($S$7:$S$506,$C$7:$C$506,C478,$B$7:$B$506,"&lt;"&amp;B478)+SUMIFS(S$7:S478,C$7:C478,C478,B$7:B478,B478))</f>
        <v/>
      </c>
      <c r="V478">
        <f>IF(S478=0,0,IFERROR(VLOOKUP(C478,'Parties'!$B$13:$Q$112,14,FALSE),0)+SUMIFS($T$7:$T$506,$C$7:$C$506,C478,$B$7:$B$506,"&lt;="&amp;'Outstanding'!$E$5))</f>
        <v/>
      </c>
      <c r="W478">
        <f>IF(OR('Outstanding'!$E$5="",S478=0,B478="",B478&gt;'Outstanding'!$E$5),0,MAX(0,MIN(S478,U478-V478)))</f>
        <v/>
      </c>
      <c r="X478">
        <f>IF(C478="",0,IFERROR(VLOOKUP(C478,'Parties'!$B$13:$Q$112,15,FALSE),0))</f>
        <v/>
      </c>
      <c r="Y478">
        <f>IF(C478="","",IFERROR(VLOOKUP(C478,'Parties'!$B$13:$Q$112,16,FALSE),0))</f>
        <v/>
      </c>
      <c r="Z478">
        <f>IF(OR(S478=0,B478="",Y478=""),"",IF(AND(F478&lt;&gt;"",D478="Purchase bill"),F478,B478)+Y478)</f>
        <v/>
      </c>
      <c r="AA478">
        <f>IF(OR(W478=0,Z478=""),0,MAX(0,'Outstanding'!$E$5-Z478))</f>
        <v/>
      </c>
      <c r="AB478">
        <f>IF(AND(X478=1,AA478&gt;0),W478*((1+3*N('Parties'!$E$10)/12)^(AA478*12/365)-1),0)</f>
        <v/>
      </c>
      <c r="AC478">
        <f>IF(W478=0,"",'Outstanding'!$E$5-B478)</f>
        <v/>
      </c>
      <c r="AD478">
        <f>IF(S478=0,0,IFERROR(VLOOKUP(C478,'Parties'!$B$13:$Q$112,14,FALSE),0)+SUMIFS($T$7:$T$506,$C$7:$C$506,C478,$B$7:$B$506,"&lt;="&amp;'Parties'!$E$8))</f>
        <v/>
      </c>
      <c r="AE478">
        <f>IF(OR('Parties'!$E$8="",S478=0,B478="",B478&gt;'Parties'!$E$8),0,MAX(0,MIN(S478,U478-AD478)))</f>
        <v/>
      </c>
      <c r="AF478">
        <f>IF(AND(P478="Creditor",X478=1,AE478&gt;0,Z478&lt;&gt;""),IF(Z478&lt;='Parties'!$E$8,AE478,0),0)</f>
        <v/>
      </c>
      <c r="AG478">
        <f>IF(OR(AE478=0,Z478=""),0,MAX(0,'Parties'!$E$8-Z478))</f>
        <v/>
      </c>
      <c r="AH478">
        <f>IF(AND(P478="Creditor",X478=1,AG478&gt;0),AE478*((1+3*N('Parties'!$E$10)/12)^(AG478*12/365)-1),0)</f>
        <v/>
      </c>
      <c r="AI478">
        <f>IF(AND(C478&lt;&gt;"",C478='Ledger Account'!$D$4,B478&lt;&gt;"",B478&gt;='Ledger Account'!$D$5,B478&lt;='Ledger Account'!$D$6),1,0)</f>
        <v/>
      </c>
      <c r="AJ478">
        <f>IF(AI478=1,SUM(AI$7:AI478),"")</f>
        <v/>
      </c>
      <c r="AK478">
        <f>IF(OR(N478="",N478="OK"),0,1)</f>
        <v/>
      </c>
    </row>
    <row r="479">
      <c r="B479" s="24" t="n"/>
      <c r="C479" s="14" t="n"/>
      <c r="D479" s="14" t="n"/>
      <c r="E479" s="20" t="n"/>
      <c r="F479" s="24" t="n"/>
      <c r="G479" s="14" t="n"/>
      <c r="H479" s="22" t="n"/>
      <c r="I479" s="25">
        <f>IF(Q479="D",N(H479),0)</f>
        <v/>
      </c>
      <c r="J479" s="25">
        <f>IF(Q479="C",N(H479),0)</f>
        <v/>
      </c>
      <c r="K479" s="26">
        <f>IF(Z479="","",Z479)</f>
        <v/>
      </c>
      <c r="L479" s="27">
        <f>W479</f>
        <v/>
      </c>
      <c r="M479" s="28">
        <f>AA479</f>
        <v/>
      </c>
      <c r="N479" s="23">
        <f>IF(AND(B479="",C479="",D479="",N(H479)=0),"",IF(B479="","Enter the date",IF(C479="","Pick the party",IF(P479="?","Add this party on the Parties sheet first",IF(D479="","Pick the entry type",IF(Q479="?","Pick the entry type from the list",IF(N(H479)=0,"Enter the amount",IF(AND(R479&lt;&gt;"Any",R479&lt;&gt;P479),"Sales, receipts and credit notes are for debtors; purchases, payments and debit notes for creditors",IF(AND(F479&lt;&gt;"",D479&lt;&gt;"Purchase bill"),"The received-on date is only for purchase bills",IF(AND(P479="Creditor",X479=1,AA479&gt;0),"Past due to a micro or small supplier: interest runs under MSMED s.16, and if unpaid at year end it is not deductible that year, s.37(2)(g)",IF(AND(P479="Debtor",X479=1,AA479&gt;0),"Past due to you: as a micro or small supplier you can claim interest under MSMED s.16","OK")))))))))))</f>
        <v/>
      </c>
      <c r="P479">
        <f>IF(C479="","",IFERROR(VLOOKUP(C479,'Parties'!$B$13:$Q$112,2,FALSE),"?"))</f>
        <v/>
      </c>
      <c r="Q479">
        <f>IF(D479="","",IFERROR(VLOOKUP(D479,Lists!$A$2:$D$9,3,FALSE),"?"))</f>
        <v/>
      </c>
      <c r="R479">
        <f>IF(D479="","",IFERROR(VLOOKUP(D479,Lists!$A$2:$D$9,4,FALSE),"?"))</f>
        <v/>
      </c>
      <c r="S479">
        <f>IF(P479="Debtor",I479,IF(P479="Creditor",J479,0))</f>
        <v/>
      </c>
      <c r="T479">
        <f>IF(P479="Debtor",J479,IF(P479="Creditor",I479,0))</f>
        <v/>
      </c>
      <c r="U479">
        <f>IF(OR(S479=0,B479=""),0,IFERROR(VLOOKUP(C479,'Parties'!$B$13:$Q$112,13,FALSE),0)+SUMIFS($S$7:$S$506,$C$7:$C$506,C479,$B$7:$B$506,"&lt;"&amp;B479)+SUMIFS(S$7:S479,C$7:C479,C479,B$7:B479,B479))</f>
        <v/>
      </c>
      <c r="V479">
        <f>IF(S479=0,0,IFERROR(VLOOKUP(C479,'Parties'!$B$13:$Q$112,14,FALSE),0)+SUMIFS($T$7:$T$506,$C$7:$C$506,C479,$B$7:$B$506,"&lt;="&amp;'Outstanding'!$E$5))</f>
        <v/>
      </c>
      <c r="W479">
        <f>IF(OR('Outstanding'!$E$5="",S479=0,B479="",B479&gt;'Outstanding'!$E$5),0,MAX(0,MIN(S479,U479-V479)))</f>
        <v/>
      </c>
      <c r="X479">
        <f>IF(C479="",0,IFERROR(VLOOKUP(C479,'Parties'!$B$13:$Q$112,15,FALSE),0))</f>
        <v/>
      </c>
      <c r="Y479">
        <f>IF(C479="","",IFERROR(VLOOKUP(C479,'Parties'!$B$13:$Q$112,16,FALSE),0))</f>
        <v/>
      </c>
      <c r="Z479">
        <f>IF(OR(S479=0,B479="",Y479=""),"",IF(AND(F479&lt;&gt;"",D479="Purchase bill"),F479,B479)+Y479)</f>
        <v/>
      </c>
      <c r="AA479">
        <f>IF(OR(W479=0,Z479=""),0,MAX(0,'Outstanding'!$E$5-Z479))</f>
        <v/>
      </c>
      <c r="AB479">
        <f>IF(AND(X479=1,AA479&gt;0),W479*((1+3*N('Parties'!$E$10)/12)^(AA479*12/365)-1),0)</f>
        <v/>
      </c>
      <c r="AC479">
        <f>IF(W479=0,"",'Outstanding'!$E$5-B479)</f>
        <v/>
      </c>
      <c r="AD479">
        <f>IF(S479=0,0,IFERROR(VLOOKUP(C479,'Parties'!$B$13:$Q$112,14,FALSE),0)+SUMIFS($T$7:$T$506,$C$7:$C$506,C479,$B$7:$B$506,"&lt;="&amp;'Parties'!$E$8))</f>
        <v/>
      </c>
      <c r="AE479">
        <f>IF(OR('Parties'!$E$8="",S479=0,B479="",B479&gt;'Parties'!$E$8),0,MAX(0,MIN(S479,U479-AD479)))</f>
        <v/>
      </c>
      <c r="AF479">
        <f>IF(AND(P479="Creditor",X479=1,AE479&gt;0,Z479&lt;&gt;""),IF(Z479&lt;='Parties'!$E$8,AE479,0),0)</f>
        <v/>
      </c>
      <c r="AG479">
        <f>IF(OR(AE479=0,Z479=""),0,MAX(0,'Parties'!$E$8-Z479))</f>
        <v/>
      </c>
      <c r="AH479">
        <f>IF(AND(P479="Creditor",X479=1,AG479&gt;0),AE479*((1+3*N('Parties'!$E$10)/12)^(AG479*12/365)-1),0)</f>
        <v/>
      </c>
      <c r="AI479">
        <f>IF(AND(C479&lt;&gt;"",C479='Ledger Account'!$D$4,B479&lt;&gt;"",B479&gt;='Ledger Account'!$D$5,B479&lt;='Ledger Account'!$D$6),1,0)</f>
        <v/>
      </c>
      <c r="AJ479">
        <f>IF(AI479=1,SUM(AI$7:AI479),"")</f>
        <v/>
      </c>
      <c r="AK479">
        <f>IF(OR(N479="",N479="OK"),0,1)</f>
        <v/>
      </c>
    </row>
    <row r="480">
      <c r="B480" s="24" t="n"/>
      <c r="C480" s="14" t="n"/>
      <c r="D480" s="14" t="n"/>
      <c r="E480" s="20" t="n"/>
      <c r="F480" s="24" t="n"/>
      <c r="G480" s="14" t="n"/>
      <c r="H480" s="22" t="n"/>
      <c r="I480" s="25">
        <f>IF(Q480="D",N(H480),0)</f>
        <v/>
      </c>
      <c r="J480" s="25">
        <f>IF(Q480="C",N(H480),0)</f>
        <v/>
      </c>
      <c r="K480" s="26">
        <f>IF(Z480="","",Z480)</f>
        <v/>
      </c>
      <c r="L480" s="27">
        <f>W480</f>
        <v/>
      </c>
      <c r="M480" s="28">
        <f>AA480</f>
        <v/>
      </c>
      <c r="N480" s="23">
        <f>IF(AND(B480="",C480="",D480="",N(H480)=0),"",IF(B480="","Enter the date",IF(C480="","Pick the party",IF(P480="?","Add this party on the Parties sheet first",IF(D480="","Pick the entry type",IF(Q480="?","Pick the entry type from the list",IF(N(H480)=0,"Enter the amount",IF(AND(R480&lt;&gt;"Any",R480&lt;&gt;P480),"Sales, receipts and credit notes are for debtors; purchases, payments and debit notes for creditors",IF(AND(F480&lt;&gt;"",D480&lt;&gt;"Purchase bill"),"The received-on date is only for purchase bills",IF(AND(P480="Creditor",X480=1,AA480&gt;0),"Past due to a micro or small supplier: interest runs under MSMED s.16, and if unpaid at year end it is not deductible that year, s.37(2)(g)",IF(AND(P480="Debtor",X480=1,AA480&gt;0),"Past due to you: as a micro or small supplier you can claim interest under MSMED s.16","OK")))))))))))</f>
        <v/>
      </c>
      <c r="P480">
        <f>IF(C480="","",IFERROR(VLOOKUP(C480,'Parties'!$B$13:$Q$112,2,FALSE),"?"))</f>
        <v/>
      </c>
      <c r="Q480">
        <f>IF(D480="","",IFERROR(VLOOKUP(D480,Lists!$A$2:$D$9,3,FALSE),"?"))</f>
        <v/>
      </c>
      <c r="R480">
        <f>IF(D480="","",IFERROR(VLOOKUP(D480,Lists!$A$2:$D$9,4,FALSE),"?"))</f>
        <v/>
      </c>
      <c r="S480">
        <f>IF(P480="Debtor",I480,IF(P480="Creditor",J480,0))</f>
        <v/>
      </c>
      <c r="T480">
        <f>IF(P480="Debtor",J480,IF(P480="Creditor",I480,0))</f>
        <v/>
      </c>
      <c r="U480">
        <f>IF(OR(S480=0,B480=""),0,IFERROR(VLOOKUP(C480,'Parties'!$B$13:$Q$112,13,FALSE),0)+SUMIFS($S$7:$S$506,$C$7:$C$506,C480,$B$7:$B$506,"&lt;"&amp;B480)+SUMIFS(S$7:S480,C$7:C480,C480,B$7:B480,B480))</f>
        <v/>
      </c>
      <c r="V480">
        <f>IF(S480=0,0,IFERROR(VLOOKUP(C480,'Parties'!$B$13:$Q$112,14,FALSE),0)+SUMIFS($T$7:$T$506,$C$7:$C$506,C480,$B$7:$B$506,"&lt;="&amp;'Outstanding'!$E$5))</f>
        <v/>
      </c>
      <c r="W480">
        <f>IF(OR('Outstanding'!$E$5="",S480=0,B480="",B480&gt;'Outstanding'!$E$5),0,MAX(0,MIN(S480,U480-V480)))</f>
        <v/>
      </c>
      <c r="X480">
        <f>IF(C480="",0,IFERROR(VLOOKUP(C480,'Parties'!$B$13:$Q$112,15,FALSE),0))</f>
        <v/>
      </c>
      <c r="Y480">
        <f>IF(C480="","",IFERROR(VLOOKUP(C480,'Parties'!$B$13:$Q$112,16,FALSE),0))</f>
        <v/>
      </c>
      <c r="Z480">
        <f>IF(OR(S480=0,B480="",Y480=""),"",IF(AND(F480&lt;&gt;"",D480="Purchase bill"),F480,B480)+Y480)</f>
        <v/>
      </c>
      <c r="AA480">
        <f>IF(OR(W480=0,Z480=""),0,MAX(0,'Outstanding'!$E$5-Z480))</f>
        <v/>
      </c>
      <c r="AB480">
        <f>IF(AND(X480=1,AA480&gt;0),W480*((1+3*N('Parties'!$E$10)/12)^(AA480*12/365)-1),0)</f>
        <v/>
      </c>
      <c r="AC480">
        <f>IF(W480=0,"",'Outstanding'!$E$5-B480)</f>
        <v/>
      </c>
      <c r="AD480">
        <f>IF(S480=0,0,IFERROR(VLOOKUP(C480,'Parties'!$B$13:$Q$112,14,FALSE),0)+SUMIFS($T$7:$T$506,$C$7:$C$506,C480,$B$7:$B$506,"&lt;="&amp;'Parties'!$E$8))</f>
        <v/>
      </c>
      <c r="AE480">
        <f>IF(OR('Parties'!$E$8="",S480=0,B480="",B480&gt;'Parties'!$E$8),0,MAX(0,MIN(S480,U480-AD480)))</f>
        <v/>
      </c>
      <c r="AF480">
        <f>IF(AND(P480="Creditor",X480=1,AE480&gt;0,Z480&lt;&gt;""),IF(Z480&lt;='Parties'!$E$8,AE480,0),0)</f>
        <v/>
      </c>
      <c r="AG480">
        <f>IF(OR(AE480=0,Z480=""),0,MAX(0,'Parties'!$E$8-Z480))</f>
        <v/>
      </c>
      <c r="AH480">
        <f>IF(AND(P480="Creditor",X480=1,AG480&gt;0),AE480*((1+3*N('Parties'!$E$10)/12)^(AG480*12/365)-1),0)</f>
        <v/>
      </c>
      <c r="AI480">
        <f>IF(AND(C480&lt;&gt;"",C480='Ledger Account'!$D$4,B480&lt;&gt;"",B480&gt;='Ledger Account'!$D$5,B480&lt;='Ledger Account'!$D$6),1,0)</f>
        <v/>
      </c>
      <c r="AJ480">
        <f>IF(AI480=1,SUM(AI$7:AI480),"")</f>
        <v/>
      </c>
      <c r="AK480">
        <f>IF(OR(N480="",N480="OK"),0,1)</f>
        <v/>
      </c>
    </row>
    <row r="481">
      <c r="B481" s="24" t="n"/>
      <c r="C481" s="14" t="n"/>
      <c r="D481" s="14" t="n"/>
      <c r="E481" s="20" t="n"/>
      <c r="F481" s="24" t="n"/>
      <c r="G481" s="14" t="n"/>
      <c r="H481" s="22" t="n"/>
      <c r="I481" s="25">
        <f>IF(Q481="D",N(H481),0)</f>
        <v/>
      </c>
      <c r="J481" s="25">
        <f>IF(Q481="C",N(H481),0)</f>
        <v/>
      </c>
      <c r="K481" s="26">
        <f>IF(Z481="","",Z481)</f>
        <v/>
      </c>
      <c r="L481" s="27">
        <f>W481</f>
        <v/>
      </c>
      <c r="M481" s="28">
        <f>AA481</f>
        <v/>
      </c>
      <c r="N481" s="23">
        <f>IF(AND(B481="",C481="",D481="",N(H481)=0),"",IF(B481="","Enter the date",IF(C481="","Pick the party",IF(P481="?","Add this party on the Parties sheet first",IF(D481="","Pick the entry type",IF(Q481="?","Pick the entry type from the list",IF(N(H481)=0,"Enter the amount",IF(AND(R481&lt;&gt;"Any",R481&lt;&gt;P481),"Sales, receipts and credit notes are for debtors; purchases, payments and debit notes for creditors",IF(AND(F481&lt;&gt;"",D481&lt;&gt;"Purchase bill"),"The received-on date is only for purchase bills",IF(AND(P481="Creditor",X481=1,AA481&gt;0),"Past due to a micro or small supplier: interest runs under MSMED s.16, and if unpaid at year end it is not deductible that year, s.37(2)(g)",IF(AND(P481="Debtor",X481=1,AA481&gt;0),"Past due to you: as a micro or small supplier you can claim interest under MSMED s.16","OK")))))))))))</f>
        <v/>
      </c>
      <c r="P481">
        <f>IF(C481="","",IFERROR(VLOOKUP(C481,'Parties'!$B$13:$Q$112,2,FALSE),"?"))</f>
        <v/>
      </c>
      <c r="Q481">
        <f>IF(D481="","",IFERROR(VLOOKUP(D481,Lists!$A$2:$D$9,3,FALSE),"?"))</f>
        <v/>
      </c>
      <c r="R481">
        <f>IF(D481="","",IFERROR(VLOOKUP(D481,Lists!$A$2:$D$9,4,FALSE),"?"))</f>
        <v/>
      </c>
      <c r="S481">
        <f>IF(P481="Debtor",I481,IF(P481="Creditor",J481,0))</f>
        <v/>
      </c>
      <c r="T481">
        <f>IF(P481="Debtor",J481,IF(P481="Creditor",I481,0))</f>
        <v/>
      </c>
      <c r="U481">
        <f>IF(OR(S481=0,B481=""),0,IFERROR(VLOOKUP(C481,'Parties'!$B$13:$Q$112,13,FALSE),0)+SUMIFS($S$7:$S$506,$C$7:$C$506,C481,$B$7:$B$506,"&lt;"&amp;B481)+SUMIFS(S$7:S481,C$7:C481,C481,B$7:B481,B481))</f>
        <v/>
      </c>
      <c r="V481">
        <f>IF(S481=0,0,IFERROR(VLOOKUP(C481,'Parties'!$B$13:$Q$112,14,FALSE),0)+SUMIFS($T$7:$T$506,$C$7:$C$506,C481,$B$7:$B$506,"&lt;="&amp;'Outstanding'!$E$5))</f>
        <v/>
      </c>
      <c r="W481">
        <f>IF(OR('Outstanding'!$E$5="",S481=0,B481="",B481&gt;'Outstanding'!$E$5),0,MAX(0,MIN(S481,U481-V481)))</f>
        <v/>
      </c>
      <c r="X481">
        <f>IF(C481="",0,IFERROR(VLOOKUP(C481,'Parties'!$B$13:$Q$112,15,FALSE),0))</f>
        <v/>
      </c>
      <c r="Y481">
        <f>IF(C481="","",IFERROR(VLOOKUP(C481,'Parties'!$B$13:$Q$112,16,FALSE),0))</f>
        <v/>
      </c>
      <c r="Z481">
        <f>IF(OR(S481=0,B481="",Y481=""),"",IF(AND(F481&lt;&gt;"",D481="Purchase bill"),F481,B481)+Y481)</f>
        <v/>
      </c>
      <c r="AA481">
        <f>IF(OR(W481=0,Z481=""),0,MAX(0,'Outstanding'!$E$5-Z481))</f>
        <v/>
      </c>
      <c r="AB481">
        <f>IF(AND(X481=1,AA481&gt;0),W481*((1+3*N('Parties'!$E$10)/12)^(AA481*12/365)-1),0)</f>
        <v/>
      </c>
      <c r="AC481">
        <f>IF(W481=0,"",'Outstanding'!$E$5-B481)</f>
        <v/>
      </c>
      <c r="AD481">
        <f>IF(S481=0,0,IFERROR(VLOOKUP(C481,'Parties'!$B$13:$Q$112,14,FALSE),0)+SUMIFS($T$7:$T$506,$C$7:$C$506,C481,$B$7:$B$506,"&lt;="&amp;'Parties'!$E$8))</f>
        <v/>
      </c>
      <c r="AE481">
        <f>IF(OR('Parties'!$E$8="",S481=0,B481="",B481&gt;'Parties'!$E$8),0,MAX(0,MIN(S481,U481-AD481)))</f>
        <v/>
      </c>
      <c r="AF481">
        <f>IF(AND(P481="Creditor",X481=1,AE481&gt;0,Z481&lt;&gt;""),IF(Z481&lt;='Parties'!$E$8,AE481,0),0)</f>
        <v/>
      </c>
      <c r="AG481">
        <f>IF(OR(AE481=0,Z481=""),0,MAX(0,'Parties'!$E$8-Z481))</f>
        <v/>
      </c>
      <c r="AH481">
        <f>IF(AND(P481="Creditor",X481=1,AG481&gt;0),AE481*((1+3*N('Parties'!$E$10)/12)^(AG481*12/365)-1),0)</f>
        <v/>
      </c>
      <c r="AI481">
        <f>IF(AND(C481&lt;&gt;"",C481='Ledger Account'!$D$4,B481&lt;&gt;"",B481&gt;='Ledger Account'!$D$5,B481&lt;='Ledger Account'!$D$6),1,0)</f>
        <v/>
      </c>
      <c r="AJ481">
        <f>IF(AI481=1,SUM(AI$7:AI481),"")</f>
        <v/>
      </c>
      <c r="AK481">
        <f>IF(OR(N481="",N481="OK"),0,1)</f>
        <v/>
      </c>
    </row>
    <row r="482">
      <c r="B482" s="24" t="n"/>
      <c r="C482" s="14" t="n"/>
      <c r="D482" s="14" t="n"/>
      <c r="E482" s="20" t="n"/>
      <c r="F482" s="24" t="n"/>
      <c r="G482" s="14" t="n"/>
      <c r="H482" s="22" t="n"/>
      <c r="I482" s="25">
        <f>IF(Q482="D",N(H482),0)</f>
        <v/>
      </c>
      <c r="J482" s="25">
        <f>IF(Q482="C",N(H482),0)</f>
        <v/>
      </c>
      <c r="K482" s="26">
        <f>IF(Z482="","",Z482)</f>
        <v/>
      </c>
      <c r="L482" s="27">
        <f>W482</f>
        <v/>
      </c>
      <c r="M482" s="28">
        <f>AA482</f>
        <v/>
      </c>
      <c r="N482" s="23">
        <f>IF(AND(B482="",C482="",D482="",N(H482)=0),"",IF(B482="","Enter the date",IF(C482="","Pick the party",IF(P482="?","Add this party on the Parties sheet first",IF(D482="","Pick the entry type",IF(Q482="?","Pick the entry type from the list",IF(N(H482)=0,"Enter the amount",IF(AND(R482&lt;&gt;"Any",R482&lt;&gt;P482),"Sales, receipts and credit notes are for debtors; purchases, payments and debit notes for creditors",IF(AND(F482&lt;&gt;"",D482&lt;&gt;"Purchase bill"),"The received-on date is only for purchase bills",IF(AND(P482="Creditor",X482=1,AA482&gt;0),"Past due to a micro or small supplier: interest runs under MSMED s.16, and if unpaid at year end it is not deductible that year, s.37(2)(g)",IF(AND(P482="Debtor",X482=1,AA482&gt;0),"Past due to you: as a micro or small supplier you can claim interest under MSMED s.16","OK")))))))))))</f>
        <v/>
      </c>
      <c r="P482">
        <f>IF(C482="","",IFERROR(VLOOKUP(C482,'Parties'!$B$13:$Q$112,2,FALSE),"?"))</f>
        <v/>
      </c>
      <c r="Q482">
        <f>IF(D482="","",IFERROR(VLOOKUP(D482,Lists!$A$2:$D$9,3,FALSE),"?"))</f>
        <v/>
      </c>
      <c r="R482">
        <f>IF(D482="","",IFERROR(VLOOKUP(D482,Lists!$A$2:$D$9,4,FALSE),"?"))</f>
        <v/>
      </c>
      <c r="S482">
        <f>IF(P482="Debtor",I482,IF(P482="Creditor",J482,0))</f>
        <v/>
      </c>
      <c r="T482">
        <f>IF(P482="Debtor",J482,IF(P482="Creditor",I482,0))</f>
        <v/>
      </c>
      <c r="U482">
        <f>IF(OR(S482=0,B482=""),0,IFERROR(VLOOKUP(C482,'Parties'!$B$13:$Q$112,13,FALSE),0)+SUMIFS($S$7:$S$506,$C$7:$C$506,C482,$B$7:$B$506,"&lt;"&amp;B482)+SUMIFS(S$7:S482,C$7:C482,C482,B$7:B482,B482))</f>
        <v/>
      </c>
      <c r="V482">
        <f>IF(S482=0,0,IFERROR(VLOOKUP(C482,'Parties'!$B$13:$Q$112,14,FALSE),0)+SUMIFS($T$7:$T$506,$C$7:$C$506,C482,$B$7:$B$506,"&lt;="&amp;'Outstanding'!$E$5))</f>
        <v/>
      </c>
      <c r="W482">
        <f>IF(OR('Outstanding'!$E$5="",S482=0,B482="",B482&gt;'Outstanding'!$E$5),0,MAX(0,MIN(S482,U482-V482)))</f>
        <v/>
      </c>
      <c r="X482">
        <f>IF(C482="",0,IFERROR(VLOOKUP(C482,'Parties'!$B$13:$Q$112,15,FALSE),0))</f>
        <v/>
      </c>
      <c r="Y482">
        <f>IF(C482="","",IFERROR(VLOOKUP(C482,'Parties'!$B$13:$Q$112,16,FALSE),0))</f>
        <v/>
      </c>
      <c r="Z482">
        <f>IF(OR(S482=0,B482="",Y482=""),"",IF(AND(F482&lt;&gt;"",D482="Purchase bill"),F482,B482)+Y482)</f>
        <v/>
      </c>
      <c r="AA482">
        <f>IF(OR(W482=0,Z482=""),0,MAX(0,'Outstanding'!$E$5-Z482))</f>
        <v/>
      </c>
      <c r="AB482">
        <f>IF(AND(X482=1,AA482&gt;0),W482*((1+3*N('Parties'!$E$10)/12)^(AA482*12/365)-1),0)</f>
        <v/>
      </c>
      <c r="AC482">
        <f>IF(W482=0,"",'Outstanding'!$E$5-B482)</f>
        <v/>
      </c>
      <c r="AD482">
        <f>IF(S482=0,0,IFERROR(VLOOKUP(C482,'Parties'!$B$13:$Q$112,14,FALSE),0)+SUMIFS($T$7:$T$506,$C$7:$C$506,C482,$B$7:$B$506,"&lt;="&amp;'Parties'!$E$8))</f>
        <v/>
      </c>
      <c r="AE482">
        <f>IF(OR('Parties'!$E$8="",S482=0,B482="",B482&gt;'Parties'!$E$8),0,MAX(0,MIN(S482,U482-AD482)))</f>
        <v/>
      </c>
      <c r="AF482">
        <f>IF(AND(P482="Creditor",X482=1,AE482&gt;0,Z482&lt;&gt;""),IF(Z482&lt;='Parties'!$E$8,AE482,0),0)</f>
        <v/>
      </c>
      <c r="AG482">
        <f>IF(OR(AE482=0,Z482=""),0,MAX(0,'Parties'!$E$8-Z482))</f>
        <v/>
      </c>
      <c r="AH482">
        <f>IF(AND(P482="Creditor",X482=1,AG482&gt;0),AE482*((1+3*N('Parties'!$E$10)/12)^(AG482*12/365)-1),0)</f>
        <v/>
      </c>
      <c r="AI482">
        <f>IF(AND(C482&lt;&gt;"",C482='Ledger Account'!$D$4,B482&lt;&gt;"",B482&gt;='Ledger Account'!$D$5,B482&lt;='Ledger Account'!$D$6),1,0)</f>
        <v/>
      </c>
      <c r="AJ482">
        <f>IF(AI482=1,SUM(AI$7:AI482),"")</f>
        <v/>
      </c>
      <c r="AK482">
        <f>IF(OR(N482="",N482="OK"),0,1)</f>
        <v/>
      </c>
    </row>
    <row r="483">
      <c r="B483" s="24" t="n"/>
      <c r="C483" s="14" t="n"/>
      <c r="D483" s="14" t="n"/>
      <c r="E483" s="20" t="n"/>
      <c r="F483" s="24" t="n"/>
      <c r="G483" s="14" t="n"/>
      <c r="H483" s="22" t="n"/>
      <c r="I483" s="25">
        <f>IF(Q483="D",N(H483),0)</f>
        <v/>
      </c>
      <c r="J483" s="25">
        <f>IF(Q483="C",N(H483),0)</f>
        <v/>
      </c>
      <c r="K483" s="26">
        <f>IF(Z483="","",Z483)</f>
        <v/>
      </c>
      <c r="L483" s="27">
        <f>W483</f>
        <v/>
      </c>
      <c r="M483" s="28">
        <f>AA483</f>
        <v/>
      </c>
      <c r="N483" s="23">
        <f>IF(AND(B483="",C483="",D483="",N(H483)=0),"",IF(B483="","Enter the date",IF(C483="","Pick the party",IF(P483="?","Add this party on the Parties sheet first",IF(D483="","Pick the entry type",IF(Q483="?","Pick the entry type from the list",IF(N(H483)=0,"Enter the amount",IF(AND(R483&lt;&gt;"Any",R483&lt;&gt;P483),"Sales, receipts and credit notes are for debtors; purchases, payments and debit notes for creditors",IF(AND(F483&lt;&gt;"",D483&lt;&gt;"Purchase bill"),"The received-on date is only for purchase bills",IF(AND(P483="Creditor",X483=1,AA483&gt;0),"Past due to a micro or small supplier: interest runs under MSMED s.16, and if unpaid at year end it is not deductible that year, s.37(2)(g)",IF(AND(P483="Debtor",X483=1,AA483&gt;0),"Past due to you: as a micro or small supplier you can claim interest under MSMED s.16","OK")))))))))))</f>
        <v/>
      </c>
      <c r="P483">
        <f>IF(C483="","",IFERROR(VLOOKUP(C483,'Parties'!$B$13:$Q$112,2,FALSE),"?"))</f>
        <v/>
      </c>
      <c r="Q483">
        <f>IF(D483="","",IFERROR(VLOOKUP(D483,Lists!$A$2:$D$9,3,FALSE),"?"))</f>
        <v/>
      </c>
      <c r="R483">
        <f>IF(D483="","",IFERROR(VLOOKUP(D483,Lists!$A$2:$D$9,4,FALSE),"?"))</f>
        <v/>
      </c>
      <c r="S483">
        <f>IF(P483="Debtor",I483,IF(P483="Creditor",J483,0))</f>
        <v/>
      </c>
      <c r="T483">
        <f>IF(P483="Debtor",J483,IF(P483="Creditor",I483,0))</f>
        <v/>
      </c>
      <c r="U483">
        <f>IF(OR(S483=0,B483=""),0,IFERROR(VLOOKUP(C483,'Parties'!$B$13:$Q$112,13,FALSE),0)+SUMIFS($S$7:$S$506,$C$7:$C$506,C483,$B$7:$B$506,"&lt;"&amp;B483)+SUMIFS(S$7:S483,C$7:C483,C483,B$7:B483,B483))</f>
        <v/>
      </c>
      <c r="V483">
        <f>IF(S483=0,0,IFERROR(VLOOKUP(C483,'Parties'!$B$13:$Q$112,14,FALSE),0)+SUMIFS($T$7:$T$506,$C$7:$C$506,C483,$B$7:$B$506,"&lt;="&amp;'Outstanding'!$E$5))</f>
        <v/>
      </c>
      <c r="W483">
        <f>IF(OR('Outstanding'!$E$5="",S483=0,B483="",B483&gt;'Outstanding'!$E$5),0,MAX(0,MIN(S483,U483-V483)))</f>
        <v/>
      </c>
      <c r="X483">
        <f>IF(C483="",0,IFERROR(VLOOKUP(C483,'Parties'!$B$13:$Q$112,15,FALSE),0))</f>
        <v/>
      </c>
      <c r="Y483">
        <f>IF(C483="","",IFERROR(VLOOKUP(C483,'Parties'!$B$13:$Q$112,16,FALSE),0))</f>
        <v/>
      </c>
      <c r="Z483">
        <f>IF(OR(S483=0,B483="",Y483=""),"",IF(AND(F483&lt;&gt;"",D483="Purchase bill"),F483,B483)+Y483)</f>
        <v/>
      </c>
      <c r="AA483">
        <f>IF(OR(W483=0,Z483=""),0,MAX(0,'Outstanding'!$E$5-Z483))</f>
        <v/>
      </c>
      <c r="AB483">
        <f>IF(AND(X483=1,AA483&gt;0),W483*((1+3*N('Parties'!$E$10)/12)^(AA483*12/365)-1),0)</f>
        <v/>
      </c>
      <c r="AC483">
        <f>IF(W483=0,"",'Outstanding'!$E$5-B483)</f>
        <v/>
      </c>
      <c r="AD483">
        <f>IF(S483=0,0,IFERROR(VLOOKUP(C483,'Parties'!$B$13:$Q$112,14,FALSE),0)+SUMIFS($T$7:$T$506,$C$7:$C$506,C483,$B$7:$B$506,"&lt;="&amp;'Parties'!$E$8))</f>
        <v/>
      </c>
      <c r="AE483">
        <f>IF(OR('Parties'!$E$8="",S483=0,B483="",B483&gt;'Parties'!$E$8),0,MAX(0,MIN(S483,U483-AD483)))</f>
        <v/>
      </c>
      <c r="AF483">
        <f>IF(AND(P483="Creditor",X483=1,AE483&gt;0,Z483&lt;&gt;""),IF(Z483&lt;='Parties'!$E$8,AE483,0),0)</f>
        <v/>
      </c>
      <c r="AG483">
        <f>IF(OR(AE483=0,Z483=""),0,MAX(0,'Parties'!$E$8-Z483))</f>
        <v/>
      </c>
      <c r="AH483">
        <f>IF(AND(P483="Creditor",X483=1,AG483&gt;0),AE483*((1+3*N('Parties'!$E$10)/12)^(AG483*12/365)-1),0)</f>
        <v/>
      </c>
      <c r="AI483">
        <f>IF(AND(C483&lt;&gt;"",C483='Ledger Account'!$D$4,B483&lt;&gt;"",B483&gt;='Ledger Account'!$D$5,B483&lt;='Ledger Account'!$D$6),1,0)</f>
        <v/>
      </c>
      <c r="AJ483">
        <f>IF(AI483=1,SUM(AI$7:AI483),"")</f>
        <v/>
      </c>
      <c r="AK483">
        <f>IF(OR(N483="",N483="OK"),0,1)</f>
        <v/>
      </c>
    </row>
    <row r="484">
      <c r="B484" s="24" t="n"/>
      <c r="C484" s="14" t="n"/>
      <c r="D484" s="14" t="n"/>
      <c r="E484" s="20" t="n"/>
      <c r="F484" s="24" t="n"/>
      <c r="G484" s="14" t="n"/>
      <c r="H484" s="22" t="n"/>
      <c r="I484" s="25">
        <f>IF(Q484="D",N(H484),0)</f>
        <v/>
      </c>
      <c r="J484" s="25">
        <f>IF(Q484="C",N(H484),0)</f>
        <v/>
      </c>
      <c r="K484" s="26">
        <f>IF(Z484="","",Z484)</f>
        <v/>
      </c>
      <c r="L484" s="27">
        <f>W484</f>
        <v/>
      </c>
      <c r="M484" s="28">
        <f>AA484</f>
        <v/>
      </c>
      <c r="N484" s="23">
        <f>IF(AND(B484="",C484="",D484="",N(H484)=0),"",IF(B484="","Enter the date",IF(C484="","Pick the party",IF(P484="?","Add this party on the Parties sheet first",IF(D484="","Pick the entry type",IF(Q484="?","Pick the entry type from the list",IF(N(H484)=0,"Enter the amount",IF(AND(R484&lt;&gt;"Any",R484&lt;&gt;P484),"Sales, receipts and credit notes are for debtors; purchases, payments and debit notes for creditors",IF(AND(F484&lt;&gt;"",D484&lt;&gt;"Purchase bill"),"The received-on date is only for purchase bills",IF(AND(P484="Creditor",X484=1,AA484&gt;0),"Past due to a micro or small supplier: interest runs under MSMED s.16, and if unpaid at year end it is not deductible that year, s.37(2)(g)",IF(AND(P484="Debtor",X484=1,AA484&gt;0),"Past due to you: as a micro or small supplier you can claim interest under MSMED s.16","OK")))))))))))</f>
        <v/>
      </c>
      <c r="P484">
        <f>IF(C484="","",IFERROR(VLOOKUP(C484,'Parties'!$B$13:$Q$112,2,FALSE),"?"))</f>
        <v/>
      </c>
      <c r="Q484">
        <f>IF(D484="","",IFERROR(VLOOKUP(D484,Lists!$A$2:$D$9,3,FALSE),"?"))</f>
        <v/>
      </c>
      <c r="R484">
        <f>IF(D484="","",IFERROR(VLOOKUP(D484,Lists!$A$2:$D$9,4,FALSE),"?"))</f>
        <v/>
      </c>
      <c r="S484">
        <f>IF(P484="Debtor",I484,IF(P484="Creditor",J484,0))</f>
        <v/>
      </c>
      <c r="T484">
        <f>IF(P484="Debtor",J484,IF(P484="Creditor",I484,0))</f>
        <v/>
      </c>
      <c r="U484">
        <f>IF(OR(S484=0,B484=""),0,IFERROR(VLOOKUP(C484,'Parties'!$B$13:$Q$112,13,FALSE),0)+SUMIFS($S$7:$S$506,$C$7:$C$506,C484,$B$7:$B$506,"&lt;"&amp;B484)+SUMIFS(S$7:S484,C$7:C484,C484,B$7:B484,B484))</f>
        <v/>
      </c>
      <c r="V484">
        <f>IF(S484=0,0,IFERROR(VLOOKUP(C484,'Parties'!$B$13:$Q$112,14,FALSE),0)+SUMIFS($T$7:$T$506,$C$7:$C$506,C484,$B$7:$B$506,"&lt;="&amp;'Outstanding'!$E$5))</f>
        <v/>
      </c>
      <c r="W484">
        <f>IF(OR('Outstanding'!$E$5="",S484=0,B484="",B484&gt;'Outstanding'!$E$5),0,MAX(0,MIN(S484,U484-V484)))</f>
        <v/>
      </c>
      <c r="X484">
        <f>IF(C484="",0,IFERROR(VLOOKUP(C484,'Parties'!$B$13:$Q$112,15,FALSE),0))</f>
        <v/>
      </c>
      <c r="Y484">
        <f>IF(C484="","",IFERROR(VLOOKUP(C484,'Parties'!$B$13:$Q$112,16,FALSE),0))</f>
        <v/>
      </c>
      <c r="Z484">
        <f>IF(OR(S484=0,B484="",Y484=""),"",IF(AND(F484&lt;&gt;"",D484="Purchase bill"),F484,B484)+Y484)</f>
        <v/>
      </c>
      <c r="AA484">
        <f>IF(OR(W484=0,Z484=""),0,MAX(0,'Outstanding'!$E$5-Z484))</f>
        <v/>
      </c>
      <c r="AB484">
        <f>IF(AND(X484=1,AA484&gt;0),W484*((1+3*N('Parties'!$E$10)/12)^(AA484*12/365)-1),0)</f>
        <v/>
      </c>
      <c r="AC484">
        <f>IF(W484=0,"",'Outstanding'!$E$5-B484)</f>
        <v/>
      </c>
      <c r="AD484">
        <f>IF(S484=0,0,IFERROR(VLOOKUP(C484,'Parties'!$B$13:$Q$112,14,FALSE),0)+SUMIFS($T$7:$T$506,$C$7:$C$506,C484,$B$7:$B$506,"&lt;="&amp;'Parties'!$E$8))</f>
        <v/>
      </c>
      <c r="AE484">
        <f>IF(OR('Parties'!$E$8="",S484=0,B484="",B484&gt;'Parties'!$E$8),0,MAX(0,MIN(S484,U484-AD484)))</f>
        <v/>
      </c>
      <c r="AF484">
        <f>IF(AND(P484="Creditor",X484=1,AE484&gt;0,Z484&lt;&gt;""),IF(Z484&lt;='Parties'!$E$8,AE484,0),0)</f>
        <v/>
      </c>
      <c r="AG484">
        <f>IF(OR(AE484=0,Z484=""),0,MAX(0,'Parties'!$E$8-Z484))</f>
        <v/>
      </c>
      <c r="AH484">
        <f>IF(AND(P484="Creditor",X484=1,AG484&gt;0),AE484*((1+3*N('Parties'!$E$10)/12)^(AG484*12/365)-1),0)</f>
        <v/>
      </c>
      <c r="AI484">
        <f>IF(AND(C484&lt;&gt;"",C484='Ledger Account'!$D$4,B484&lt;&gt;"",B484&gt;='Ledger Account'!$D$5,B484&lt;='Ledger Account'!$D$6),1,0)</f>
        <v/>
      </c>
      <c r="AJ484">
        <f>IF(AI484=1,SUM(AI$7:AI484),"")</f>
        <v/>
      </c>
      <c r="AK484">
        <f>IF(OR(N484="",N484="OK"),0,1)</f>
        <v/>
      </c>
    </row>
    <row r="485">
      <c r="B485" s="24" t="n"/>
      <c r="C485" s="14" t="n"/>
      <c r="D485" s="14" t="n"/>
      <c r="E485" s="20" t="n"/>
      <c r="F485" s="24" t="n"/>
      <c r="G485" s="14" t="n"/>
      <c r="H485" s="22" t="n"/>
      <c r="I485" s="25">
        <f>IF(Q485="D",N(H485),0)</f>
        <v/>
      </c>
      <c r="J485" s="25">
        <f>IF(Q485="C",N(H485),0)</f>
        <v/>
      </c>
      <c r="K485" s="26">
        <f>IF(Z485="","",Z485)</f>
        <v/>
      </c>
      <c r="L485" s="27">
        <f>W485</f>
        <v/>
      </c>
      <c r="M485" s="28">
        <f>AA485</f>
        <v/>
      </c>
      <c r="N485" s="23">
        <f>IF(AND(B485="",C485="",D485="",N(H485)=0),"",IF(B485="","Enter the date",IF(C485="","Pick the party",IF(P485="?","Add this party on the Parties sheet first",IF(D485="","Pick the entry type",IF(Q485="?","Pick the entry type from the list",IF(N(H485)=0,"Enter the amount",IF(AND(R485&lt;&gt;"Any",R485&lt;&gt;P485),"Sales, receipts and credit notes are for debtors; purchases, payments and debit notes for creditors",IF(AND(F485&lt;&gt;"",D485&lt;&gt;"Purchase bill"),"The received-on date is only for purchase bills",IF(AND(P485="Creditor",X485=1,AA485&gt;0),"Past due to a micro or small supplier: interest runs under MSMED s.16, and if unpaid at year end it is not deductible that year, s.37(2)(g)",IF(AND(P485="Debtor",X485=1,AA485&gt;0),"Past due to you: as a micro or small supplier you can claim interest under MSMED s.16","OK")))))))))))</f>
        <v/>
      </c>
      <c r="P485">
        <f>IF(C485="","",IFERROR(VLOOKUP(C485,'Parties'!$B$13:$Q$112,2,FALSE),"?"))</f>
        <v/>
      </c>
      <c r="Q485">
        <f>IF(D485="","",IFERROR(VLOOKUP(D485,Lists!$A$2:$D$9,3,FALSE),"?"))</f>
        <v/>
      </c>
      <c r="R485">
        <f>IF(D485="","",IFERROR(VLOOKUP(D485,Lists!$A$2:$D$9,4,FALSE),"?"))</f>
        <v/>
      </c>
      <c r="S485">
        <f>IF(P485="Debtor",I485,IF(P485="Creditor",J485,0))</f>
        <v/>
      </c>
      <c r="T485">
        <f>IF(P485="Debtor",J485,IF(P485="Creditor",I485,0))</f>
        <v/>
      </c>
      <c r="U485">
        <f>IF(OR(S485=0,B485=""),0,IFERROR(VLOOKUP(C485,'Parties'!$B$13:$Q$112,13,FALSE),0)+SUMIFS($S$7:$S$506,$C$7:$C$506,C485,$B$7:$B$506,"&lt;"&amp;B485)+SUMIFS(S$7:S485,C$7:C485,C485,B$7:B485,B485))</f>
        <v/>
      </c>
      <c r="V485">
        <f>IF(S485=0,0,IFERROR(VLOOKUP(C485,'Parties'!$B$13:$Q$112,14,FALSE),0)+SUMIFS($T$7:$T$506,$C$7:$C$506,C485,$B$7:$B$506,"&lt;="&amp;'Outstanding'!$E$5))</f>
        <v/>
      </c>
      <c r="W485">
        <f>IF(OR('Outstanding'!$E$5="",S485=0,B485="",B485&gt;'Outstanding'!$E$5),0,MAX(0,MIN(S485,U485-V485)))</f>
        <v/>
      </c>
      <c r="X485">
        <f>IF(C485="",0,IFERROR(VLOOKUP(C485,'Parties'!$B$13:$Q$112,15,FALSE),0))</f>
        <v/>
      </c>
      <c r="Y485">
        <f>IF(C485="","",IFERROR(VLOOKUP(C485,'Parties'!$B$13:$Q$112,16,FALSE),0))</f>
        <v/>
      </c>
      <c r="Z485">
        <f>IF(OR(S485=0,B485="",Y485=""),"",IF(AND(F485&lt;&gt;"",D485="Purchase bill"),F485,B485)+Y485)</f>
        <v/>
      </c>
      <c r="AA485">
        <f>IF(OR(W485=0,Z485=""),0,MAX(0,'Outstanding'!$E$5-Z485))</f>
        <v/>
      </c>
      <c r="AB485">
        <f>IF(AND(X485=1,AA485&gt;0),W485*((1+3*N('Parties'!$E$10)/12)^(AA485*12/365)-1),0)</f>
        <v/>
      </c>
      <c r="AC485">
        <f>IF(W485=0,"",'Outstanding'!$E$5-B485)</f>
        <v/>
      </c>
      <c r="AD485">
        <f>IF(S485=0,0,IFERROR(VLOOKUP(C485,'Parties'!$B$13:$Q$112,14,FALSE),0)+SUMIFS($T$7:$T$506,$C$7:$C$506,C485,$B$7:$B$506,"&lt;="&amp;'Parties'!$E$8))</f>
        <v/>
      </c>
      <c r="AE485">
        <f>IF(OR('Parties'!$E$8="",S485=0,B485="",B485&gt;'Parties'!$E$8),0,MAX(0,MIN(S485,U485-AD485)))</f>
        <v/>
      </c>
      <c r="AF485">
        <f>IF(AND(P485="Creditor",X485=1,AE485&gt;0,Z485&lt;&gt;""),IF(Z485&lt;='Parties'!$E$8,AE485,0),0)</f>
        <v/>
      </c>
      <c r="AG485">
        <f>IF(OR(AE485=0,Z485=""),0,MAX(0,'Parties'!$E$8-Z485))</f>
        <v/>
      </c>
      <c r="AH485">
        <f>IF(AND(P485="Creditor",X485=1,AG485&gt;0),AE485*((1+3*N('Parties'!$E$10)/12)^(AG485*12/365)-1),0)</f>
        <v/>
      </c>
      <c r="AI485">
        <f>IF(AND(C485&lt;&gt;"",C485='Ledger Account'!$D$4,B485&lt;&gt;"",B485&gt;='Ledger Account'!$D$5,B485&lt;='Ledger Account'!$D$6),1,0)</f>
        <v/>
      </c>
      <c r="AJ485">
        <f>IF(AI485=1,SUM(AI$7:AI485),"")</f>
        <v/>
      </c>
      <c r="AK485">
        <f>IF(OR(N485="",N485="OK"),0,1)</f>
        <v/>
      </c>
    </row>
    <row r="486">
      <c r="B486" s="24" t="n"/>
      <c r="C486" s="14" t="n"/>
      <c r="D486" s="14" t="n"/>
      <c r="E486" s="20" t="n"/>
      <c r="F486" s="24" t="n"/>
      <c r="G486" s="14" t="n"/>
      <c r="H486" s="22" t="n"/>
      <c r="I486" s="25">
        <f>IF(Q486="D",N(H486),0)</f>
        <v/>
      </c>
      <c r="J486" s="25">
        <f>IF(Q486="C",N(H486),0)</f>
        <v/>
      </c>
      <c r="K486" s="26">
        <f>IF(Z486="","",Z486)</f>
        <v/>
      </c>
      <c r="L486" s="27">
        <f>W486</f>
        <v/>
      </c>
      <c r="M486" s="28">
        <f>AA486</f>
        <v/>
      </c>
      <c r="N486" s="23">
        <f>IF(AND(B486="",C486="",D486="",N(H486)=0),"",IF(B486="","Enter the date",IF(C486="","Pick the party",IF(P486="?","Add this party on the Parties sheet first",IF(D486="","Pick the entry type",IF(Q486="?","Pick the entry type from the list",IF(N(H486)=0,"Enter the amount",IF(AND(R486&lt;&gt;"Any",R486&lt;&gt;P486),"Sales, receipts and credit notes are for debtors; purchases, payments and debit notes for creditors",IF(AND(F486&lt;&gt;"",D486&lt;&gt;"Purchase bill"),"The received-on date is only for purchase bills",IF(AND(P486="Creditor",X486=1,AA486&gt;0),"Past due to a micro or small supplier: interest runs under MSMED s.16, and if unpaid at year end it is not deductible that year, s.37(2)(g)",IF(AND(P486="Debtor",X486=1,AA486&gt;0),"Past due to you: as a micro or small supplier you can claim interest under MSMED s.16","OK")))))))))))</f>
        <v/>
      </c>
      <c r="P486">
        <f>IF(C486="","",IFERROR(VLOOKUP(C486,'Parties'!$B$13:$Q$112,2,FALSE),"?"))</f>
        <v/>
      </c>
      <c r="Q486">
        <f>IF(D486="","",IFERROR(VLOOKUP(D486,Lists!$A$2:$D$9,3,FALSE),"?"))</f>
        <v/>
      </c>
      <c r="R486">
        <f>IF(D486="","",IFERROR(VLOOKUP(D486,Lists!$A$2:$D$9,4,FALSE),"?"))</f>
        <v/>
      </c>
      <c r="S486">
        <f>IF(P486="Debtor",I486,IF(P486="Creditor",J486,0))</f>
        <v/>
      </c>
      <c r="T486">
        <f>IF(P486="Debtor",J486,IF(P486="Creditor",I486,0))</f>
        <v/>
      </c>
      <c r="U486">
        <f>IF(OR(S486=0,B486=""),0,IFERROR(VLOOKUP(C486,'Parties'!$B$13:$Q$112,13,FALSE),0)+SUMIFS($S$7:$S$506,$C$7:$C$506,C486,$B$7:$B$506,"&lt;"&amp;B486)+SUMIFS(S$7:S486,C$7:C486,C486,B$7:B486,B486))</f>
        <v/>
      </c>
      <c r="V486">
        <f>IF(S486=0,0,IFERROR(VLOOKUP(C486,'Parties'!$B$13:$Q$112,14,FALSE),0)+SUMIFS($T$7:$T$506,$C$7:$C$506,C486,$B$7:$B$506,"&lt;="&amp;'Outstanding'!$E$5))</f>
        <v/>
      </c>
      <c r="W486">
        <f>IF(OR('Outstanding'!$E$5="",S486=0,B486="",B486&gt;'Outstanding'!$E$5),0,MAX(0,MIN(S486,U486-V486)))</f>
        <v/>
      </c>
      <c r="X486">
        <f>IF(C486="",0,IFERROR(VLOOKUP(C486,'Parties'!$B$13:$Q$112,15,FALSE),0))</f>
        <v/>
      </c>
      <c r="Y486">
        <f>IF(C486="","",IFERROR(VLOOKUP(C486,'Parties'!$B$13:$Q$112,16,FALSE),0))</f>
        <v/>
      </c>
      <c r="Z486">
        <f>IF(OR(S486=0,B486="",Y486=""),"",IF(AND(F486&lt;&gt;"",D486="Purchase bill"),F486,B486)+Y486)</f>
        <v/>
      </c>
      <c r="AA486">
        <f>IF(OR(W486=0,Z486=""),0,MAX(0,'Outstanding'!$E$5-Z486))</f>
        <v/>
      </c>
      <c r="AB486">
        <f>IF(AND(X486=1,AA486&gt;0),W486*((1+3*N('Parties'!$E$10)/12)^(AA486*12/365)-1),0)</f>
        <v/>
      </c>
      <c r="AC486">
        <f>IF(W486=0,"",'Outstanding'!$E$5-B486)</f>
        <v/>
      </c>
      <c r="AD486">
        <f>IF(S486=0,0,IFERROR(VLOOKUP(C486,'Parties'!$B$13:$Q$112,14,FALSE),0)+SUMIFS($T$7:$T$506,$C$7:$C$506,C486,$B$7:$B$506,"&lt;="&amp;'Parties'!$E$8))</f>
        <v/>
      </c>
      <c r="AE486">
        <f>IF(OR('Parties'!$E$8="",S486=0,B486="",B486&gt;'Parties'!$E$8),0,MAX(0,MIN(S486,U486-AD486)))</f>
        <v/>
      </c>
      <c r="AF486">
        <f>IF(AND(P486="Creditor",X486=1,AE486&gt;0,Z486&lt;&gt;""),IF(Z486&lt;='Parties'!$E$8,AE486,0),0)</f>
        <v/>
      </c>
      <c r="AG486">
        <f>IF(OR(AE486=0,Z486=""),0,MAX(0,'Parties'!$E$8-Z486))</f>
        <v/>
      </c>
      <c r="AH486">
        <f>IF(AND(P486="Creditor",X486=1,AG486&gt;0),AE486*((1+3*N('Parties'!$E$10)/12)^(AG486*12/365)-1),0)</f>
        <v/>
      </c>
      <c r="AI486">
        <f>IF(AND(C486&lt;&gt;"",C486='Ledger Account'!$D$4,B486&lt;&gt;"",B486&gt;='Ledger Account'!$D$5,B486&lt;='Ledger Account'!$D$6),1,0)</f>
        <v/>
      </c>
      <c r="AJ486">
        <f>IF(AI486=1,SUM(AI$7:AI486),"")</f>
        <v/>
      </c>
      <c r="AK486">
        <f>IF(OR(N486="",N486="OK"),0,1)</f>
        <v/>
      </c>
    </row>
    <row r="487">
      <c r="B487" s="24" t="n"/>
      <c r="C487" s="14" t="n"/>
      <c r="D487" s="14" t="n"/>
      <c r="E487" s="20" t="n"/>
      <c r="F487" s="24" t="n"/>
      <c r="G487" s="14" t="n"/>
      <c r="H487" s="22" t="n"/>
      <c r="I487" s="25">
        <f>IF(Q487="D",N(H487),0)</f>
        <v/>
      </c>
      <c r="J487" s="25">
        <f>IF(Q487="C",N(H487),0)</f>
        <v/>
      </c>
      <c r="K487" s="26">
        <f>IF(Z487="","",Z487)</f>
        <v/>
      </c>
      <c r="L487" s="27">
        <f>W487</f>
        <v/>
      </c>
      <c r="M487" s="28">
        <f>AA487</f>
        <v/>
      </c>
      <c r="N487" s="23">
        <f>IF(AND(B487="",C487="",D487="",N(H487)=0),"",IF(B487="","Enter the date",IF(C487="","Pick the party",IF(P487="?","Add this party on the Parties sheet first",IF(D487="","Pick the entry type",IF(Q487="?","Pick the entry type from the list",IF(N(H487)=0,"Enter the amount",IF(AND(R487&lt;&gt;"Any",R487&lt;&gt;P487),"Sales, receipts and credit notes are for debtors; purchases, payments and debit notes for creditors",IF(AND(F487&lt;&gt;"",D487&lt;&gt;"Purchase bill"),"The received-on date is only for purchase bills",IF(AND(P487="Creditor",X487=1,AA487&gt;0),"Past due to a micro or small supplier: interest runs under MSMED s.16, and if unpaid at year end it is not deductible that year, s.37(2)(g)",IF(AND(P487="Debtor",X487=1,AA487&gt;0),"Past due to you: as a micro or small supplier you can claim interest under MSMED s.16","OK")))))))))))</f>
        <v/>
      </c>
      <c r="P487">
        <f>IF(C487="","",IFERROR(VLOOKUP(C487,'Parties'!$B$13:$Q$112,2,FALSE),"?"))</f>
        <v/>
      </c>
      <c r="Q487">
        <f>IF(D487="","",IFERROR(VLOOKUP(D487,Lists!$A$2:$D$9,3,FALSE),"?"))</f>
        <v/>
      </c>
      <c r="R487">
        <f>IF(D487="","",IFERROR(VLOOKUP(D487,Lists!$A$2:$D$9,4,FALSE),"?"))</f>
        <v/>
      </c>
      <c r="S487">
        <f>IF(P487="Debtor",I487,IF(P487="Creditor",J487,0))</f>
        <v/>
      </c>
      <c r="T487">
        <f>IF(P487="Debtor",J487,IF(P487="Creditor",I487,0))</f>
        <v/>
      </c>
      <c r="U487">
        <f>IF(OR(S487=0,B487=""),0,IFERROR(VLOOKUP(C487,'Parties'!$B$13:$Q$112,13,FALSE),0)+SUMIFS($S$7:$S$506,$C$7:$C$506,C487,$B$7:$B$506,"&lt;"&amp;B487)+SUMIFS(S$7:S487,C$7:C487,C487,B$7:B487,B487))</f>
        <v/>
      </c>
      <c r="V487">
        <f>IF(S487=0,0,IFERROR(VLOOKUP(C487,'Parties'!$B$13:$Q$112,14,FALSE),0)+SUMIFS($T$7:$T$506,$C$7:$C$506,C487,$B$7:$B$506,"&lt;="&amp;'Outstanding'!$E$5))</f>
        <v/>
      </c>
      <c r="W487">
        <f>IF(OR('Outstanding'!$E$5="",S487=0,B487="",B487&gt;'Outstanding'!$E$5),0,MAX(0,MIN(S487,U487-V487)))</f>
        <v/>
      </c>
      <c r="X487">
        <f>IF(C487="",0,IFERROR(VLOOKUP(C487,'Parties'!$B$13:$Q$112,15,FALSE),0))</f>
        <v/>
      </c>
      <c r="Y487">
        <f>IF(C487="","",IFERROR(VLOOKUP(C487,'Parties'!$B$13:$Q$112,16,FALSE),0))</f>
        <v/>
      </c>
      <c r="Z487">
        <f>IF(OR(S487=0,B487="",Y487=""),"",IF(AND(F487&lt;&gt;"",D487="Purchase bill"),F487,B487)+Y487)</f>
        <v/>
      </c>
      <c r="AA487">
        <f>IF(OR(W487=0,Z487=""),0,MAX(0,'Outstanding'!$E$5-Z487))</f>
        <v/>
      </c>
      <c r="AB487">
        <f>IF(AND(X487=1,AA487&gt;0),W487*((1+3*N('Parties'!$E$10)/12)^(AA487*12/365)-1),0)</f>
        <v/>
      </c>
      <c r="AC487">
        <f>IF(W487=0,"",'Outstanding'!$E$5-B487)</f>
        <v/>
      </c>
      <c r="AD487">
        <f>IF(S487=0,0,IFERROR(VLOOKUP(C487,'Parties'!$B$13:$Q$112,14,FALSE),0)+SUMIFS($T$7:$T$506,$C$7:$C$506,C487,$B$7:$B$506,"&lt;="&amp;'Parties'!$E$8))</f>
        <v/>
      </c>
      <c r="AE487">
        <f>IF(OR('Parties'!$E$8="",S487=0,B487="",B487&gt;'Parties'!$E$8),0,MAX(0,MIN(S487,U487-AD487)))</f>
        <v/>
      </c>
      <c r="AF487">
        <f>IF(AND(P487="Creditor",X487=1,AE487&gt;0,Z487&lt;&gt;""),IF(Z487&lt;='Parties'!$E$8,AE487,0),0)</f>
        <v/>
      </c>
      <c r="AG487">
        <f>IF(OR(AE487=0,Z487=""),0,MAX(0,'Parties'!$E$8-Z487))</f>
        <v/>
      </c>
      <c r="AH487">
        <f>IF(AND(P487="Creditor",X487=1,AG487&gt;0),AE487*((1+3*N('Parties'!$E$10)/12)^(AG487*12/365)-1),0)</f>
        <v/>
      </c>
      <c r="AI487">
        <f>IF(AND(C487&lt;&gt;"",C487='Ledger Account'!$D$4,B487&lt;&gt;"",B487&gt;='Ledger Account'!$D$5,B487&lt;='Ledger Account'!$D$6),1,0)</f>
        <v/>
      </c>
      <c r="AJ487">
        <f>IF(AI487=1,SUM(AI$7:AI487),"")</f>
        <v/>
      </c>
      <c r="AK487">
        <f>IF(OR(N487="",N487="OK"),0,1)</f>
        <v/>
      </c>
    </row>
    <row r="488">
      <c r="B488" s="24" t="n"/>
      <c r="C488" s="14" t="n"/>
      <c r="D488" s="14" t="n"/>
      <c r="E488" s="20" t="n"/>
      <c r="F488" s="24" t="n"/>
      <c r="G488" s="14" t="n"/>
      <c r="H488" s="22" t="n"/>
      <c r="I488" s="25">
        <f>IF(Q488="D",N(H488),0)</f>
        <v/>
      </c>
      <c r="J488" s="25">
        <f>IF(Q488="C",N(H488),0)</f>
        <v/>
      </c>
      <c r="K488" s="26">
        <f>IF(Z488="","",Z488)</f>
        <v/>
      </c>
      <c r="L488" s="27">
        <f>W488</f>
        <v/>
      </c>
      <c r="M488" s="28">
        <f>AA488</f>
        <v/>
      </c>
      <c r="N488" s="23">
        <f>IF(AND(B488="",C488="",D488="",N(H488)=0),"",IF(B488="","Enter the date",IF(C488="","Pick the party",IF(P488="?","Add this party on the Parties sheet first",IF(D488="","Pick the entry type",IF(Q488="?","Pick the entry type from the list",IF(N(H488)=0,"Enter the amount",IF(AND(R488&lt;&gt;"Any",R488&lt;&gt;P488),"Sales, receipts and credit notes are for debtors; purchases, payments and debit notes for creditors",IF(AND(F488&lt;&gt;"",D488&lt;&gt;"Purchase bill"),"The received-on date is only for purchase bills",IF(AND(P488="Creditor",X488=1,AA488&gt;0),"Past due to a micro or small supplier: interest runs under MSMED s.16, and if unpaid at year end it is not deductible that year, s.37(2)(g)",IF(AND(P488="Debtor",X488=1,AA488&gt;0),"Past due to you: as a micro or small supplier you can claim interest under MSMED s.16","OK")))))))))))</f>
        <v/>
      </c>
      <c r="P488">
        <f>IF(C488="","",IFERROR(VLOOKUP(C488,'Parties'!$B$13:$Q$112,2,FALSE),"?"))</f>
        <v/>
      </c>
      <c r="Q488">
        <f>IF(D488="","",IFERROR(VLOOKUP(D488,Lists!$A$2:$D$9,3,FALSE),"?"))</f>
        <v/>
      </c>
      <c r="R488">
        <f>IF(D488="","",IFERROR(VLOOKUP(D488,Lists!$A$2:$D$9,4,FALSE),"?"))</f>
        <v/>
      </c>
      <c r="S488">
        <f>IF(P488="Debtor",I488,IF(P488="Creditor",J488,0))</f>
        <v/>
      </c>
      <c r="T488">
        <f>IF(P488="Debtor",J488,IF(P488="Creditor",I488,0))</f>
        <v/>
      </c>
      <c r="U488">
        <f>IF(OR(S488=0,B488=""),0,IFERROR(VLOOKUP(C488,'Parties'!$B$13:$Q$112,13,FALSE),0)+SUMIFS($S$7:$S$506,$C$7:$C$506,C488,$B$7:$B$506,"&lt;"&amp;B488)+SUMIFS(S$7:S488,C$7:C488,C488,B$7:B488,B488))</f>
        <v/>
      </c>
      <c r="V488">
        <f>IF(S488=0,0,IFERROR(VLOOKUP(C488,'Parties'!$B$13:$Q$112,14,FALSE),0)+SUMIFS($T$7:$T$506,$C$7:$C$506,C488,$B$7:$B$506,"&lt;="&amp;'Outstanding'!$E$5))</f>
        <v/>
      </c>
      <c r="W488">
        <f>IF(OR('Outstanding'!$E$5="",S488=0,B488="",B488&gt;'Outstanding'!$E$5),0,MAX(0,MIN(S488,U488-V488)))</f>
        <v/>
      </c>
      <c r="X488">
        <f>IF(C488="",0,IFERROR(VLOOKUP(C488,'Parties'!$B$13:$Q$112,15,FALSE),0))</f>
        <v/>
      </c>
      <c r="Y488">
        <f>IF(C488="","",IFERROR(VLOOKUP(C488,'Parties'!$B$13:$Q$112,16,FALSE),0))</f>
        <v/>
      </c>
      <c r="Z488">
        <f>IF(OR(S488=0,B488="",Y488=""),"",IF(AND(F488&lt;&gt;"",D488="Purchase bill"),F488,B488)+Y488)</f>
        <v/>
      </c>
      <c r="AA488">
        <f>IF(OR(W488=0,Z488=""),0,MAX(0,'Outstanding'!$E$5-Z488))</f>
        <v/>
      </c>
      <c r="AB488">
        <f>IF(AND(X488=1,AA488&gt;0),W488*((1+3*N('Parties'!$E$10)/12)^(AA488*12/365)-1),0)</f>
        <v/>
      </c>
      <c r="AC488">
        <f>IF(W488=0,"",'Outstanding'!$E$5-B488)</f>
        <v/>
      </c>
      <c r="AD488">
        <f>IF(S488=0,0,IFERROR(VLOOKUP(C488,'Parties'!$B$13:$Q$112,14,FALSE),0)+SUMIFS($T$7:$T$506,$C$7:$C$506,C488,$B$7:$B$506,"&lt;="&amp;'Parties'!$E$8))</f>
        <v/>
      </c>
      <c r="AE488">
        <f>IF(OR('Parties'!$E$8="",S488=0,B488="",B488&gt;'Parties'!$E$8),0,MAX(0,MIN(S488,U488-AD488)))</f>
        <v/>
      </c>
      <c r="AF488">
        <f>IF(AND(P488="Creditor",X488=1,AE488&gt;0,Z488&lt;&gt;""),IF(Z488&lt;='Parties'!$E$8,AE488,0),0)</f>
        <v/>
      </c>
      <c r="AG488">
        <f>IF(OR(AE488=0,Z488=""),0,MAX(0,'Parties'!$E$8-Z488))</f>
        <v/>
      </c>
      <c r="AH488">
        <f>IF(AND(P488="Creditor",X488=1,AG488&gt;0),AE488*((1+3*N('Parties'!$E$10)/12)^(AG488*12/365)-1),0)</f>
        <v/>
      </c>
      <c r="AI488">
        <f>IF(AND(C488&lt;&gt;"",C488='Ledger Account'!$D$4,B488&lt;&gt;"",B488&gt;='Ledger Account'!$D$5,B488&lt;='Ledger Account'!$D$6),1,0)</f>
        <v/>
      </c>
      <c r="AJ488">
        <f>IF(AI488=1,SUM(AI$7:AI488),"")</f>
        <v/>
      </c>
      <c r="AK488">
        <f>IF(OR(N488="",N488="OK"),0,1)</f>
        <v/>
      </c>
    </row>
    <row r="489">
      <c r="B489" s="24" t="n"/>
      <c r="C489" s="14" t="n"/>
      <c r="D489" s="14" t="n"/>
      <c r="E489" s="20" t="n"/>
      <c r="F489" s="24" t="n"/>
      <c r="G489" s="14" t="n"/>
      <c r="H489" s="22" t="n"/>
      <c r="I489" s="25">
        <f>IF(Q489="D",N(H489),0)</f>
        <v/>
      </c>
      <c r="J489" s="25">
        <f>IF(Q489="C",N(H489),0)</f>
        <v/>
      </c>
      <c r="K489" s="26">
        <f>IF(Z489="","",Z489)</f>
        <v/>
      </c>
      <c r="L489" s="27">
        <f>W489</f>
        <v/>
      </c>
      <c r="M489" s="28">
        <f>AA489</f>
        <v/>
      </c>
      <c r="N489" s="23">
        <f>IF(AND(B489="",C489="",D489="",N(H489)=0),"",IF(B489="","Enter the date",IF(C489="","Pick the party",IF(P489="?","Add this party on the Parties sheet first",IF(D489="","Pick the entry type",IF(Q489="?","Pick the entry type from the list",IF(N(H489)=0,"Enter the amount",IF(AND(R489&lt;&gt;"Any",R489&lt;&gt;P489),"Sales, receipts and credit notes are for debtors; purchases, payments and debit notes for creditors",IF(AND(F489&lt;&gt;"",D489&lt;&gt;"Purchase bill"),"The received-on date is only for purchase bills",IF(AND(P489="Creditor",X489=1,AA489&gt;0),"Past due to a micro or small supplier: interest runs under MSMED s.16, and if unpaid at year end it is not deductible that year, s.37(2)(g)",IF(AND(P489="Debtor",X489=1,AA489&gt;0),"Past due to you: as a micro or small supplier you can claim interest under MSMED s.16","OK")))))))))))</f>
        <v/>
      </c>
      <c r="P489">
        <f>IF(C489="","",IFERROR(VLOOKUP(C489,'Parties'!$B$13:$Q$112,2,FALSE),"?"))</f>
        <v/>
      </c>
      <c r="Q489">
        <f>IF(D489="","",IFERROR(VLOOKUP(D489,Lists!$A$2:$D$9,3,FALSE),"?"))</f>
        <v/>
      </c>
      <c r="R489">
        <f>IF(D489="","",IFERROR(VLOOKUP(D489,Lists!$A$2:$D$9,4,FALSE),"?"))</f>
        <v/>
      </c>
      <c r="S489">
        <f>IF(P489="Debtor",I489,IF(P489="Creditor",J489,0))</f>
        <v/>
      </c>
      <c r="T489">
        <f>IF(P489="Debtor",J489,IF(P489="Creditor",I489,0))</f>
        <v/>
      </c>
      <c r="U489">
        <f>IF(OR(S489=0,B489=""),0,IFERROR(VLOOKUP(C489,'Parties'!$B$13:$Q$112,13,FALSE),0)+SUMIFS($S$7:$S$506,$C$7:$C$506,C489,$B$7:$B$506,"&lt;"&amp;B489)+SUMIFS(S$7:S489,C$7:C489,C489,B$7:B489,B489))</f>
        <v/>
      </c>
      <c r="V489">
        <f>IF(S489=0,0,IFERROR(VLOOKUP(C489,'Parties'!$B$13:$Q$112,14,FALSE),0)+SUMIFS($T$7:$T$506,$C$7:$C$506,C489,$B$7:$B$506,"&lt;="&amp;'Outstanding'!$E$5))</f>
        <v/>
      </c>
      <c r="W489">
        <f>IF(OR('Outstanding'!$E$5="",S489=0,B489="",B489&gt;'Outstanding'!$E$5),0,MAX(0,MIN(S489,U489-V489)))</f>
        <v/>
      </c>
      <c r="X489">
        <f>IF(C489="",0,IFERROR(VLOOKUP(C489,'Parties'!$B$13:$Q$112,15,FALSE),0))</f>
        <v/>
      </c>
      <c r="Y489">
        <f>IF(C489="","",IFERROR(VLOOKUP(C489,'Parties'!$B$13:$Q$112,16,FALSE),0))</f>
        <v/>
      </c>
      <c r="Z489">
        <f>IF(OR(S489=0,B489="",Y489=""),"",IF(AND(F489&lt;&gt;"",D489="Purchase bill"),F489,B489)+Y489)</f>
        <v/>
      </c>
      <c r="AA489">
        <f>IF(OR(W489=0,Z489=""),0,MAX(0,'Outstanding'!$E$5-Z489))</f>
        <v/>
      </c>
      <c r="AB489">
        <f>IF(AND(X489=1,AA489&gt;0),W489*((1+3*N('Parties'!$E$10)/12)^(AA489*12/365)-1),0)</f>
        <v/>
      </c>
      <c r="AC489">
        <f>IF(W489=0,"",'Outstanding'!$E$5-B489)</f>
        <v/>
      </c>
      <c r="AD489">
        <f>IF(S489=0,0,IFERROR(VLOOKUP(C489,'Parties'!$B$13:$Q$112,14,FALSE),0)+SUMIFS($T$7:$T$506,$C$7:$C$506,C489,$B$7:$B$506,"&lt;="&amp;'Parties'!$E$8))</f>
        <v/>
      </c>
      <c r="AE489">
        <f>IF(OR('Parties'!$E$8="",S489=0,B489="",B489&gt;'Parties'!$E$8),0,MAX(0,MIN(S489,U489-AD489)))</f>
        <v/>
      </c>
      <c r="AF489">
        <f>IF(AND(P489="Creditor",X489=1,AE489&gt;0,Z489&lt;&gt;""),IF(Z489&lt;='Parties'!$E$8,AE489,0),0)</f>
        <v/>
      </c>
      <c r="AG489">
        <f>IF(OR(AE489=0,Z489=""),0,MAX(0,'Parties'!$E$8-Z489))</f>
        <v/>
      </c>
      <c r="AH489">
        <f>IF(AND(P489="Creditor",X489=1,AG489&gt;0),AE489*((1+3*N('Parties'!$E$10)/12)^(AG489*12/365)-1),0)</f>
        <v/>
      </c>
      <c r="AI489">
        <f>IF(AND(C489&lt;&gt;"",C489='Ledger Account'!$D$4,B489&lt;&gt;"",B489&gt;='Ledger Account'!$D$5,B489&lt;='Ledger Account'!$D$6),1,0)</f>
        <v/>
      </c>
      <c r="AJ489">
        <f>IF(AI489=1,SUM(AI$7:AI489),"")</f>
        <v/>
      </c>
      <c r="AK489">
        <f>IF(OR(N489="",N489="OK"),0,1)</f>
        <v/>
      </c>
    </row>
    <row r="490">
      <c r="B490" s="24" t="n"/>
      <c r="C490" s="14" t="n"/>
      <c r="D490" s="14" t="n"/>
      <c r="E490" s="20" t="n"/>
      <c r="F490" s="24" t="n"/>
      <c r="G490" s="14" t="n"/>
      <c r="H490" s="22" t="n"/>
      <c r="I490" s="25">
        <f>IF(Q490="D",N(H490),0)</f>
        <v/>
      </c>
      <c r="J490" s="25">
        <f>IF(Q490="C",N(H490),0)</f>
        <v/>
      </c>
      <c r="K490" s="26">
        <f>IF(Z490="","",Z490)</f>
        <v/>
      </c>
      <c r="L490" s="27">
        <f>W490</f>
        <v/>
      </c>
      <c r="M490" s="28">
        <f>AA490</f>
        <v/>
      </c>
      <c r="N490" s="23">
        <f>IF(AND(B490="",C490="",D490="",N(H490)=0),"",IF(B490="","Enter the date",IF(C490="","Pick the party",IF(P490="?","Add this party on the Parties sheet first",IF(D490="","Pick the entry type",IF(Q490="?","Pick the entry type from the list",IF(N(H490)=0,"Enter the amount",IF(AND(R490&lt;&gt;"Any",R490&lt;&gt;P490),"Sales, receipts and credit notes are for debtors; purchases, payments and debit notes for creditors",IF(AND(F490&lt;&gt;"",D490&lt;&gt;"Purchase bill"),"The received-on date is only for purchase bills",IF(AND(P490="Creditor",X490=1,AA490&gt;0),"Past due to a micro or small supplier: interest runs under MSMED s.16, and if unpaid at year end it is not deductible that year, s.37(2)(g)",IF(AND(P490="Debtor",X490=1,AA490&gt;0),"Past due to you: as a micro or small supplier you can claim interest under MSMED s.16","OK")))))))))))</f>
        <v/>
      </c>
      <c r="P490">
        <f>IF(C490="","",IFERROR(VLOOKUP(C490,'Parties'!$B$13:$Q$112,2,FALSE),"?"))</f>
        <v/>
      </c>
      <c r="Q490">
        <f>IF(D490="","",IFERROR(VLOOKUP(D490,Lists!$A$2:$D$9,3,FALSE),"?"))</f>
        <v/>
      </c>
      <c r="R490">
        <f>IF(D490="","",IFERROR(VLOOKUP(D490,Lists!$A$2:$D$9,4,FALSE),"?"))</f>
        <v/>
      </c>
      <c r="S490">
        <f>IF(P490="Debtor",I490,IF(P490="Creditor",J490,0))</f>
        <v/>
      </c>
      <c r="T490">
        <f>IF(P490="Debtor",J490,IF(P490="Creditor",I490,0))</f>
        <v/>
      </c>
      <c r="U490">
        <f>IF(OR(S490=0,B490=""),0,IFERROR(VLOOKUP(C490,'Parties'!$B$13:$Q$112,13,FALSE),0)+SUMIFS($S$7:$S$506,$C$7:$C$506,C490,$B$7:$B$506,"&lt;"&amp;B490)+SUMIFS(S$7:S490,C$7:C490,C490,B$7:B490,B490))</f>
        <v/>
      </c>
      <c r="V490">
        <f>IF(S490=0,0,IFERROR(VLOOKUP(C490,'Parties'!$B$13:$Q$112,14,FALSE),0)+SUMIFS($T$7:$T$506,$C$7:$C$506,C490,$B$7:$B$506,"&lt;="&amp;'Outstanding'!$E$5))</f>
        <v/>
      </c>
      <c r="W490">
        <f>IF(OR('Outstanding'!$E$5="",S490=0,B490="",B490&gt;'Outstanding'!$E$5),0,MAX(0,MIN(S490,U490-V490)))</f>
        <v/>
      </c>
      <c r="X490">
        <f>IF(C490="",0,IFERROR(VLOOKUP(C490,'Parties'!$B$13:$Q$112,15,FALSE),0))</f>
        <v/>
      </c>
      <c r="Y490">
        <f>IF(C490="","",IFERROR(VLOOKUP(C490,'Parties'!$B$13:$Q$112,16,FALSE),0))</f>
        <v/>
      </c>
      <c r="Z490">
        <f>IF(OR(S490=0,B490="",Y490=""),"",IF(AND(F490&lt;&gt;"",D490="Purchase bill"),F490,B490)+Y490)</f>
        <v/>
      </c>
      <c r="AA490">
        <f>IF(OR(W490=0,Z490=""),0,MAX(0,'Outstanding'!$E$5-Z490))</f>
        <v/>
      </c>
      <c r="AB490">
        <f>IF(AND(X490=1,AA490&gt;0),W490*((1+3*N('Parties'!$E$10)/12)^(AA490*12/365)-1),0)</f>
        <v/>
      </c>
      <c r="AC490">
        <f>IF(W490=0,"",'Outstanding'!$E$5-B490)</f>
        <v/>
      </c>
      <c r="AD490">
        <f>IF(S490=0,0,IFERROR(VLOOKUP(C490,'Parties'!$B$13:$Q$112,14,FALSE),0)+SUMIFS($T$7:$T$506,$C$7:$C$506,C490,$B$7:$B$506,"&lt;="&amp;'Parties'!$E$8))</f>
        <v/>
      </c>
      <c r="AE490">
        <f>IF(OR('Parties'!$E$8="",S490=0,B490="",B490&gt;'Parties'!$E$8),0,MAX(0,MIN(S490,U490-AD490)))</f>
        <v/>
      </c>
      <c r="AF490">
        <f>IF(AND(P490="Creditor",X490=1,AE490&gt;0,Z490&lt;&gt;""),IF(Z490&lt;='Parties'!$E$8,AE490,0),0)</f>
        <v/>
      </c>
      <c r="AG490">
        <f>IF(OR(AE490=0,Z490=""),0,MAX(0,'Parties'!$E$8-Z490))</f>
        <v/>
      </c>
      <c r="AH490">
        <f>IF(AND(P490="Creditor",X490=1,AG490&gt;0),AE490*((1+3*N('Parties'!$E$10)/12)^(AG490*12/365)-1),0)</f>
        <v/>
      </c>
      <c r="AI490">
        <f>IF(AND(C490&lt;&gt;"",C490='Ledger Account'!$D$4,B490&lt;&gt;"",B490&gt;='Ledger Account'!$D$5,B490&lt;='Ledger Account'!$D$6),1,0)</f>
        <v/>
      </c>
      <c r="AJ490">
        <f>IF(AI490=1,SUM(AI$7:AI490),"")</f>
        <v/>
      </c>
      <c r="AK490">
        <f>IF(OR(N490="",N490="OK"),0,1)</f>
        <v/>
      </c>
    </row>
    <row r="491">
      <c r="B491" s="24" t="n"/>
      <c r="C491" s="14" t="n"/>
      <c r="D491" s="14" t="n"/>
      <c r="E491" s="20" t="n"/>
      <c r="F491" s="24" t="n"/>
      <c r="G491" s="14" t="n"/>
      <c r="H491" s="22" t="n"/>
      <c r="I491" s="25">
        <f>IF(Q491="D",N(H491),0)</f>
        <v/>
      </c>
      <c r="J491" s="25">
        <f>IF(Q491="C",N(H491),0)</f>
        <v/>
      </c>
      <c r="K491" s="26">
        <f>IF(Z491="","",Z491)</f>
        <v/>
      </c>
      <c r="L491" s="27">
        <f>W491</f>
        <v/>
      </c>
      <c r="M491" s="28">
        <f>AA491</f>
        <v/>
      </c>
      <c r="N491" s="23">
        <f>IF(AND(B491="",C491="",D491="",N(H491)=0),"",IF(B491="","Enter the date",IF(C491="","Pick the party",IF(P491="?","Add this party on the Parties sheet first",IF(D491="","Pick the entry type",IF(Q491="?","Pick the entry type from the list",IF(N(H491)=0,"Enter the amount",IF(AND(R491&lt;&gt;"Any",R491&lt;&gt;P491),"Sales, receipts and credit notes are for debtors; purchases, payments and debit notes for creditors",IF(AND(F491&lt;&gt;"",D491&lt;&gt;"Purchase bill"),"The received-on date is only for purchase bills",IF(AND(P491="Creditor",X491=1,AA491&gt;0),"Past due to a micro or small supplier: interest runs under MSMED s.16, and if unpaid at year end it is not deductible that year, s.37(2)(g)",IF(AND(P491="Debtor",X491=1,AA491&gt;0),"Past due to you: as a micro or small supplier you can claim interest under MSMED s.16","OK")))))))))))</f>
        <v/>
      </c>
      <c r="P491">
        <f>IF(C491="","",IFERROR(VLOOKUP(C491,'Parties'!$B$13:$Q$112,2,FALSE),"?"))</f>
        <v/>
      </c>
      <c r="Q491">
        <f>IF(D491="","",IFERROR(VLOOKUP(D491,Lists!$A$2:$D$9,3,FALSE),"?"))</f>
        <v/>
      </c>
      <c r="R491">
        <f>IF(D491="","",IFERROR(VLOOKUP(D491,Lists!$A$2:$D$9,4,FALSE),"?"))</f>
        <v/>
      </c>
      <c r="S491">
        <f>IF(P491="Debtor",I491,IF(P491="Creditor",J491,0))</f>
        <v/>
      </c>
      <c r="T491">
        <f>IF(P491="Debtor",J491,IF(P491="Creditor",I491,0))</f>
        <v/>
      </c>
      <c r="U491">
        <f>IF(OR(S491=0,B491=""),0,IFERROR(VLOOKUP(C491,'Parties'!$B$13:$Q$112,13,FALSE),0)+SUMIFS($S$7:$S$506,$C$7:$C$506,C491,$B$7:$B$506,"&lt;"&amp;B491)+SUMIFS(S$7:S491,C$7:C491,C491,B$7:B491,B491))</f>
        <v/>
      </c>
      <c r="V491">
        <f>IF(S491=0,0,IFERROR(VLOOKUP(C491,'Parties'!$B$13:$Q$112,14,FALSE),0)+SUMIFS($T$7:$T$506,$C$7:$C$506,C491,$B$7:$B$506,"&lt;="&amp;'Outstanding'!$E$5))</f>
        <v/>
      </c>
      <c r="W491">
        <f>IF(OR('Outstanding'!$E$5="",S491=0,B491="",B491&gt;'Outstanding'!$E$5),0,MAX(0,MIN(S491,U491-V491)))</f>
        <v/>
      </c>
      <c r="X491">
        <f>IF(C491="",0,IFERROR(VLOOKUP(C491,'Parties'!$B$13:$Q$112,15,FALSE),0))</f>
        <v/>
      </c>
      <c r="Y491">
        <f>IF(C491="","",IFERROR(VLOOKUP(C491,'Parties'!$B$13:$Q$112,16,FALSE),0))</f>
        <v/>
      </c>
      <c r="Z491">
        <f>IF(OR(S491=0,B491="",Y491=""),"",IF(AND(F491&lt;&gt;"",D491="Purchase bill"),F491,B491)+Y491)</f>
        <v/>
      </c>
      <c r="AA491">
        <f>IF(OR(W491=0,Z491=""),0,MAX(0,'Outstanding'!$E$5-Z491))</f>
        <v/>
      </c>
      <c r="AB491">
        <f>IF(AND(X491=1,AA491&gt;0),W491*((1+3*N('Parties'!$E$10)/12)^(AA491*12/365)-1),0)</f>
        <v/>
      </c>
      <c r="AC491">
        <f>IF(W491=0,"",'Outstanding'!$E$5-B491)</f>
        <v/>
      </c>
      <c r="AD491">
        <f>IF(S491=0,0,IFERROR(VLOOKUP(C491,'Parties'!$B$13:$Q$112,14,FALSE),0)+SUMIFS($T$7:$T$506,$C$7:$C$506,C491,$B$7:$B$506,"&lt;="&amp;'Parties'!$E$8))</f>
        <v/>
      </c>
      <c r="AE491">
        <f>IF(OR('Parties'!$E$8="",S491=0,B491="",B491&gt;'Parties'!$E$8),0,MAX(0,MIN(S491,U491-AD491)))</f>
        <v/>
      </c>
      <c r="AF491">
        <f>IF(AND(P491="Creditor",X491=1,AE491&gt;0,Z491&lt;&gt;""),IF(Z491&lt;='Parties'!$E$8,AE491,0),0)</f>
        <v/>
      </c>
      <c r="AG491">
        <f>IF(OR(AE491=0,Z491=""),0,MAX(0,'Parties'!$E$8-Z491))</f>
        <v/>
      </c>
      <c r="AH491">
        <f>IF(AND(P491="Creditor",X491=1,AG491&gt;0),AE491*((1+3*N('Parties'!$E$10)/12)^(AG491*12/365)-1),0)</f>
        <v/>
      </c>
      <c r="AI491">
        <f>IF(AND(C491&lt;&gt;"",C491='Ledger Account'!$D$4,B491&lt;&gt;"",B491&gt;='Ledger Account'!$D$5,B491&lt;='Ledger Account'!$D$6),1,0)</f>
        <v/>
      </c>
      <c r="AJ491">
        <f>IF(AI491=1,SUM(AI$7:AI491),"")</f>
        <v/>
      </c>
      <c r="AK491">
        <f>IF(OR(N491="",N491="OK"),0,1)</f>
        <v/>
      </c>
    </row>
    <row r="492">
      <c r="B492" s="24" t="n"/>
      <c r="C492" s="14" t="n"/>
      <c r="D492" s="14" t="n"/>
      <c r="E492" s="20" t="n"/>
      <c r="F492" s="24" t="n"/>
      <c r="G492" s="14" t="n"/>
      <c r="H492" s="22" t="n"/>
      <c r="I492" s="25">
        <f>IF(Q492="D",N(H492),0)</f>
        <v/>
      </c>
      <c r="J492" s="25">
        <f>IF(Q492="C",N(H492),0)</f>
        <v/>
      </c>
      <c r="K492" s="26">
        <f>IF(Z492="","",Z492)</f>
        <v/>
      </c>
      <c r="L492" s="27">
        <f>W492</f>
        <v/>
      </c>
      <c r="M492" s="28">
        <f>AA492</f>
        <v/>
      </c>
      <c r="N492" s="23">
        <f>IF(AND(B492="",C492="",D492="",N(H492)=0),"",IF(B492="","Enter the date",IF(C492="","Pick the party",IF(P492="?","Add this party on the Parties sheet first",IF(D492="","Pick the entry type",IF(Q492="?","Pick the entry type from the list",IF(N(H492)=0,"Enter the amount",IF(AND(R492&lt;&gt;"Any",R492&lt;&gt;P492),"Sales, receipts and credit notes are for debtors; purchases, payments and debit notes for creditors",IF(AND(F492&lt;&gt;"",D492&lt;&gt;"Purchase bill"),"The received-on date is only for purchase bills",IF(AND(P492="Creditor",X492=1,AA492&gt;0),"Past due to a micro or small supplier: interest runs under MSMED s.16, and if unpaid at year end it is not deductible that year, s.37(2)(g)",IF(AND(P492="Debtor",X492=1,AA492&gt;0),"Past due to you: as a micro or small supplier you can claim interest under MSMED s.16","OK")))))))))))</f>
        <v/>
      </c>
      <c r="P492">
        <f>IF(C492="","",IFERROR(VLOOKUP(C492,'Parties'!$B$13:$Q$112,2,FALSE),"?"))</f>
        <v/>
      </c>
      <c r="Q492">
        <f>IF(D492="","",IFERROR(VLOOKUP(D492,Lists!$A$2:$D$9,3,FALSE),"?"))</f>
        <v/>
      </c>
      <c r="R492">
        <f>IF(D492="","",IFERROR(VLOOKUP(D492,Lists!$A$2:$D$9,4,FALSE),"?"))</f>
        <v/>
      </c>
      <c r="S492">
        <f>IF(P492="Debtor",I492,IF(P492="Creditor",J492,0))</f>
        <v/>
      </c>
      <c r="T492">
        <f>IF(P492="Debtor",J492,IF(P492="Creditor",I492,0))</f>
        <v/>
      </c>
      <c r="U492">
        <f>IF(OR(S492=0,B492=""),0,IFERROR(VLOOKUP(C492,'Parties'!$B$13:$Q$112,13,FALSE),0)+SUMIFS($S$7:$S$506,$C$7:$C$506,C492,$B$7:$B$506,"&lt;"&amp;B492)+SUMIFS(S$7:S492,C$7:C492,C492,B$7:B492,B492))</f>
        <v/>
      </c>
      <c r="V492">
        <f>IF(S492=0,0,IFERROR(VLOOKUP(C492,'Parties'!$B$13:$Q$112,14,FALSE),0)+SUMIFS($T$7:$T$506,$C$7:$C$506,C492,$B$7:$B$506,"&lt;="&amp;'Outstanding'!$E$5))</f>
        <v/>
      </c>
      <c r="W492">
        <f>IF(OR('Outstanding'!$E$5="",S492=0,B492="",B492&gt;'Outstanding'!$E$5),0,MAX(0,MIN(S492,U492-V492)))</f>
        <v/>
      </c>
      <c r="X492">
        <f>IF(C492="",0,IFERROR(VLOOKUP(C492,'Parties'!$B$13:$Q$112,15,FALSE),0))</f>
        <v/>
      </c>
      <c r="Y492">
        <f>IF(C492="","",IFERROR(VLOOKUP(C492,'Parties'!$B$13:$Q$112,16,FALSE),0))</f>
        <v/>
      </c>
      <c r="Z492">
        <f>IF(OR(S492=0,B492="",Y492=""),"",IF(AND(F492&lt;&gt;"",D492="Purchase bill"),F492,B492)+Y492)</f>
        <v/>
      </c>
      <c r="AA492">
        <f>IF(OR(W492=0,Z492=""),0,MAX(0,'Outstanding'!$E$5-Z492))</f>
        <v/>
      </c>
      <c r="AB492">
        <f>IF(AND(X492=1,AA492&gt;0),W492*((1+3*N('Parties'!$E$10)/12)^(AA492*12/365)-1),0)</f>
        <v/>
      </c>
      <c r="AC492">
        <f>IF(W492=0,"",'Outstanding'!$E$5-B492)</f>
        <v/>
      </c>
      <c r="AD492">
        <f>IF(S492=0,0,IFERROR(VLOOKUP(C492,'Parties'!$B$13:$Q$112,14,FALSE),0)+SUMIFS($T$7:$T$506,$C$7:$C$506,C492,$B$7:$B$506,"&lt;="&amp;'Parties'!$E$8))</f>
        <v/>
      </c>
      <c r="AE492">
        <f>IF(OR('Parties'!$E$8="",S492=0,B492="",B492&gt;'Parties'!$E$8),0,MAX(0,MIN(S492,U492-AD492)))</f>
        <v/>
      </c>
      <c r="AF492">
        <f>IF(AND(P492="Creditor",X492=1,AE492&gt;0,Z492&lt;&gt;""),IF(Z492&lt;='Parties'!$E$8,AE492,0),0)</f>
        <v/>
      </c>
      <c r="AG492">
        <f>IF(OR(AE492=0,Z492=""),0,MAX(0,'Parties'!$E$8-Z492))</f>
        <v/>
      </c>
      <c r="AH492">
        <f>IF(AND(P492="Creditor",X492=1,AG492&gt;0),AE492*((1+3*N('Parties'!$E$10)/12)^(AG492*12/365)-1),0)</f>
        <v/>
      </c>
      <c r="AI492">
        <f>IF(AND(C492&lt;&gt;"",C492='Ledger Account'!$D$4,B492&lt;&gt;"",B492&gt;='Ledger Account'!$D$5,B492&lt;='Ledger Account'!$D$6),1,0)</f>
        <v/>
      </c>
      <c r="AJ492">
        <f>IF(AI492=1,SUM(AI$7:AI492),"")</f>
        <v/>
      </c>
      <c r="AK492">
        <f>IF(OR(N492="",N492="OK"),0,1)</f>
        <v/>
      </c>
    </row>
    <row r="493">
      <c r="B493" s="24" t="n"/>
      <c r="C493" s="14" t="n"/>
      <c r="D493" s="14" t="n"/>
      <c r="E493" s="20" t="n"/>
      <c r="F493" s="24" t="n"/>
      <c r="G493" s="14" t="n"/>
      <c r="H493" s="22" t="n"/>
      <c r="I493" s="25">
        <f>IF(Q493="D",N(H493),0)</f>
        <v/>
      </c>
      <c r="J493" s="25">
        <f>IF(Q493="C",N(H493),0)</f>
        <v/>
      </c>
      <c r="K493" s="26">
        <f>IF(Z493="","",Z493)</f>
        <v/>
      </c>
      <c r="L493" s="27">
        <f>W493</f>
        <v/>
      </c>
      <c r="M493" s="28">
        <f>AA493</f>
        <v/>
      </c>
      <c r="N493" s="23">
        <f>IF(AND(B493="",C493="",D493="",N(H493)=0),"",IF(B493="","Enter the date",IF(C493="","Pick the party",IF(P493="?","Add this party on the Parties sheet first",IF(D493="","Pick the entry type",IF(Q493="?","Pick the entry type from the list",IF(N(H493)=0,"Enter the amount",IF(AND(R493&lt;&gt;"Any",R493&lt;&gt;P493),"Sales, receipts and credit notes are for debtors; purchases, payments and debit notes for creditors",IF(AND(F493&lt;&gt;"",D493&lt;&gt;"Purchase bill"),"The received-on date is only for purchase bills",IF(AND(P493="Creditor",X493=1,AA493&gt;0),"Past due to a micro or small supplier: interest runs under MSMED s.16, and if unpaid at year end it is not deductible that year, s.37(2)(g)",IF(AND(P493="Debtor",X493=1,AA493&gt;0),"Past due to you: as a micro or small supplier you can claim interest under MSMED s.16","OK")))))))))))</f>
        <v/>
      </c>
      <c r="P493">
        <f>IF(C493="","",IFERROR(VLOOKUP(C493,'Parties'!$B$13:$Q$112,2,FALSE),"?"))</f>
        <v/>
      </c>
      <c r="Q493">
        <f>IF(D493="","",IFERROR(VLOOKUP(D493,Lists!$A$2:$D$9,3,FALSE),"?"))</f>
        <v/>
      </c>
      <c r="R493">
        <f>IF(D493="","",IFERROR(VLOOKUP(D493,Lists!$A$2:$D$9,4,FALSE),"?"))</f>
        <v/>
      </c>
      <c r="S493">
        <f>IF(P493="Debtor",I493,IF(P493="Creditor",J493,0))</f>
        <v/>
      </c>
      <c r="T493">
        <f>IF(P493="Debtor",J493,IF(P493="Creditor",I493,0))</f>
        <v/>
      </c>
      <c r="U493">
        <f>IF(OR(S493=0,B493=""),0,IFERROR(VLOOKUP(C493,'Parties'!$B$13:$Q$112,13,FALSE),0)+SUMIFS($S$7:$S$506,$C$7:$C$506,C493,$B$7:$B$506,"&lt;"&amp;B493)+SUMIFS(S$7:S493,C$7:C493,C493,B$7:B493,B493))</f>
        <v/>
      </c>
      <c r="V493">
        <f>IF(S493=0,0,IFERROR(VLOOKUP(C493,'Parties'!$B$13:$Q$112,14,FALSE),0)+SUMIFS($T$7:$T$506,$C$7:$C$506,C493,$B$7:$B$506,"&lt;="&amp;'Outstanding'!$E$5))</f>
        <v/>
      </c>
      <c r="W493">
        <f>IF(OR('Outstanding'!$E$5="",S493=0,B493="",B493&gt;'Outstanding'!$E$5),0,MAX(0,MIN(S493,U493-V493)))</f>
        <v/>
      </c>
      <c r="X493">
        <f>IF(C493="",0,IFERROR(VLOOKUP(C493,'Parties'!$B$13:$Q$112,15,FALSE),0))</f>
        <v/>
      </c>
      <c r="Y493">
        <f>IF(C493="","",IFERROR(VLOOKUP(C493,'Parties'!$B$13:$Q$112,16,FALSE),0))</f>
        <v/>
      </c>
      <c r="Z493">
        <f>IF(OR(S493=0,B493="",Y493=""),"",IF(AND(F493&lt;&gt;"",D493="Purchase bill"),F493,B493)+Y493)</f>
        <v/>
      </c>
      <c r="AA493">
        <f>IF(OR(W493=0,Z493=""),0,MAX(0,'Outstanding'!$E$5-Z493))</f>
        <v/>
      </c>
      <c r="AB493">
        <f>IF(AND(X493=1,AA493&gt;0),W493*((1+3*N('Parties'!$E$10)/12)^(AA493*12/365)-1),0)</f>
        <v/>
      </c>
      <c r="AC493">
        <f>IF(W493=0,"",'Outstanding'!$E$5-B493)</f>
        <v/>
      </c>
      <c r="AD493">
        <f>IF(S493=0,0,IFERROR(VLOOKUP(C493,'Parties'!$B$13:$Q$112,14,FALSE),0)+SUMIFS($T$7:$T$506,$C$7:$C$506,C493,$B$7:$B$506,"&lt;="&amp;'Parties'!$E$8))</f>
        <v/>
      </c>
      <c r="AE493">
        <f>IF(OR('Parties'!$E$8="",S493=0,B493="",B493&gt;'Parties'!$E$8),0,MAX(0,MIN(S493,U493-AD493)))</f>
        <v/>
      </c>
      <c r="AF493">
        <f>IF(AND(P493="Creditor",X493=1,AE493&gt;0,Z493&lt;&gt;""),IF(Z493&lt;='Parties'!$E$8,AE493,0),0)</f>
        <v/>
      </c>
      <c r="AG493">
        <f>IF(OR(AE493=0,Z493=""),0,MAX(0,'Parties'!$E$8-Z493))</f>
        <v/>
      </c>
      <c r="AH493">
        <f>IF(AND(P493="Creditor",X493=1,AG493&gt;0),AE493*((1+3*N('Parties'!$E$10)/12)^(AG493*12/365)-1),0)</f>
        <v/>
      </c>
      <c r="AI493">
        <f>IF(AND(C493&lt;&gt;"",C493='Ledger Account'!$D$4,B493&lt;&gt;"",B493&gt;='Ledger Account'!$D$5,B493&lt;='Ledger Account'!$D$6),1,0)</f>
        <v/>
      </c>
      <c r="AJ493">
        <f>IF(AI493=1,SUM(AI$7:AI493),"")</f>
        <v/>
      </c>
      <c r="AK493">
        <f>IF(OR(N493="",N493="OK"),0,1)</f>
        <v/>
      </c>
    </row>
    <row r="494">
      <c r="B494" s="24" t="n"/>
      <c r="C494" s="14" t="n"/>
      <c r="D494" s="14" t="n"/>
      <c r="E494" s="20" t="n"/>
      <c r="F494" s="24" t="n"/>
      <c r="G494" s="14" t="n"/>
      <c r="H494" s="22" t="n"/>
      <c r="I494" s="25">
        <f>IF(Q494="D",N(H494),0)</f>
        <v/>
      </c>
      <c r="J494" s="25">
        <f>IF(Q494="C",N(H494),0)</f>
        <v/>
      </c>
      <c r="K494" s="26">
        <f>IF(Z494="","",Z494)</f>
        <v/>
      </c>
      <c r="L494" s="27">
        <f>W494</f>
        <v/>
      </c>
      <c r="M494" s="28">
        <f>AA494</f>
        <v/>
      </c>
      <c r="N494" s="23">
        <f>IF(AND(B494="",C494="",D494="",N(H494)=0),"",IF(B494="","Enter the date",IF(C494="","Pick the party",IF(P494="?","Add this party on the Parties sheet first",IF(D494="","Pick the entry type",IF(Q494="?","Pick the entry type from the list",IF(N(H494)=0,"Enter the amount",IF(AND(R494&lt;&gt;"Any",R494&lt;&gt;P494),"Sales, receipts and credit notes are for debtors; purchases, payments and debit notes for creditors",IF(AND(F494&lt;&gt;"",D494&lt;&gt;"Purchase bill"),"The received-on date is only for purchase bills",IF(AND(P494="Creditor",X494=1,AA494&gt;0),"Past due to a micro or small supplier: interest runs under MSMED s.16, and if unpaid at year end it is not deductible that year, s.37(2)(g)",IF(AND(P494="Debtor",X494=1,AA494&gt;0),"Past due to you: as a micro or small supplier you can claim interest under MSMED s.16","OK")))))))))))</f>
        <v/>
      </c>
      <c r="P494">
        <f>IF(C494="","",IFERROR(VLOOKUP(C494,'Parties'!$B$13:$Q$112,2,FALSE),"?"))</f>
        <v/>
      </c>
      <c r="Q494">
        <f>IF(D494="","",IFERROR(VLOOKUP(D494,Lists!$A$2:$D$9,3,FALSE),"?"))</f>
        <v/>
      </c>
      <c r="R494">
        <f>IF(D494="","",IFERROR(VLOOKUP(D494,Lists!$A$2:$D$9,4,FALSE),"?"))</f>
        <v/>
      </c>
      <c r="S494">
        <f>IF(P494="Debtor",I494,IF(P494="Creditor",J494,0))</f>
        <v/>
      </c>
      <c r="T494">
        <f>IF(P494="Debtor",J494,IF(P494="Creditor",I494,0))</f>
        <v/>
      </c>
      <c r="U494">
        <f>IF(OR(S494=0,B494=""),0,IFERROR(VLOOKUP(C494,'Parties'!$B$13:$Q$112,13,FALSE),0)+SUMIFS($S$7:$S$506,$C$7:$C$506,C494,$B$7:$B$506,"&lt;"&amp;B494)+SUMIFS(S$7:S494,C$7:C494,C494,B$7:B494,B494))</f>
        <v/>
      </c>
      <c r="V494">
        <f>IF(S494=0,0,IFERROR(VLOOKUP(C494,'Parties'!$B$13:$Q$112,14,FALSE),0)+SUMIFS($T$7:$T$506,$C$7:$C$506,C494,$B$7:$B$506,"&lt;="&amp;'Outstanding'!$E$5))</f>
        <v/>
      </c>
      <c r="W494">
        <f>IF(OR('Outstanding'!$E$5="",S494=0,B494="",B494&gt;'Outstanding'!$E$5),0,MAX(0,MIN(S494,U494-V494)))</f>
        <v/>
      </c>
      <c r="X494">
        <f>IF(C494="",0,IFERROR(VLOOKUP(C494,'Parties'!$B$13:$Q$112,15,FALSE),0))</f>
        <v/>
      </c>
      <c r="Y494">
        <f>IF(C494="","",IFERROR(VLOOKUP(C494,'Parties'!$B$13:$Q$112,16,FALSE),0))</f>
        <v/>
      </c>
      <c r="Z494">
        <f>IF(OR(S494=0,B494="",Y494=""),"",IF(AND(F494&lt;&gt;"",D494="Purchase bill"),F494,B494)+Y494)</f>
        <v/>
      </c>
      <c r="AA494">
        <f>IF(OR(W494=0,Z494=""),0,MAX(0,'Outstanding'!$E$5-Z494))</f>
        <v/>
      </c>
      <c r="AB494">
        <f>IF(AND(X494=1,AA494&gt;0),W494*((1+3*N('Parties'!$E$10)/12)^(AA494*12/365)-1),0)</f>
        <v/>
      </c>
      <c r="AC494">
        <f>IF(W494=0,"",'Outstanding'!$E$5-B494)</f>
        <v/>
      </c>
      <c r="AD494">
        <f>IF(S494=0,0,IFERROR(VLOOKUP(C494,'Parties'!$B$13:$Q$112,14,FALSE),0)+SUMIFS($T$7:$T$506,$C$7:$C$506,C494,$B$7:$B$506,"&lt;="&amp;'Parties'!$E$8))</f>
        <v/>
      </c>
      <c r="AE494">
        <f>IF(OR('Parties'!$E$8="",S494=0,B494="",B494&gt;'Parties'!$E$8),0,MAX(0,MIN(S494,U494-AD494)))</f>
        <v/>
      </c>
      <c r="AF494">
        <f>IF(AND(P494="Creditor",X494=1,AE494&gt;0,Z494&lt;&gt;""),IF(Z494&lt;='Parties'!$E$8,AE494,0),0)</f>
        <v/>
      </c>
      <c r="AG494">
        <f>IF(OR(AE494=0,Z494=""),0,MAX(0,'Parties'!$E$8-Z494))</f>
        <v/>
      </c>
      <c r="AH494">
        <f>IF(AND(P494="Creditor",X494=1,AG494&gt;0),AE494*((1+3*N('Parties'!$E$10)/12)^(AG494*12/365)-1),0)</f>
        <v/>
      </c>
      <c r="AI494">
        <f>IF(AND(C494&lt;&gt;"",C494='Ledger Account'!$D$4,B494&lt;&gt;"",B494&gt;='Ledger Account'!$D$5,B494&lt;='Ledger Account'!$D$6),1,0)</f>
        <v/>
      </c>
      <c r="AJ494">
        <f>IF(AI494=1,SUM(AI$7:AI494),"")</f>
        <v/>
      </c>
      <c r="AK494">
        <f>IF(OR(N494="",N494="OK"),0,1)</f>
        <v/>
      </c>
    </row>
    <row r="495">
      <c r="B495" s="24" t="n"/>
      <c r="C495" s="14" t="n"/>
      <c r="D495" s="14" t="n"/>
      <c r="E495" s="20" t="n"/>
      <c r="F495" s="24" t="n"/>
      <c r="G495" s="14" t="n"/>
      <c r="H495" s="22" t="n"/>
      <c r="I495" s="25">
        <f>IF(Q495="D",N(H495),0)</f>
        <v/>
      </c>
      <c r="J495" s="25">
        <f>IF(Q495="C",N(H495),0)</f>
        <v/>
      </c>
      <c r="K495" s="26">
        <f>IF(Z495="","",Z495)</f>
        <v/>
      </c>
      <c r="L495" s="27">
        <f>W495</f>
        <v/>
      </c>
      <c r="M495" s="28">
        <f>AA495</f>
        <v/>
      </c>
      <c r="N495" s="23">
        <f>IF(AND(B495="",C495="",D495="",N(H495)=0),"",IF(B495="","Enter the date",IF(C495="","Pick the party",IF(P495="?","Add this party on the Parties sheet first",IF(D495="","Pick the entry type",IF(Q495="?","Pick the entry type from the list",IF(N(H495)=0,"Enter the amount",IF(AND(R495&lt;&gt;"Any",R495&lt;&gt;P495),"Sales, receipts and credit notes are for debtors; purchases, payments and debit notes for creditors",IF(AND(F495&lt;&gt;"",D495&lt;&gt;"Purchase bill"),"The received-on date is only for purchase bills",IF(AND(P495="Creditor",X495=1,AA495&gt;0),"Past due to a micro or small supplier: interest runs under MSMED s.16, and if unpaid at year end it is not deductible that year, s.37(2)(g)",IF(AND(P495="Debtor",X495=1,AA495&gt;0),"Past due to you: as a micro or small supplier you can claim interest under MSMED s.16","OK")))))))))))</f>
        <v/>
      </c>
      <c r="P495">
        <f>IF(C495="","",IFERROR(VLOOKUP(C495,'Parties'!$B$13:$Q$112,2,FALSE),"?"))</f>
        <v/>
      </c>
      <c r="Q495">
        <f>IF(D495="","",IFERROR(VLOOKUP(D495,Lists!$A$2:$D$9,3,FALSE),"?"))</f>
        <v/>
      </c>
      <c r="R495">
        <f>IF(D495="","",IFERROR(VLOOKUP(D495,Lists!$A$2:$D$9,4,FALSE),"?"))</f>
        <v/>
      </c>
      <c r="S495">
        <f>IF(P495="Debtor",I495,IF(P495="Creditor",J495,0))</f>
        <v/>
      </c>
      <c r="T495">
        <f>IF(P495="Debtor",J495,IF(P495="Creditor",I495,0))</f>
        <v/>
      </c>
      <c r="U495">
        <f>IF(OR(S495=0,B495=""),0,IFERROR(VLOOKUP(C495,'Parties'!$B$13:$Q$112,13,FALSE),0)+SUMIFS($S$7:$S$506,$C$7:$C$506,C495,$B$7:$B$506,"&lt;"&amp;B495)+SUMIFS(S$7:S495,C$7:C495,C495,B$7:B495,B495))</f>
        <v/>
      </c>
      <c r="V495">
        <f>IF(S495=0,0,IFERROR(VLOOKUP(C495,'Parties'!$B$13:$Q$112,14,FALSE),0)+SUMIFS($T$7:$T$506,$C$7:$C$506,C495,$B$7:$B$506,"&lt;="&amp;'Outstanding'!$E$5))</f>
        <v/>
      </c>
      <c r="W495">
        <f>IF(OR('Outstanding'!$E$5="",S495=0,B495="",B495&gt;'Outstanding'!$E$5),0,MAX(0,MIN(S495,U495-V495)))</f>
        <v/>
      </c>
      <c r="X495">
        <f>IF(C495="",0,IFERROR(VLOOKUP(C495,'Parties'!$B$13:$Q$112,15,FALSE),0))</f>
        <v/>
      </c>
      <c r="Y495">
        <f>IF(C495="","",IFERROR(VLOOKUP(C495,'Parties'!$B$13:$Q$112,16,FALSE),0))</f>
        <v/>
      </c>
      <c r="Z495">
        <f>IF(OR(S495=0,B495="",Y495=""),"",IF(AND(F495&lt;&gt;"",D495="Purchase bill"),F495,B495)+Y495)</f>
        <v/>
      </c>
      <c r="AA495">
        <f>IF(OR(W495=0,Z495=""),0,MAX(0,'Outstanding'!$E$5-Z495))</f>
        <v/>
      </c>
      <c r="AB495">
        <f>IF(AND(X495=1,AA495&gt;0),W495*((1+3*N('Parties'!$E$10)/12)^(AA495*12/365)-1),0)</f>
        <v/>
      </c>
      <c r="AC495">
        <f>IF(W495=0,"",'Outstanding'!$E$5-B495)</f>
        <v/>
      </c>
      <c r="AD495">
        <f>IF(S495=0,0,IFERROR(VLOOKUP(C495,'Parties'!$B$13:$Q$112,14,FALSE),0)+SUMIFS($T$7:$T$506,$C$7:$C$506,C495,$B$7:$B$506,"&lt;="&amp;'Parties'!$E$8))</f>
        <v/>
      </c>
      <c r="AE495">
        <f>IF(OR('Parties'!$E$8="",S495=0,B495="",B495&gt;'Parties'!$E$8),0,MAX(0,MIN(S495,U495-AD495)))</f>
        <v/>
      </c>
      <c r="AF495">
        <f>IF(AND(P495="Creditor",X495=1,AE495&gt;0,Z495&lt;&gt;""),IF(Z495&lt;='Parties'!$E$8,AE495,0),0)</f>
        <v/>
      </c>
      <c r="AG495">
        <f>IF(OR(AE495=0,Z495=""),0,MAX(0,'Parties'!$E$8-Z495))</f>
        <v/>
      </c>
      <c r="AH495">
        <f>IF(AND(P495="Creditor",X495=1,AG495&gt;0),AE495*((1+3*N('Parties'!$E$10)/12)^(AG495*12/365)-1),0)</f>
        <v/>
      </c>
      <c r="AI495">
        <f>IF(AND(C495&lt;&gt;"",C495='Ledger Account'!$D$4,B495&lt;&gt;"",B495&gt;='Ledger Account'!$D$5,B495&lt;='Ledger Account'!$D$6),1,0)</f>
        <v/>
      </c>
      <c r="AJ495">
        <f>IF(AI495=1,SUM(AI$7:AI495),"")</f>
        <v/>
      </c>
      <c r="AK495">
        <f>IF(OR(N495="",N495="OK"),0,1)</f>
        <v/>
      </c>
    </row>
    <row r="496">
      <c r="B496" s="24" t="n"/>
      <c r="C496" s="14" t="n"/>
      <c r="D496" s="14" t="n"/>
      <c r="E496" s="20" t="n"/>
      <c r="F496" s="24" t="n"/>
      <c r="G496" s="14" t="n"/>
      <c r="H496" s="22" t="n"/>
      <c r="I496" s="25">
        <f>IF(Q496="D",N(H496),0)</f>
        <v/>
      </c>
      <c r="J496" s="25">
        <f>IF(Q496="C",N(H496),0)</f>
        <v/>
      </c>
      <c r="K496" s="26">
        <f>IF(Z496="","",Z496)</f>
        <v/>
      </c>
      <c r="L496" s="27">
        <f>W496</f>
        <v/>
      </c>
      <c r="M496" s="28">
        <f>AA496</f>
        <v/>
      </c>
      <c r="N496" s="23">
        <f>IF(AND(B496="",C496="",D496="",N(H496)=0),"",IF(B496="","Enter the date",IF(C496="","Pick the party",IF(P496="?","Add this party on the Parties sheet first",IF(D496="","Pick the entry type",IF(Q496="?","Pick the entry type from the list",IF(N(H496)=0,"Enter the amount",IF(AND(R496&lt;&gt;"Any",R496&lt;&gt;P496),"Sales, receipts and credit notes are for debtors; purchases, payments and debit notes for creditors",IF(AND(F496&lt;&gt;"",D496&lt;&gt;"Purchase bill"),"The received-on date is only for purchase bills",IF(AND(P496="Creditor",X496=1,AA496&gt;0),"Past due to a micro or small supplier: interest runs under MSMED s.16, and if unpaid at year end it is not deductible that year, s.37(2)(g)",IF(AND(P496="Debtor",X496=1,AA496&gt;0),"Past due to you: as a micro or small supplier you can claim interest under MSMED s.16","OK")))))))))))</f>
        <v/>
      </c>
      <c r="P496">
        <f>IF(C496="","",IFERROR(VLOOKUP(C496,'Parties'!$B$13:$Q$112,2,FALSE),"?"))</f>
        <v/>
      </c>
      <c r="Q496">
        <f>IF(D496="","",IFERROR(VLOOKUP(D496,Lists!$A$2:$D$9,3,FALSE),"?"))</f>
        <v/>
      </c>
      <c r="R496">
        <f>IF(D496="","",IFERROR(VLOOKUP(D496,Lists!$A$2:$D$9,4,FALSE),"?"))</f>
        <v/>
      </c>
      <c r="S496">
        <f>IF(P496="Debtor",I496,IF(P496="Creditor",J496,0))</f>
        <v/>
      </c>
      <c r="T496">
        <f>IF(P496="Debtor",J496,IF(P496="Creditor",I496,0))</f>
        <v/>
      </c>
      <c r="U496">
        <f>IF(OR(S496=0,B496=""),0,IFERROR(VLOOKUP(C496,'Parties'!$B$13:$Q$112,13,FALSE),0)+SUMIFS($S$7:$S$506,$C$7:$C$506,C496,$B$7:$B$506,"&lt;"&amp;B496)+SUMIFS(S$7:S496,C$7:C496,C496,B$7:B496,B496))</f>
        <v/>
      </c>
      <c r="V496">
        <f>IF(S496=0,0,IFERROR(VLOOKUP(C496,'Parties'!$B$13:$Q$112,14,FALSE),0)+SUMIFS($T$7:$T$506,$C$7:$C$506,C496,$B$7:$B$506,"&lt;="&amp;'Outstanding'!$E$5))</f>
        <v/>
      </c>
      <c r="W496">
        <f>IF(OR('Outstanding'!$E$5="",S496=0,B496="",B496&gt;'Outstanding'!$E$5),0,MAX(0,MIN(S496,U496-V496)))</f>
        <v/>
      </c>
      <c r="X496">
        <f>IF(C496="",0,IFERROR(VLOOKUP(C496,'Parties'!$B$13:$Q$112,15,FALSE),0))</f>
        <v/>
      </c>
      <c r="Y496">
        <f>IF(C496="","",IFERROR(VLOOKUP(C496,'Parties'!$B$13:$Q$112,16,FALSE),0))</f>
        <v/>
      </c>
      <c r="Z496">
        <f>IF(OR(S496=0,B496="",Y496=""),"",IF(AND(F496&lt;&gt;"",D496="Purchase bill"),F496,B496)+Y496)</f>
        <v/>
      </c>
      <c r="AA496">
        <f>IF(OR(W496=0,Z496=""),0,MAX(0,'Outstanding'!$E$5-Z496))</f>
        <v/>
      </c>
      <c r="AB496">
        <f>IF(AND(X496=1,AA496&gt;0),W496*((1+3*N('Parties'!$E$10)/12)^(AA496*12/365)-1),0)</f>
        <v/>
      </c>
      <c r="AC496">
        <f>IF(W496=0,"",'Outstanding'!$E$5-B496)</f>
        <v/>
      </c>
      <c r="AD496">
        <f>IF(S496=0,0,IFERROR(VLOOKUP(C496,'Parties'!$B$13:$Q$112,14,FALSE),0)+SUMIFS($T$7:$T$506,$C$7:$C$506,C496,$B$7:$B$506,"&lt;="&amp;'Parties'!$E$8))</f>
        <v/>
      </c>
      <c r="AE496">
        <f>IF(OR('Parties'!$E$8="",S496=0,B496="",B496&gt;'Parties'!$E$8),0,MAX(0,MIN(S496,U496-AD496)))</f>
        <v/>
      </c>
      <c r="AF496">
        <f>IF(AND(P496="Creditor",X496=1,AE496&gt;0,Z496&lt;&gt;""),IF(Z496&lt;='Parties'!$E$8,AE496,0),0)</f>
        <v/>
      </c>
      <c r="AG496">
        <f>IF(OR(AE496=0,Z496=""),0,MAX(0,'Parties'!$E$8-Z496))</f>
        <v/>
      </c>
      <c r="AH496">
        <f>IF(AND(P496="Creditor",X496=1,AG496&gt;0),AE496*((1+3*N('Parties'!$E$10)/12)^(AG496*12/365)-1),0)</f>
        <v/>
      </c>
      <c r="AI496">
        <f>IF(AND(C496&lt;&gt;"",C496='Ledger Account'!$D$4,B496&lt;&gt;"",B496&gt;='Ledger Account'!$D$5,B496&lt;='Ledger Account'!$D$6),1,0)</f>
        <v/>
      </c>
      <c r="AJ496">
        <f>IF(AI496=1,SUM(AI$7:AI496),"")</f>
        <v/>
      </c>
      <c r="AK496">
        <f>IF(OR(N496="",N496="OK"),0,1)</f>
        <v/>
      </c>
    </row>
    <row r="497">
      <c r="B497" s="24" t="n"/>
      <c r="C497" s="14" t="n"/>
      <c r="D497" s="14" t="n"/>
      <c r="E497" s="20" t="n"/>
      <c r="F497" s="24" t="n"/>
      <c r="G497" s="14" t="n"/>
      <c r="H497" s="22" t="n"/>
      <c r="I497" s="25">
        <f>IF(Q497="D",N(H497),0)</f>
        <v/>
      </c>
      <c r="J497" s="25">
        <f>IF(Q497="C",N(H497),0)</f>
        <v/>
      </c>
      <c r="K497" s="26">
        <f>IF(Z497="","",Z497)</f>
        <v/>
      </c>
      <c r="L497" s="27">
        <f>W497</f>
        <v/>
      </c>
      <c r="M497" s="28">
        <f>AA497</f>
        <v/>
      </c>
      <c r="N497" s="23">
        <f>IF(AND(B497="",C497="",D497="",N(H497)=0),"",IF(B497="","Enter the date",IF(C497="","Pick the party",IF(P497="?","Add this party on the Parties sheet first",IF(D497="","Pick the entry type",IF(Q497="?","Pick the entry type from the list",IF(N(H497)=0,"Enter the amount",IF(AND(R497&lt;&gt;"Any",R497&lt;&gt;P497),"Sales, receipts and credit notes are for debtors; purchases, payments and debit notes for creditors",IF(AND(F497&lt;&gt;"",D497&lt;&gt;"Purchase bill"),"The received-on date is only for purchase bills",IF(AND(P497="Creditor",X497=1,AA497&gt;0),"Past due to a micro or small supplier: interest runs under MSMED s.16, and if unpaid at year end it is not deductible that year, s.37(2)(g)",IF(AND(P497="Debtor",X497=1,AA497&gt;0),"Past due to you: as a micro or small supplier you can claim interest under MSMED s.16","OK")))))))))))</f>
        <v/>
      </c>
      <c r="P497">
        <f>IF(C497="","",IFERROR(VLOOKUP(C497,'Parties'!$B$13:$Q$112,2,FALSE),"?"))</f>
        <v/>
      </c>
      <c r="Q497">
        <f>IF(D497="","",IFERROR(VLOOKUP(D497,Lists!$A$2:$D$9,3,FALSE),"?"))</f>
        <v/>
      </c>
      <c r="R497">
        <f>IF(D497="","",IFERROR(VLOOKUP(D497,Lists!$A$2:$D$9,4,FALSE),"?"))</f>
        <v/>
      </c>
      <c r="S497">
        <f>IF(P497="Debtor",I497,IF(P497="Creditor",J497,0))</f>
        <v/>
      </c>
      <c r="T497">
        <f>IF(P497="Debtor",J497,IF(P497="Creditor",I497,0))</f>
        <v/>
      </c>
      <c r="U497">
        <f>IF(OR(S497=0,B497=""),0,IFERROR(VLOOKUP(C497,'Parties'!$B$13:$Q$112,13,FALSE),0)+SUMIFS($S$7:$S$506,$C$7:$C$506,C497,$B$7:$B$506,"&lt;"&amp;B497)+SUMIFS(S$7:S497,C$7:C497,C497,B$7:B497,B497))</f>
        <v/>
      </c>
      <c r="V497">
        <f>IF(S497=0,0,IFERROR(VLOOKUP(C497,'Parties'!$B$13:$Q$112,14,FALSE),0)+SUMIFS($T$7:$T$506,$C$7:$C$506,C497,$B$7:$B$506,"&lt;="&amp;'Outstanding'!$E$5))</f>
        <v/>
      </c>
      <c r="W497">
        <f>IF(OR('Outstanding'!$E$5="",S497=0,B497="",B497&gt;'Outstanding'!$E$5),0,MAX(0,MIN(S497,U497-V497)))</f>
        <v/>
      </c>
      <c r="X497">
        <f>IF(C497="",0,IFERROR(VLOOKUP(C497,'Parties'!$B$13:$Q$112,15,FALSE),0))</f>
        <v/>
      </c>
      <c r="Y497">
        <f>IF(C497="","",IFERROR(VLOOKUP(C497,'Parties'!$B$13:$Q$112,16,FALSE),0))</f>
        <v/>
      </c>
      <c r="Z497">
        <f>IF(OR(S497=0,B497="",Y497=""),"",IF(AND(F497&lt;&gt;"",D497="Purchase bill"),F497,B497)+Y497)</f>
        <v/>
      </c>
      <c r="AA497">
        <f>IF(OR(W497=0,Z497=""),0,MAX(0,'Outstanding'!$E$5-Z497))</f>
        <v/>
      </c>
      <c r="AB497">
        <f>IF(AND(X497=1,AA497&gt;0),W497*((1+3*N('Parties'!$E$10)/12)^(AA497*12/365)-1),0)</f>
        <v/>
      </c>
      <c r="AC497">
        <f>IF(W497=0,"",'Outstanding'!$E$5-B497)</f>
        <v/>
      </c>
      <c r="AD497">
        <f>IF(S497=0,0,IFERROR(VLOOKUP(C497,'Parties'!$B$13:$Q$112,14,FALSE),0)+SUMIFS($T$7:$T$506,$C$7:$C$506,C497,$B$7:$B$506,"&lt;="&amp;'Parties'!$E$8))</f>
        <v/>
      </c>
      <c r="AE497">
        <f>IF(OR('Parties'!$E$8="",S497=0,B497="",B497&gt;'Parties'!$E$8),0,MAX(0,MIN(S497,U497-AD497)))</f>
        <v/>
      </c>
      <c r="AF497">
        <f>IF(AND(P497="Creditor",X497=1,AE497&gt;0,Z497&lt;&gt;""),IF(Z497&lt;='Parties'!$E$8,AE497,0),0)</f>
        <v/>
      </c>
      <c r="AG497">
        <f>IF(OR(AE497=0,Z497=""),0,MAX(0,'Parties'!$E$8-Z497))</f>
        <v/>
      </c>
      <c r="AH497">
        <f>IF(AND(P497="Creditor",X497=1,AG497&gt;0),AE497*((1+3*N('Parties'!$E$10)/12)^(AG497*12/365)-1),0)</f>
        <v/>
      </c>
      <c r="AI497">
        <f>IF(AND(C497&lt;&gt;"",C497='Ledger Account'!$D$4,B497&lt;&gt;"",B497&gt;='Ledger Account'!$D$5,B497&lt;='Ledger Account'!$D$6),1,0)</f>
        <v/>
      </c>
      <c r="AJ497">
        <f>IF(AI497=1,SUM(AI$7:AI497),"")</f>
        <v/>
      </c>
      <c r="AK497">
        <f>IF(OR(N497="",N497="OK"),0,1)</f>
        <v/>
      </c>
    </row>
    <row r="498">
      <c r="B498" s="24" t="n"/>
      <c r="C498" s="14" t="n"/>
      <c r="D498" s="14" t="n"/>
      <c r="E498" s="20" t="n"/>
      <c r="F498" s="24" t="n"/>
      <c r="G498" s="14" t="n"/>
      <c r="H498" s="22" t="n"/>
      <c r="I498" s="25">
        <f>IF(Q498="D",N(H498),0)</f>
        <v/>
      </c>
      <c r="J498" s="25">
        <f>IF(Q498="C",N(H498),0)</f>
        <v/>
      </c>
      <c r="K498" s="26">
        <f>IF(Z498="","",Z498)</f>
        <v/>
      </c>
      <c r="L498" s="27">
        <f>W498</f>
        <v/>
      </c>
      <c r="M498" s="28">
        <f>AA498</f>
        <v/>
      </c>
      <c r="N498" s="23">
        <f>IF(AND(B498="",C498="",D498="",N(H498)=0),"",IF(B498="","Enter the date",IF(C498="","Pick the party",IF(P498="?","Add this party on the Parties sheet first",IF(D498="","Pick the entry type",IF(Q498="?","Pick the entry type from the list",IF(N(H498)=0,"Enter the amount",IF(AND(R498&lt;&gt;"Any",R498&lt;&gt;P498),"Sales, receipts and credit notes are for debtors; purchases, payments and debit notes for creditors",IF(AND(F498&lt;&gt;"",D498&lt;&gt;"Purchase bill"),"The received-on date is only for purchase bills",IF(AND(P498="Creditor",X498=1,AA498&gt;0),"Past due to a micro or small supplier: interest runs under MSMED s.16, and if unpaid at year end it is not deductible that year, s.37(2)(g)",IF(AND(P498="Debtor",X498=1,AA498&gt;0),"Past due to you: as a micro or small supplier you can claim interest under MSMED s.16","OK")))))))))))</f>
        <v/>
      </c>
      <c r="P498">
        <f>IF(C498="","",IFERROR(VLOOKUP(C498,'Parties'!$B$13:$Q$112,2,FALSE),"?"))</f>
        <v/>
      </c>
      <c r="Q498">
        <f>IF(D498="","",IFERROR(VLOOKUP(D498,Lists!$A$2:$D$9,3,FALSE),"?"))</f>
        <v/>
      </c>
      <c r="R498">
        <f>IF(D498="","",IFERROR(VLOOKUP(D498,Lists!$A$2:$D$9,4,FALSE),"?"))</f>
        <v/>
      </c>
      <c r="S498">
        <f>IF(P498="Debtor",I498,IF(P498="Creditor",J498,0))</f>
        <v/>
      </c>
      <c r="T498">
        <f>IF(P498="Debtor",J498,IF(P498="Creditor",I498,0))</f>
        <v/>
      </c>
      <c r="U498">
        <f>IF(OR(S498=0,B498=""),0,IFERROR(VLOOKUP(C498,'Parties'!$B$13:$Q$112,13,FALSE),0)+SUMIFS($S$7:$S$506,$C$7:$C$506,C498,$B$7:$B$506,"&lt;"&amp;B498)+SUMIFS(S$7:S498,C$7:C498,C498,B$7:B498,B498))</f>
        <v/>
      </c>
      <c r="V498">
        <f>IF(S498=0,0,IFERROR(VLOOKUP(C498,'Parties'!$B$13:$Q$112,14,FALSE),0)+SUMIFS($T$7:$T$506,$C$7:$C$506,C498,$B$7:$B$506,"&lt;="&amp;'Outstanding'!$E$5))</f>
        <v/>
      </c>
      <c r="W498">
        <f>IF(OR('Outstanding'!$E$5="",S498=0,B498="",B498&gt;'Outstanding'!$E$5),0,MAX(0,MIN(S498,U498-V498)))</f>
        <v/>
      </c>
      <c r="X498">
        <f>IF(C498="",0,IFERROR(VLOOKUP(C498,'Parties'!$B$13:$Q$112,15,FALSE),0))</f>
        <v/>
      </c>
      <c r="Y498">
        <f>IF(C498="","",IFERROR(VLOOKUP(C498,'Parties'!$B$13:$Q$112,16,FALSE),0))</f>
        <v/>
      </c>
      <c r="Z498">
        <f>IF(OR(S498=0,B498="",Y498=""),"",IF(AND(F498&lt;&gt;"",D498="Purchase bill"),F498,B498)+Y498)</f>
        <v/>
      </c>
      <c r="AA498">
        <f>IF(OR(W498=0,Z498=""),0,MAX(0,'Outstanding'!$E$5-Z498))</f>
        <v/>
      </c>
      <c r="AB498">
        <f>IF(AND(X498=1,AA498&gt;0),W498*((1+3*N('Parties'!$E$10)/12)^(AA498*12/365)-1),0)</f>
        <v/>
      </c>
      <c r="AC498">
        <f>IF(W498=0,"",'Outstanding'!$E$5-B498)</f>
        <v/>
      </c>
      <c r="AD498">
        <f>IF(S498=0,0,IFERROR(VLOOKUP(C498,'Parties'!$B$13:$Q$112,14,FALSE),0)+SUMIFS($T$7:$T$506,$C$7:$C$506,C498,$B$7:$B$506,"&lt;="&amp;'Parties'!$E$8))</f>
        <v/>
      </c>
      <c r="AE498">
        <f>IF(OR('Parties'!$E$8="",S498=0,B498="",B498&gt;'Parties'!$E$8),0,MAX(0,MIN(S498,U498-AD498)))</f>
        <v/>
      </c>
      <c r="AF498">
        <f>IF(AND(P498="Creditor",X498=1,AE498&gt;0,Z498&lt;&gt;""),IF(Z498&lt;='Parties'!$E$8,AE498,0),0)</f>
        <v/>
      </c>
      <c r="AG498">
        <f>IF(OR(AE498=0,Z498=""),0,MAX(0,'Parties'!$E$8-Z498))</f>
        <v/>
      </c>
      <c r="AH498">
        <f>IF(AND(P498="Creditor",X498=1,AG498&gt;0),AE498*((1+3*N('Parties'!$E$10)/12)^(AG498*12/365)-1),0)</f>
        <v/>
      </c>
      <c r="AI498">
        <f>IF(AND(C498&lt;&gt;"",C498='Ledger Account'!$D$4,B498&lt;&gt;"",B498&gt;='Ledger Account'!$D$5,B498&lt;='Ledger Account'!$D$6),1,0)</f>
        <v/>
      </c>
      <c r="AJ498">
        <f>IF(AI498=1,SUM(AI$7:AI498),"")</f>
        <v/>
      </c>
      <c r="AK498">
        <f>IF(OR(N498="",N498="OK"),0,1)</f>
        <v/>
      </c>
    </row>
    <row r="499">
      <c r="B499" s="24" t="n"/>
      <c r="C499" s="14" t="n"/>
      <c r="D499" s="14" t="n"/>
      <c r="E499" s="20" t="n"/>
      <c r="F499" s="24" t="n"/>
      <c r="G499" s="14" t="n"/>
      <c r="H499" s="22" t="n"/>
      <c r="I499" s="25">
        <f>IF(Q499="D",N(H499),0)</f>
        <v/>
      </c>
      <c r="J499" s="25">
        <f>IF(Q499="C",N(H499),0)</f>
        <v/>
      </c>
      <c r="K499" s="26">
        <f>IF(Z499="","",Z499)</f>
        <v/>
      </c>
      <c r="L499" s="27">
        <f>W499</f>
        <v/>
      </c>
      <c r="M499" s="28">
        <f>AA499</f>
        <v/>
      </c>
      <c r="N499" s="23">
        <f>IF(AND(B499="",C499="",D499="",N(H499)=0),"",IF(B499="","Enter the date",IF(C499="","Pick the party",IF(P499="?","Add this party on the Parties sheet first",IF(D499="","Pick the entry type",IF(Q499="?","Pick the entry type from the list",IF(N(H499)=0,"Enter the amount",IF(AND(R499&lt;&gt;"Any",R499&lt;&gt;P499),"Sales, receipts and credit notes are for debtors; purchases, payments and debit notes for creditors",IF(AND(F499&lt;&gt;"",D499&lt;&gt;"Purchase bill"),"The received-on date is only for purchase bills",IF(AND(P499="Creditor",X499=1,AA499&gt;0),"Past due to a micro or small supplier: interest runs under MSMED s.16, and if unpaid at year end it is not deductible that year, s.37(2)(g)",IF(AND(P499="Debtor",X499=1,AA499&gt;0),"Past due to you: as a micro or small supplier you can claim interest under MSMED s.16","OK")))))))))))</f>
        <v/>
      </c>
      <c r="P499">
        <f>IF(C499="","",IFERROR(VLOOKUP(C499,'Parties'!$B$13:$Q$112,2,FALSE),"?"))</f>
        <v/>
      </c>
      <c r="Q499">
        <f>IF(D499="","",IFERROR(VLOOKUP(D499,Lists!$A$2:$D$9,3,FALSE),"?"))</f>
        <v/>
      </c>
      <c r="R499">
        <f>IF(D499="","",IFERROR(VLOOKUP(D499,Lists!$A$2:$D$9,4,FALSE),"?"))</f>
        <v/>
      </c>
      <c r="S499">
        <f>IF(P499="Debtor",I499,IF(P499="Creditor",J499,0))</f>
        <v/>
      </c>
      <c r="T499">
        <f>IF(P499="Debtor",J499,IF(P499="Creditor",I499,0))</f>
        <v/>
      </c>
      <c r="U499">
        <f>IF(OR(S499=0,B499=""),0,IFERROR(VLOOKUP(C499,'Parties'!$B$13:$Q$112,13,FALSE),0)+SUMIFS($S$7:$S$506,$C$7:$C$506,C499,$B$7:$B$506,"&lt;"&amp;B499)+SUMIFS(S$7:S499,C$7:C499,C499,B$7:B499,B499))</f>
        <v/>
      </c>
      <c r="V499">
        <f>IF(S499=0,0,IFERROR(VLOOKUP(C499,'Parties'!$B$13:$Q$112,14,FALSE),0)+SUMIFS($T$7:$T$506,$C$7:$C$506,C499,$B$7:$B$506,"&lt;="&amp;'Outstanding'!$E$5))</f>
        <v/>
      </c>
      <c r="W499">
        <f>IF(OR('Outstanding'!$E$5="",S499=0,B499="",B499&gt;'Outstanding'!$E$5),0,MAX(0,MIN(S499,U499-V499)))</f>
        <v/>
      </c>
      <c r="X499">
        <f>IF(C499="",0,IFERROR(VLOOKUP(C499,'Parties'!$B$13:$Q$112,15,FALSE),0))</f>
        <v/>
      </c>
      <c r="Y499">
        <f>IF(C499="","",IFERROR(VLOOKUP(C499,'Parties'!$B$13:$Q$112,16,FALSE),0))</f>
        <v/>
      </c>
      <c r="Z499">
        <f>IF(OR(S499=0,B499="",Y499=""),"",IF(AND(F499&lt;&gt;"",D499="Purchase bill"),F499,B499)+Y499)</f>
        <v/>
      </c>
      <c r="AA499">
        <f>IF(OR(W499=0,Z499=""),0,MAX(0,'Outstanding'!$E$5-Z499))</f>
        <v/>
      </c>
      <c r="AB499">
        <f>IF(AND(X499=1,AA499&gt;0),W499*((1+3*N('Parties'!$E$10)/12)^(AA499*12/365)-1),0)</f>
        <v/>
      </c>
      <c r="AC499">
        <f>IF(W499=0,"",'Outstanding'!$E$5-B499)</f>
        <v/>
      </c>
      <c r="AD499">
        <f>IF(S499=0,0,IFERROR(VLOOKUP(C499,'Parties'!$B$13:$Q$112,14,FALSE),0)+SUMIFS($T$7:$T$506,$C$7:$C$506,C499,$B$7:$B$506,"&lt;="&amp;'Parties'!$E$8))</f>
        <v/>
      </c>
      <c r="AE499">
        <f>IF(OR('Parties'!$E$8="",S499=0,B499="",B499&gt;'Parties'!$E$8),0,MAX(0,MIN(S499,U499-AD499)))</f>
        <v/>
      </c>
      <c r="AF499">
        <f>IF(AND(P499="Creditor",X499=1,AE499&gt;0,Z499&lt;&gt;""),IF(Z499&lt;='Parties'!$E$8,AE499,0),0)</f>
        <v/>
      </c>
      <c r="AG499">
        <f>IF(OR(AE499=0,Z499=""),0,MAX(0,'Parties'!$E$8-Z499))</f>
        <v/>
      </c>
      <c r="AH499">
        <f>IF(AND(P499="Creditor",X499=1,AG499&gt;0),AE499*((1+3*N('Parties'!$E$10)/12)^(AG499*12/365)-1),0)</f>
        <v/>
      </c>
      <c r="AI499">
        <f>IF(AND(C499&lt;&gt;"",C499='Ledger Account'!$D$4,B499&lt;&gt;"",B499&gt;='Ledger Account'!$D$5,B499&lt;='Ledger Account'!$D$6),1,0)</f>
        <v/>
      </c>
      <c r="AJ499">
        <f>IF(AI499=1,SUM(AI$7:AI499),"")</f>
        <v/>
      </c>
      <c r="AK499">
        <f>IF(OR(N499="",N499="OK"),0,1)</f>
        <v/>
      </c>
    </row>
    <row r="500">
      <c r="B500" s="24" t="n"/>
      <c r="C500" s="14" t="n"/>
      <c r="D500" s="14" t="n"/>
      <c r="E500" s="20" t="n"/>
      <c r="F500" s="24" t="n"/>
      <c r="G500" s="14" t="n"/>
      <c r="H500" s="22" t="n"/>
      <c r="I500" s="25">
        <f>IF(Q500="D",N(H500),0)</f>
        <v/>
      </c>
      <c r="J500" s="25">
        <f>IF(Q500="C",N(H500),0)</f>
        <v/>
      </c>
      <c r="K500" s="26">
        <f>IF(Z500="","",Z500)</f>
        <v/>
      </c>
      <c r="L500" s="27">
        <f>W500</f>
        <v/>
      </c>
      <c r="M500" s="28">
        <f>AA500</f>
        <v/>
      </c>
      <c r="N500" s="23">
        <f>IF(AND(B500="",C500="",D500="",N(H500)=0),"",IF(B500="","Enter the date",IF(C500="","Pick the party",IF(P500="?","Add this party on the Parties sheet first",IF(D500="","Pick the entry type",IF(Q500="?","Pick the entry type from the list",IF(N(H500)=0,"Enter the amount",IF(AND(R500&lt;&gt;"Any",R500&lt;&gt;P500),"Sales, receipts and credit notes are for debtors; purchases, payments and debit notes for creditors",IF(AND(F500&lt;&gt;"",D500&lt;&gt;"Purchase bill"),"The received-on date is only for purchase bills",IF(AND(P500="Creditor",X500=1,AA500&gt;0),"Past due to a micro or small supplier: interest runs under MSMED s.16, and if unpaid at year end it is not deductible that year, s.37(2)(g)",IF(AND(P500="Debtor",X500=1,AA500&gt;0),"Past due to you: as a micro or small supplier you can claim interest under MSMED s.16","OK")))))))))))</f>
        <v/>
      </c>
      <c r="P500">
        <f>IF(C500="","",IFERROR(VLOOKUP(C500,'Parties'!$B$13:$Q$112,2,FALSE),"?"))</f>
        <v/>
      </c>
      <c r="Q500">
        <f>IF(D500="","",IFERROR(VLOOKUP(D500,Lists!$A$2:$D$9,3,FALSE),"?"))</f>
        <v/>
      </c>
      <c r="R500">
        <f>IF(D500="","",IFERROR(VLOOKUP(D500,Lists!$A$2:$D$9,4,FALSE),"?"))</f>
        <v/>
      </c>
      <c r="S500">
        <f>IF(P500="Debtor",I500,IF(P500="Creditor",J500,0))</f>
        <v/>
      </c>
      <c r="T500">
        <f>IF(P500="Debtor",J500,IF(P500="Creditor",I500,0))</f>
        <v/>
      </c>
      <c r="U500">
        <f>IF(OR(S500=0,B500=""),0,IFERROR(VLOOKUP(C500,'Parties'!$B$13:$Q$112,13,FALSE),0)+SUMIFS($S$7:$S$506,$C$7:$C$506,C500,$B$7:$B$506,"&lt;"&amp;B500)+SUMIFS(S$7:S500,C$7:C500,C500,B$7:B500,B500))</f>
        <v/>
      </c>
      <c r="V500">
        <f>IF(S500=0,0,IFERROR(VLOOKUP(C500,'Parties'!$B$13:$Q$112,14,FALSE),0)+SUMIFS($T$7:$T$506,$C$7:$C$506,C500,$B$7:$B$506,"&lt;="&amp;'Outstanding'!$E$5))</f>
        <v/>
      </c>
      <c r="W500">
        <f>IF(OR('Outstanding'!$E$5="",S500=0,B500="",B500&gt;'Outstanding'!$E$5),0,MAX(0,MIN(S500,U500-V500)))</f>
        <v/>
      </c>
      <c r="X500">
        <f>IF(C500="",0,IFERROR(VLOOKUP(C500,'Parties'!$B$13:$Q$112,15,FALSE),0))</f>
        <v/>
      </c>
      <c r="Y500">
        <f>IF(C500="","",IFERROR(VLOOKUP(C500,'Parties'!$B$13:$Q$112,16,FALSE),0))</f>
        <v/>
      </c>
      <c r="Z500">
        <f>IF(OR(S500=0,B500="",Y500=""),"",IF(AND(F500&lt;&gt;"",D500="Purchase bill"),F500,B500)+Y500)</f>
        <v/>
      </c>
      <c r="AA500">
        <f>IF(OR(W500=0,Z500=""),0,MAX(0,'Outstanding'!$E$5-Z500))</f>
        <v/>
      </c>
      <c r="AB500">
        <f>IF(AND(X500=1,AA500&gt;0),W500*((1+3*N('Parties'!$E$10)/12)^(AA500*12/365)-1),0)</f>
        <v/>
      </c>
      <c r="AC500">
        <f>IF(W500=0,"",'Outstanding'!$E$5-B500)</f>
        <v/>
      </c>
      <c r="AD500">
        <f>IF(S500=0,0,IFERROR(VLOOKUP(C500,'Parties'!$B$13:$Q$112,14,FALSE),0)+SUMIFS($T$7:$T$506,$C$7:$C$506,C500,$B$7:$B$506,"&lt;="&amp;'Parties'!$E$8))</f>
        <v/>
      </c>
      <c r="AE500">
        <f>IF(OR('Parties'!$E$8="",S500=0,B500="",B500&gt;'Parties'!$E$8),0,MAX(0,MIN(S500,U500-AD500)))</f>
        <v/>
      </c>
      <c r="AF500">
        <f>IF(AND(P500="Creditor",X500=1,AE500&gt;0,Z500&lt;&gt;""),IF(Z500&lt;='Parties'!$E$8,AE500,0),0)</f>
        <v/>
      </c>
      <c r="AG500">
        <f>IF(OR(AE500=0,Z500=""),0,MAX(0,'Parties'!$E$8-Z500))</f>
        <v/>
      </c>
      <c r="AH500">
        <f>IF(AND(P500="Creditor",X500=1,AG500&gt;0),AE500*((1+3*N('Parties'!$E$10)/12)^(AG500*12/365)-1),0)</f>
        <v/>
      </c>
      <c r="AI500">
        <f>IF(AND(C500&lt;&gt;"",C500='Ledger Account'!$D$4,B500&lt;&gt;"",B500&gt;='Ledger Account'!$D$5,B500&lt;='Ledger Account'!$D$6),1,0)</f>
        <v/>
      </c>
      <c r="AJ500">
        <f>IF(AI500=1,SUM(AI$7:AI500),"")</f>
        <v/>
      </c>
      <c r="AK500">
        <f>IF(OR(N500="",N500="OK"),0,1)</f>
        <v/>
      </c>
    </row>
    <row r="501">
      <c r="B501" s="24" t="n"/>
      <c r="C501" s="14" t="n"/>
      <c r="D501" s="14" t="n"/>
      <c r="E501" s="20" t="n"/>
      <c r="F501" s="24" t="n"/>
      <c r="G501" s="14" t="n"/>
      <c r="H501" s="22" t="n"/>
      <c r="I501" s="25">
        <f>IF(Q501="D",N(H501),0)</f>
        <v/>
      </c>
      <c r="J501" s="25">
        <f>IF(Q501="C",N(H501),0)</f>
        <v/>
      </c>
      <c r="K501" s="26">
        <f>IF(Z501="","",Z501)</f>
        <v/>
      </c>
      <c r="L501" s="27">
        <f>W501</f>
        <v/>
      </c>
      <c r="M501" s="28">
        <f>AA501</f>
        <v/>
      </c>
      <c r="N501" s="23">
        <f>IF(AND(B501="",C501="",D501="",N(H501)=0),"",IF(B501="","Enter the date",IF(C501="","Pick the party",IF(P501="?","Add this party on the Parties sheet first",IF(D501="","Pick the entry type",IF(Q501="?","Pick the entry type from the list",IF(N(H501)=0,"Enter the amount",IF(AND(R501&lt;&gt;"Any",R501&lt;&gt;P501),"Sales, receipts and credit notes are for debtors; purchases, payments and debit notes for creditors",IF(AND(F501&lt;&gt;"",D501&lt;&gt;"Purchase bill"),"The received-on date is only for purchase bills",IF(AND(P501="Creditor",X501=1,AA501&gt;0),"Past due to a micro or small supplier: interest runs under MSMED s.16, and if unpaid at year end it is not deductible that year, s.37(2)(g)",IF(AND(P501="Debtor",X501=1,AA501&gt;0),"Past due to you: as a micro or small supplier you can claim interest under MSMED s.16","OK")))))))))))</f>
        <v/>
      </c>
      <c r="P501">
        <f>IF(C501="","",IFERROR(VLOOKUP(C501,'Parties'!$B$13:$Q$112,2,FALSE),"?"))</f>
        <v/>
      </c>
      <c r="Q501">
        <f>IF(D501="","",IFERROR(VLOOKUP(D501,Lists!$A$2:$D$9,3,FALSE),"?"))</f>
        <v/>
      </c>
      <c r="R501">
        <f>IF(D501="","",IFERROR(VLOOKUP(D501,Lists!$A$2:$D$9,4,FALSE),"?"))</f>
        <v/>
      </c>
      <c r="S501">
        <f>IF(P501="Debtor",I501,IF(P501="Creditor",J501,0))</f>
        <v/>
      </c>
      <c r="T501">
        <f>IF(P501="Debtor",J501,IF(P501="Creditor",I501,0))</f>
        <v/>
      </c>
      <c r="U501">
        <f>IF(OR(S501=0,B501=""),0,IFERROR(VLOOKUP(C501,'Parties'!$B$13:$Q$112,13,FALSE),0)+SUMIFS($S$7:$S$506,$C$7:$C$506,C501,$B$7:$B$506,"&lt;"&amp;B501)+SUMIFS(S$7:S501,C$7:C501,C501,B$7:B501,B501))</f>
        <v/>
      </c>
      <c r="V501">
        <f>IF(S501=0,0,IFERROR(VLOOKUP(C501,'Parties'!$B$13:$Q$112,14,FALSE),0)+SUMIFS($T$7:$T$506,$C$7:$C$506,C501,$B$7:$B$506,"&lt;="&amp;'Outstanding'!$E$5))</f>
        <v/>
      </c>
      <c r="W501">
        <f>IF(OR('Outstanding'!$E$5="",S501=0,B501="",B501&gt;'Outstanding'!$E$5),0,MAX(0,MIN(S501,U501-V501)))</f>
        <v/>
      </c>
      <c r="X501">
        <f>IF(C501="",0,IFERROR(VLOOKUP(C501,'Parties'!$B$13:$Q$112,15,FALSE),0))</f>
        <v/>
      </c>
      <c r="Y501">
        <f>IF(C501="","",IFERROR(VLOOKUP(C501,'Parties'!$B$13:$Q$112,16,FALSE),0))</f>
        <v/>
      </c>
      <c r="Z501">
        <f>IF(OR(S501=0,B501="",Y501=""),"",IF(AND(F501&lt;&gt;"",D501="Purchase bill"),F501,B501)+Y501)</f>
        <v/>
      </c>
      <c r="AA501">
        <f>IF(OR(W501=0,Z501=""),0,MAX(0,'Outstanding'!$E$5-Z501))</f>
        <v/>
      </c>
      <c r="AB501">
        <f>IF(AND(X501=1,AA501&gt;0),W501*((1+3*N('Parties'!$E$10)/12)^(AA501*12/365)-1),0)</f>
        <v/>
      </c>
      <c r="AC501">
        <f>IF(W501=0,"",'Outstanding'!$E$5-B501)</f>
        <v/>
      </c>
      <c r="AD501">
        <f>IF(S501=0,0,IFERROR(VLOOKUP(C501,'Parties'!$B$13:$Q$112,14,FALSE),0)+SUMIFS($T$7:$T$506,$C$7:$C$506,C501,$B$7:$B$506,"&lt;="&amp;'Parties'!$E$8))</f>
        <v/>
      </c>
      <c r="AE501">
        <f>IF(OR('Parties'!$E$8="",S501=0,B501="",B501&gt;'Parties'!$E$8),0,MAX(0,MIN(S501,U501-AD501)))</f>
        <v/>
      </c>
      <c r="AF501">
        <f>IF(AND(P501="Creditor",X501=1,AE501&gt;0,Z501&lt;&gt;""),IF(Z501&lt;='Parties'!$E$8,AE501,0),0)</f>
        <v/>
      </c>
      <c r="AG501">
        <f>IF(OR(AE501=0,Z501=""),0,MAX(0,'Parties'!$E$8-Z501))</f>
        <v/>
      </c>
      <c r="AH501">
        <f>IF(AND(P501="Creditor",X501=1,AG501&gt;0),AE501*((1+3*N('Parties'!$E$10)/12)^(AG501*12/365)-1),0)</f>
        <v/>
      </c>
      <c r="AI501">
        <f>IF(AND(C501&lt;&gt;"",C501='Ledger Account'!$D$4,B501&lt;&gt;"",B501&gt;='Ledger Account'!$D$5,B501&lt;='Ledger Account'!$D$6),1,0)</f>
        <v/>
      </c>
      <c r="AJ501">
        <f>IF(AI501=1,SUM(AI$7:AI501),"")</f>
        <v/>
      </c>
      <c r="AK501">
        <f>IF(OR(N501="",N501="OK"),0,1)</f>
        <v/>
      </c>
    </row>
    <row r="502">
      <c r="B502" s="24" t="n"/>
      <c r="C502" s="14" t="n"/>
      <c r="D502" s="14" t="n"/>
      <c r="E502" s="20" t="n"/>
      <c r="F502" s="24" t="n"/>
      <c r="G502" s="14" t="n"/>
      <c r="H502" s="22" t="n"/>
      <c r="I502" s="25">
        <f>IF(Q502="D",N(H502),0)</f>
        <v/>
      </c>
      <c r="J502" s="25">
        <f>IF(Q502="C",N(H502),0)</f>
        <v/>
      </c>
      <c r="K502" s="26">
        <f>IF(Z502="","",Z502)</f>
        <v/>
      </c>
      <c r="L502" s="27">
        <f>W502</f>
        <v/>
      </c>
      <c r="M502" s="28">
        <f>AA502</f>
        <v/>
      </c>
      <c r="N502" s="23">
        <f>IF(AND(B502="",C502="",D502="",N(H502)=0),"",IF(B502="","Enter the date",IF(C502="","Pick the party",IF(P502="?","Add this party on the Parties sheet first",IF(D502="","Pick the entry type",IF(Q502="?","Pick the entry type from the list",IF(N(H502)=0,"Enter the amount",IF(AND(R502&lt;&gt;"Any",R502&lt;&gt;P502),"Sales, receipts and credit notes are for debtors; purchases, payments and debit notes for creditors",IF(AND(F502&lt;&gt;"",D502&lt;&gt;"Purchase bill"),"The received-on date is only for purchase bills",IF(AND(P502="Creditor",X502=1,AA502&gt;0),"Past due to a micro or small supplier: interest runs under MSMED s.16, and if unpaid at year end it is not deductible that year, s.37(2)(g)",IF(AND(P502="Debtor",X502=1,AA502&gt;0),"Past due to you: as a micro or small supplier you can claim interest under MSMED s.16","OK")))))))))))</f>
        <v/>
      </c>
      <c r="P502">
        <f>IF(C502="","",IFERROR(VLOOKUP(C502,'Parties'!$B$13:$Q$112,2,FALSE),"?"))</f>
        <v/>
      </c>
      <c r="Q502">
        <f>IF(D502="","",IFERROR(VLOOKUP(D502,Lists!$A$2:$D$9,3,FALSE),"?"))</f>
        <v/>
      </c>
      <c r="R502">
        <f>IF(D502="","",IFERROR(VLOOKUP(D502,Lists!$A$2:$D$9,4,FALSE),"?"))</f>
        <v/>
      </c>
      <c r="S502">
        <f>IF(P502="Debtor",I502,IF(P502="Creditor",J502,0))</f>
        <v/>
      </c>
      <c r="T502">
        <f>IF(P502="Debtor",J502,IF(P502="Creditor",I502,0))</f>
        <v/>
      </c>
      <c r="U502">
        <f>IF(OR(S502=0,B502=""),0,IFERROR(VLOOKUP(C502,'Parties'!$B$13:$Q$112,13,FALSE),0)+SUMIFS($S$7:$S$506,$C$7:$C$506,C502,$B$7:$B$506,"&lt;"&amp;B502)+SUMIFS(S$7:S502,C$7:C502,C502,B$7:B502,B502))</f>
        <v/>
      </c>
      <c r="V502">
        <f>IF(S502=0,0,IFERROR(VLOOKUP(C502,'Parties'!$B$13:$Q$112,14,FALSE),0)+SUMIFS($T$7:$T$506,$C$7:$C$506,C502,$B$7:$B$506,"&lt;="&amp;'Outstanding'!$E$5))</f>
        <v/>
      </c>
      <c r="W502">
        <f>IF(OR('Outstanding'!$E$5="",S502=0,B502="",B502&gt;'Outstanding'!$E$5),0,MAX(0,MIN(S502,U502-V502)))</f>
        <v/>
      </c>
      <c r="X502">
        <f>IF(C502="",0,IFERROR(VLOOKUP(C502,'Parties'!$B$13:$Q$112,15,FALSE),0))</f>
        <v/>
      </c>
      <c r="Y502">
        <f>IF(C502="","",IFERROR(VLOOKUP(C502,'Parties'!$B$13:$Q$112,16,FALSE),0))</f>
        <v/>
      </c>
      <c r="Z502">
        <f>IF(OR(S502=0,B502="",Y502=""),"",IF(AND(F502&lt;&gt;"",D502="Purchase bill"),F502,B502)+Y502)</f>
        <v/>
      </c>
      <c r="AA502">
        <f>IF(OR(W502=0,Z502=""),0,MAX(0,'Outstanding'!$E$5-Z502))</f>
        <v/>
      </c>
      <c r="AB502">
        <f>IF(AND(X502=1,AA502&gt;0),W502*((1+3*N('Parties'!$E$10)/12)^(AA502*12/365)-1),0)</f>
        <v/>
      </c>
      <c r="AC502">
        <f>IF(W502=0,"",'Outstanding'!$E$5-B502)</f>
        <v/>
      </c>
      <c r="AD502">
        <f>IF(S502=0,0,IFERROR(VLOOKUP(C502,'Parties'!$B$13:$Q$112,14,FALSE),0)+SUMIFS($T$7:$T$506,$C$7:$C$506,C502,$B$7:$B$506,"&lt;="&amp;'Parties'!$E$8))</f>
        <v/>
      </c>
      <c r="AE502">
        <f>IF(OR('Parties'!$E$8="",S502=0,B502="",B502&gt;'Parties'!$E$8),0,MAX(0,MIN(S502,U502-AD502)))</f>
        <v/>
      </c>
      <c r="AF502">
        <f>IF(AND(P502="Creditor",X502=1,AE502&gt;0,Z502&lt;&gt;""),IF(Z502&lt;='Parties'!$E$8,AE502,0),0)</f>
        <v/>
      </c>
      <c r="AG502">
        <f>IF(OR(AE502=0,Z502=""),0,MAX(0,'Parties'!$E$8-Z502))</f>
        <v/>
      </c>
      <c r="AH502">
        <f>IF(AND(P502="Creditor",X502=1,AG502&gt;0),AE502*((1+3*N('Parties'!$E$10)/12)^(AG502*12/365)-1),0)</f>
        <v/>
      </c>
      <c r="AI502">
        <f>IF(AND(C502&lt;&gt;"",C502='Ledger Account'!$D$4,B502&lt;&gt;"",B502&gt;='Ledger Account'!$D$5,B502&lt;='Ledger Account'!$D$6),1,0)</f>
        <v/>
      </c>
      <c r="AJ502">
        <f>IF(AI502=1,SUM(AI$7:AI502),"")</f>
        <v/>
      </c>
      <c r="AK502">
        <f>IF(OR(N502="",N502="OK"),0,1)</f>
        <v/>
      </c>
    </row>
    <row r="503">
      <c r="B503" s="24" t="n"/>
      <c r="C503" s="14" t="n"/>
      <c r="D503" s="14" t="n"/>
      <c r="E503" s="20" t="n"/>
      <c r="F503" s="24" t="n"/>
      <c r="G503" s="14" t="n"/>
      <c r="H503" s="22" t="n"/>
      <c r="I503" s="25">
        <f>IF(Q503="D",N(H503),0)</f>
        <v/>
      </c>
      <c r="J503" s="25">
        <f>IF(Q503="C",N(H503),0)</f>
        <v/>
      </c>
      <c r="K503" s="26">
        <f>IF(Z503="","",Z503)</f>
        <v/>
      </c>
      <c r="L503" s="27">
        <f>W503</f>
        <v/>
      </c>
      <c r="M503" s="28">
        <f>AA503</f>
        <v/>
      </c>
      <c r="N503" s="23">
        <f>IF(AND(B503="",C503="",D503="",N(H503)=0),"",IF(B503="","Enter the date",IF(C503="","Pick the party",IF(P503="?","Add this party on the Parties sheet first",IF(D503="","Pick the entry type",IF(Q503="?","Pick the entry type from the list",IF(N(H503)=0,"Enter the amount",IF(AND(R503&lt;&gt;"Any",R503&lt;&gt;P503),"Sales, receipts and credit notes are for debtors; purchases, payments and debit notes for creditors",IF(AND(F503&lt;&gt;"",D503&lt;&gt;"Purchase bill"),"The received-on date is only for purchase bills",IF(AND(P503="Creditor",X503=1,AA503&gt;0),"Past due to a micro or small supplier: interest runs under MSMED s.16, and if unpaid at year end it is not deductible that year, s.37(2)(g)",IF(AND(P503="Debtor",X503=1,AA503&gt;0),"Past due to you: as a micro or small supplier you can claim interest under MSMED s.16","OK")))))))))))</f>
        <v/>
      </c>
      <c r="P503">
        <f>IF(C503="","",IFERROR(VLOOKUP(C503,'Parties'!$B$13:$Q$112,2,FALSE),"?"))</f>
        <v/>
      </c>
      <c r="Q503">
        <f>IF(D503="","",IFERROR(VLOOKUP(D503,Lists!$A$2:$D$9,3,FALSE),"?"))</f>
        <v/>
      </c>
      <c r="R503">
        <f>IF(D503="","",IFERROR(VLOOKUP(D503,Lists!$A$2:$D$9,4,FALSE),"?"))</f>
        <v/>
      </c>
      <c r="S503">
        <f>IF(P503="Debtor",I503,IF(P503="Creditor",J503,0))</f>
        <v/>
      </c>
      <c r="T503">
        <f>IF(P503="Debtor",J503,IF(P503="Creditor",I503,0))</f>
        <v/>
      </c>
      <c r="U503">
        <f>IF(OR(S503=0,B503=""),0,IFERROR(VLOOKUP(C503,'Parties'!$B$13:$Q$112,13,FALSE),0)+SUMIFS($S$7:$S$506,$C$7:$C$506,C503,$B$7:$B$506,"&lt;"&amp;B503)+SUMIFS(S$7:S503,C$7:C503,C503,B$7:B503,B503))</f>
        <v/>
      </c>
      <c r="V503">
        <f>IF(S503=0,0,IFERROR(VLOOKUP(C503,'Parties'!$B$13:$Q$112,14,FALSE),0)+SUMIFS($T$7:$T$506,$C$7:$C$506,C503,$B$7:$B$506,"&lt;="&amp;'Outstanding'!$E$5))</f>
        <v/>
      </c>
      <c r="W503">
        <f>IF(OR('Outstanding'!$E$5="",S503=0,B503="",B503&gt;'Outstanding'!$E$5),0,MAX(0,MIN(S503,U503-V503)))</f>
        <v/>
      </c>
      <c r="X503">
        <f>IF(C503="",0,IFERROR(VLOOKUP(C503,'Parties'!$B$13:$Q$112,15,FALSE),0))</f>
        <v/>
      </c>
      <c r="Y503">
        <f>IF(C503="","",IFERROR(VLOOKUP(C503,'Parties'!$B$13:$Q$112,16,FALSE),0))</f>
        <v/>
      </c>
      <c r="Z503">
        <f>IF(OR(S503=0,B503="",Y503=""),"",IF(AND(F503&lt;&gt;"",D503="Purchase bill"),F503,B503)+Y503)</f>
        <v/>
      </c>
      <c r="AA503">
        <f>IF(OR(W503=0,Z503=""),0,MAX(0,'Outstanding'!$E$5-Z503))</f>
        <v/>
      </c>
      <c r="AB503">
        <f>IF(AND(X503=1,AA503&gt;0),W503*((1+3*N('Parties'!$E$10)/12)^(AA503*12/365)-1),0)</f>
        <v/>
      </c>
      <c r="AC503">
        <f>IF(W503=0,"",'Outstanding'!$E$5-B503)</f>
        <v/>
      </c>
      <c r="AD503">
        <f>IF(S503=0,0,IFERROR(VLOOKUP(C503,'Parties'!$B$13:$Q$112,14,FALSE),0)+SUMIFS($T$7:$T$506,$C$7:$C$506,C503,$B$7:$B$506,"&lt;="&amp;'Parties'!$E$8))</f>
        <v/>
      </c>
      <c r="AE503">
        <f>IF(OR('Parties'!$E$8="",S503=0,B503="",B503&gt;'Parties'!$E$8),0,MAX(0,MIN(S503,U503-AD503)))</f>
        <v/>
      </c>
      <c r="AF503">
        <f>IF(AND(P503="Creditor",X503=1,AE503&gt;0,Z503&lt;&gt;""),IF(Z503&lt;='Parties'!$E$8,AE503,0),0)</f>
        <v/>
      </c>
      <c r="AG503">
        <f>IF(OR(AE503=0,Z503=""),0,MAX(0,'Parties'!$E$8-Z503))</f>
        <v/>
      </c>
      <c r="AH503">
        <f>IF(AND(P503="Creditor",X503=1,AG503&gt;0),AE503*((1+3*N('Parties'!$E$10)/12)^(AG503*12/365)-1),0)</f>
        <v/>
      </c>
      <c r="AI503">
        <f>IF(AND(C503&lt;&gt;"",C503='Ledger Account'!$D$4,B503&lt;&gt;"",B503&gt;='Ledger Account'!$D$5,B503&lt;='Ledger Account'!$D$6),1,0)</f>
        <v/>
      </c>
      <c r="AJ503">
        <f>IF(AI503=1,SUM(AI$7:AI503),"")</f>
        <v/>
      </c>
      <c r="AK503">
        <f>IF(OR(N503="",N503="OK"),0,1)</f>
        <v/>
      </c>
    </row>
    <row r="504">
      <c r="B504" s="24" t="n"/>
      <c r="C504" s="14" t="n"/>
      <c r="D504" s="14" t="n"/>
      <c r="E504" s="20" t="n"/>
      <c r="F504" s="24" t="n"/>
      <c r="G504" s="14" t="n"/>
      <c r="H504" s="22" t="n"/>
      <c r="I504" s="25">
        <f>IF(Q504="D",N(H504),0)</f>
        <v/>
      </c>
      <c r="J504" s="25">
        <f>IF(Q504="C",N(H504),0)</f>
        <v/>
      </c>
      <c r="K504" s="26">
        <f>IF(Z504="","",Z504)</f>
        <v/>
      </c>
      <c r="L504" s="27">
        <f>W504</f>
        <v/>
      </c>
      <c r="M504" s="28">
        <f>AA504</f>
        <v/>
      </c>
      <c r="N504" s="23">
        <f>IF(AND(B504="",C504="",D504="",N(H504)=0),"",IF(B504="","Enter the date",IF(C504="","Pick the party",IF(P504="?","Add this party on the Parties sheet first",IF(D504="","Pick the entry type",IF(Q504="?","Pick the entry type from the list",IF(N(H504)=0,"Enter the amount",IF(AND(R504&lt;&gt;"Any",R504&lt;&gt;P504),"Sales, receipts and credit notes are for debtors; purchases, payments and debit notes for creditors",IF(AND(F504&lt;&gt;"",D504&lt;&gt;"Purchase bill"),"The received-on date is only for purchase bills",IF(AND(P504="Creditor",X504=1,AA504&gt;0),"Past due to a micro or small supplier: interest runs under MSMED s.16, and if unpaid at year end it is not deductible that year, s.37(2)(g)",IF(AND(P504="Debtor",X504=1,AA504&gt;0),"Past due to you: as a micro or small supplier you can claim interest under MSMED s.16","OK")))))))))))</f>
        <v/>
      </c>
      <c r="P504">
        <f>IF(C504="","",IFERROR(VLOOKUP(C504,'Parties'!$B$13:$Q$112,2,FALSE),"?"))</f>
        <v/>
      </c>
      <c r="Q504">
        <f>IF(D504="","",IFERROR(VLOOKUP(D504,Lists!$A$2:$D$9,3,FALSE),"?"))</f>
        <v/>
      </c>
      <c r="R504">
        <f>IF(D504="","",IFERROR(VLOOKUP(D504,Lists!$A$2:$D$9,4,FALSE),"?"))</f>
        <v/>
      </c>
      <c r="S504">
        <f>IF(P504="Debtor",I504,IF(P504="Creditor",J504,0))</f>
        <v/>
      </c>
      <c r="T504">
        <f>IF(P504="Debtor",J504,IF(P504="Creditor",I504,0))</f>
        <v/>
      </c>
      <c r="U504">
        <f>IF(OR(S504=0,B504=""),0,IFERROR(VLOOKUP(C504,'Parties'!$B$13:$Q$112,13,FALSE),0)+SUMIFS($S$7:$S$506,$C$7:$C$506,C504,$B$7:$B$506,"&lt;"&amp;B504)+SUMIFS(S$7:S504,C$7:C504,C504,B$7:B504,B504))</f>
        <v/>
      </c>
      <c r="V504">
        <f>IF(S504=0,0,IFERROR(VLOOKUP(C504,'Parties'!$B$13:$Q$112,14,FALSE),0)+SUMIFS($T$7:$T$506,$C$7:$C$506,C504,$B$7:$B$506,"&lt;="&amp;'Outstanding'!$E$5))</f>
        <v/>
      </c>
      <c r="W504">
        <f>IF(OR('Outstanding'!$E$5="",S504=0,B504="",B504&gt;'Outstanding'!$E$5),0,MAX(0,MIN(S504,U504-V504)))</f>
        <v/>
      </c>
      <c r="X504">
        <f>IF(C504="",0,IFERROR(VLOOKUP(C504,'Parties'!$B$13:$Q$112,15,FALSE),0))</f>
        <v/>
      </c>
      <c r="Y504">
        <f>IF(C504="","",IFERROR(VLOOKUP(C504,'Parties'!$B$13:$Q$112,16,FALSE),0))</f>
        <v/>
      </c>
      <c r="Z504">
        <f>IF(OR(S504=0,B504="",Y504=""),"",IF(AND(F504&lt;&gt;"",D504="Purchase bill"),F504,B504)+Y504)</f>
        <v/>
      </c>
      <c r="AA504">
        <f>IF(OR(W504=0,Z504=""),0,MAX(0,'Outstanding'!$E$5-Z504))</f>
        <v/>
      </c>
      <c r="AB504">
        <f>IF(AND(X504=1,AA504&gt;0),W504*((1+3*N('Parties'!$E$10)/12)^(AA504*12/365)-1),0)</f>
        <v/>
      </c>
      <c r="AC504">
        <f>IF(W504=0,"",'Outstanding'!$E$5-B504)</f>
        <v/>
      </c>
      <c r="AD504">
        <f>IF(S504=0,0,IFERROR(VLOOKUP(C504,'Parties'!$B$13:$Q$112,14,FALSE),0)+SUMIFS($T$7:$T$506,$C$7:$C$506,C504,$B$7:$B$506,"&lt;="&amp;'Parties'!$E$8))</f>
        <v/>
      </c>
      <c r="AE504">
        <f>IF(OR('Parties'!$E$8="",S504=0,B504="",B504&gt;'Parties'!$E$8),0,MAX(0,MIN(S504,U504-AD504)))</f>
        <v/>
      </c>
      <c r="AF504">
        <f>IF(AND(P504="Creditor",X504=1,AE504&gt;0,Z504&lt;&gt;""),IF(Z504&lt;='Parties'!$E$8,AE504,0),0)</f>
        <v/>
      </c>
      <c r="AG504">
        <f>IF(OR(AE504=0,Z504=""),0,MAX(0,'Parties'!$E$8-Z504))</f>
        <v/>
      </c>
      <c r="AH504">
        <f>IF(AND(P504="Creditor",X504=1,AG504&gt;0),AE504*((1+3*N('Parties'!$E$10)/12)^(AG504*12/365)-1),0)</f>
        <v/>
      </c>
      <c r="AI504">
        <f>IF(AND(C504&lt;&gt;"",C504='Ledger Account'!$D$4,B504&lt;&gt;"",B504&gt;='Ledger Account'!$D$5,B504&lt;='Ledger Account'!$D$6),1,0)</f>
        <v/>
      </c>
      <c r="AJ504">
        <f>IF(AI504=1,SUM(AI$7:AI504),"")</f>
        <v/>
      </c>
      <c r="AK504">
        <f>IF(OR(N504="",N504="OK"),0,1)</f>
        <v/>
      </c>
    </row>
    <row r="505">
      <c r="B505" s="24" t="n"/>
      <c r="C505" s="14" t="n"/>
      <c r="D505" s="14" t="n"/>
      <c r="E505" s="20" t="n"/>
      <c r="F505" s="24" t="n"/>
      <c r="G505" s="14" t="n"/>
      <c r="H505" s="22" t="n"/>
      <c r="I505" s="25">
        <f>IF(Q505="D",N(H505),0)</f>
        <v/>
      </c>
      <c r="J505" s="25">
        <f>IF(Q505="C",N(H505),0)</f>
        <v/>
      </c>
      <c r="K505" s="26">
        <f>IF(Z505="","",Z505)</f>
        <v/>
      </c>
      <c r="L505" s="27">
        <f>W505</f>
        <v/>
      </c>
      <c r="M505" s="28">
        <f>AA505</f>
        <v/>
      </c>
      <c r="N505" s="23">
        <f>IF(AND(B505="",C505="",D505="",N(H505)=0),"",IF(B505="","Enter the date",IF(C505="","Pick the party",IF(P505="?","Add this party on the Parties sheet first",IF(D505="","Pick the entry type",IF(Q505="?","Pick the entry type from the list",IF(N(H505)=0,"Enter the amount",IF(AND(R505&lt;&gt;"Any",R505&lt;&gt;P505),"Sales, receipts and credit notes are for debtors; purchases, payments and debit notes for creditors",IF(AND(F505&lt;&gt;"",D505&lt;&gt;"Purchase bill"),"The received-on date is only for purchase bills",IF(AND(P505="Creditor",X505=1,AA505&gt;0),"Past due to a micro or small supplier: interest runs under MSMED s.16, and if unpaid at year end it is not deductible that year, s.37(2)(g)",IF(AND(P505="Debtor",X505=1,AA505&gt;0),"Past due to you: as a micro or small supplier you can claim interest under MSMED s.16","OK")))))))))))</f>
        <v/>
      </c>
      <c r="P505">
        <f>IF(C505="","",IFERROR(VLOOKUP(C505,'Parties'!$B$13:$Q$112,2,FALSE),"?"))</f>
        <v/>
      </c>
      <c r="Q505">
        <f>IF(D505="","",IFERROR(VLOOKUP(D505,Lists!$A$2:$D$9,3,FALSE),"?"))</f>
        <v/>
      </c>
      <c r="R505">
        <f>IF(D505="","",IFERROR(VLOOKUP(D505,Lists!$A$2:$D$9,4,FALSE),"?"))</f>
        <v/>
      </c>
      <c r="S505">
        <f>IF(P505="Debtor",I505,IF(P505="Creditor",J505,0))</f>
        <v/>
      </c>
      <c r="T505">
        <f>IF(P505="Debtor",J505,IF(P505="Creditor",I505,0))</f>
        <v/>
      </c>
      <c r="U505">
        <f>IF(OR(S505=0,B505=""),0,IFERROR(VLOOKUP(C505,'Parties'!$B$13:$Q$112,13,FALSE),0)+SUMIFS($S$7:$S$506,$C$7:$C$506,C505,$B$7:$B$506,"&lt;"&amp;B505)+SUMIFS(S$7:S505,C$7:C505,C505,B$7:B505,B505))</f>
        <v/>
      </c>
      <c r="V505">
        <f>IF(S505=0,0,IFERROR(VLOOKUP(C505,'Parties'!$B$13:$Q$112,14,FALSE),0)+SUMIFS($T$7:$T$506,$C$7:$C$506,C505,$B$7:$B$506,"&lt;="&amp;'Outstanding'!$E$5))</f>
        <v/>
      </c>
      <c r="W505">
        <f>IF(OR('Outstanding'!$E$5="",S505=0,B505="",B505&gt;'Outstanding'!$E$5),0,MAX(0,MIN(S505,U505-V505)))</f>
        <v/>
      </c>
      <c r="X505">
        <f>IF(C505="",0,IFERROR(VLOOKUP(C505,'Parties'!$B$13:$Q$112,15,FALSE),0))</f>
        <v/>
      </c>
      <c r="Y505">
        <f>IF(C505="","",IFERROR(VLOOKUP(C505,'Parties'!$B$13:$Q$112,16,FALSE),0))</f>
        <v/>
      </c>
      <c r="Z505">
        <f>IF(OR(S505=0,B505="",Y505=""),"",IF(AND(F505&lt;&gt;"",D505="Purchase bill"),F505,B505)+Y505)</f>
        <v/>
      </c>
      <c r="AA505">
        <f>IF(OR(W505=0,Z505=""),0,MAX(0,'Outstanding'!$E$5-Z505))</f>
        <v/>
      </c>
      <c r="AB505">
        <f>IF(AND(X505=1,AA505&gt;0),W505*((1+3*N('Parties'!$E$10)/12)^(AA505*12/365)-1),0)</f>
        <v/>
      </c>
      <c r="AC505">
        <f>IF(W505=0,"",'Outstanding'!$E$5-B505)</f>
        <v/>
      </c>
      <c r="AD505">
        <f>IF(S505=0,0,IFERROR(VLOOKUP(C505,'Parties'!$B$13:$Q$112,14,FALSE),0)+SUMIFS($T$7:$T$506,$C$7:$C$506,C505,$B$7:$B$506,"&lt;="&amp;'Parties'!$E$8))</f>
        <v/>
      </c>
      <c r="AE505">
        <f>IF(OR('Parties'!$E$8="",S505=0,B505="",B505&gt;'Parties'!$E$8),0,MAX(0,MIN(S505,U505-AD505)))</f>
        <v/>
      </c>
      <c r="AF505">
        <f>IF(AND(P505="Creditor",X505=1,AE505&gt;0,Z505&lt;&gt;""),IF(Z505&lt;='Parties'!$E$8,AE505,0),0)</f>
        <v/>
      </c>
      <c r="AG505">
        <f>IF(OR(AE505=0,Z505=""),0,MAX(0,'Parties'!$E$8-Z505))</f>
        <v/>
      </c>
      <c r="AH505">
        <f>IF(AND(P505="Creditor",X505=1,AG505&gt;0),AE505*((1+3*N('Parties'!$E$10)/12)^(AG505*12/365)-1),0)</f>
        <v/>
      </c>
      <c r="AI505">
        <f>IF(AND(C505&lt;&gt;"",C505='Ledger Account'!$D$4,B505&lt;&gt;"",B505&gt;='Ledger Account'!$D$5,B505&lt;='Ledger Account'!$D$6),1,0)</f>
        <v/>
      </c>
      <c r="AJ505">
        <f>IF(AI505=1,SUM(AI$7:AI505),"")</f>
        <v/>
      </c>
      <c r="AK505">
        <f>IF(OR(N505="",N505="OK"),0,1)</f>
        <v/>
      </c>
    </row>
    <row r="506">
      <c r="B506" s="24" t="n"/>
      <c r="C506" s="14" t="n"/>
      <c r="D506" s="14" t="n"/>
      <c r="E506" s="20" t="n"/>
      <c r="F506" s="24" t="n"/>
      <c r="G506" s="14" t="n"/>
      <c r="H506" s="22" t="n"/>
      <c r="I506" s="25">
        <f>IF(Q506="D",N(H506),0)</f>
        <v/>
      </c>
      <c r="J506" s="25">
        <f>IF(Q506="C",N(H506),0)</f>
        <v/>
      </c>
      <c r="K506" s="26">
        <f>IF(Z506="","",Z506)</f>
        <v/>
      </c>
      <c r="L506" s="27">
        <f>W506</f>
        <v/>
      </c>
      <c r="M506" s="28">
        <f>AA506</f>
        <v/>
      </c>
      <c r="N506" s="23">
        <f>IF(AND(B506="",C506="",D506="",N(H506)=0),"",IF(B506="","Enter the date",IF(C506="","Pick the party",IF(P506="?","Add this party on the Parties sheet first",IF(D506="","Pick the entry type",IF(Q506="?","Pick the entry type from the list",IF(N(H506)=0,"Enter the amount",IF(AND(R506&lt;&gt;"Any",R506&lt;&gt;P506),"Sales, receipts and credit notes are for debtors; purchases, payments and debit notes for creditors",IF(AND(F506&lt;&gt;"",D506&lt;&gt;"Purchase bill"),"The received-on date is only for purchase bills",IF(AND(P506="Creditor",X506=1,AA506&gt;0),"Past due to a micro or small supplier: interest runs under MSMED s.16, and if unpaid at year end it is not deductible that year, s.37(2)(g)",IF(AND(P506="Debtor",X506=1,AA506&gt;0),"Past due to you: as a micro or small supplier you can claim interest under MSMED s.16","OK")))))))))))</f>
        <v/>
      </c>
      <c r="P506">
        <f>IF(C506="","",IFERROR(VLOOKUP(C506,'Parties'!$B$13:$Q$112,2,FALSE),"?"))</f>
        <v/>
      </c>
      <c r="Q506">
        <f>IF(D506="","",IFERROR(VLOOKUP(D506,Lists!$A$2:$D$9,3,FALSE),"?"))</f>
        <v/>
      </c>
      <c r="R506">
        <f>IF(D506="","",IFERROR(VLOOKUP(D506,Lists!$A$2:$D$9,4,FALSE),"?"))</f>
        <v/>
      </c>
      <c r="S506">
        <f>IF(P506="Debtor",I506,IF(P506="Creditor",J506,0))</f>
        <v/>
      </c>
      <c r="T506">
        <f>IF(P506="Debtor",J506,IF(P506="Creditor",I506,0))</f>
        <v/>
      </c>
      <c r="U506">
        <f>IF(OR(S506=0,B506=""),0,IFERROR(VLOOKUP(C506,'Parties'!$B$13:$Q$112,13,FALSE),0)+SUMIFS($S$7:$S$506,$C$7:$C$506,C506,$B$7:$B$506,"&lt;"&amp;B506)+SUMIFS(S$7:S506,C$7:C506,C506,B$7:B506,B506))</f>
        <v/>
      </c>
      <c r="V506">
        <f>IF(S506=0,0,IFERROR(VLOOKUP(C506,'Parties'!$B$13:$Q$112,14,FALSE),0)+SUMIFS($T$7:$T$506,$C$7:$C$506,C506,$B$7:$B$506,"&lt;="&amp;'Outstanding'!$E$5))</f>
        <v/>
      </c>
      <c r="W506">
        <f>IF(OR('Outstanding'!$E$5="",S506=0,B506="",B506&gt;'Outstanding'!$E$5),0,MAX(0,MIN(S506,U506-V506)))</f>
        <v/>
      </c>
      <c r="X506">
        <f>IF(C506="",0,IFERROR(VLOOKUP(C506,'Parties'!$B$13:$Q$112,15,FALSE),0))</f>
        <v/>
      </c>
      <c r="Y506">
        <f>IF(C506="","",IFERROR(VLOOKUP(C506,'Parties'!$B$13:$Q$112,16,FALSE),0))</f>
        <v/>
      </c>
      <c r="Z506">
        <f>IF(OR(S506=0,B506="",Y506=""),"",IF(AND(F506&lt;&gt;"",D506="Purchase bill"),F506,B506)+Y506)</f>
        <v/>
      </c>
      <c r="AA506">
        <f>IF(OR(W506=0,Z506=""),0,MAX(0,'Outstanding'!$E$5-Z506))</f>
        <v/>
      </c>
      <c r="AB506">
        <f>IF(AND(X506=1,AA506&gt;0),W506*((1+3*N('Parties'!$E$10)/12)^(AA506*12/365)-1),0)</f>
        <v/>
      </c>
      <c r="AC506">
        <f>IF(W506=0,"",'Outstanding'!$E$5-B506)</f>
        <v/>
      </c>
      <c r="AD506">
        <f>IF(S506=0,0,IFERROR(VLOOKUP(C506,'Parties'!$B$13:$Q$112,14,FALSE),0)+SUMIFS($T$7:$T$506,$C$7:$C$506,C506,$B$7:$B$506,"&lt;="&amp;'Parties'!$E$8))</f>
        <v/>
      </c>
      <c r="AE506">
        <f>IF(OR('Parties'!$E$8="",S506=0,B506="",B506&gt;'Parties'!$E$8),0,MAX(0,MIN(S506,U506-AD506)))</f>
        <v/>
      </c>
      <c r="AF506">
        <f>IF(AND(P506="Creditor",X506=1,AE506&gt;0,Z506&lt;&gt;""),IF(Z506&lt;='Parties'!$E$8,AE506,0),0)</f>
        <v/>
      </c>
      <c r="AG506">
        <f>IF(OR(AE506=0,Z506=""),0,MAX(0,'Parties'!$E$8-Z506))</f>
        <v/>
      </c>
      <c r="AH506">
        <f>IF(AND(P506="Creditor",X506=1,AG506&gt;0),AE506*((1+3*N('Parties'!$E$10)/12)^(AG506*12/365)-1),0)</f>
        <v/>
      </c>
      <c r="AI506">
        <f>IF(AND(C506&lt;&gt;"",C506='Ledger Account'!$D$4,B506&lt;&gt;"",B506&gt;='Ledger Account'!$D$5,B506&lt;='Ledger Account'!$D$6),1,0)</f>
        <v/>
      </c>
      <c r="AJ506">
        <f>IF(AI506=1,SUM(AI$7:AI506),"")</f>
        <v/>
      </c>
      <c r="AK506">
        <f>IF(OR(N506="",N506="OK"),0,1)</f>
        <v/>
      </c>
    </row>
    <row r="507" ht="18" customHeight="1">
      <c r="B507" s="29" t="inlineStr">
        <is>
          <t>Total</t>
        </is>
      </c>
      <c r="C507" s="30" t="n"/>
      <c r="D507" s="30" t="n"/>
      <c r="E507" s="30" t="n"/>
      <c r="F507" s="30" t="n"/>
      <c r="G507" s="30" t="n"/>
      <c r="H507" s="30" t="n"/>
      <c r="I507" s="31">
        <f>SUM($I$7:$I$506)</f>
        <v/>
      </c>
      <c r="J507" s="31">
        <f>SUM($J$7:$J$506)</f>
        <v/>
      </c>
      <c r="K507" s="30" t="n"/>
      <c r="L507" s="30" t="n"/>
      <c r="M507" s="30" t="n"/>
      <c r="N507" s="30" t="n"/>
    </row>
    <row r="508"/>
    <row r="509" ht="16" customHeight="1">
      <c r="B509" s="8" t="inlineStr">
        <is>
          <t>Unpaid bills are matched oldest first: a receipt or payment clears the earliest open bill of that party. Due dates follow the MSMED Act for micro and small suppliers (15 days from acceptance, or the written term up to 45). General guidance, not legal or tax advice.</t>
        </is>
      </c>
      <c r="C509" s="9" t="n"/>
      <c r="D509" s="9" t="n"/>
      <c r="E509" s="9" t="n"/>
      <c r="F509" s="9" t="n"/>
      <c r="G509" s="9" t="n"/>
      <c r="H509" s="9" t="n"/>
      <c r="I509" s="9" t="n"/>
      <c r="J509" s="9" t="n"/>
      <c r="K509" s="9" t="n"/>
      <c r="L509" s="9" t="n"/>
      <c r="M509" s="9" t="n"/>
      <c r="N509" s="9" t="n"/>
    </row>
    <row r="510"/>
    <row r="511" ht="16" customHeight="1">
      <c r="B511"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1"/>
  <mergeCells count="5">
    <mergeCell ref="B4:N4"/>
    <mergeCell ref="B509:N509"/>
    <mergeCell ref="B3:N3"/>
    <mergeCell ref="B2:N2"/>
    <mergeCell ref="B511:N511"/>
  </mergeCells>
  <dataValidations count="5">
    <dataValidation sqref="B7:B506" showDropDown="0" showInputMessage="0" showErrorMessage="1" allowBlank="1" errorTitle="Enter a date" error="Enter a date, for example 01-Apr-2026." type="date" operator="between">
      <formula1>DATE(2000,1,1)</formula1>
      <formula2>DATE(2100,12,31)</formula2>
    </dataValidation>
    <dataValidation sqref="F7:F506" showDropDown="0" showInputMessage="0" showErrorMessage="1" allowBlank="1" errorTitle="Enter a date" error="Enter a date, for example 01-Apr-2026." type="date" operator="between">
      <formula1>DATE(2000,1,1)</formula1>
      <formula2>DATE(2100,12,31)</formula2>
    </dataValidation>
    <dataValidation sqref="C7:C506" showDropDown="0" showInputMessage="0" showErrorMessage="1" allowBlank="1" errorTitle="Pick from the list" error="Pick an option from the drop-down list." type="list">
      <formula1>='Parties'!$B$13:$B$112</formula1>
    </dataValidation>
    <dataValidation sqref="D7:D506" showDropDown="0" showInputMessage="0" showErrorMessage="1" allowBlank="1" errorTitle="Pick from the list" error="Pick an option from the drop-down list." type="list">
      <formula1>=Lists!$A$2:$A$9</formula1>
    </dataValidation>
    <dataValidation sqref="H7:H506" showDropDown="0" showInputMessage="0" showErrorMessage="1" allowBlank="1" errorTitle="Enter an amount" error="Enter the amount in rupees as a number, with no minus sign." type="decimal" operator="greaterThanOrEqual">
      <formula1>0</formula1>
    </dataValidation>
  </dataValidations>
  <pageMargins left="0.3" right="0.3" top="0.4" bottom="0.4"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B2:I86"/>
  <sheetViews>
    <sheetView showGridLines="0" workbookViewId="0">
      <selection activeCell="A1" sqref="A1"/>
    </sheetView>
  </sheetViews>
  <sheetFormatPr baseColWidth="8" defaultRowHeight="15"/>
  <cols>
    <col width="2" customWidth="1" min="1" max="1"/>
    <col width="13" customWidth="1" min="2" max="2"/>
    <col width="44" customWidth="1" min="3" max="3"/>
    <col width="16" customWidth="1" min="4" max="4"/>
    <col width="14" customWidth="1" min="5" max="5"/>
    <col width="14" customWidth="1" min="6" max="6"/>
    <col width="17" customWidth="1" min="7" max="7"/>
    <col width="2" customWidth="1" min="8" max="8"/>
    <col hidden="1" width="10" customWidth="1" min="9" max="9"/>
    <col width="10" customWidth="1" min="10" max="10"/>
    <col width="10" customWidth="1" min="11" max="11"/>
  </cols>
  <sheetData>
    <row r="2">
      <c r="B2" s="1" t="inlineStr">
        <is>
          <t>LEDGER ACCOUNT</t>
        </is>
      </c>
    </row>
    <row r="3">
      <c r="B3" s="11" t="inlineStr">
        <is>
          <t>Pick a party and a period, then print. Rows 2 to 7 do not print.</t>
        </is>
      </c>
    </row>
    <row r="4">
      <c r="B4" s="12" t="inlineStr">
        <is>
          <t>Party</t>
        </is>
      </c>
      <c r="C4" s="13" t="n"/>
      <c r="D4" s="32" t="n"/>
      <c r="E4" s="15" t="n"/>
    </row>
    <row r="5">
      <c r="B5" s="12" t="inlineStr">
        <is>
          <t>From</t>
        </is>
      </c>
      <c r="C5" s="13" t="n"/>
      <c r="D5" s="33" t="n"/>
      <c r="E5" s="15" t="n"/>
    </row>
    <row r="6">
      <c r="B6" s="12" t="inlineStr">
        <is>
          <t>To</t>
        </is>
      </c>
      <c r="C6" s="13" t="n"/>
      <c r="D6" s="33" t="n"/>
      <c r="E6" s="15" t="n"/>
    </row>
    <row r="8">
      <c r="B8" s="34">
        <f>IF('Parties'!$E$6="","Name of the business",'Parties'!$E$6)</f>
        <v/>
      </c>
    </row>
    <row r="9" ht="22" customHeight="1">
      <c r="B9" s="35">
        <f>IF($D$4="","LEDGER ACCOUNT","LEDGER ACCOUNT: "&amp;UPPER($D$4))</f>
        <v/>
      </c>
      <c r="C9" s="4" t="n"/>
      <c r="D9" s="4" t="n"/>
      <c r="E9" s="4" t="n"/>
      <c r="F9" s="4" t="n"/>
      <c r="G9" s="4" t="n"/>
    </row>
    <row r="10">
      <c r="B10" s="36">
        <f>IF($D$4="","",IFERROR(VLOOKUP($D$4,'Parties'!$B$13:$Q$112,2,FALSE)&amp;"","")&amp;IF(IFERROR(VLOOKUP($D$4,'Parties'!$B$13:$Q$112,3,FALSE)&amp;"","")="","","  |  GSTIN: "&amp;VLOOKUP($D$4,'Parties'!$B$13:$Q$112,3,FALSE))&amp;IF(IFERROR(VLOOKUP($D$4,'Parties'!$B$13:$Q$112,5,FALSE)&amp;"","")="","","  |  Udyam: "&amp;VLOOKUP($D$4,'Parties'!$B$13:$Q$112,5,FALSE)))</f>
        <v/>
      </c>
    </row>
    <row r="11">
      <c r="B11" s="36">
        <f>IF(OR($D$5="",$D$6=""),"Set the period above","From "&amp;TEXT($D$5,"DD-MMM-YYYY")&amp;" to "&amp;TEXT($D$6,"DD-MMM-YYYY"))</f>
        <v/>
      </c>
    </row>
    <row r="13">
      <c r="B13" s="19" t="inlineStr">
        <is>
          <t>Date</t>
        </is>
      </c>
      <c r="C13" s="19" t="inlineStr">
        <is>
          <t>Particulars</t>
        </is>
      </c>
      <c r="D13" s="19" t="inlineStr">
        <is>
          <t>Bill or voucher no.</t>
        </is>
      </c>
      <c r="E13" s="19" t="inlineStr">
        <is>
          <t>Debit</t>
        </is>
      </c>
      <c r="F13" s="19" t="inlineStr">
        <is>
          <t>Credit</t>
        </is>
      </c>
      <c r="G13" s="19" t="inlineStr">
        <is>
          <t>Balance</t>
        </is>
      </c>
    </row>
    <row r="14">
      <c r="B14" s="26">
        <f>IF($D$5="","",$D$5)</f>
        <v/>
      </c>
      <c r="C14" s="37" t="inlineStr">
        <is>
          <t>Opening balance</t>
        </is>
      </c>
      <c r="D14" s="7" t="n"/>
      <c r="E14" s="7" t="n"/>
      <c r="F14" s="7" t="n"/>
      <c r="G14" s="38">
        <f>IF($D$4="","",IFERROR(VLOOKUP($D$4,'Parties'!$B$13:$Q$112,12,FALSE),0)+SUMIFS('Entries'!$I$7:$I$506,'Entries'!$C$7:$C$506,$D$4,'Entries'!$B$7:$B$506,"&lt;"&amp;$D$5)-SUMIFS('Entries'!$J$7:$J$506,'Entries'!$C$7:$C$506,$D$4,'Entries'!$B$7:$B$506,"&lt;"&amp;$D$5))</f>
        <v/>
      </c>
    </row>
    <row r="15">
      <c r="B15" s="26">
        <f>IF($I15="","",INDEX('Entries'!$B$7:$B$506,$I15))</f>
        <v/>
      </c>
      <c r="C15" s="39">
        <f>IF($I15="","",INDEX('Entries'!$D$7:$D$506,$I15)&amp;IF(INDEX('Entries'!$G$7:$G$506,$I15)="","",": "&amp;INDEX('Entries'!$G$7:$G$506,$I15)))</f>
        <v/>
      </c>
      <c r="D15" s="40">
        <f>IF($I15="","",INDEX('Entries'!$E$7:$E$506,$I15)&amp;"")</f>
        <v/>
      </c>
      <c r="E15" s="25">
        <f>IF($I15="","",INDEX('Entries'!$I$7:$I$506,$I15))</f>
        <v/>
      </c>
      <c r="F15" s="25">
        <f>IF($I15="","",INDEX('Entries'!$J$7:$J$506,$I15))</f>
        <v/>
      </c>
      <c r="G15" s="41">
        <f>IF($I15="","",N(G14)+N(E15)-N(F15))</f>
        <v/>
      </c>
      <c r="I15">
        <f>IF(1&gt;SUM('Entries'!$AI$7:$AI$506),"",IFERROR(MATCH(1,'Entries'!$AJ$7:$AJ$506,0),""))</f>
        <v/>
      </c>
    </row>
    <row r="16">
      <c r="B16" s="26">
        <f>IF($I16="","",INDEX('Entries'!$B$7:$B$506,$I16))</f>
        <v/>
      </c>
      <c r="C16" s="39">
        <f>IF($I16="","",INDEX('Entries'!$D$7:$D$506,$I16)&amp;IF(INDEX('Entries'!$G$7:$G$506,$I16)="","",": "&amp;INDEX('Entries'!$G$7:$G$506,$I16)))</f>
        <v/>
      </c>
      <c r="D16" s="40">
        <f>IF($I16="","",INDEX('Entries'!$E$7:$E$506,$I16)&amp;"")</f>
        <v/>
      </c>
      <c r="E16" s="25">
        <f>IF($I16="","",INDEX('Entries'!$I$7:$I$506,$I16))</f>
        <v/>
      </c>
      <c r="F16" s="25">
        <f>IF($I16="","",INDEX('Entries'!$J$7:$J$506,$I16))</f>
        <v/>
      </c>
      <c r="G16" s="41">
        <f>IF($I16="","",N(G15)+N(E16)-N(F16))</f>
        <v/>
      </c>
      <c r="I16">
        <f>IF(2&gt;SUM('Entries'!$AI$7:$AI$506),"",IFERROR(MATCH(2,'Entries'!$AJ$7:$AJ$506,0),""))</f>
        <v/>
      </c>
    </row>
    <row r="17">
      <c r="B17" s="26">
        <f>IF($I17="","",INDEX('Entries'!$B$7:$B$506,$I17))</f>
        <v/>
      </c>
      <c r="C17" s="39">
        <f>IF($I17="","",INDEX('Entries'!$D$7:$D$506,$I17)&amp;IF(INDEX('Entries'!$G$7:$G$506,$I17)="","",": "&amp;INDEX('Entries'!$G$7:$G$506,$I17)))</f>
        <v/>
      </c>
      <c r="D17" s="40">
        <f>IF($I17="","",INDEX('Entries'!$E$7:$E$506,$I17)&amp;"")</f>
        <v/>
      </c>
      <c r="E17" s="25">
        <f>IF($I17="","",INDEX('Entries'!$I$7:$I$506,$I17))</f>
        <v/>
      </c>
      <c r="F17" s="25">
        <f>IF($I17="","",INDEX('Entries'!$J$7:$J$506,$I17))</f>
        <v/>
      </c>
      <c r="G17" s="41">
        <f>IF($I17="","",N(G16)+N(E17)-N(F17))</f>
        <v/>
      </c>
      <c r="I17">
        <f>IF(3&gt;SUM('Entries'!$AI$7:$AI$506),"",IFERROR(MATCH(3,'Entries'!$AJ$7:$AJ$506,0),""))</f>
        <v/>
      </c>
    </row>
    <row r="18">
      <c r="B18" s="26">
        <f>IF($I18="","",INDEX('Entries'!$B$7:$B$506,$I18))</f>
        <v/>
      </c>
      <c r="C18" s="39">
        <f>IF($I18="","",INDEX('Entries'!$D$7:$D$506,$I18)&amp;IF(INDEX('Entries'!$G$7:$G$506,$I18)="","",": "&amp;INDEX('Entries'!$G$7:$G$506,$I18)))</f>
        <v/>
      </c>
      <c r="D18" s="40">
        <f>IF($I18="","",INDEX('Entries'!$E$7:$E$506,$I18)&amp;"")</f>
        <v/>
      </c>
      <c r="E18" s="25">
        <f>IF($I18="","",INDEX('Entries'!$I$7:$I$506,$I18))</f>
        <v/>
      </c>
      <c r="F18" s="25">
        <f>IF($I18="","",INDEX('Entries'!$J$7:$J$506,$I18))</f>
        <v/>
      </c>
      <c r="G18" s="41">
        <f>IF($I18="","",N(G17)+N(E18)-N(F18))</f>
        <v/>
      </c>
      <c r="I18">
        <f>IF(4&gt;SUM('Entries'!$AI$7:$AI$506),"",IFERROR(MATCH(4,'Entries'!$AJ$7:$AJ$506,0),""))</f>
        <v/>
      </c>
    </row>
    <row r="19">
      <c r="B19" s="26">
        <f>IF($I19="","",INDEX('Entries'!$B$7:$B$506,$I19))</f>
        <v/>
      </c>
      <c r="C19" s="39">
        <f>IF($I19="","",INDEX('Entries'!$D$7:$D$506,$I19)&amp;IF(INDEX('Entries'!$G$7:$G$506,$I19)="","",": "&amp;INDEX('Entries'!$G$7:$G$506,$I19)))</f>
        <v/>
      </c>
      <c r="D19" s="40">
        <f>IF($I19="","",INDEX('Entries'!$E$7:$E$506,$I19)&amp;"")</f>
        <v/>
      </c>
      <c r="E19" s="25">
        <f>IF($I19="","",INDEX('Entries'!$I$7:$I$506,$I19))</f>
        <v/>
      </c>
      <c r="F19" s="25">
        <f>IF($I19="","",INDEX('Entries'!$J$7:$J$506,$I19))</f>
        <v/>
      </c>
      <c r="G19" s="41">
        <f>IF($I19="","",N(G18)+N(E19)-N(F19))</f>
        <v/>
      </c>
      <c r="I19">
        <f>IF(5&gt;SUM('Entries'!$AI$7:$AI$506),"",IFERROR(MATCH(5,'Entries'!$AJ$7:$AJ$506,0),""))</f>
        <v/>
      </c>
    </row>
    <row r="20">
      <c r="B20" s="26">
        <f>IF($I20="","",INDEX('Entries'!$B$7:$B$506,$I20))</f>
        <v/>
      </c>
      <c r="C20" s="39">
        <f>IF($I20="","",INDEX('Entries'!$D$7:$D$506,$I20)&amp;IF(INDEX('Entries'!$G$7:$G$506,$I20)="","",": "&amp;INDEX('Entries'!$G$7:$G$506,$I20)))</f>
        <v/>
      </c>
      <c r="D20" s="40">
        <f>IF($I20="","",INDEX('Entries'!$E$7:$E$506,$I20)&amp;"")</f>
        <v/>
      </c>
      <c r="E20" s="25">
        <f>IF($I20="","",INDEX('Entries'!$I$7:$I$506,$I20))</f>
        <v/>
      </c>
      <c r="F20" s="25">
        <f>IF($I20="","",INDEX('Entries'!$J$7:$J$506,$I20))</f>
        <v/>
      </c>
      <c r="G20" s="41">
        <f>IF($I20="","",N(G19)+N(E20)-N(F20))</f>
        <v/>
      </c>
      <c r="I20">
        <f>IF(6&gt;SUM('Entries'!$AI$7:$AI$506),"",IFERROR(MATCH(6,'Entries'!$AJ$7:$AJ$506,0),""))</f>
        <v/>
      </c>
    </row>
    <row r="21">
      <c r="B21" s="26">
        <f>IF($I21="","",INDEX('Entries'!$B$7:$B$506,$I21))</f>
        <v/>
      </c>
      <c r="C21" s="39">
        <f>IF($I21="","",INDEX('Entries'!$D$7:$D$506,$I21)&amp;IF(INDEX('Entries'!$G$7:$G$506,$I21)="","",": "&amp;INDEX('Entries'!$G$7:$G$506,$I21)))</f>
        <v/>
      </c>
      <c r="D21" s="40">
        <f>IF($I21="","",INDEX('Entries'!$E$7:$E$506,$I21)&amp;"")</f>
        <v/>
      </c>
      <c r="E21" s="25">
        <f>IF($I21="","",INDEX('Entries'!$I$7:$I$506,$I21))</f>
        <v/>
      </c>
      <c r="F21" s="25">
        <f>IF($I21="","",INDEX('Entries'!$J$7:$J$506,$I21))</f>
        <v/>
      </c>
      <c r="G21" s="41">
        <f>IF($I21="","",N(G20)+N(E21)-N(F21))</f>
        <v/>
      </c>
      <c r="I21">
        <f>IF(7&gt;SUM('Entries'!$AI$7:$AI$506),"",IFERROR(MATCH(7,'Entries'!$AJ$7:$AJ$506,0),""))</f>
        <v/>
      </c>
    </row>
    <row r="22">
      <c r="B22" s="26">
        <f>IF($I22="","",INDEX('Entries'!$B$7:$B$506,$I22))</f>
        <v/>
      </c>
      <c r="C22" s="39">
        <f>IF($I22="","",INDEX('Entries'!$D$7:$D$506,$I22)&amp;IF(INDEX('Entries'!$G$7:$G$506,$I22)="","",": "&amp;INDEX('Entries'!$G$7:$G$506,$I22)))</f>
        <v/>
      </c>
      <c r="D22" s="40">
        <f>IF($I22="","",INDEX('Entries'!$E$7:$E$506,$I22)&amp;"")</f>
        <v/>
      </c>
      <c r="E22" s="25">
        <f>IF($I22="","",INDEX('Entries'!$I$7:$I$506,$I22))</f>
        <v/>
      </c>
      <c r="F22" s="25">
        <f>IF($I22="","",INDEX('Entries'!$J$7:$J$506,$I22))</f>
        <v/>
      </c>
      <c r="G22" s="41">
        <f>IF($I22="","",N(G21)+N(E22)-N(F22))</f>
        <v/>
      </c>
      <c r="I22">
        <f>IF(8&gt;SUM('Entries'!$AI$7:$AI$506),"",IFERROR(MATCH(8,'Entries'!$AJ$7:$AJ$506,0),""))</f>
        <v/>
      </c>
    </row>
    <row r="23">
      <c r="B23" s="26">
        <f>IF($I23="","",INDEX('Entries'!$B$7:$B$506,$I23))</f>
        <v/>
      </c>
      <c r="C23" s="39">
        <f>IF($I23="","",INDEX('Entries'!$D$7:$D$506,$I23)&amp;IF(INDEX('Entries'!$G$7:$G$506,$I23)="","",": "&amp;INDEX('Entries'!$G$7:$G$506,$I23)))</f>
        <v/>
      </c>
      <c r="D23" s="40">
        <f>IF($I23="","",INDEX('Entries'!$E$7:$E$506,$I23)&amp;"")</f>
        <v/>
      </c>
      <c r="E23" s="25">
        <f>IF($I23="","",INDEX('Entries'!$I$7:$I$506,$I23))</f>
        <v/>
      </c>
      <c r="F23" s="25">
        <f>IF($I23="","",INDEX('Entries'!$J$7:$J$506,$I23))</f>
        <v/>
      </c>
      <c r="G23" s="41">
        <f>IF($I23="","",N(G22)+N(E23)-N(F23))</f>
        <v/>
      </c>
      <c r="I23">
        <f>IF(9&gt;SUM('Entries'!$AI$7:$AI$506),"",IFERROR(MATCH(9,'Entries'!$AJ$7:$AJ$506,0),""))</f>
        <v/>
      </c>
    </row>
    <row r="24">
      <c r="B24" s="26">
        <f>IF($I24="","",INDEX('Entries'!$B$7:$B$506,$I24))</f>
        <v/>
      </c>
      <c r="C24" s="39">
        <f>IF($I24="","",INDEX('Entries'!$D$7:$D$506,$I24)&amp;IF(INDEX('Entries'!$G$7:$G$506,$I24)="","",": "&amp;INDEX('Entries'!$G$7:$G$506,$I24)))</f>
        <v/>
      </c>
      <c r="D24" s="40">
        <f>IF($I24="","",INDEX('Entries'!$E$7:$E$506,$I24)&amp;"")</f>
        <v/>
      </c>
      <c r="E24" s="25">
        <f>IF($I24="","",INDEX('Entries'!$I$7:$I$506,$I24))</f>
        <v/>
      </c>
      <c r="F24" s="25">
        <f>IF($I24="","",INDEX('Entries'!$J$7:$J$506,$I24))</f>
        <v/>
      </c>
      <c r="G24" s="41">
        <f>IF($I24="","",N(G23)+N(E24)-N(F24))</f>
        <v/>
      </c>
      <c r="I24">
        <f>IF(10&gt;SUM('Entries'!$AI$7:$AI$506),"",IFERROR(MATCH(10,'Entries'!$AJ$7:$AJ$506,0),""))</f>
        <v/>
      </c>
    </row>
    <row r="25">
      <c r="B25" s="26">
        <f>IF($I25="","",INDEX('Entries'!$B$7:$B$506,$I25))</f>
        <v/>
      </c>
      <c r="C25" s="39">
        <f>IF($I25="","",INDEX('Entries'!$D$7:$D$506,$I25)&amp;IF(INDEX('Entries'!$G$7:$G$506,$I25)="","",": "&amp;INDEX('Entries'!$G$7:$G$506,$I25)))</f>
        <v/>
      </c>
      <c r="D25" s="40">
        <f>IF($I25="","",INDEX('Entries'!$E$7:$E$506,$I25)&amp;"")</f>
        <v/>
      </c>
      <c r="E25" s="25">
        <f>IF($I25="","",INDEX('Entries'!$I$7:$I$506,$I25))</f>
        <v/>
      </c>
      <c r="F25" s="25">
        <f>IF($I25="","",INDEX('Entries'!$J$7:$J$506,$I25))</f>
        <v/>
      </c>
      <c r="G25" s="41">
        <f>IF($I25="","",N(G24)+N(E25)-N(F25))</f>
        <v/>
      </c>
      <c r="I25">
        <f>IF(11&gt;SUM('Entries'!$AI$7:$AI$506),"",IFERROR(MATCH(11,'Entries'!$AJ$7:$AJ$506,0),""))</f>
        <v/>
      </c>
    </row>
    <row r="26">
      <c r="B26" s="26">
        <f>IF($I26="","",INDEX('Entries'!$B$7:$B$506,$I26))</f>
        <v/>
      </c>
      <c r="C26" s="39">
        <f>IF($I26="","",INDEX('Entries'!$D$7:$D$506,$I26)&amp;IF(INDEX('Entries'!$G$7:$G$506,$I26)="","",": "&amp;INDEX('Entries'!$G$7:$G$506,$I26)))</f>
        <v/>
      </c>
      <c r="D26" s="40">
        <f>IF($I26="","",INDEX('Entries'!$E$7:$E$506,$I26)&amp;"")</f>
        <v/>
      </c>
      <c r="E26" s="25">
        <f>IF($I26="","",INDEX('Entries'!$I$7:$I$506,$I26))</f>
        <v/>
      </c>
      <c r="F26" s="25">
        <f>IF($I26="","",INDEX('Entries'!$J$7:$J$506,$I26))</f>
        <v/>
      </c>
      <c r="G26" s="41">
        <f>IF($I26="","",N(G25)+N(E26)-N(F26))</f>
        <v/>
      </c>
      <c r="I26">
        <f>IF(12&gt;SUM('Entries'!$AI$7:$AI$506),"",IFERROR(MATCH(12,'Entries'!$AJ$7:$AJ$506,0),""))</f>
        <v/>
      </c>
    </row>
    <row r="27">
      <c r="B27" s="26">
        <f>IF($I27="","",INDEX('Entries'!$B$7:$B$506,$I27))</f>
        <v/>
      </c>
      <c r="C27" s="39">
        <f>IF($I27="","",INDEX('Entries'!$D$7:$D$506,$I27)&amp;IF(INDEX('Entries'!$G$7:$G$506,$I27)="","",": "&amp;INDEX('Entries'!$G$7:$G$506,$I27)))</f>
        <v/>
      </c>
      <c r="D27" s="40">
        <f>IF($I27="","",INDEX('Entries'!$E$7:$E$506,$I27)&amp;"")</f>
        <v/>
      </c>
      <c r="E27" s="25">
        <f>IF($I27="","",INDEX('Entries'!$I$7:$I$506,$I27))</f>
        <v/>
      </c>
      <c r="F27" s="25">
        <f>IF($I27="","",INDEX('Entries'!$J$7:$J$506,$I27))</f>
        <v/>
      </c>
      <c r="G27" s="41">
        <f>IF($I27="","",N(G26)+N(E27)-N(F27))</f>
        <v/>
      </c>
      <c r="I27">
        <f>IF(13&gt;SUM('Entries'!$AI$7:$AI$506),"",IFERROR(MATCH(13,'Entries'!$AJ$7:$AJ$506,0),""))</f>
        <v/>
      </c>
    </row>
    <row r="28">
      <c r="B28" s="26">
        <f>IF($I28="","",INDEX('Entries'!$B$7:$B$506,$I28))</f>
        <v/>
      </c>
      <c r="C28" s="39">
        <f>IF($I28="","",INDEX('Entries'!$D$7:$D$506,$I28)&amp;IF(INDEX('Entries'!$G$7:$G$506,$I28)="","",": "&amp;INDEX('Entries'!$G$7:$G$506,$I28)))</f>
        <v/>
      </c>
      <c r="D28" s="40">
        <f>IF($I28="","",INDEX('Entries'!$E$7:$E$506,$I28)&amp;"")</f>
        <v/>
      </c>
      <c r="E28" s="25">
        <f>IF($I28="","",INDEX('Entries'!$I$7:$I$506,$I28))</f>
        <v/>
      </c>
      <c r="F28" s="25">
        <f>IF($I28="","",INDEX('Entries'!$J$7:$J$506,$I28))</f>
        <v/>
      </c>
      <c r="G28" s="41">
        <f>IF($I28="","",N(G27)+N(E28)-N(F28))</f>
        <v/>
      </c>
      <c r="I28">
        <f>IF(14&gt;SUM('Entries'!$AI$7:$AI$506),"",IFERROR(MATCH(14,'Entries'!$AJ$7:$AJ$506,0),""))</f>
        <v/>
      </c>
    </row>
    <row r="29">
      <c r="B29" s="26">
        <f>IF($I29="","",INDEX('Entries'!$B$7:$B$506,$I29))</f>
        <v/>
      </c>
      <c r="C29" s="39">
        <f>IF($I29="","",INDEX('Entries'!$D$7:$D$506,$I29)&amp;IF(INDEX('Entries'!$G$7:$G$506,$I29)="","",": "&amp;INDEX('Entries'!$G$7:$G$506,$I29)))</f>
        <v/>
      </c>
      <c r="D29" s="40">
        <f>IF($I29="","",INDEX('Entries'!$E$7:$E$506,$I29)&amp;"")</f>
        <v/>
      </c>
      <c r="E29" s="25">
        <f>IF($I29="","",INDEX('Entries'!$I$7:$I$506,$I29))</f>
        <v/>
      </c>
      <c r="F29" s="25">
        <f>IF($I29="","",INDEX('Entries'!$J$7:$J$506,$I29))</f>
        <v/>
      </c>
      <c r="G29" s="41">
        <f>IF($I29="","",N(G28)+N(E29)-N(F29))</f>
        <v/>
      </c>
      <c r="I29">
        <f>IF(15&gt;SUM('Entries'!$AI$7:$AI$506),"",IFERROR(MATCH(15,'Entries'!$AJ$7:$AJ$506,0),""))</f>
        <v/>
      </c>
    </row>
    <row r="30">
      <c r="B30" s="26">
        <f>IF($I30="","",INDEX('Entries'!$B$7:$B$506,$I30))</f>
        <v/>
      </c>
      <c r="C30" s="39">
        <f>IF($I30="","",INDEX('Entries'!$D$7:$D$506,$I30)&amp;IF(INDEX('Entries'!$G$7:$G$506,$I30)="","",": "&amp;INDEX('Entries'!$G$7:$G$506,$I30)))</f>
        <v/>
      </c>
      <c r="D30" s="40">
        <f>IF($I30="","",INDEX('Entries'!$E$7:$E$506,$I30)&amp;"")</f>
        <v/>
      </c>
      <c r="E30" s="25">
        <f>IF($I30="","",INDEX('Entries'!$I$7:$I$506,$I30))</f>
        <v/>
      </c>
      <c r="F30" s="25">
        <f>IF($I30="","",INDEX('Entries'!$J$7:$J$506,$I30))</f>
        <v/>
      </c>
      <c r="G30" s="41">
        <f>IF($I30="","",N(G29)+N(E30)-N(F30))</f>
        <v/>
      </c>
      <c r="I30">
        <f>IF(16&gt;SUM('Entries'!$AI$7:$AI$506),"",IFERROR(MATCH(16,'Entries'!$AJ$7:$AJ$506,0),""))</f>
        <v/>
      </c>
    </row>
    <row r="31">
      <c r="B31" s="26">
        <f>IF($I31="","",INDEX('Entries'!$B$7:$B$506,$I31))</f>
        <v/>
      </c>
      <c r="C31" s="39">
        <f>IF($I31="","",INDEX('Entries'!$D$7:$D$506,$I31)&amp;IF(INDEX('Entries'!$G$7:$G$506,$I31)="","",": "&amp;INDEX('Entries'!$G$7:$G$506,$I31)))</f>
        <v/>
      </c>
      <c r="D31" s="40">
        <f>IF($I31="","",INDEX('Entries'!$E$7:$E$506,$I31)&amp;"")</f>
        <v/>
      </c>
      <c r="E31" s="25">
        <f>IF($I31="","",INDEX('Entries'!$I$7:$I$506,$I31))</f>
        <v/>
      </c>
      <c r="F31" s="25">
        <f>IF($I31="","",INDEX('Entries'!$J$7:$J$506,$I31))</f>
        <v/>
      </c>
      <c r="G31" s="41">
        <f>IF($I31="","",N(G30)+N(E31)-N(F31))</f>
        <v/>
      </c>
      <c r="I31">
        <f>IF(17&gt;SUM('Entries'!$AI$7:$AI$506),"",IFERROR(MATCH(17,'Entries'!$AJ$7:$AJ$506,0),""))</f>
        <v/>
      </c>
    </row>
    <row r="32">
      <c r="B32" s="26">
        <f>IF($I32="","",INDEX('Entries'!$B$7:$B$506,$I32))</f>
        <v/>
      </c>
      <c r="C32" s="39">
        <f>IF($I32="","",INDEX('Entries'!$D$7:$D$506,$I32)&amp;IF(INDEX('Entries'!$G$7:$G$506,$I32)="","",": "&amp;INDEX('Entries'!$G$7:$G$506,$I32)))</f>
        <v/>
      </c>
      <c r="D32" s="40">
        <f>IF($I32="","",INDEX('Entries'!$E$7:$E$506,$I32)&amp;"")</f>
        <v/>
      </c>
      <c r="E32" s="25">
        <f>IF($I32="","",INDEX('Entries'!$I$7:$I$506,$I32))</f>
        <v/>
      </c>
      <c r="F32" s="25">
        <f>IF($I32="","",INDEX('Entries'!$J$7:$J$506,$I32))</f>
        <v/>
      </c>
      <c r="G32" s="41">
        <f>IF($I32="","",N(G31)+N(E32)-N(F32))</f>
        <v/>
      </c>
      <c r="I32">
        <f>IF(18&gt;SUM('Entries'!$AI$7:$AI$506),"",IFERROR(MATCH(18,'Entries'!$AJ$7:$AJ$506,0),""))</f>
        <v/>
      </c>
    </row>
    <row r="33">
      <c r="B33" s="26">
        <f>IF($I33="","",INDEX('Entries'!$B$7:$B$506,$I33))</f>
        <v/>
      </c>
      <c r="C33" s="39">
        <f>IF($I33="","",INDEX('Entries'!$D$7:$D$506,$I33)&amp;IF(INDEX('Entries'!$G$7:$G$506,$I33)="","",": "&amp;INDEX('Entries'!$G$7:$G$506,$I33)))</f>
        <v/>
      </c>
      <c r="D33" s="40">
        <f>IF($I33="","",INDEX('Entries'!$E$7:$E$506,$I33)&amp;"")</f>
        <v/>
      </c>
      <c r="E33" s="25">
        <f>IF($I33="","",INDEX('Entries'!$I$7:$I$506,$I33))</f>
        <v/>
      </c>
      <c r="F33" s="25">
        <f>IF($I33="","",INDEX('Entries'!$J$7:$J$506,$I33))</f>
        <v/>
      </c>
      <c r="G33" s="41">
        <f>IF($I33="","",N(G32)+N(E33)-N(F33))</f>
        <v/>
      </c>
      <c r="I33">
        <f>IF(19&gt;SUM('Entries'!$AI$7:$AI$506),"",IFERROR(MATCH(19,'Entries'!$AJ$7:$AJ$506,0),""))</f>
        <v/>
      </c>
    </row>
    <row r="34">
      <c r="B34" s="26">
        <f>IF($I34="","",INDEX('Entries'!$B$7:$B$506,$I34))</f>
        <v/>
      </c>
      <c r="C34" s="39">
        <f>IF($I34="","",INDEX('Entries'!$D$7:$D$506,$I34)&amp;IF(INDEX('Entries'!$G$7:$G$506,$I34)="","",": "&amp;INDEX('Entries'!$G$7:$G$506,$I34)))</f>
        <v/>
      </c>
      <c r="D34" s="40">
        <f>IF($I34="","",INDEX('Entries'!$E$7:$E$506,$I34)&amp;"")</f>
        <v/>
      </c>
      <c r="E34" s="25">
        <f>IF($I34="","",INDEX('Entries'!$I$7:$I$506,$I34))</f>
        <v/>
      </c>
      <c r="F34" s="25">
        <f>IF($I34="","",INDEX('Entries'!$J$7:$J$506,$I34))</f>
        <v/>
      </c>
      <c r="G34" s="41">
        <f>IF($I34="","",N(G33)+N(E34)-N(F34))</f>
        <v/>
      </c>
      <c r="I34">
        <f>IF(20&gt;SUM('Entries'!$AI$7:$AI$506),"",IFERROR(MATCH(20,'Entries'!$AJ$7:$AJ$506,0),""))</f>
        <v/>
      </c>
    </row>
    <row r="35">
      <c r="B35" s="26">
        <f>IF($I35="","",INDEX('Entries'!$B$7:$B$506,$I35))</f>
        <v/>
      </c>
      <c r="C35" s="39">
        <f>IF($I35="","",INDEX('Entries'!$D$7:$D$506,$I35)&amp;IF(INDEX('Entries'!$G$7:$G$506,$I35)="","",": "&amp;INDEX('Entries'!$G$7:$G$506,$I35)))</f>
        <v/>
      </c>
      <c r="D35" s="40">
        <f>IF($I35="","",INDEX('Entries'!$E$7:$E$506,$I35)&amp;"")</f>
        <v/>
      </c>
      <c r="E35" s="25">
        <f>IF($I35="","",INDEX('Entries'!$I$7:$I$506,$I35))</f>
        <v/>
      </c>
      <c r="F35" s="25">
        <f>IF($I35="","",INDEX('Entries'!$J$7:$J$506,$I35))</f>
        <v/>
      </c>
      <c r="G35" s="41">
        <f>IF($I35="","",N(G34)+N(E35)-N(F35))</f>
        <v/>
      </c>
      <c r="I35">
        <f>IF(21&gt;SUM('Entries'!$AI$7:$AI$506),"",IFERROR(MATCH(21,'Entries'!$AJ$7:$AJ$506,0),""))</f>
        <v/>
      </c>
    </row>
    <row r="36">
      <c r="B36" s="26">
        <f>IF($I36="","",INDEX('Entries'!$B$7:$B$506,$I36))</f>
        <v/>
      </c>
      <c r="C36" s="39">
        <f>IF($I36="","",INDEX('Entries'!$D$7:$D$506,$I36)&amp;IF(INDEX('Entries'!$G$7:$G$506,$I36)="","",": "&amp;INDEX('Entries'!$G$7:$G$506,$I36)))</f>
        <v/>
      </c>
      <c r="D36" s="40">
        <f>IF($I36="","",INDEX('Entries'!$E$7:$E$506,$I36)&amp;"")</f>
        <v/>
      </c>
      <c r="E36" s="25">
        <f>IF($I36="","",INDEX('Entries'!$I$7:$I$506,$I36))</f>
        <v/>
      </c>
      <c r="F36" s="25">
        <f>IF($I36="","",INDEX('Entries'!$J$7:$J$506,$I36))</f>
        <v/>
      </c>
      <c r="G36" s="41">
        <f>IF($I36="","",N(G35)+N(E36)-N(F36))</f>
        <v/>
      </c>
      <c r="I36">
        <f>IF(22&gt;SUM('Entries'!$AI$7:$AI$506),"",IFERROR(MATCH(22,'Entries'!$AJ$7:$AJ$506,0),""))</f>
        <v/>
      </c>
    </row>
    <row r="37">
      <c r="B37" s="26">
        <f>IF($I37="","",INDEX('Entries'!$B$7:$B$506,$I37))</f>
        <v/>
      </c>
      <c r="C37" s="39">
        <f>IF($I37="","",INDEX('Entries'!$D$7:$D$506,$I37)&amp;IF(INDEX('Entries'!$G$7:$G$506,$I37)="","",": "&amp;INDEX('Entries'!$G$7:$G$506,$I37)))</f>
        <v/>
      </c>
      <c r="D37" s="40">
        <f>IF($I37="","",INDEX('Entries'!$E$7:$E$506,$I37)&amp;"")</f>
        <v/>
      </c>
      <c r="E37" s="25">
        <f>IF($I37="","",INDEX('Entries'!$I$7:$I$506,$I37))</f>
        <v/>
      </c>
      <c r="F37" s="25">
        <f>IF($I37="","",INDEX('Entries'!$J$7:$J$506,$I37))</f>
        <v/>
      </c>
      <c r="G37" s="41">
        <f>IF($I37="","",N(G36)+N(E37)-N(F37))</f>
        <v/>
      </c>
      <c r="I37">
        <f>IF(23&gt;SUM('Entries'!$AI$7:$AI$506),"",IFERROR(MATCH(23,'Entries'!$AJ$7:$AJ$506,0),""))</f>
        <v/>
      </c>
    </row>
    <row r="38">
      <c r="B38" s="26">
        <f>IF($I38="","",INDEX('Entries'!$B$7:$B$506,$I38))</f>
        <v/>
      </c>
      <c r="C38" s="39">
        <f>IF($I38="","",INDEX('Entries'!$D$7:$D$506,$I38)&amp;IF(INDEX('Entries'!$G$7:$G$506,$I38)="","",": "&amp;INDEX('Entries'!$G$7:$G$506,$I38)))</f>
        <v/>
      </c>
      <c r="D38" s="40">
        <f>IF($I38="","",INDEX('Entries'!$E$7:$E$506,$I38)&amp;"")</f>
        <v/>
      </c>
      <c r="E38" s="25">
        <f>IF($I38="","",INDEX('Entries'!$I$7:$I$506,$I38))</f>
        <v/>
      </c>
      <c r="F38" s="25">
        <f>IF($I38="","",INDEX('Entries'!$J$7:$J$506,$I38))</f>
        <v/>
      </c>
      <c r="G38" s="41">
        <f>IF($I38="","",N(G37)+N(E38)-N(F38))</f>
        <v/>
      </c>
      <c r="I38">
        <f>IF(24&gt;SUM('Entries'!$AI$7:$AI$506),"",IFERROR(MATCH(24,'Entries'!$AJ$7:$AJ$506,0),""))</f>
        <v/>
      </c>
    </row>
    <row r="39">
      <c r="B39" s="26">
        <f>IF($I39="","",INDEX('Entries'!$B$7:$B$506,$I39))</f>
        <v/>
      </c>
      <c r="C39" s="39">
        <f>IF($I39="","",INDEX('Entries'!$D$7:$D$506,$I39)&amp;IF(INDEX('Entries'!$G$7:$G$506,$I39)="","",": "&amp;INDEX('Entries'!$G$7:$G$506,$I39)))</f>
        <v/>
      </c>
      <c r="D39" s="40">
        <f>IF($I39="","",INDEX('Entries'!$E$7:$E$506,$I39)&amp;"")</f>
        <v/>
      </c>
      <c r="E39" s="25">
        <f>IF($I39="","",INDEX('Entries'!$I$7:$I$506,$I39))</f>
        <v/>
      </c>
      <c r="F39" s="25">
        <f>IF($I39="","",INDEX('Entries'!$J$7:$J$506,$I39))</f>
        <v/>
      </c>
      <c r="G39" s="41">
        <f>IF($I39="","",N(G38)+N(E39)-N(F39))</f>
        <v/>
      </c>
      <c r="I39">
        <f>IF(25&gt;SUM('Entries'!$AI$7:$AI$506),"",IFERROR(MATCH(25,'Entries'!$AJ$7:$AJ$506,0),""))</f>
        <v/>
      </c>
    </row>
    <row r="40">
      <c r="B40" s="26">
        <f>IF($I40="","",INDEX('Entries'!$B$7:$B$506,$I40))</f>
        <v/>
      </c>
      <c r="C40" s="39">
        <f>IF($I40="","",INDEX('Entries'!$D$7:$D$506,$I40)&amp;IF(INDEX('Entries'!$G$7:$G$506,$I40)="","",": "&amp;INDEX('Entries'!$G$7:$G$506,$I40)))</f>
        <v/>
      </c>
      <c r="D40" s="40">
        <f>IF($I40="","",INDEX('Entries'!$E$7:$E$506,$I40)&amp;"")</f>
        <v/>
      </c>
      <c r="E40" s="25">
        <f>IF($I40="","",INDEX('Entries'!$I$7:$I$506,$I40))</f>
        <v/>
      </c>
      <c r="F40" s="25">
        <f>IF($I40="","",INDEX('Entries'!$J$7:$J$506,$I40))</f>
        <v/>
      </c>
      <c r="G40" s="41">
        <f>IF($I40="","",N(G39)+N(E40)-N(F40))</f>
        <v/>
      </c>
      <c r="I40">
        <f>IF(26&gt;SUM('Entries'!$AI$7:$AI$506),"",IFERROR(MATCH(26,'Entries'!$AJ$7:$AJ$506,0),""))</f>
        <v/>
      </c>
    </row>
    <row r="41">
      <c r="B41" s="26">
        <f>IF($I41="","",INDEX('Entries'!$B$7:$B$506,$I41))</f>
        <v/>
      </c>
      <c r="C41" s="39">
        <f>IF($I41="","",INDEX('Entries'!$D$7:$D$506,$I41)&amp;IF(INDEX('Entries'!$G$7:$G$506,$I41)="","",": "&amp;INDEX('Entries'!$G$7:$G$506,$I41)))</f>
        <v/>
      </c>
      <c r="D41" s="40">
        <f>IF($I41="","",INDEX('Entries'!$E$7:$E$506,$I41)&amp;"")</f>
        <v/>
      </c>
      <c r="E41" s="25">
        <f>IF($I41="","",INDEX('Entries'!$I$7:$I$506,$I41))</f>
        <v/>
      </c>
      <c r="F41" s="25">
        <f>IF($I41="","",INDEX('Entries'!$J$7:$J$506,$I41))</f>
        <v/>
      </c>
      <c r="G41" s="41">
        <f>IF($I41="","",N(G40)+N(E41)-N(F41))</f>
        <v/>
      </c>
      <c r="I41">
        <f>IF(27&gt;SUM('Entries'!$AI$7:$AI$506),"",IFERROR(MATCH(27,'Entries'!$AJ$7:$AJ$506,0),""))</f>
        <v/>
      </c>
    </row>
    <row r="42">
      <c r="B42" s="26">
        <f>IF($I42="","",INDEX('Entries'!$B$7:$B$506,$I42))</f>
        <v/>
      </c>
      <c r="C42" s="39">
        <f>IF($I42="","",INDEX('Entries'!$D$7:$D$506,$I42)&amp;IF(INDEX('Entries'!$G$7:$G$506,$I42)="","",": "&amp;INDEX('Entries'!$G$7:$G$506,$I42)))</f>
        <v/>
      </c>
      <c r="D42" s="40">
        <f>IF($I42="","",INDEX('Entries'!$E$7:$E$506,$I42)&amp;"")</f>
        <v/>
      </c>
      <c r="E42" s="25">
        <f>IF($I42="","",INDEX('Entries'!$I$7:$I$506,$I42))</f>
        <v/>
      </c>
      <c r="F42" s="25">
        <f>IF($I42="","",INDEX('Entries'!$J$7:$J$506,$I42))</f>
        <v/>
      </c>
      <c r="G42" s="41">
        <f>IF($I42="","",N(G41)+N(E42)-N(F42))</f>
        <v/>
      </c>
      <c r="I42">
        <f>IF(28&gt;SUM('Entries'!$AI$7:$AI$506),"",IFERROR(MATCH(28,'Entries'!$AJ$7:$AJ$506,0),""))</f>
        <v/>
      </c>
    </row>
    <row r="43">
      <c r="B43" s="26">
        <f>IF($I43="","",INDEX('Entries'!$B$7:$B$506,$I43))</f>
        <v/>
      </c>
      <c r="C43" s="39">
        <f>IF($I43="","",INDEX('Entries'!$D$7:$D$506,$I43)&amp;IF(INDEX('Entries'!$G$7:$G$506,$I43)="","",": "&amp;INDEX('Entries'!$G$7:$G$506,$I43)))</f>
        <v/>
      </c>
      <c r="D43" s="40">
        <f>IF($I43="","",INDEX('Entries'!$E$7:$E$506,$I43)&amp;"")</f>
        <v/>
      </c>
      <c r="E43" s="25">
        <f>IF($I43="","",INDEX('Entries'!$I$7:$I$506,$I43))</f>
        <v/>
      </c>
      <c r="F43" s="25">
        <f>IF($I43="","",INDEX('Entries'!$J$7:$J$506,$I43))</f>
        <v/>
      </c>
      <c r="G43" s="41">
        <f>IF($I43="","",N(G42)+N(E43)-N(F43))</f>
        <v/>
      </c>
      <c r="I43">
        <f>IF(29&gt;SUM('Entries'!$AI$7:$AI$506),"",IFERROR(MATCH(29,'Entries'!$AJ$7:$AJ$506,0),""))</f>
        <v/>
      </c>
    </row>
    <row r="44">
      <c r="B44" s="26">
        <f>IF($I44="","",INDEX('Entries'!$B$7:$B$506,$I44))</f>
        <v/>
      </c>
      <c r="C44" s="39">
        <f>IF($I44="","",INDEX('Entries'!$D$7:$D$506,$I44)&amp;IF(INDEX('Entries'!$G$7:$G$506,$I44)="","",": "&amp;INDEX('Entries'!$G$7:$G$506,$I44)))</f>
        <v/>
      </c>
      <c r="D44" s="40">
        <f>IF($I44="","",INDEX('Entries'!$E$7:$E$506,$I44)&amp;"")</f>
        <v/>
      </c>
      <c r="E44" s="25">
        <f>IF($I44="","",INDEX('Entries'!$I$7:$I$506,$I44))</f>
        <v/>
      </c>
      <c r="F44" s="25">
        <f>IF($I44="","",INDEX('Entries'!$J$7:$J$506,$I44))</f>
        <v/>
      </c>
      <c r="G44" s="41">
        <f>IF($I44="","",N(G43)+N(E44)-N(F44))</f>
        <v/>
      </c>
      <c r="I44">
        <f>IF(30&gt;SUM('Entries'!$AI$7:$AI$506),"",IFERROR(MATCH(30,'Entries'!$AJ$7:$AJ$506,0),""))</f>
        <v/>
      </c>
    </row>
    <row r="45">
      <c r="B45" s="26">
        <f>IF($I45="","",INDEX('Entries'!$B$7:$B$506,$I45))</f>
        <v/>
      </c>
      <c r="C45" s="39">
        <f>IF($I45="","",INDEX('Entries'!$D$7:$D$506,$I45)&amp;IF(INDEX('Entries'!$G$7:$G$506,$I45)="","",": "&amp;INDEX('Entries'!$G$7:$G$506,$I45)))</f>
        <v/>
      </c>
      <c r="D45" s="40">
        <f>IF($I45="","",INDEX('Entries'!$E$7:$E$506,$I45)&amp;"")</f>
        <v/>
      </c>
      <c r="E45" s="25">
        <f>IF($I45="","",INDEX('Entries'!$I$7:$I$506,$I45))</f>
        <v/>
      </c>
      <c r="F45" s="25">
        <f>IF($I45="","",INDEX('Entries'!$J$7:$J$506,$I45))</f>
        <v/>
      </c>
      <c r="G45" s="41">
        <f>IF($I45="","",N(G44)+N(E45)-N(F45))</f>
        <v/>
      </c>
      <c r="I45">
        <f>IF(31&gt;SUM('Entries'!$AI$7:$AI$506),"",IFERROR(MATCH(31,'Entries'!$AJ$7:$AJ$506,0),""))</f>
        <v/>
      </c>
    </row>
    <row r="46">
      <c r="B46" s="26">
        <f>IF($I46="","",INDEX('Entries'!$B$7:$B$506,$I46))</f>
        <v/>
      </c>
      <c r="C46" s="39">
        <f>IF($I46="","",INDEX('Entries'!$D$7:$D$506,$I46)&amp;IF(INDEX('Entries'!$G$7:$G$506,$I46)="","",": "&amp;INDEX('Entries'!$G$7:$G$506,$I46)))</f>
        <v/>
      </c>
      <c r="D46" s="40">
        <f>IF($I46="","",INDEX('Entries'!$E$7:$E$506,$I46)&amp;"")</f>
        <v/>
      </c>
      <c r="E46" s="25">
        <f>IF($I46="","",INDEX('Entries'!$I$7:$I$506,$I46))</f>
        <v/>
      </c>
      <c r="F46" s="25">
        <f>IF($I46="","",INDEX('Entries'!$J$7:$J$506,$I46))</f>
        <v/>
      </c>
      <c r="G46" s="41">
        <f>IF($I46="","",N(G45)+N(E46)-N(F46))</f>
        <v/>
      </c>
      <c r="I46">
        <f>IF(32&gt;SUM('Entries'!$AI$7:$AI$506),"",IFERROR(MATCH(32,'Entries'!$AJ$7:$AJ$506,0),""))</f>
        <v/>
      </c>
    </row>
    <row r="47">
      <c r="B47" s="26">
        <f>IF($I47="","",INDEX('Entries'!$B$7:$B$506,$I47))</f>
        <v/>
      </c>
      <c r="C47" s="39">
        <f>IF($I47="","",INDEX('Entries'!$D$7:$D$506,$I47)&amp;IF(INDEX('Entries'!$G$7:$G$506,$I47)="","",": "&amp;INDEX('Entries'!$G$7:$G$506,$I47)))</f>
        <v/>
      </c>
      <c r="D47" s="40">
        <f>IF($I47="","",INDEX('Entries'!$E$7:$E$506,$I47)&amp;"")</f>
        <v/>
      </c>
      <c r="E47" s="25">
        <f>IF($I47="","",INDEX('Entries'!$I$7:$I$506,$I47))</f>
        <v/>
      </c>
      <c r="F47" s="25">
        <f>IF($I47="","",INDEX('Entries'!$J$7:$J$506,$I47))</f>
        <v/>
      </c>
      <c r="G47" s="41">
        <f>IF($I47="","",N(G46)+N(E47)-N(F47))</f>
        <v/>
      </c>
      <c r="I47">
        <f>IF(33&gt;SUM('Entries'!$AI$7:$AI$506),"",IFERROR(MATCH(33,'Entries'!$AJ$7:$AJ$506,0),""))</f>
        <v/>
      </c>
    </row>
    <row r="48">
      <c r="B48" s="26">
        <f>IF($I48="","",INDEX('Entries'!$B$7:$B$506,$I48))</f>
        <v/>
      </c>
      <c r="C48" s="39">
        <f>IF($I48="","",INDEX('Entries'!$D$7:$D$506,$I48)&amp;IF(INDEX('Entries'!$G$7:$G$506,$I48)="","",": "&amp;INDEX('Entries'!$G$7:$G$506,$I48)))</f>
        <v/>
      </c>
      <c r="D48" s="40">
        <f>IF($I48="","",INDEX('Entries'!$E$7:$E$506,$I48)&amp;"")</f>
        <v/>
      </c>
      <c r="E48" s="25">
        <f>IF($I48="","",INDEX('Entries'!$I$7:$I$506,$I48))</f>
        <v/>
      </c>
      <c r="F48" s="25">
        <f>IF($I48="","",INDEX('Entries'!$J$7:$J$506,$I48))</f>
        <v/>
      </c>
      <c r="G48" s="41">
        <f>IF($I48="","",N(G47)+N(E48)-N(F48))</f>
        <v/>
      </c>
      <c r="I48">
        <f>IF(34&gt;SUM('Entries'!$AI$7:$AI$506),"",IFERROR(MATCH(34,'Entries'!$AJ$7:$AJ$506,0),""))</f>
        <v/>
      </c>
    </row>
    <row r="49">
      <c r="B49" s="26">
        <f>IF($I49="","",INDEX('Entries'!$B$7:$B$506,$I49))</f>
        <v/>
      </c>
      <c r="C49" s="39">
        <f>IF($I49="","",INDEX('Entries'!$D$7:$D$506,$I49)&amp;IF(INDEX('Entries'!$G$7:$G$506,$I49)="","",": "&amp;INDEX('Entries'!$G$7:$G$506,$I49)))</f>
        <v/>
      </c>
      <c r="D49" s="40">
        <f>IF($I49="","",INDEX('Entries'!$E$7:$E$506,$I49)&amp;"")</f>
        <v/>
      </c>
      <c r="E49" s="25">
        <f>IF($I49="","",INDEX('Entries'!$I$7:$I$506,$I49))</f>
        <v/>
      </c>
      <c r="F49" s="25">
        <f>IF($I49="","",INDEX('Entries'!$J$7:$J$506,$I49))</f>
        <v/>
      </c>
      <c r="G49" s="41">
        <f>IF($I49="","",N(G48)+N(E49)-N(F49))</f>
        <v/>
      </c>
      <c r="I49">
        <f>IF(35&gt;SUM('Entries'!$AI$7:$AI$506),"",IFERROR(MATCH(35,'Entries'!$AJ$7:$AJ$506,0),""))</f>
        <v/>
      </c>
    </row>
    <row r="50">
      <c r="B50" s="26">
        <f>IF($I50="","",INDEX('Entries'!$B$7:$B$506,$I50))</f>
        <v/>
      </c>
      <c r="C50" s="39">
        <f>IF($I50="","",INDEX('Entries'!$D$7:$D$506,$I50)&amp;IF(INDEX('Entries'!$G$7:$G$506,$I50)="","",": "&amp;INDEX('Entries'!$G$7:$G$506,$I50)))</f>
        <v/>
      </c>
      <c r="D50" s="40">
        <f>IF($I50="","",INDEX('Entries'!$E$7:$E$506,$I50)&amp;"")</f>
        <v/>
      </c>
      <c r="E50" s="25">
        <f>IF($I50="","",INDEX('Entries'!$I$7:$I$506,$I50))</f>
        <v/>
      </c>
      <c r="F50" s="25">
        <f>IF($I50="","",INDEX('Entries'!$J$7:$J$506,$I50))</f>
        <v/>
      </c>
      <c r="G50" s="41">
        <f>IF($I50="","",N(G49)+N(E50)-N(F50))</f>
        <v/>
      </c>
      <c r="I50">
        <f>IF(36&gt;SUM('Entries'!$AI$7:$AI$506),"",IFERROR(MATCH(36,'Entries'!$AJ$7:$AJ$506,0),""))</f>
        <v/>
      </c>
    </row>
    <row r="51">
      <c r="B51" s="26">
        <f>IF($I51="","",INDEX('Entries'!$B$7:$B$506,$I51))</f>
        <v/>
      </c>
      <c r="C51" s="39">
        <f>IF($I51="","",INDEX('Entries'!$D$7:$D$506,$I51)&amp;IF(INDEX('Entries'!$G$7:$G$506,$I51)="","",": "&amp;INDEX('Entries'!$G$7:$G$506,$I51)))</f>
        <v/>
      </c>
      <c r="D51" s="40">
        <f>IF($I51="","",INDEX('Entries'!$E$7:$E$506,$I51)&amp;"")</f>
        <v/>
      </c>
      <c r="E51" s="25">
        <f>IF($I51="","",INDEX('Entries'!$I$7:$I$506,$I51))</f>
        <v/>
      </c>
      <c r="F51" s="25">
        <f>IF($I51="","",INDEX('Entries'!$J$7:$J$506,$I51))</f>
        <v/>
      </c>
      <c r="G51" s="41">
        <f>IF($I51="","",N(G50)+N(E51)-N(F51))</f>
        <v/>
      </c>
      <c r="I51">
        <f>IF(37&gt;SUM('Entries'!$AI$7:$AI$506),"",IFERROR(MATCH(37,'Entries'!$AJ$7:$AJ$506,0),""))</f>
        <v/>
      </c>
    </row>
    <row r="52">
      <c r="B52" s="26">
        <f>IF($I52="","",INDEX('Entries'!$B$7:$B$506,$I52))</f>
        <v/>
      </c>
      <c r="C52" s="39">
        <f>IF($I52="","",INDEX('Entries'!$D$7:$D$506,$I52)&amp;IF(INDEX('Entries'!$G$7:$G$506,$I52)="","",": "&amp;INDEX('Entries'!$G$7:$G$506,$I52)))</f>
        <v/>
      </c>
      <c r="D52" s="40">
        <f>IF($I52="","",INDEX('Entries'!$E$7:$E$506,$I52)&amp;"")</f>
        <v/>
      </c>
      <c r="E52" s="25">
        <f>IF($I52="","",INDEX('Entries'!$I$7:$I$506,$I52))</f>
        <v/>
      </c>
      <c r="F52" s="25">
        <f>IF($I52="","",INDEX('Entries'!$J$7:$J$506,$I52))</f>
        <v/>
      </c>
      <c r="G52" s="41">
        <f>IF($I52="","",N(G51)+N(E52)-N(F52))</f>
        <v/>
      </c>
      <c r="I52">
        <f>IF(38&gt;SUM('Entries'!$AI$7:$AI$506),"",IFERROR(MATCH(38,'Entries'!$AJ$7:$AJ$506,0),""))</f>
        <v/>
      </c>
    </row>
    <row r="53">
      <c r="B53" s="26">
        <f>IF($I53="","",INDEX('Entries'!$B$7:$B$506,$I53))</f>
        <v/>
      </c>
      <c r="C53" s="39">
        <f>IF($I53="","",INDEX('Entries'!$D$7:$D$506,$I53)&amp;IF(INDEX('Entries'!$G$7:$G$506,$I53)="","",": "&amp;INDEX('Entries'!$G$7:$G$506,$I53)))</f>
        <v/>
      </c>
      <c r="D53" s="40">
        <f>IF($I53="","",INDEX('Entries'!$E$7:$E$506,$I53)&amp;"")</f>
        <v/>
      </c>
      <c r="E53" s="25">
        <f>IF($I53="","",INDEX('Entries'!$I$7:$I$506,$I53))</f>
        <v/>
      </c>
      <c r="F53" s="25">
        <f>IF($I53="","",INDEX('Entries'!$J$7:$J$506,$I53))</f>
        <v/>
      </c>
      <c r="G53" s="41">
        <f>IF($I53="","",N(G52)+N(E53)-N(F53))</f>
        <v/>
      </c>
      <c r="I53">
        <f>IF(39&gt;SUM('Entries'!$AI$7:$AI$506),"",IFERROR(MATCH(39,'Entries'!$AJ$7:$AJ$506,0),""))</f>
        <v/>
      </c>
    </row>
    <row r="54">
      <c r="B54" s="26">
        <f>IF($I54="","",INDEX('Entries'!$B$7:$B$506,$I54))</f>
        <v/>
      </c>
      <c r="C54" s="39">
        <f>IF($I54="","",INDEX('Entries'!$D$7:$D$506,$I54)&amp;IF(INDEX('Entries'!$G$7:$G$506,$I54)="","",": "&amp;INDEX('Entries'!$G$7:$G$506,$I54)))</f>
        <v/>
      </c>
      <c r="D54" s="40">
        <f>IF($I54="","",INDEX('Entries'!$E$7:$E$506,$I54)&amp;"")</f>
        <v/>
      </c>
      <c r="E54" s="25">
        <f>IF($I54="","",INDEX('Entries'!$I$7:$I$506,$I54))</f>
        <v/>
      </c>
      <c r="F54" s="25">
        <f>IF($I54="","",INDEX('Entries'!$J$7:$J$506,$I54))</f>
        <v/>
      </c>
      <c r="G54" s="41">
        <f>IF($I54="","",N(G53)+N(E54)-N(F54))</f>
        <v/>
      </c>
      <c r="I54">
        <f>IF(40&gt;SUM('Entries'!$AI$7:$AI$506),"",IFERROR(MATCH(40,'Entries'!$AJ$7:$AJ$506,0),""))</f>
        <v/>
      </c>
    </row>
    <row r="55">
      <c r="B55" s="26">
        <f>IF($I55="","",INDEX('Entries'!$B$7:$B$506,$I55))</f>
        <v/>
      </c>
      <c r="C55" s="39">
        <f>IF($I55="","",INDEX('Entries'!$D$7:$D$506,$I55)&amp;IF(INDEX('Entries'!$G$7:$G$506,$I55)="","",": "&amp;INDEX('Entries'!$G$7:$G$506,$I55)))</f>
        <v/>
      </c>
      <c r="D55" s="40">
        <f>IF($I55="","",INDEX('Entries'!$E$7:$E$506,$I55)&amp;"")</f>
        <v/>
      </c>
      <c r="E55" s="25">
        <f>IF($I55="","",INDEX('Entries'!$I$7:$I$506,$I55))</f>
        <v/>
      </c>
      <c r="F55" s="25">
        <f>IF($I55="","",INDEX('Entries'!$J$7:$J$506,$I55))</f>
        <v/>
      </c>
      <c r="G55" s="41">
        <f>IF($I55="","",N(G54)+N(E55)-N(F55))</f>
        <v/>
      </c>
      <c r="I55">
        <f>IF(41&gt;SUM('Entries'!$AI$7:$AI$506),"",IFERROR(MATCH(41,'Entries'!$AJ$7:$AJ$506,0),""))</f>
        <v/>
      </c>
    </row>
    <row r="56">
      <c r="B56" s="26">
        <f>IF($I56="","",INDEX('Entries'!$B$7:$B$506,$I56))</f>
        <v/>
      </c>
      <c r="C56" s="39">
        <f>IF($I56="","",INDEX('Entries'!$D$7:$D$506,$I56)&amp;IF(INDEX('Entries'!$G$7:$G$506,$I56)="","",": "&amp;INDEX('Entries'!$G$7:$G$506,$I56)))</f>
        <v/>
      </c>
      <c r="D56" s="40">
        <f>IF($I56="","",INDEX('Entries'!$E$7:$E$506,$I56)&amp;"")</f>
        <v/>
      </c>
      <c r="E56" s="25">
        <f>IF($I56="","",INDEX('Entries'!$I$7:$I$506,$I56))</f>
        <v/>
      </c>
      <c r="F56" s="25">
        <f>IF($I56="","",INDEX('Entries'!$J$7:$J$506,$I56))</f>
        <v/>
      </c>
      <c r="G56" s="41">
        <f>IF($I56="","",N(G55)+N(E56)-N(F56))</f>
        <v/>
      </c>
      <c r="I56">
        <f>IF(42&gt;SUM('Entries'!$AI$7:$AI$506),"",IFERROR(MATCH(42,'Entries'!$AJ$7:$AJ$506,0),""))</f>
        <v/>
      </c>
    </row>
    <row r="57">
      <c r="B57" s="26">
        <f>IF($I57="","",INDEX('Entries'!$B$7:$B$506,$I57))</f>
        <v/>
      </c>
      <c r="C57" s="39">
        <f>IF($I57="","",INDEX('Entries'!$D$7:$D$506,$I57)&amp;IF(INDEX('Entries'!$G$7:$G$506,$I57)="","",": "&amp;INDEX('Entries'!$G$7:$G$506,$I57)))</f>
        <v/>
      </c>
      <c r="D57" s="40">
        <f>IF($I57="","",INDEX('Entries'!$E$7:$E$506,$I57)&amp;"")</f>
        <v/>
      </c>
      <c r="E57" s="25">
        <f>IF($I57="","",INDEX('Entries'!$I$7:$I$506,$I57))</f>
        <v/>
      </c>
      <c r="F57" s="25">
        <f>IF($I57="","",INDEX('Entries'!$J$7:$J$506,$I57))</f>
        <v/>
      </c>
      <c r="G57" s="41">
        <f>IF($I57="","",N(G56)+N(E57)-N(F57))</f>
        <v/>
      </c>
      <c r="I57">
        <f>IF(43&gt;SUM('Entries'!$AI$7:$AI$506),"",IFERROR(MATCH(43,'Entries'!$AJ$7:$AJ$506,0),""))</f>
        <v/>
      </c>
    </row>
    <row r="58">
      <c r="B58" s="26">
        <f>IF($I58="","",INDEX('Entries'!$B$7:$B$506,$I58))</f>
        <v/>
      </c>
      <c r="C58" s="39">
        <f>IF($I58="","",INDEX('Entries'!$D$7:$D$506,$I58)&amp;IF(INDEX('Entries'!$G$7:$G$506,$I58)="","",": "&amp;INDEX('Entries'!$G$7:$G$506,$I58)))</f>
        <v/>
      </c>
      <c r="D58" s="40">
        <f>IF($I58="","",INDEX('Entries'!$E$7:$E$506,$I58)&amp;"")</f>
        <v/>
      </c>
      <c r="E58" s="25">
        <f>IF($I58="","",INDEX('Entries'!$I$7:$I$506,$I58))</f>
        <v/>
      </c>
      <c r="F58" s="25">
        <f>IF($I58="","",INDEX('Entries'!$J$7:$J$506,$I58))</f>
        <v/>
      </c>
      <c r="G58" s="41">
        <f>IF($I58="","",N(G57)+N(E58)-N(F58))</f>
        <v/>
      </c>
      <c r="I58">
        <f>IF(44&gt;SUM('Entries'!$AI$7:$AI$506),"",IFERROR(MATCH(44,'Entries'!$AJ$7:$AJ$506,0),""))</f>
        <v/>
      </c>
    </row>
    <row r="59">
      <c r="B59" s="26">
        <f>IF($I59="","",INDEX('Entries'!$B$7:$B$506,$I59))</f>
        <v/>
      </c>
      <c r="C59" s="39">
        <f>IF($I59="","",INDEX('Entries'!$D$7:$D$506,$I59)&amp;IF(INDEX('Entries'!$G$7:$G$506,$I59)="","",": "&amp;INDEX('Entries'!$G$7:$G$506,$I59)))</f>
        <v/>
      </c>
      <c r="D59" s="40">
        <f>IF($I59="","",INDEX('Entries'!$E$7:$E$506,$I59)&amp;"")</f>
        <v/>
      </c>
      <c r="E59" s="25">
        <f>IF($I59="","",INDEX('Entries'!$I$7:$I$506,$I59))</f>
        <v/>
      </c>
      <c r="F59" s="25">
        <f>IF($I59="","",INDEX('Entries'!$J$7:$J$506,$I59))</f>
        <v/>
      </c>
      <c r="G59" s="41">
        <f>IF($I59="","",N(G58)+N(E59)-N(F59))</f>
        <v/>
      </c>
      <c r="I59">
        <f>IF(45&gt;SUM('Entries'!$AI$7:$AI$506),"",IFERROR(MATCH(45,'Entries'!$AJ$7:$AJ$506,0),""))</f>
        <v/>
      </c>
    </row>
    <row r="60">
      <c r="B60" s="26">
        <f>IF($I60="","",INDEX('Entries'!$B$7:$B$506,$I60))</f>
        <v/>
      </c>
      <c r="C60" s="39">
        <f>IF($I60="","",INDEX('Entries'!$D$7:$D$506,$I60)&amp;IF(INDEX('Entries'!$G$7:$G$506,$I60)="","",": "&amp;INDEX('Entries'!$G$7:$G$506,$I60)))</f>
        <v/>
      </c>
      <c r="D60" s="40">
        <f>IF($I60="","",INDEX('Entries'!$E$7:$E$506,$I60)&amp;"")</f>
        <v/>
      </c>
      <c r="E60" s="25">
        <f>IF($I60="","",INDEX('Entries'!$I$7:$I$506,$I60))</f>
        <v/>
      </c>
      <c r="F60" s="25">
        <f>IF($I60="","",INDEX('Entries'!$J$7:$J$506,$I60))</f>
        <v/>
      </c>
      <c r="G60" s="41">
        <f>IF($I60="","",N(G59)+N(E60)-N(F60))</f>
        <v/>
      </c>
      <c r="I60">
        <f>IF(46&gt;SUM('Entries'!$AI$7:$AI$506),"",IFERROR(MATCH(46,'Entries'!$AJ$7:$AJ$506,0),""))</f>
        <v/>
      </c>
    </row>
    <row r="61">
      <c r="B61" s="26">
        <f>IF($I61="","",INDEX('Entries'!$B$7:$B$506,$I61))</f>
        <v/>
      </c>
      <c r="C61" s="39">
        <f>IF($I61="","",INDEX('Entries'!$D$7:$D$506,$I61)&amp;IF(INDEX('Entries'!$G$7:$G$506,$I61)="","",": "&amp;INDEX('Entries'!$G$7:$G$506,$I61)))</f>
        <v/>
      </c>
      <c r="D61" s="40">
        <f>IF($I61="","",INDEX('Entries'!$E$7:$E$506,$I61)&amp;"")</f>
        <v/>
      </c>
      <c r="E61" s="25">
        <f>IF($I61="","",INDEX('Entries'!$I$7:$I$506,$I61))</f>
        <v/>
      </c>
      <c r="F61" s="25">
        <f>IF($I61="","",INDEX('Entries'!$J$7:$J$506,$I61))</f>
        <v/>
      </c>
      <c r="G61" s="41">
        <f>IF($I61="","",N(G60)+N(E61)-N(F61))</f>
        <v/>
      </c>
      <c r="I61">
        <f>IF(47&gt;SUM('Entries'!$AI$7:$AI$506),"",IFERROR(MATCH(47,'Entries'!$AJ$7:$AJ$506,0),""))</f>
        <v/>
      </c>
    </row>
    <row r="62">
      <c r="B62" s="26">
        <f>IF($I62="","",INDEX('Entries'!$B$7:$B$506,$I62))</f>
        <v/>
      </c>
      <c r="C62" s="39">
        <f>IF($I62="","",INDEX('Entries'!$D$7:$D$506,$I62)&amp;IF(INDEX('Entries'!$G$7:$G$506,$I62)="","",": "&amp;INDEX('Entries'!$G$7:$G$506,$I62)))</f>
        <v/>
      </c>
      <c r="D62" s="40">
        <f>IF($I62="","",INDEX('Entries'!$E$7:$E$506,$I62)&amp;"")</f>
        <v/>
      </c>
      <c r="E62" s="25">
        <f>IF($I62="","",INDEX('Entries'!$I$7:$I$506,$I62))</f>
        <v/>
      </c>
      <c r="F62" s="25">
        <f>IF($I62="","",INDEX('Entries'!$J$7:$J$506,$I62))</f>
        <v/>
      </c>
      <c r="G62" s="41">
        <f>IF($I62="","",N(G61)+N(E62)-N(F62))</f>
        <v/>
      </c>
      <c r="I62">
        <f>IF(48&gt;SUM('Entries'!$AI$7:$AI$506),"",IFERROR(MATCH(48,'Entries'!$AJ$7:$AJ$506,0),""))</f>
        <v/>
      </c>
    </row>
    <row r="63">
      <c r="B63" s="26">
        <f>IF($I63="","",INDEX('Entries'!$B$7:$B$506,$I63))</f>
        <v/>
      </c>
      <c r="C63" s="39">
        <f>IF($I63="","",INDEX('Entries'!$D$7:$D$506,$I63)&amp;IF(INDEX('Entries'!$G$7:$G$506,$I63)="","",": "&amp;INDEX('Entries'!$G$7:$G$506,$I63)))</f>
        <v/>
      </c>
      <c r="D63" s="40">
        <f>IF($I63="","",INDEX('Entries'!$E$7:$E$506,$I63)&amp;"")</f>
        <v/>
      </c>
      <c r="E63" s="25">
        <f>IF($I63="","",INDEX('Entries'!$I$7:$I$506,$I63))</f>
        <v/>
      </c>
      <c r="F63" s="25">
        <f>IF($I63="","",INDEX('Entries'!$J$7:$J$506,$I63))</f>
        <v/>
      </c>
      <c r="G63" s="41">
        <f>IF($I63="","",N(G62)+N(E63)-N(F63))</f>
        <v/>
      </c>
      <c r="I63">
        <f>IF(49&gt;SUM('Entries'!$AI$7:$AI$506),"",IFERROR(MATCH(49,'Entries'!$AJ$7:$AJ$506,0),""))</f>
        <v/>
      </c>
    </row>
    <row r="64">
      <c r="B64" s="26">
        <f>IF($I64="","",INDEX('Entries'!$B$7:$B$506,$I64))</f>
        <v/>
      </c>
      <c r="C64" s="39">
        <f>IF($I64="","",INDEX('Entries'!$D$7:$D$506,$I64)&amp;IF(INDEX('Entries'!$G$7:$G$506,$I64)="","",": "&amp;INDEX('Entries'!$G$7:$G$506,$I64)))</f>
        <v/>
      </c>
      <c r="D64" s="40">
        <f>IF($I64="","",INDEX('Entries'!$E$7:$E$506,$I64)&amp;"")</f>
        <v/>
      </c>
      <c r="E64" s="25">
        <f>IF($I64="","",INDEX('Entries'!$I$7:$I$506,$I64))</f>
        <v/>
      </c>
      <c r="F64" s="25">
        <f>IF($I64="","",INDEX('Entries'!$J$7:$J$506,$I64))</f>
        <v/>
      </c>
      <c r="G64" s="41">
        <f>IF($I64="","",N(G63)+N(E64)-N(F64))</f>
        <v/>
      </c>
      <c r="I64">
        <f>IF(50&gt;SUM('Entries'!$AI$7:$AI$506),"",IFERROR(MATCH(50,'Entries'!$AJ$7:$AJ$506,0),""))</f>
        <v/>
      </c>
    </row>
    <row r="65">
      <c r="B65" s="26">
        <f>IF($I65="","",INDEX('Entries'!$B$7:$B$506,$I65))</f>
        <v/>
      </c>
      <c r="C65" s="39">
        <f>IF($I65="","",INDEX('Entries'!$D$7:$D$506,$I65)&amp;IF(INDEX('Entries'!$G$7:$G$506,$I65)="","",": "&amp;INDEX('Entries'!$G$7:$G$506,$I65)))</f>
        <v/>
      </c>
      <c r="D65" s="40">
        <f>IF($I65="","",INDEX('Entries'!$E$7:$E$506,$I65)&amp;"")</f>
        <v/>
      </c>
      <c r="E65" s="25">
        <f>IF($I65="","",INDEX('Entries'!$I$7:$I$506,$I65))</f>
        <v/>
      </c>
      <c r="F65" s="25">
        <f>IF($I65="","",INDEX('Entries'!$J$7:$J$506,$I65))</f>
        <v/>
      </c>
      <c r="G65" s="41">
        <f>IF($I65="","",N(G64)+N(E65)-N(F65))</f>
        <v/>
      </c>
      <c r="I65">
        <f>IF(51&gt;SUM('Entries'!$AI$7:$AI$506),"",IFERROR(MATCH(51,'Entries'!$AJ$7:$AJ$506,0),""))</f>
        <v/>
      </c>
    </row>
    <row r="66">
      <c r="B66" s="26">
        <f>IF($I66="","",INDEX('Entries'!$B$7:$B$506,$I66))</f>
        <v/>
      </c>
      <c r="C66" s="39">
        <f>IF($I66="","",INDEX('Entries'!$D$7:$D$506,$I66)&amp;IF(INDEX('Entries'!$G$7:$G$506,$I66)="","",": "&amp;INDEX('Entries'!$G$7:$G$506,$I66)))</f>
        <v/>
      </c>
      <c r="D66" s="40">
        <f>IF($I66="","",INDEX('Entries'!$E$7:$E$506,$I66)&amp;"")</f>
        <v/>
      </c>
      <c r="E66" s="25">
        <f>IF($I66="","",INDEX('Entries'!$I$7:$I$506,$I66))</f>
        <v/>
      </c>
      <c r="F66" s="25">
        <f>IF($I66="","",INDEX('Entries'!$J$7:$J$506,$I66))</f>
        <v/>
      </c>
      <c r="G66" s="41">
        <f>IF($I66="","",N(G65)+N(E66)-N(F66))</f>
        <v/>
      </c>
      <c r="I66">
        <f>IF(52&gt;SUM('Entries'!$AI$7:$AI$506),"",IFERROR(MATCH(52,'Entries'!$AJ$7:$AJ$506,0),""))</f>
        <v/>
      </c>
    </row>
    <row r="67">
      <c r="B67" s="26">
        <f>IF($I67="","",INDEX('Entries'!$B$7:$B$506,$I67))</f>
        <v/>
      </c>
      <c r="C67" s="39">
        <f>IF($I67="","",INDEX('Entries'!$D$7:$D$506,$I67)&amp;IF(INDEX('Entries'!$G$7:$G$506,$I67)="","",": "&amp;INDEX('Entries'!$G$7:$G$506,$I67)))</f>
        <v/>
      </c>
      <c r="D67" s="40">
        <f>IF($I67="","",INDEX('Entries'!$E$7:$E$506,$I67)&amp;"")</f>
        <v/>
      </c>
      <c r="E67" s="25">
        <f>IF($I67="","",INDEX('Entries'!$I$7:$I$506,$I67))</f>
        <v/>
      </c>
      <c r="F67" s="25">
        <f>IF($I67="","",INDEX('Entries'!$J$7:$J$506,$I67))</f>
        <v/>
      </c>
      <c r="G67" s="41">
        <f>IF($I67="","",N(G66)+N(E67)-N(F67))</f>
        <v/>
      </c>
      <c r="I67">
        <f>IF(53&gt;SUM('Entries'!$AI$7:$AI$506),"",IFERROR(MATCH(53,'Entries'!$AJ$7:$AJ$506,0),""))</f>
        <v/>
      </c>
    </row>
    <row r="68">
      <c r="B68" s="26">
        <f>IF($I68="","",INDEX('Entries'!$B$7:$B$506,$I68))</f>
        <v/>
      </c>
      <c r="C68" s="39">
        <f>IF($I68="","",INDEX('Entries'!$D$7:$D$506,$I68)&amp;IF(INDEX('Entries'!$G$7:$G$506,$I68)="","",": "&amp;INDEX('Entries'!$G$7:$G$506,$I68)))</f>
        <v/>
      </c>
      <c r="D68" s="40">
        <f>IF($I68="","",INDEX('Entries'!$E$7:$E$506,$I68)&amp;"")</f>
        <v/>
      </c>
      <c r="E68" s="25">
        <f>IF($I68="","",INDEX('Entries'!$I$7:$I$506,$I68))</f>
        <v/>
      </c>
      <c r="F68" s="25">
        <f>IF($I68="","",INDEX('Entries'!$J$7:$J$506,$I68))</f>
        <v/>
      </c>
      <c r="G68" s="41">
        <f>IF($I68="","",N(G67)+N(E68)-N(F68))</f>
        <v/>
      </c>
      <c r="I68">
        <f>IF(54&gt;SUM('Entries'!$AI$7:$AI$506),"",IFERROR(MATCH(54,'Entries'!$AJ$7:$AJ$506,0),""))</f>
        <v/>
      </c>
    </row>
    <row r="69">
      <c r="B69" s="26">
        <f>IF($I69="","",INDEX('Entries'!$B$7:$B$506,$I69))</f>
        <v/>
      </c>
      <c r="C69" s="39">
        <f>IF($I69="","",INDEX('Entries'!$D$7:$D$506,$I69)&amp;IF(INDEX('Entries'!$G$7:$G$506,$I69)="","",": "&amp;INDEX('Entries'!$G$7:$G$506,$I69)))</f>
        <v/>
      </c>
      <c r="D69" s="40">
        <f>IF($I69="","",INDEX('Entries'!$E$7:$E$506,$I69)&amp;"")</f>
        <v/>
      </c>
      <c r="E69" s="25">
        <f>IF($I69="","",INDEX('Entries'!$I$7:$I$506,$I69))</f>
        <v/>
      </c>
      <c r="F69" s="25">
        <f>IF($I69="","",INDEX('Entries'!$J$7:$J$506,$I69))</f>
        <v/>
      </c>
      <c r="G69" s="41">
        <f>IF($I69="","",N(G68)+N(E69)-N(F69))</f>
        <v/>
      </c>
      <c r="I69">
        <f>IF(55&gt;SUM('Entries'!$AI$7:$AI$506),"",IFERROR(MATCH(55,'Entries'!$AJ$7:$AJ$506,0),""))</f>
        <v/>
      </c>
    </row>
    <row r="70">
      <c r="B70" s="26">
        <f>IF($I70="","",INDEX('Entries'!$B$7:$B$506,$I70))</f>
        <v/>
      </c>
      <c r="C70" s="39">
        <f>IF($I70="","",INDEX('Entries'!$D$7:$D$506,$I70)&amp;IF(INDEX('Entries'!$G$7:$G$506,$I70)="","",": "&amp;INDEX('Entries'!$G$7:$G$506,$I70)))</f>
        <v/>
      </c>
      <c r="D70" s="40">
        <f>IF($I70="","",INDEX('Entries'!$E$7:$E$506,$I70)&amp;"")</f>
        <v/>
      </c>
      <c r="E70" s="25">
        <f>IF($I70="","",INDEX('Entries'!$I$7:$I$506,$I70))</f>
        <v/>
      </c>
      <c r="F70" s="25">
        <f>IF($I70="","",INDEX('Entries'!$J$7:$J$506,$I70))</f>
        <v/>
      </c>
      <c r="G70" s="41">
        <f>IF($I70="","",N(G69)+N(E70)-N(F70))</f>
        <v/>
      </c>
      <c r="I70">
        <f>IF(56&gt;SUM('Entries'!$AI$7:$AI$506),"",IFERROR(MATCH(56,'Entries'!$AJ$7:$AJ$506,0),""))</f>
        <v/>
      </c>
    </row>
    <row r="71">
      <c r="B71" s="26">
        <f>IF($I71="","",INDEX('Entries'!$B$7:$B$506,$I71))</f>
        <v/>
      </c>
      <c r="C71" s="39">
        <f>IF($I71="","",INDEX('Entries'!$D$7:$D$506,$I71)&amp;IF(INDEX('Entries'!$G$7:$G$506,$I71)="","",": "&amp;INDEX('Entries'!$G$7:$G$506,$I71)))</f>
        <v/>
      </c>
      <c r="D71" s="40">
        <f>IF($I71="","",INDEX('Entries'!$E$7:$E$506,$I71)&amp;"")</f>
        <v/>
      </c>
      <c r="E71" s="25">
        <f>IF($I71="","",INDEX('Entries'!$I$7:$I$506,$I71))</f>
        <v/>
      </c>
      <c r="F71" s="25">
        <f>IF($I71="","",INDEX('Entries'!$J$7:$J$506,$I71))</f>
        <v/>
      </c>
      <c r="G71" s="41">
        <f>IF($I71="","",N(G70)+N(E71)-N(F71))</f>
        <v/>
      </c>
      <c r="I71">
        <f>IF(57&gt;SUM('Entries'!$AI$7:$AI$506),"",IFERROR(MATCH(57,'Entries'!$AJ$7:$AJ$506,0),""))</f>
        <v/>
      </c>
    </row>
    <row r="72">
      <c r="B72" s="26">
        <f>IF($I72="","",INDEX('Entries'!$B$7:$B$506,$I72))</f>
        <v/>
      </c>
      <c r="C72" s="39">
        <f>IF($I72="","",INDEX('Entries'!$D$7:$D$506,$I72)&amp;IF(INDEX('Entries'!$G$7:$G$506,$I72)="","",": "&amp;INDEX('Entries'!$G$7:$G$506,$I72)))</f>
        <v/>
      </c>
      <c r="D72" s="40">
        <f>IF($I72="","",INDEX('Entries'!$E$7:$E$506,$I72)&amp;"")</f>
        <v/>
      </c>
      <c r="E72" s="25">
        <f>IF($I72="","",INDEX('Entries'!$I$7:$I$506,$I72))</f>
        <v/>
      </c>
      <c r="F72" s="25">
        <f>IF($I72="","",INDEX('Entries'!$J$7:$J$506,$I72))</f>
        <v/>
      </c>
      <c r="G72" s="41">
        <f>IF($I72="","",N(G71)+N(E72)-N(F72))</f>
        <v/>
      </c>
      <c r="I72">
        <f>IF(58&gt;SUM('Entries'!$AI$7:$AI$506),"",IFERROR(MATCH(58,'Entries'!$AJ$7:$AJ$506,0),""))</f>
        <v/>
      </c>
    </row>
    <row r="73">
      <c r="B73" s="26">
        <f>IF($I73="","",INDEX('Entries'!$B$7:$B$506,$I73))</f>
        <v/>
      </c>
      <c r="C73" s="39">
        <f>IF($I73="","",INDEX('Entries'!$D$7:$D$506,$I73)&amp;IF(INDEX('Entries'!$G$7:$G$506,$I73)="","",": "&amp;INDEX('Entries'!$G$7:$G$506,$I73)))</f>
        <v/>
      </c>
      <c r="D73" s="40">
        <f>IF($I73="","",INDEX('Entries'!$E$7:$E$506,$I73)&amp;"")</f>
        <v/>
      </c>
      <c r="E73" s="25">
        <f>IF($I73="","",INDEX('Entries'!$I$7:$I$506,$I73))</f>
        <v/>
      </c>
      <c r="F73" s="25">
        <f>IF($I73="","",INDEX('Entries'!$J$7:$J$506,$I73))</f>
        <v/>
      </c>
      <c r="G73" s="41">
        <f>IF($I73="","",N(G72)+N(E73)-N(F73))</f>
        <v/>
      </c>
      <c r="I73">
        <f>IF(59&gt;SUM('Entries'!$AI$7:$AI$506),"",IFERROR(MATCH(59,'Entries'!$AJ$7:$AJ$506,0),""))</f>
        <v/>
      </c>
    </row>
    <row r="74">
      <c r="B74" s="26">
        <f>IF($I74="","",INDEX('Entries'!$B$7:$B$506,$I74))</f>
        <v/>
      </c>
      <c r="C74" s="39">
        <f>IF($I74="","",INDEX('Entries'!$D$7:$D$506,$I74)&amp;IF(INDEX('Entries'!$G$7:$G$506,$I74)="","",": "&amp;INDEX('Entries'!$G$7:$G$506,$I74)))</f>
        <v/>
      </c>
      <c r="D74" s="40">
        <f>IF($I74="","",INDEX('Entries'!$E$7:$E$506,$I74)&amp;"")</f>
        <v/>
      </c>
      <c r="E74" s="25">
        <f>IF($I74="","",INDEX('Entries'!$I$7:$I$506,$I74))</f>
        <v/>
      </c>
      <c r="F74" s="25">
        <f>IF($I74="","",INDEX('Entries'!$J$7:$J$506,$I74))</f>
        <v/>
      </c>
      <c r="G74" s="41">
        <f>IF($I74="","",N(G73)+N(E74)-N(F74))</f>
        <v/>
      </c>
      <c r="I74">
        <f>IF(60&gt;SUM('Entries'!$AI$7:$AI$506),"",IFERROR(MATCH(60,'Entries'!$AJ$7:$AJ$506,0),""))</f>
        <v/>
      </c>
    </row>
    <row r="75">
      <c r="B75" s="42">
        <f>IF($D$6="","",$D$6)</f>
        <v/>
      </c>
      <c r="C75" s="29" t="inlineStr">
        <is>
          <t>Closing balance</t>
        </is>
      </c>
      <c r="D75" s="30" t="n"/>
      <c r="E75" s="31">
        <f>SUM(E15:E74)</f>
        <v/>
      </c>
      <c r="F75" s="31">
        <f>SUM(F15:F74)</f>
        <v/>
      </c>
      <c r="G75" s="43">
        <f>IF($D$4="","",N(G14)+E75-F75)</f>
        <v/>
      </c>
    </row>
    <row r="77" ht="30" customHeight="1">
      <c r="B77" s="44">
        <f>IF($D$4="","","Balance as per our books on "&amp;IF($D$6="","the date above",TEXT($D$6,"DD-MMM-YYYY"))&amp;": "&amp;"₹"&amp;TEXT(ABS(N(G75)),"#,##,##0")&amp;IF(N(G75)&gt;0," Dr",IF(N(G75)&lt;0," Cr",""))&amp;". Please confirm this balance, or send us your statement if it differs.")</f>
        <v/>
      </c>
    </row>
    <row r="79">
      <c r="B79" s="45">
        <f>"For "&amp;IF('Parties'!$E$6="","the business",'Parties'!$E$6)</f>
        <v/>
      </c>
      <c r="E79" s="45" t="inlineStr">
        <is>
          <t>Confirmed by the party</t>
        </is>
      </c>
    </row>
    <row r="80" ht="34" customHeight="1"/>
    <row r="81">
      <c r="B81" s="46" t="inlineStr">
        <is>
          <t>Authorised signatory</t>
        </is>
      </c>
      <c r="E81" s="46" t="inlineStr">
        <is>
          <t>Signature, name and date</t>
        </is>
      </c>
    </row>
    <row r="83">
      <c r="B83" s="47">
        <f>IF($D$4="","Pick a party above.",IF(ISNA(MATCH($D$4,'Parties'!$B$13:$B$112,0)),"That party is not on the Parties sheet.",IF(SUM('Entries'!$AI$7:$AI$506)&gt;60,"More than 60 entries in this period: shorten the period and print in parts.","Check: "&amp;SUM('Entries'!$AI$7:$AI$506)&amp;" entries in this period.")))</f>
        <v/>
      </c>
    </row>
    <row r="84">
      <c r="B84" s="11" t="inlineStr">
        <is>
          <t>The two lines above sit below the print area, so they never print.</t>
        </is>
      </c>
    </row>
    <row r="86">
      <c r="B86"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20">
    <mergeCell ref="B2:G2"/>
    <mergeCell ref="B81:C81"/>
    <mergeCell ref="B8:G8"/>
    <mergeCell ref="D6:E6"/>
    <mergeCell ref="B10:G10"/>
    <mergeCell ref="B84:G84"/>
    <mergeCell ref="B9:G9"/>
    <mergeCell ref="B83:G83"/>
    <mergeCell ref="E81:G81"/>
    <mergeCell ref="D4:E4"/>
    <mergeCell ref="B3:G3"/>
    <mergeCell ref="B6:C6"/>
    <mergeCell ref="B5:C5"/>
    <mergeCell ref="D5:E5"/>
    <mergeCell ref="E79:G79"/>
    <mergeCell ref="B79:C79"/>
    <mergeCell ref="B86:G86"/>
    <mergeCell ref="B4:C4"/>
    <mergeCell ref="B77:G77"/>
    <mergeCell ref="B11:G11"/>
  </mergeCells>
  <dataValidations count="3">
    <dataValidation sqref="D4" showDropDown="0" showInputMessage="0" showErrorMessage="1" allowBlank="1" errorTitle="Pick from the list" error="Pick an option from the drop-down list." type="list">
      <formula1>='Parties'!$B$13:$B$112</formula1>
    </dataValidation>
    <dataValidation sqref="D5" showDropDown="0" showInputMessage="0" showErrorMessage="1" allowBlank="1" errorTitle="Enter a date" error="Enter a date, for example 01-Apr-2026." type="date" operator="between">
      <formula1>DATE(2000,1,1)</formula1>
      <formula2>DATE(2100,12,31)</formula2>
    </dataValidation>
    <dataValidation sqref="D6" showDropDown="0" showInputMessage="0" showErrorMessage="1" allowBlank="1" errorTitle="Enter a date" error="Enter a date, for example 01-Apr-2026." type="date" operator="between">
      <formula1>DATE(2000,1,1)</formula1>
      <formula2>DATE(2100,12,31)</formula2>
    </dataValidation>
  </dataValidations>
  <pageMargins left="0.4" right="0.4" top="0.5" bottom="0.5"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M120"/>
  <sheetViews>
    <sheetView workbookViewId="0">
      <pane xSplit="2" ySplit="7" topLeftCell="C8" activePane="bottomRight" state="frozen"/>
      <selection pane="topRight"/>
      <selection pane="bottomLeft"/>
      <selection pane="bottomRight" activeCell="A1" sqref="A1"/>
    </sheetView>
  </sheetViews>
  <sheetFormatPr baseColWidth="8" defaultRowHeight="15"/>
  <cols>
    <col width="2" customWidth="1" min="1" max="1"/>
    <col width="28" customWidth="1" min="2" max="2"/>
    <col width="11" customWidth="1" min="3" max="3"/>
    <col width="26" customWidth="1" min="4" max="4"/>
    <col width="15" customWidth="1" min="5" max="5"/>
    <col width="13" customWidth="1" min="6" max="6"/>
    <col width="13" customWidth="1" min="7" max="7"/>
    <col width="13" customWidth="1" min="8" max="8"/>
    <col width="13" customWidth="1" min="9" max="9"/>
    <col width="14" customWidth="1" min="10" max="10"/>
    <col width="13" customWidth="1" min="11" max="11"/>
    <col width="15" customWidth="1" min="12" max="12"/>
    <col width="46" customWidth="1" min="13" max="13"/>
    <col width="2" customWidth="1" min="14" max="14"/>
  </cols>
  <sheetData>
    <row r="1"/>
    <row r="2" ht="26" customHeight="1">
      <c r="B2" s="1" t="inlineStr">
        <is>
          <t>OUTSTANDING  (what each party owes, or is owed, and how old it is)</t>
        </is>
      </c>
    </row>
    <row r="3" ht="16" customHeight="1">
      <c r="B3" s="11" t="inlineStr">
        <is>
          <t>Every party from the Parties sheet, with the balance, unpaid bills by age, what is past its due date, and the MSME figures for the year end.</t>
        </is>
      </c>
    </row>
    <row r="4"/>
    <row r="5" ht="18" customHeight="1">
      <c r="B5" s="12" t="inlineStr">
        <is>
          <t>As at (the date the ages and overdue days count to)</t>
        </is>
      </c>
      <c r="C5" s="13" t="n"/>
      <c r="D5" s="13" t="n"/>
      <c r="E5" s="48" t="n"/>
      <c r="F5" s="15" t="n"/>
    </row>
    <row r="6"/>
    <row r="7" ht="48" customHeight="1">
      <c r="B7" s="19" t="inlineStr">
        <is>
          <t>Party</t>
        </is>
      </c>
      <c r="C7" s="19" t="inlineStr">
        <is>
          <t>Debtor or creditor</t>
        </is>
      </c>
      <c r="D7" s="19" t="inlineStr">
        <is>
          <t>MSME status</t>
        </is>
      </c>
      <c r="E7" s="19" t="inlineStr">
        <is>
          <t>Balance</t>
        </is>
      </c>
      <c r="F7" s="19" t="inlineStr">
        <is>
          <t>Unpaid bills 0-30 days</t>
        </is>
      </c>
      <c r="G7" s="19" t="inlineStr">
        <is>
          <t>31-60 days</t>
        </is>
      </c>
      <c r="H7" s="19" t="inlineStr">
        <is>
          <t>61-90 days</t>
        </is>
      </c>
      <c r="I7" s="19" t="inlineStr">
        <is>
          <t>Over 90 days</t>
        </is>
      </c>
      <c r="J7" s="19" t="inlineStr">
        <is>
          <t>Past the due date</t>
        </is>
      </c>
      <c r="K7" s="19" t="inlineStr">
        <is>
          <t>MSMED interest (estimate)</t>
        </is>
      </c>
      <c r="L7" s="19" t="inlineStr">
        <is>
          <t>Not deductible if unpaid at year end</t>
        </is>
      </c>
      <c r="M7" s="19" t="inlineStr">
        <is>
          <t>Check</t>
        </is>
      </c>
    </row>
    <row r="8">
      <c r="B8" s="37">
        <f>IF('Parties'!$B$13="","",'Parties'!$B$13)</f>
        <v/>
      </c>
      <c r="C8" s="40">
        <f>IF(B8="","",'Parties'!$C$13&amp;"")</f>
        <v/>
      </c>
      <c r="D8" s="39">
        <f>IF(B8="","",'Parties'!$E$13&amp;"")</f>
        <v/>
      </c>
      <c r="E8" s="38">
        <f>IF(OR(B8="",$E$5=""),"",'Parties'!$M$13+SUMIFS('Entries'!$I$7:$I$506,'Entries'!$C$7:$C$506,B8,'Entries'!$B$7:$B$506,"&lt;="&amp;$E$5)-SUMIFS('Entries'!$J$7:$J$506,'Entries'!$C$7:$C$506,B8,'Entries'!$B$7:$B$506,"&lt;="&amp;$E$5))</f>
        <v/>
      </c>
      <c r="F8" s="49">
        <f>IF(B8="","",SUMIFS('Entries'!$W$7:$W$506,'Entries'!$C$7:$C$506,B8,'Entries'!$AC$7:$AC$506,"&gt;=0",'Entries'!$AC$7:$AC$506,"&lt;=30"))</f>
        <v/>
      </c>
      <c r="G8" s="49">
        <f>IF(B8="","",SUMIFS('Entries'!$W$7:$W$506,'Entries'!$C$7:$C$506,B8,'Entries'!$AC$7:$AC$506,"&gt;=31",'Entries'!$AC$7:$AC$506,"&lt;=60"))</f>
        <v/>
      </c>
      <c r="H8" s="49">
        <f>IF(B8="","",SUMIFS('Entries'!$W$7:$W$506,'Entries'!$C$7:$C$506,B8,'Entries'!$AC$7:$AC$506,"&gt;=61",'Entries'!$AC$7:$AC$506,"&lt;=90"))</f>
        <v/>
      </c>
      <c r="I8" s="49">
        <f>IF(B8="","",SUMIFS('Entries'!$W$7:$W$506,'Entries'!$C$7:$C$506,B8,'Entries'!$AC$7:$AC$506,"&gt;90"))</f>
        <v/>
      </c>
      <c r="J8" s="50">
        <f>IF(B8="","",SUMIFS('Entries'!$W$7:$W$506,'Entries'!$C$7:$C$506,B8,'Entries'!$AA$7:$AA$506,"&gt;0"))</f>
        <v/>
      </c>
      <c r="K8" s="49">
        <f>IF(B8="","",ROUND(SUMIFS('Entries'!$AB$7:$AB$506,'Entries'!$C$7:$C$506,B8),0))</f>
        <v/>
      </c>
      <c r="L8" s="49">
        <f>IF(B8="","",SUMIFS('Entries'!$AF$7:$AF$506,'Entries'!$C$7:$C$506,B8))</f>
        <v/>
      </c>
      <c r="M8" s="23">
        <f>IF(B8="","",IF(AND(C8="Debtor",N(E8)&lt;0),"Credit balance: an advance or an excess receipt",IF(AND(C8="Creditor",N(E8)&gt;0),"Debit balance: an advance paid to the supplier",IF(AND(C8="Creditor",N(L8)&gt;0),"Pay before the year end to keep the deduction, s.37(2)(g)",IF(N(J8)&gt;0,IF(C8="Creditor","Past due: pay, or confirm the terms in writing","Past due: follow up"),"OK")))))</f>
        <v/>
      </c>
    </row>
    <row r="9">
      <c r="B9" s="37">
        <f>IF('Parties'!$B$14="","",'Parties'!$B$14)</f>
        <v/>
      </c>
      <c r="C9" s="40">
        <f>IF(B9="","",'Parties'!$C$14&amp;"")</f>
        <v/>
      </c>
      <c r="D9" s="39">
        <f>IF(B9="","",'Parties'!$E$14&amp;"")</f>
        <v/>
      </c>
      <c r="E9" s="38">
        <f>IF(OR(B9="",$E$5=""),"",'Parties'!$M$14+SUMIFS('Entries'!$I$7:$I$506,'Entries'!$C$7:$C$506,B9,'Entries'!$B$7:$B$506,"&lt;="&amp;$E$5)-SUMIFS('Entries'!$J$7:$J$506,'Entries'!$C$7:$C$506,B9,'Entries'!$B$7:$B$506,"&lt;="&amp;$E$5))</f>
        <v/>
      </c>
      <c r="F9" s="49">
        <f>IF(B9="","",SUMIFS('Entries'!$W$7:$W$506,'Entries'!$C$7:$C$506,B9,'Entries'!$AC$7:$AC$506,"&gt;=0",'Entries'!$AC$7:$AC$506,"&lt;=30"))</f>
        <v/>
      </c>
      <c r="G9" s="49">
        <f>IF(B9="","",SUMIFS('Entries'!$W$7:$W$506,'Entries'!$C$7:$C$506,B9,'Entries'!$AC$7:$AC$506,"&gt;=31",'Entries'!$AC$7:$AC$506,"&lt;=60"))</f>
        <v/>
      </c>
      <c r="H9" s="49">
        <f>IF(B9="","",SUMIFS('Entries'!$W$7:$W$506,'Entries'!$C$7:$C$506,B9,'Entries'!$AC$7:$AC$506,"&gt;=61",'Entries'!$AC$7:$AC$506,"&lt;=90"))</f>
        <v/>
      </c>
      <c r="I9" s="49">
        <f>IF(B9="","",SUMIFS('Entries'!$W$7:$W$506,'Entries'!$C$7:$C$506,B9,'Entries'!$AC$7:$AC$506,"&gt;90"))</f>
        <v/>
      </c>
      <c r="J9" s="50">
        <f>IF(B9="","",SUMIFS('Entries'!$W$7:$W$506,'Entries'!$C$7:$C$506,B9,'Entries'!$AA$7:$AA$506,"&gt;0"))</f>
        <v/>
      </c>
      <c r="K9" s="49">
        <f>IF(B9="","",ROUND(SUMIFS('Entries'!$AB$7:$AB$506,'Entries'!$C$7:$C$506,B9),0))</f>
        <v/>
      </c>
      <c r="L9" s="49">
        <f>IF(B9="","",SUMIFS('Entries'!$AF$7:$AF$506,'Entries'!$C$7:$C$506,B9))</f>
        <v/>
      </c>
      <c r="M9" s="23">
        <f>IF(B9="","",IF(AND(C9="Debtor",N(E9)&lt;0),"Credit balance: an advance or an excess receipt",IF(AND(C9="Creditor",N(E9)&gt;0),"Debit balance: an advance paid to the supplier",IF(AND(C9="Creditor",N(L9)&gt;0),"Pay before the year end to keep the deduction, s.37(2)(g)",IF(N(J9)&gt;0,IF(C9="Creditor","Past due: pay, or confirm the terms in writing","Past due: follow up"),"OK")))))</f>
        <v/>
      </c>
    </row>
    <row r="10">
      <c r="B10" s="37">
        <f>IF('Parties'!$B$15="","",'Parties'!$B$15)</f>
        <v/>
      </c>
      <c r="C10" s="40">
        <f>IF(B10="","",'Parties'!$C$15&amp;"")</f>
        <v/>
      </c>
      <c r="D10" s="39">
        <f>IF(B10="","",'Parties'!$E$15&amp;"")</f>
        <v/>
      </c>
      <c r="E10" s="38">
        <f>IF(OR(B10="",$E$5=""),"",'Parties'!$M$15+SUMIFS('Entries'!$I$7:$I$506,'Entries'!$C$7:$C$506,B10,'Entries'!$B$7:$B$506,"&lt;="&amp;$E$5)-SUMIFS('Entries'!$J$7:$J$506,'Entries'!$C$7:$C$506,B10,'Entries'!$B$7:$B$506,"&lt;="&amp;$E$5))</f>
        <v/>
      </c>
      <c r="F10" s="49">
        <f>IF(B10="","",SUMIFS('Entries'!$W$7:$W$506,'Entries'!$C$7:$C$506,B10,'Entries'!$AC$7:$AC$506,"&gt;=0",'Entries'!$AC$7:$AC$506,"&lt;=30"))</f>
        <v/>
      </c>
      <c r="G10" s="49">
        <f>IF(B10="","",SUMIFS('Entries'!$W$7:$W$506,'Entries'!$C$7:$C$506,B10,'Entries'!$AC$7:$AC$506,"&gt;=31",'Entries'!$AC$7:$AC$506,"&lt;=60"))</f>
        <v/>
      </c>
      <c r="H10" s="49">
        <f>IF(B10="","",SUMIFS('Entries'!$W$7:$W$506,'Entries'!$C$7:$C$506,B10,'Entries'!$AC$7:$AC$506,"&gt;=61",'Entries'!$AC$7:$AC$506,"&lt;=90"))</f>
        <v/>
      </c>
      <c r="I10" s="49">
        <f>IF(B10="","",SUMIFS('Entries'!$W$7:$W$506,'Entries'!$C$7:$C$506,B10,'Entries'!$AC$7:$AC$506,"&gt;90"))</f>
        <v/>
      </c>
      <c r="J10" s="50">
        <f>IF(B10="","",SUMIFS('Entries'!$W$7:$W$506,'Entries'!$C$7:$C$506,B10,'Entries'!$AA$7:$AA$506,"&gt;0"))</f>
        <v/>
      </c>
      <c r="K10" s="49">
        <f>IF(B10="","",ROUND(SUMIFS('Entries'!$AB$7:$AB$506,'Entries'!$C$7:$C$506,B10),0))</f>
        <v/>
      </c>
      <c r="L10" s="49">
        <f>IF(B10="","",SUMIFS('Entries'!$AF$7:$AF$506,'Entries'!$C$7:$C$506,B10))</f>
        <v/>
      </c>
      <c r="M10" s="23">
        <f>IF(B10="","",IF(AND(C10="Debtor",N(E10)&lt;0),"Credit balance: an advance or an excess receipt",IF(AND(C10="Creditor",N(E10)&gt;0),"Debit balance: an advance paid to the supplier",IF(AND(C10="Creditor",N(L10)&gt;0),"Pay before the year end to keep the deduction, s.37(2)(g)",IF(N(J10)&gt;0,IF(C10="Creditor","Past due: pay, or confirm the terms in writing","Past due: follow up"),"OK")))))</f>
        <v/>
      </c>
    </row>
    <row r="11">
      <c r="B11" s="37">
        <f>IF('Parties'!$B$16="","",'Parties'!$B$16)</f>
        <v/>
      </c>
      <c r="C11" s="40">
        <f>IF(B11="","",'Parties'!$C$16&amp;"")</f>
        <v/>
      </c>
      <c r="D11" s="39">
        <f>IF(B11="","",'Parties'!$E$16&amp;"")</f>
        <v/>
      </c>
      <c r="E11" s="38">
        <f>IF(OR(B11="",$E$5=""),"",'Parties'!$M$16+SUMIFS('Entries'!$I$7:$I$506,'Entries'!$C$7:$C$506,B11,'Entries'!$B$7:$B$506,"&lt;="&amp;$E$5)-SUMIFS('Entries'!$J$7:$J$506,'Entries'!$C$7:$C$506,B11,'Entries'!$B$7:$B$506,"&lt;="&amp;$E$5))</f>
        <v/>
      </c>
      <c r="F11" s="49">
        <f>IF(B11="","",SUMIFS('Entries'!$W$7:$W$506,'Entries'!$C$7:$C$506,B11,'Entries'!$AC$7:$AC$506,"&gt;=0",'Entries'!$AC$7:$AC$506,"&lt;=30"))</f>
        <v/>
      </c>
      <c r="G11" s="49">
        <f>IF(B11="","",SUMIFS('Entries'!$W$7:$W$506,'Entries'!$C$7:$C$506,B11,'Entries'!$AC$7:$AC$506,"&gt;=31",'Entries'!$AC$7:$AC$506,"&lt;=60"))</f>
        <v/>
      </c>
      <c r="H11" s="49">
        <f>IF(B11="","",SUMIFS('Entries'!$W$7:$W$506,'Entries'!$C$7:$C$506,B11,'Entries'!$AC$7:$AC$506,"&gt;=61",'Entries'!$AC$7:$AC$506,"&lt;=90"))</f>
        <v/>
      </c>
      <c r="I11" s="49">
        <f>IF(B11="","",SUMIFS('Entries'!$W$7:$W$506,'Entries'!$C$7:$C$506,B11,'Entries'!$AC$7:$AC$506,"&gt;90"))</f>
        <v/>
      </c>
      <c r="J11" s="50">
        <f>IF(B11="","",SUMIFS('Entries'!$W$7:$W$506,'Entries'!$C$7:$C$506,B11,'Entries'!$AA$7:$AA$506,"&gt;0"))</f>
        <v/>
      </c>
      <c r="K11" s="49">
        <f>IF(B11="","",ROUND(SUMIFS('Entries'!$AB$7:$AB$506,'Entries'!$C$7:$C$506,B11),0))</f>
        <v/>
      </c>
      <c r="L11" s="49">
        <f>IF(B11="","",SUMIFS('Entries'!$AF$7:$AF$506,'Entries'!$C$7:$C$506,B11))</f>
        <v/>
      </c>
      <c r="M11" s="23">
        <f>IF(B11="","",IF(AND(C11="Debtor",N(E11)&lt;0),"Credit balance: an advance or an excess receipt",IF(AND(C11="Creditor",N(E11)&gt;0),"Debit balance: an advance paid to the supplier",IF(AND(C11="Creditor",N(L11)&gt;0),"Pay before the year end to keep the deduction, s.37(2)(g)",IF(N(J11)&gt;0,IF(C11="Creditor","Past due: pay, or confirm the terms in writing","Past due: follow up"),"OK")))))</f>
        <v/>
      </c>
    </row>
    <row r="12">
      <c r="B12" s="37">
        <f>IF('Parties'!$B$17="","",'Parties'!$B$17)</f>
        <v/>
      </c>
      <c r="C12" s="40">
        <f>IF(B12="","",'Parties'!$C$17&amp;"")</f>
        <v/>
      </c>
      <c r="D12" s="39">
        <f>IF(B12="","",'Parties'!$E$17&amp;"")</f>
        <v/>
      </c>
      <c r="E12" s="38">
        <f>IF(OR(B12="",$E$5=""),"",'Parties'!$M$17+SUMIFS('Entries'!$I$7:$I$506,'Entries'!$C$7:$C$506,B12,'Entries'!$B$7:$B$506,"&lt;="&amp;$E$5)-SUMIFS('Entries'!$J$7:$J$506,'Entries'!$C$7:$C$506,B12,'Entries'!$B$7:$B$506,"&lt;="&amp;$E$5))</f>
        <v/>
      </c>
      <c r="F12" s="49">
        <f>IF(B12="","",SUMIFS('Entries'!$W$7:$W$506,'Entries'!$C$7:$C$506,B12,'Entries'!$AC$7:$AC$506,"&gt;=0",'Entries'!$AC$7:$AC$506,"&lt;=30"))</f>
        <v/>
      </c>
      <c r="G12" s="49">
        <f>IF(B12="","",SUMIFS('Entries'!$W$7:$W$506,'Entries'!$C$7:$C$506,B12,'Entries'!$AC$7:$AC$506,"&gt;=31",'Entries'!$AC$7:$AC$506,"&lt;=60"))</f>
        <v/>
      </c>
      <c r="H12" s="49">
        <f>IF(B12="","",SUMIFS('Entries'!$W$7:$W$506,'Entries'!$C$7:$C$506,B12,'Entries'!$AC$7:$AC$506,"&gt;=61",'Entries'!$AC$7:$AC$506,"&lt;=90"))</f>
        <v/>
      </c>
      <c r="I12" s="49">
        <f>IF(B12="","",SUMIFS('Entries'!$W$7:$W$506,'Entries'!$C$7:$C$506,B12,'Entries'!$AC$7:$AC$506,"&gt;90"))</f>
        <v/>
      </c>
      <c r="J12" s="50">
        <f>IF(B12="","",SUMIFS('Entries'!$W$7:$W$506,'Entries'!$C$7:$C$506,B12,'Entries'!$AA$7:$AA$506,"&gt;0"))</f>
        <v/>
      </c>
      <c r="K12" s="49">
        <f>IF(B12="","",ROUND(SUMIFS('Entries'!$AB$7:$AB$506,'Entries'!$C$7:$C$506,B12),0))</f>
        <v/>
      </c>
      <c r="L12" s="49">
        <f>IF(B12="","",SUMIFS('Entries'!$AF$7:$AF$506,'Entries'!$C$7:$C$506,B12))</f>
        <v/>
      </c>
      <c r="M12" s="23">
        <f>IF(B12="","",IF(AND(C12="Debtor",N(E12)&lt;0),"Credit balance: an advance or an excess receipt",IF(AND(C12="Creditor",N(E12)&gt;0),"Debit balance: an advance paid to the supplier",IF(AND(C12="Creditor",N(L12)&gt;0),"Pay before the year end to keep the deduction, s.37(2)(g)",IF(N(J12)&gt;0,IF(C12="Creditor","Past due: pay, or confirm the terms in writing","Past due: follow up"),"OK")))))</f>
        <v/>
      </c>
    </row>
    <row r="13">
      <c r="B13" s="37">
        <f>IF('Parties'!$B$18="","",'Parties'!$B$18)</f>
        <v/>
      </c>
      <c r="C13" s="40">
        <f>IF(B13="","",'Parties'!$C$18&amp;"")</f>
        <v/>
      </c>
      <c r="D13" s="39">
        <f>IF(B13="","",'Parties'!$E$18&amp;"")</f>
        <v/>
      </c>
      <c r="E13" s="38">
        <f>IF(OR(B13="",$E$5=""),"",'Parties'!$M$18+SUMIFS('Entries'!$I$7:$I$506,'Entries'!$C$7:$C$506,B13,'Entries'!$B$7:$B$506,"&lt;="&amp;$E$5)-SUMIFS('Entries'!$J$7:$J$506,'Entries'!$C$7:$C$506,B13,'Entries'!$B$7:$B$506,"&lt;="&amp;$E$5))</f>
        <v/>
      </c>
      <c r="F13" s="49">
        <f>IF(B13="","",SUMIFS('Entries'!$W$7:$W$506,'Entries'!$C$7:$C$506,B13,'Entries'!$AC$7:$AC$506,"&gt;=0",'Entries'!$AC$7:$AC$506,"&lt;=30"))</f>
        <v/>
      </c>
      <c r="G13" s="49">
        <f>IF(B13="","",SUMIFS('Entries'!$W$7:$W$506,'Entries'!$C$7:$C$506,B13,'Entries'!$AC$7:$AC$506,"&gt;=31",'Entries'!$AC$7:$AC$506,"&lt;=60"))</f>
        <v/>
      </c>
      <c r="H13" s="49">
        <f>IF(B13="","",SUMIFS('Entries'!$W$7:$W$506,'Entries'!$C$7:$C$506,B13,'Entries'!$AC$7:$AC$506,"&gt;=61",'Entries'!$AC$7:$AC$506,"&lt;=90"))</f>
        <v/>
      </c>
      <c r="I13" s="49">
        <f>IF(B13="","",SUMIFS('Entries'!$W$7:$W$506,'Entries'!$C$7:$C$506,B13,'Entries'!$AC$7:$AC$506,"&gt;90"))</f>
        <v/>
      </c>
      <c r="J13" s="50">
        <f>IF(B13="","",SUMIFS('Entries'!$W$7:$W$506,'Entries'!$C$7:$C$506,B13,'Entries'!$AA$7:$AA$506,"&gt;0"))</f>
        <v/>
      </c>
      <c r="K13" s="49">
        <f>IF(B13="","",ROUND(SUMIFS('Entries'!$AB$7:$AB$506,'Entries'!$C$7:$C$506,B13),0))</f>
        <v/>
      </c>
      <c r="L13" s="49">
        <f>IF(B13="","",SUMIFS('Entries'!$AF$7:$AF$506,'Entries'!$C$7:$C$506,B13))</f>
        <v/>
      </c>
      <c r="M13" s="23">
        <f>IF(B13="","",IF(AND(C13="Debtor",N(E13)&lt;0),"Credit balance: an advance or an excess receipt",IF(AND(C13="Creditor",N(E13)&gt;0),"Debit balance: an advance paid to the supplier",IF(AND(C13="Creditor",N(L13)&gt;0),"Pay before the year end to keep the deduction, s.37(2)(g)",IF(N(J13)&gt;0,IF(C13="Creditor","Past due: pay, or confirm the terms in writing","Past due: follow up"),"OK")))))</f>
        <v/>
      </c>
    </row>
    <row r="14">
      <c r="B14" s="37">
        <f>IF('Parties'!$B$19="","",'Parties'!$B$19)</f>
        <v/>
      </c>
      <c r="C14" s="40">
        <f>IF(B14="","",'Parties'!$C$19&amp;"")</f>
        <v/>
      </c>
      <c r="D14" s="39">
        <f>IF(B14="","",'Parties'!$E$19&amp;"")</f>
        <v/>
      </c>
      <c r="E14" s="38">
        <f>IF(OR(B14="",$E$5=""),"",'Parties'!$M$19+SUMIFS('Entries'!$I$7:$I$506,'Entries'!$C$7:$C$506,B14,'Entries'!$B$7:$B$506,"&lt;="&amp;$E$5)-SUMIFS('Entries'!$J$7:$J$506,'Entries'!$C$7:$C$506,B14,'Entries'!$B$7:$B$506,"&lt;="&amp;$E$5))</f>
        <v/>
      </c>
      <c r="F14" s="49">
        <f>IF(B14="","",SUMIFS('Entries'!$W$7:$W$506,'Entries'!$C$7:$C$506,B14,'Entries'!$AC$7:$AC$506,"&gt;=0",'Entries'!$AC$7:$AC$506,"&lt;=30"))</f>
        <v/>
      </c>
      <c r="G14" s="49">
        <f>IF(B14="","",SUMIFS('Entries'!$W$7:$W$506,'Entries'!$C$7:$C$506,B14,'Entries'!$AC$7:$AC$506,"&gt;=31",'Entries'!$AC$7:$AC$506,"&lt;=60"))</f>
        <v/>
      </c>
      <c r="H14" s="49">
        <f>IF(B14="","",SUMIFS('Entries'!$W$7:$W$506,'Entries'!$C$7:$C$506,B14,'Entries'!$AC$7:$AC$506,"&gt;=61",'Entries'!$AC$7:$AC$506,"&lt;=90"))</f>
        <v/>
      </c>
      <c r="I14" s="49">
        <f>IF(B14="","",SUMIFS('Entries'!$W$7:$W$506,'Entries'!$C$7:$C$506,B14,'Entries'!$AC$7:$AC$506,"&gt;90"))</f>
        <v/>
      </c>
      <c r="J14" s="50">
        <f>IF(B14="","",SUMIFS('Entries'!$W$7:$W$506,'Entries'!$C$7:$C$506,B14,'Entries'!$AA$7:$AA$506,"&gt;0"))</f>
        <v/>
      </c>
      <c r="K14" s="49">
        <f>IF(B14="","",ROUND(SUMIFS('Entries'!$AB$7:$AB$506,'Entries'!$C$7:$C$506,B14),0))</f>
        <v/>
      </c>
      <c r="L14" s="49">
        <f>IF(B14="","",SUMIFS('Entries'!$AF$7:$AF$506,'Entries'!$C$7:$C$506,B14))</f>
        <v/>
      </c>
      <c r="M14" s="23">
        <f>IF(B14="","",IF(AND(C14="Debtor",N(E14)&lt;0),"Credit balance: an advance or an excess receipt",IF(AND(C14="Creditor",N(E14)&gt;0),"Debit balance: an advance paid to the supplier",IF(AND(C14="Creditor",N(L14)&gt;0),"Pay before the year end to keep the deduction, s.37(2)(g)",IF(N(J14)&gt;0,IF(C14="Creditor","Past due: pay, or confirm the terms in writing","Past due: follow up"),"OK")))))</f>
        <v/>
      </c>
    </row>
    <row r="15">
      <c r="B15" s="37">
        <f>IF('Parties'!$B$20="","",'Parties'!$B$20)</f>
        <v/>
      </c>
      <c r="C15" s="40">
        <f>IF(B15="","",'Parties'!$C$20&amp;"")</f>
        <v/>
      </c>
      <c r="D15" s="39">
        <f>IF(B15="","",'Parties'!$E$20&amp;"")</f>
        <v/>
      </c>
      <c r="E15" s="38">
        <f>IF(OR(B15="",$E$5=""),"",'Parties'!$M$20+SUMIFS('Entries'!$I$7:$I$506,'Entries'!$C$7:$C$506,B15,'Entries'!$B$7:$B$506,"&lt;="&amp;$E$5)-SUMIFS('Entries'!$J$7:$J$506,'Entries'!$C$7:$C$506,B15,'Entries'!$B$7:$B$506,"&lt;="&amp;$E$5))</f>
        <v/>
      </c>
      <c r="F15" s="49">
        <f>IF(B15="","",SUMIFS('Entries'!$W$7:$W$506,'Entries'!$C$7:$C$506,B15,'Entries'!$AC$7:$AC$506,"&gt;=0",'Entries'!$AC$7:$AC$506,"&lt;=30"))</f>
        <v/>
      </c>
      <c r="G15" s="49">
        <f>IF(B15="","",SUMIFS('Entries'!$W$7:$W$506,'Entries'!$C$7:$C$506,B15,'Entries'!$AC$7:$AC$506,"&gt;=31",'Entries'!$AC$7:$AC$506,"&lt;=60"))</f>
        <v/>
      </c>
      <c r="H15" s="49">
        <f>IF(B15="","",SUMIFS('Entries'!$W$7:$W$506,'Entries'!$C$7:$C$506,B15,'Entries'!$AC$7:$AC$506,"&gt;=61",'Entries'!$AC$7:$AC$506,"&lt;=90"))</f>
        <v/>
      </c>
      <c r="I15" s="49">
        <f>IF(B15="","",SUMIFS('Entries'!$W$7:$W$506,'Entries'!$C$7:$C$506,B15,'Entries'!$AC$7:$AC$506,"&gt;90"))</f>
        <v/>
      </c>
      <c r="J15" s="50">
        <f>IF(B15="","",SUMIFS('Entries'!$W$7:$W$506,'Entries'!$C$7:$C$506,B15,'Entries'!$AA$7:$AA$506,"&gt;0"))</f>
        <v/>
      </c>
      <c r="K15" s="49">
        <f>IF(B15="","",ROUND(SUMIFS('Entries'!$AB$7:$AB$506,'Entries'!$C$7:$C$506,B15),0))</f>
        <v/>
      </c>
      <c r="L15" s="49">
        <f>IF(B15="","",SUMIFS('Entries'!$AF$7:$AF$506,'Entries'!$C$7:$C$506,B15))</f>
        <v/>
      </c>
      <c r="M15" s="23">
        <f>IF(B15="","",IF(AND(C15="Debtor",N(E15)&lt;0),"Credit balance: an advance or an excess receipt",IF(AND(C15="Creditor",N(E15)&gt;0),"Debit balance: an advance paid to the supplier",IF(AND(C15="Creditor",N(L15)&gt;0),"Pay before the year end to keep the deduction, s.37(2)(g)",IF(N(J15)&gt;0,IF(C15="Creditor","Past due: pay, or confirm the terms in writing","Past due: follow up"),"OK")))))</f>
        <v/>
      </c>
    </row>
    <row r="16">
      <c r="B16" s="37">
        <f>IF('Parties'!$B$21="","",'Parties'!$B$21)</f>
        <v/>
      </c>
      <c r="C16" s="40">
        <f>IF(B16="","",'Parties'!$C$21&amp;"")</f>
        <v/>
      </c>
      <c r="D16" s="39">
        <f>IF(B16="","",'Parties'!$E$21&amp;"")</f>
        <v/>
      </c>
      <c r="E16" s="38">
        <f>IF(OR(B16="",$E$5=""),"",'Parties'!$M$21+SUMIFS('Entries'!$I$7:$I$506,'Entries'!$C$7:$C$506,B16,'Entries'!$B$7:$B$506,"&lt;="&amp;$E$5)-SUMIFS('Entries'!$J$7:$J$506,'Entries'!$C$7:$C$506,B16,'Entries'!$B$7:$B$506,"&lt;="&amp;$E$5))</f>
        <v/>
      </c>
      <c r="F16" s="49">
        <f>IF(B16="","",SUMIFS('Entries'!$W$7:$W$506,'Entries'!$C$7:$C$506,B16,'Entries'!$AC$7:$AC$506,"&gt;=0",'Entries'!$AC$7:$AC$506,"&lt;=30"))</f>
        <v/>
      </c>
      <c r="G16" s="49">
        <f>IF(B16="","",SUMIFS('Entries'!$W$7:$W$506,'Entries'!$C$7:$C$506,B16,'Entries'!$AC$7:$AC$506,"&gt;=31",'Entries'!$AC$7:$AC$506,"&lt;=60"))</f>
        <v/>
      </c>
      <c r="H16" s="49">
        <f>IF(B16="","",SUMIFS('Entries'!$W$7:$W$506,'Entries'!$C$7:$C$506,B16,'Entries'!$AC$7:$AC$506,"&gt;=61",'Entries'!$AC$7:$AC$506,"&lt;=90"))</f>
        <v/>
      </c>
      <c r="I16" s="49">
        <f>IF(B16="","",SUMIFS('Entries'!$W$7:$W$506,'Entries'!$C$7:$C$506,B16,'Entries'!$AC$7:$AC$506,"&gt;90"))</f>
        <v/>
      </c>
      <c r="J16" s="50">
        <f>IF(B16="","",SUMIFS('Entries'!$W$7:$W$506,'Entries'!$C$7:$C$506,B16,'Entries'!$AA$7:$AA$506,"&gt;0"))</f>
        <v/>
      </c>
      <c r="K16" s="49">
        <f>IF(B16="","",ROUND(SUMIFS('Entries'!$AB$7:$AB$506,'Entries'!$C$7:$C$506,B16),0))</f>
        <v/>
      </c>
      <c r="L16" s="49">
        <f>IF(B16="","",SUMIFS('Entries'!$AF$7:$AF$506,'Entries'!$C$7:$C$506,B16))</f>
        <v/>
      </c>
      <c r="M16" s="23">
        <f>IF(B16="","",IF(AND(C16="Debtor",N(E16)&lt;0),"Credit balance: an advance or an excess receipt",IF(AND(C16="Creditor",N(E16)&gt;0),"Debit balance: an advance paid to the supplier",IF(AND(C16="Creditor",N(L16)&gt;0),"Pay before the year end to keep the deduction, s.37(2)(g)",IF(N(J16)&gt;0,IF(C16="Creditor","Past due: pay, or confirm the terms in writing","Past due: follow up"),"OK")))))</f>
        <v/>
      </c>
    </row>
    <row r="17">
      <c r="B17" s="37">
        <f>IF('Parties'!$B$22="","",'Parties'!$B$22)</f>
        <v/>
      </c>
      <c r="C17" s="40">
        <f>IF(B17="","",'Parties'!$C$22&amp;"")</f>
        <v/>
      </c>
      <c r="D17" s="39">
        <f>IF(B17="","",'Parties'!$E$22&amp;"")</f>
        <v/>
      </c>
      <c r="E17" s="38">
        <f>IF(OR(B17="",$E$5=""),"",'Parties'!$M$22+SUMIFS('Entries'!$I$7:$I$506,'Entries'!$C$7:$C$506,B17,'Entries'!$B$7:$B$506,"&lt;="&amp;$E$5)-SUMIFS('Entries'!$J$7:$J$506,'Entries'!$C$7:$C$506,B17,'Entries'!$B$7:$B$506,"&lt;="&amp;$E$5))</f>
        <v/>
      </c>
      <c r="F17" s="49">
        <f>IF(B17="","",SUMIFS('Entries'!$W$7:$W$506,'Entries'!$C$7:$C$506,B17,'Entries'!$AC$7:$AC$506,"&gt;=0",'Entries'!$AC$7:$AC$506,"&lt;=30"))</f>
        <v/>
      </c>
      <c r="G17" s="49">
        <f>IF(B17="","",SUMIFS('Entries'!$W$7:$W$506,'Entries'!$C$7:$C$506,B17,'Entries'!$AC$7:$AC$506,"&gt;=31",'Entries'!$AC$7:$AC$506,"&lt;=60"))</f>
        <v/>
      </c>
      <c r="H17" s="49">
        <f>IF(B17="","",SUMIFS('Entries'!$W$7:$W$506,'Entries'!$C$7:$C$506,B17,'Entries'!$AC$7:$AC$506,"&gt;=61",'Entries'!$AC$7:$AC$506,"&lt;=90"))</f>
        <v/>
      </c>
      <c r="I17" s="49">
        <f>IF(B17="","",SUMIFS('Entries'!$W$7:$W$506,'Entries'!$C$7:$C$506,B17,'Entries'!$AC$7:$AC$506,"&gt;90"))</f>
        <v/>
      </c>
      <c r="J17" s="50">
        <f>IF(B17="","",SUMIFS('Entries'!$W$7:$W$506,'Entries'!$C$7:$C$506,B17,'Entries'!$AA$7:$AA$506,"&gt;0"))</f>
        <v/>
      </c>
      <c r="K17" s="49">
        <f>IF(B17="","",ROUND(SUMIFS('Entries'!$AB$7:$AB$506,'Entries'!$C$7:$C$506,B17),0))</f>
        <v/>
      </c>
      <c r="L17" s="49">
        <f>IF(B17="","",SUMIFS('Entries'!$AF$7:$AF$506,'Entries'!$C$7:$C$506,B17))</f>
        <v/>
      </c>
      <c r="M17" s="23">
        <f>IF(B17="","",IF(AND(C17="Debtor",N(E17)&lt;0),"Credit balance: an advance or an excess receipt",IF(AND(C17="Creditor",N(E17)&gt;0),"Debit balance: an advance paid to the supplier",IF(AND(C17="Creditor",N(L17)&gt;0),"Pay before the year end to keep the deduction, s.37(2)(g)",IF(N(J17)&gt;0,IF(C17="Creditor","Past due: pay, or confirm the terms in writing","Past due: follow up"),"OK")))))</f>
        <v/>
      </c>
    </row>
    <row r="18">
      <c r="B18" s="37">
        <f>IF('Parties'!$B$23="","",'Parties'!$B$23)</f>
        <v/>
      </c>
      <c r="C18" s="40">
        <f>IF(B18="","",'Parties'!$C$23&amp;"")</f>
        <v/>
      </c>
      <c r="D18" s="39">
        <f>IF(B18="","",'Parties'!$E$23&amp;"")</f>
        <v/>
      </c>
      <c r="E18" s="38">
        <f>IF(OR(B18="",$E$5=""),"",'Parties'!$M$23+SUMIFS('Entries'!$I$7:$I$506,'Entries'!$C$7:$C$506,B18,'Entries'!$B$7:$B$506,"&lt;="&amp;$E$5)-SUMIFS('Entries'!$J$7:$J$506,'Entries'!$C$7:$C$506,B18,'Entries'!$B$7:$B$506,"&lt;="&amp;$E$5))</f>
        <v/>
      </c>
      <c r="F18" s="49">
        <f>IF(B18="","",SUMIFS('Entries'!$W$7:$W$506,'Entries'!$C$7:$C$506,B18,'Entries'!$AC$7:$AC$506,"&gt;=0",'Entries'!$AC$7:$AC$506,"&lt;=30"))</f>
        <v/>
      </c>
      <c r="G18" s="49">
        <f>IF(B18="","",SUMIFS('Entries'!$W$7:$W$506,'Entries'!$C$7:$C$506,B18,'Entries'!$AC$7:$AC$506,"&gt;=31",'Entries'!$AC$7:$AC$506,"&lt;=60"))</f>
        <v/>
      </c>
      <c r="H18" s="49">
        <f>IF(B18="","",SUMIFS('Entries'!$W$7:$W$506,'Entries'!$C$7:$C$506,B18,'Entries'!$AC$7:$AC$506,"&gt;=61",'Entries'!$AC$7:$AC$506,"&lt;=90"))</f>
        <v/>
      </c>
      <c r="I18" s="49">
        <f>IF(B18="","",SUMIFS('Entries'!$W$7:$W$506,'Entries'!$C$7:$C$506,B18,'Entries'!$AC$7:$AC$506,"&gt;90"))</f>
        <v/>
      </c>
      <c r="J18" s="50">
        <f>IF(B18="","",SUMIFS('Entries'!$W$7:$W$506,'Entries'!$C$7:$C$506,B18,'Entries'!$AA$7:$AA$506,"&gt;0"))</f>
        <v/>
      </c>
      <c r="K18" s="49">
        <f>IF(B18="","",ROUND(SUMIFS('Entries'!$AB$7:$AB$506,'Entries'!$C$7:$C$506,B18),0))</f>
        <v/>
      </c>
      <c r="L18" s="49">
        <f>IF(B18="","",SUMIFS('Entries'!$AF$7:$AF$506,'Entries'!$C$7:$C$506,B18))</f>
        <v/>
      </c>
      <c r="M18" s="23">
        <f>IF(B18="","",IF(AND(C18="Debtor",N(E18)&lt;0),"Credit balance: an advance or an excess receipt",IF(AND(C18="Creditor",N(E18)&gt;0),"Debit balance: an advance paid to the supplier",IF(AND(C18="Creditor",N(L18)&gt;0),"Pay before the year end to keep the deduction, s.37(2)(g)",IF(N(J18)&gt;0,IF(C18="Creditor","Past due: pay, or confirm the terms in writing","Past due: follow up"),"OK")))))</f>
        <v/>
      </c>
    </row>
    <row r="19">
      <c r="B19" s="37">
        <f>IF('Parties'!$B$24="","",'Parties'!$B$24)</f>
        <v/>
      </c>
      <c r="C19" s="40">
        <f>IF(B19="","",'Parties'!$C$24&amp;"")</f>
        <v/>
      </c>
      <c r="D19" s="39">
        <f>IF(B19="","",'Parties'!$E$24&amp;"")</f>
        <v/>
      </c>
      <c r="E19" s="38">
        <f>IF(OR(B19="",$E$5=""),"",'Parties'!$M$24+SUMIFS('Entries'!$I$7:$I$506,'Entries'!$C$7:$C$506,B19,'Entries'!$B$7:$B$506,"&lt;="&amp;$E$5)-SUMIFS('Entries'!$J$7:$J$506,'Entries'!$C$7:$C$506,B19,'Entries'!$B$7:$B$506,"&lt;="&amp;$E$5))</f>
        <v/>
      </c>
      <c r="F19" s="49">
        <f>IF(B19="","",SUMIFS('Entries'!$W$7:$W$506,'Entries'!$C$7:$C$506,B19,'Entries'!$AC$7:$AC$506,"&gt;=0",'Entries'!$AC$7:$AC$506,"&lt;=30"))</f>
        <v/>
      </c>
      <c r="G19" s="49">
        <f>IF(B19="","",SUMIFS('Entries'!$W$7:$W$506,'Entries'!$C$7:$C$506,B19,'Entries'!$AC$7:$AC$506,"&gt;=31",'Entries'!$AC$7:$AC$506,"&lt;=60"))</f>
        <v/>
      </c>
      <c r="H19" s="49">
        <f>IF(B19="","",SUMIFS('Entries'!$W$7:$W$506,'Entries'!$C$7:$C$506,B19,'Entries'!$AC$7:$AC$506,"&gt;=61",'Entries'!$AC$7:$AC$506,"&lt;=90"))</f>
        <v/>
      </c>
      <c r="I19" s="49">
        <f>IF(B19="","",SUMIFS('Entries'!$W$7:$W$506,'Entries'!$C$7:$C$506,B19,'Entries'!$AC$7:$AC$506,"&gt;90"))</f>
        <v/>
      </c>
      <c r="J19" s="50">
        <f>IF(B19="","",SUMIFS('Entries'!$W$7:$W$506,'Entries'!$C$7:$C$506,B19,'Entries'!$AA$7:$AA$506,"&gt;0"))</f>
        <v/>
      </c>
      <c r="K19" s="49">
        <f>IF(B19="","",ROUND(SUMIFS('Entries'!$AB$7:$AB$506,'Entries'!$C$7:$C$506,B19),0))</f>
        <v/>
      </c>
      <c r="L19" s="49">
        <f>IF(B19="","",SUMIFS('Entries'!$AF$7:$AF$506,'Entries'!$C$7:$C$506,B19))</f>
        <v/>
      </c>
      <c r="M19" s="23">
        <f>IF(B19="","",IF(AND(C19="Debtor",N(E19)&lt;0),"Credit balance: an advance or an excess receipt",IF(AND(C19="Creditor",N(E19)&gt;0),"Debit balance: an advance paid to the supplier",IF(AND(C19="Creditor",N(L19)&gt;0),"Pay before the year end to keep the deduction, s.37(2)(g)",IF(N(J19)&gt;0,IF(C19="Creditor","Past due: pay, or confirm the terms in writing","Past due: follow up"),"OK")))))</f>
        <v/>
      </c>
    </row>
    <row r="20">
      <c r="B20" s="37">
        <f>IF('Parties'!$B$25="","",'Parties'!$B$25)</f>
        <v/>
      </c>
      <c r="C20" s="40">
        <f>IF(B20="","",'Parties'!$C$25&amp;"")</f>
        <v/>
      </c>
      <c r="D20" s="39">
        <f>IF(B20="","",'Parties'!$E$25&amp;"")</f>
        <v/>
      </c>
      <c r="E20" s="38">
        <f>IF(OR(B20="",$E$5=""),"",'Parties'!$M$25+SUMIFS('Entries'!$I$7:$I$506,'Entries'!$C$7:$C$506,B20,'Entries'!$B$7:$B$506,"&lt;="&amp;$E$5)-SUMIFS('Entries'!$J$7:$J$506,'Entries'!$C$7:$C$506,B20,'Entries'!$B$7:$B$506,"&lt;="&amp;$E$5))</f>
        <v/>
      </c>
      <c r="F20" s="49">
        <f>IF(B20="","",SUMIFS('Entries'!$W$7:$W$506,'Entries'!$C$7:$C$506,B20,'Entries'!$AC$7:$AC$506,"&gt;=0",'Entries'!$AC$7:$AC$506,"&lt;=30"))</f>
        <v/>
      </c>
      <c r="G20" s="49">
        <f>IF(B20="","",SUMIFS('Entries'!$W$7:$W$506,'Entries'!$C$7:$C$506,B20,'Entries'!$AC$7:$AC$506,"&gt;=31",'Entries'!$AC$7:$AC$506,"&lt;=60"))</f>
        <v/>
      </c>
      <c r="H20" s="49">
        <f>IF(B20="","",SUMIFS('Entries'!$W$7:$W$506,'Entries'!$C$7:$C$506,B20,'Entries'!$AC$7:$AC$506,"&gt;=61",'Entries'!$AC$7:$AC$506,"&lt;=90"))</f>
        <v/>
      </c>
      <c r="I20" s="49">
        <f>IF(B20="","",SUMIFS('Entries'!$W$7:$W$506,'Entries'!$C$7:$C$506,B20,'Entries'!$AC$7:$AC$506,"&gt;90"))</f>
        <v/>
      </c>
      <c r="J20" s="50">
        <f>IF(B20="","",SUMIFS('Entries'!$W$7:$W$506,'Entries'!$C$7:$C$506,B20,'Entries'!$AA$7:$AA$506,"&gt;0"))</f>
        <v/>
      </c>
      <c r="K20" s="49">
        <f>IF(B20="","",ROUND(SUMIFS('Entries'!$AB$7:$AB$506,'Entries'!$C$7:$C$506,B20),0))</f>
        <v/>
      </c>
      <c r="L20" s="49">
        <f>IF(B20="","",SUMIFS('Entries'!$AF$7:$AF$506,'Entries'!$C$7:$C$506,B20))</f>
        <v/>
      </c>
      <c r="M20" s="23">
        <f>IF(B20="","",IF(AND(C20="Debtor",N(E20)&lt;0),"Credit balance: an advance or an excess receipt",IF(AND(C20="Creditor",N(E20)&gt;0),"Debit balance: an advance paid to the supplier",IF(AND(C20="Creditor",N(L20)&gt;0),"Pay before the year end to keep the deduction, s.37(2)(g)",IF(N(J20)&gt;0,IF(C20="Creditor","Past due: pay, or confirm the terms in writing","Past due: follow up"),"OK")))))</f>
        <v/>
      </c>
    </row>
    <row r="21">
      <c r="B21" s="37">
        <f>IF('Parties'!$B$26="","",'Parties'!$B$26)</f>
        <v/>
      </c>
      <c r="C21" s="40">
        <f>IF(B21="","",'Parties'!$C$26&amp;"")</f>
        <v/>
      </c>
      <c r="D21" s="39">
        <f>IF(B21="","",'Parties'!$E$26&amp;"")</f>
        <v/>
      </c>
      <c r="E21" s="38">
        <f>IF(OR(B21="",$E$5=""),"",'Parties'!$M$26+SUMIFS('Entries'!$I$7:$I$506,'Entries'!$C$7:$C$506,B21,'Entries'!$B$7:$B$506,"&lt;="&amp;$E$5)-SUMIFS('Entries'!$J$7:$J$506,'Entries'!$C$7:$C$506,B21,'Entries'!$B$7:$B$506,"&lt;="&amp;$E$5))</f>
        <v/>
      </c>
      <c r="F21" s="49">
        <f>IF(B21="","",SUMIFS('Entries'!$W$7:$W$506,'Entries'!$C$7:$C$506,B21,'Entries'!$AC$7:$AC$506,"&gt;=0",'Entries'!$AC$7:$AC$506,"&lt;=30"))</f>
        <v/>
      </c>
      <c r="G21" s="49">
        <f>IF(B21="","",SUMIFS('Entries'!$W$7:$W$506,'Entries'!$C$7:$C$506,B21,'Entries'!$AC$7:$AC$506,"&gt;=31",'Entries'!$AC$7:$AC$506,"&lt;=60"))</f>
        <v/>
      </c>
      <c r="H21" s="49">
        <f>IF(B21="","",SUMIFS('Entries'!$W$7:$W$506,'Entries'!$C$7:$C$506,B21,'Entries'!$AC$7:$AC$506,"&gt;=61",'Entries'!$AC$7:$AC$506,"&lt;=90"))</f>
        <v/>
      </c>
      <c r="I21" s="49">
        <f>IF(B21="","",SUMIFS('Entries'!$W$7:$W$506,'Entries'!$C$7:$C$506,B21,'Entries'!$AC$7:$AC$506,"&gt;90"))</f>
        <v/>
      </c>
      <c r="J21" s="50">
        <f>IF(B21="","",SUMIFS('Entries'!$W$7:$W$506,'Entries'!$C$7:$C$506,B21,'Entries'!$AA$7:$AA$506,"&gt;0"))</f>
        <v/>
      </c>
      <c r="K21" s="49">
        <f>IF(B21="","",ROUND(SUMIFS('Entries'!$AB$7:$AB$506,'Entries'!$C$7:$C$506,B21),0))</f>
        <v/>
      </c>
      <c r="L21" s="49">
        <f>IF(B21="","",SUMIFS('Entries'!$AF$7:$AF$506,'Entries'!$C$7:$C$506,B21))</f>
        <v/>
      </c>
      <c r="M21" s="23">
        <f>IF(B21="","",IF(AND(C21="Debtor",N(E21)&lt;0),"Credit balance: an advance or an excess receipt",IF(AND(C21="Creditor",N(E21)&gt;0),"Debit balance: an advance paid to the supplier",IF(AND(C21="Creditor",N(L21)&gt;0),"Pay before the year end to keep the deduction, s.37(2)(g)",IF(N(J21)&gt;0,IF(C21="Creditor","Past due: pay, or confirm the terms in writing","Past due: follow up"),"OK")))))</f>
        <v/>
      </c>
    </row>
    <row r="22">
      <c r="B22" s="37">
        <f>IF('Parties'!$B$27="","",'Parties'!$B$27)</f>
        <v/>
      </c>
      <c r="C22" s="40">
        <f>IF(B22="","",'Parties'!$C$27&amp;"")</f>
        <v/>
      </c>
      <c r="D22" s="39">
        <f>IF(B22="","",'Parties'!$E$27&amp;"")</f>
        <v/>
      </c>
      <c r="E22" s="38">
        <f>IF(OR(B22="",$E$5=""),"",'Parties'!$M$27+SUMIFS('Entries'!$I$7:$I$506,'Entries'!$C$7:$C$506,B22,'Entries'!$B$7:$B$506,"&lt;="&amp;$E$5)-SUMIFS('Entries'!$J$7:$J$506,'Entries'!$C$7:$C$506,B22,'Entries'!$B$7:$B$506,"&lt;="&amp;$E$5))</f>
        <v/>
      </c>
      <c r="F22" s="49">
        <f>IF(B22="","",SUMIFS('Entries'!$W$7:$W$506,'Entries'!$C$7:$C$506,B22,'Entries'!$AC$7:$AC$506,"&gt;=0",'Entries'!$AC$7:$AC$506,"&lt;=30"))</f>
        <v/>
      </c>
      <c r="G22" s="49">
        <f>IF(B22="","",SUMIFS('Entries'!$W$7:$W$506,'Entries'!$C$7:$C$506,B22,'Entries'!$AC$7:$AC$506,"&gt;=31",'Entries'!$AC$7:$AC$506,"&lt;=60"))</f>
        <v/>
      </c>
      <c r="H22" s="49">
        <f>IF(B22="","",SUMIFS('Entries'!$W$7:$W$506,'Entries'!$C$7:$C$506,B22,'Entries'!$AC$7:$AC$506,"&gt;=61",'Entries'!$AC$7:$AC$506,"&lt;=90"))</f>
        <v/>
      </c>
      <c r="I22" s="49">
        <f>IF(B22="","",SUMIFS('Entries'!$W$7:$W$506,'Entries'!$C$7:$C$506,B22,'Entries'!$AC$7:$AC$506,"&gt;90"))</f>
        <v/>
      </c>
      <c r="J22" s="50">
        <f>IF(B22="","",SUMIFS('Entries'!$W$7:$W$506,'Entries'!$C$7:$C$506,B22,'Entries'!$AA$7:$AA$506,"&gt;0"))</f>
        <v/>
      </c>
      <c r="K22" s="49">
        <f>IF(B22="","",ROUND(SUMIFS('Entries'!$AB$7:$AB$506,'Entries'!$C$7:$C$506,B22),0))</f>
        <v/>
      </c>
      <c r="L22" s="49">
        <f>IF(B22="","",SUMIFS('Entries'!$AF$7:$AF$506,'Entries'!$C$7:$C$506,B22))</f>
        <v/>
      </c>
      <c r="M22" s="23">
        <f>IF(B22="","",IF(AND(C22="Debtor",N(E22)&lt;0),"Credit balance: an advance or an excess receipt",IF(AND(C22="Creditor",N(E22)&gt;0),"Debit balance: an advance paid to the supplier",IF(AND(C22="Creditor",N(L22)&gt;0),"Pay before the year end to keep the deduction, s.37(2)(g)",IF(N(J22)&gt;0,IF(C22="Creditor","Past due: pay, or confirm the terms in writing","Past due: follow up"),"OK")))))</f>
        <v/>
      </c>
    </row>
    <row r="23">
      <c r="B23" s="37">
        <f>IF('Parties'!$B$28="","",'Parties'!$B$28)</f>
        <v/>
      </c>
      <c r="C23" s="40">
        <f>IF(B23="","",'Parties'!$C$28&amp;"")</f>
        <v/>
      </c>
      <c r="D23" s="39">
        <f>IF(B23="","",'Parties'!$E$28&amp;"")</f>
        <v/>
      </c>
      <c r="E23" s="38">
        <f>IF(OR(B23="",$E$5=""),"",'Parties'!$M$28+SUMIFS('Entries'!$I$7:$I$506,'Entries'!$C$7:$C$506,B23,'Entries'!$B$7:$B$506,"&lt;="&amp;$E$5)-SUMIFS('Entries'!$J$7:$J$506,'Entries'!$C$7:$C$506,B23,'Entries'!$B$7:$B$506,"&lt;="&amp;$E$5))</f>
        <v/>
      </c>
      <c r="F23" s="49">
        <f>IF(B23="","",SUMIFS('Entries'!$W$7:$W$506,'Entries'!$C$7:$C$506,B23,'Entries'!$AC$7:$AC$506,"&gt;=0",'Entries'!$AC$7:$AC$506,"&lt;=30"))</f>
        <v/>
      </c>
      <c r="G23" s="49">
        <f>IF(B23="","",SUMIFS('Entries'!$W$7:$W$506,'Entries'!$C$7:$C$506,B23,'Entries'!$AC$7:$AC$506,"&gt;=31",'Entries'!$AC$7:$AC$506,"&lt;=60"))</f>
        <v/>
      </c>
      <c r="H23" s="49">
        <f>IF(B23="","",SUMIFS('Entries'!$W$7:$W$506,'Entries'!$C$7:$C$506,B23,'Entries'!$AC$7:$AC$506,"&gt;=61",'Entries'!$AC$7:$AC$506,"&lt;=90"))</f>
        <v/>
      </c>
      <c r="I23" s="49">
        <f>IF(B23="","",SUMIFS('Entries'!$W$7:$W$506,'Entries'!$C$7:$C$506,B23,'Entries'!$AC$7:$AC$506,"&gt;90"))</f>
        <v/>
      </c>
      <c r="J23" s="50">
        <f>IF(B23="","",SUMIFS('Entries'!$W$7:$W$506,'Entries'!$C$7:$C$506,B23,'Entries'!$AA$7:$AA$506,"&gt;0"))</f>
        <v/>
      </c>
      <c r="K23" s="49">
        <f>IF(B23="","",ROUND(SUMIFS('Entries'!$AB$7:$AB$506,'Entries'!$C$7:$C$506,B23),0))</f>
        <v/>
      </c>
      <c r="L23" s="49">
        <f>IF(B23="","",SUMIFS('Entries'!$AF$7:$AF$506,'Entries'!$C$7:$C$506,B23))</f>
        <v/>
      </c>
      <c r="M23" s="23">
        <f>IF(B23="","",IF(AND(C23="Debtor",N(E23)&lt;0),"Credit balance: an advance or an excess receipt",IF(AND(C23="Creditor",N(E23)&gt;0),"Debit balance: an advance paid to the supplier",IF(AND(C23="Creditor",N(L23)&gt;0),"Pay before the year end to keep the deduction, s.37(2)(g)",IF(N(J23)&gt;0,IF(C23="Creditor","Past due: pay, or confirm the terms in writing","Past due: follow up"),"OK")))))</f>
        <v/>
      </c>
    </row>
    <row r="24">
      <c r="B24" s="37">
        <f>IF('Parties'!$B$29="","",'Parties'!$B$29)</f>
        <v/>
      </c>
      <c r="C24" s="40">
        <f>IF(B24="","",'Parties'!$C$29&amp;"")</f>
        <v/>
      </c>
      <c r="D24" s="39">
        <f>IF(B24="","",'Parties'!$E$29&amp;"")</f>
        <v/>
      </c>
      <c r="E24" s="38">
        <f>IF(OR(B24="",$E$5=""),"",'Parties'!$M$29+SUMIFS('Entries'!$I$7:$I$506,'Entries'!$C$7:$C$506,B24,'Entries'!$B$7:$B$506,"&lt;="&amp;$E$5)-SUMIFS('Entries'!$J$7:$J$506,'Entries'!$C$7:$C$506,B24,'Entries'!$B$7:$B$506,"&lt;="&amp;$E$5))</f>
        <v/>
      </c>
      <c r="F24" s="49">
        <f>IF(B24="","",SUMIFS('Entries'!$W$7:$W$506,'Entries'!$C$7:$C$506,B24,'Entries'!$AC$7:$AC$506,"&gt;=0",'Entries'!$AC$7:$AC$506,"&lt;=30"))</f>
        <v/>
      </c>
      <c r="G24" s="49">
        <f>IF(B24="","",SUMIFS('Entries'!$W$7:$W$506,'Entries'!$C$7:$C$506,B24,'Entries'!$AC$7:$AC$506,"&gt;=31",'Entries'!$AC$7:$AC$506,"&lt;=60"))</f>
        <v/>
      </c>
      <c r="H24" s="49">
        <f>IF(B24="","",SUMIFS('Entries'!$W$7:$W$506,'Entries'!$C$7:$C$506,B24,'Entries'!$AC$7:$AC$506,"&gt;=61",'Entries'!$AC$7:$AC$506,"&lt;=90"))</f>
        <v/>
      </c>
      <c r="I24" s="49">
        <f>IF(B24="","",SUMIFS('Entries'!$W$7:$W$506,'Entries'!$C$7:$C$506,B24,'Entries'!$AC$7:$AC$506,"&gt;90"))</f>
        <v/>
      </c>
      <c r="J24" s="50">
        <f>IF(B24="","",SUMIFS('Entries'!$W$7:$W$506,'Entries'!$C$7:$C$506,B24,'Entries'!$AA$7:$AA$506,"&gt;0"))</f>
        <v/>
      </c>
      <c r="K24" s="49">
        <f>IF(B24="","",ROUND(SUMIFS('Entries'!$AB$7:$AB$506,'Entries'!$C$7:$C$506,B24),0))</f>
        <v/>
      </c>
      <c r="L24" s="49">
        <f>IF(B24="","",SUMIFS('Entries'!$AF$7:$AF$506,'Entries'!$C$7:$C$506,B24))</f>
        <v/>
      </c>
      <c r="M24" s="23">
        <f>IF(B24="","",IF(AND(C24="Debtor",N(E24)&lt;0),"Credit balance: an advance or an excess receipt",IF(AND(C24="Creditor",N(E24)&gt;0),"Debit balance: an advance paid to the supplier",IF(AND(C24="Creditor",N(L24)&gt;0),"Pay before the year end to keep the deduction, s.37(2)(g)",IF(N(J24)&gt;0,IF(C24="Creditor","Past due: pay, or confirm the terms in writing","Past due: follow up"),"OK")))))</f>
        <v/>
      </c>
    </row>
    <row r="25">
      <c r="B25" s="37">
        <f>IF('Parties'!$B$30="","",'Parties'!$B$30)</f>
        <v/>
      </c>
      <c r="C25" s="40">
        <f>IF(B25="","",'Parties'!$C$30&amp;"")</f>
        <v/>
      </c>
      <c r="D25" s="39">
        <f>IF(B25="","",'Parties'!$E$30&amp;"")</f>
        <v/>
      </c>
      <c r="E25" s="38">
        <f>IF(OR(B25="",$E$5=""),"",'Parties'!$M$30+SUMIFS('Entries'!$I$7:$I$506,'Entries'!$C$7:$C$506,B25,'Entries'!$B$7:$B$506,"&lt;="&amp;$E$5)-SUMIFS('Entries'!$J$7:$J$506,'Entries'!$C$7:$C$506,B25,'Entries'!$B$7:$B$506,"&lt;="&amp;$E$5))</f>
        <v/>
      </c>
      <c r="F25" s="49">
        <f>IF(B25="","",SUMIFS('Entries'!$W$7:$W$506,'Entries'!$C$7:$C$506,B25,'Entries'!$AC$7:$AC$506,"&gt;=0",'Entries'!$AC$7:$AC$506,"&lt;=30"))</f>
        <v/>
      </c>
      <c r="G25" s="49">
        <f>IF(B25="","",SUMIFS('Entries'!$W$7:$W$506,'Entries'!$C$7:$C$506,B25,'Entries'!$AC$7:$AC$506,"&gt;=31",'Entries'!$AC$7:$AC$506,"&lt;=60"))</f>
        <v/>
      </c>
      <c r="H25" s="49">
        <f>IF(B25="","",SUMIFS('Entries'!$W$7:$W$506,'Entries'!$C$7:$C$506,B25,'Entries'!$AC$7:$AC$506,"&gt;=61",'Entries'!$AC$7:$AC$506,"&lt;=90"))</f>
        <v/>
      </c>
      <c r="I25" s="49">
        <f>IF(B25="","",SUMIFS('Entries'!$W$7:$W$506,'Entries'!$C$7:$C$506,B25,'Entries'!$AC$7:$AC$506,"&gt;90"))</f>
        <v/>
      </c>
      <c r="J25" s="50">
        <f>IF(B25="","",SUMIFS('Entries'!$W$7:$W$506,'Entries'!$C$7:$C$506,B25,'Entries'!$AA$7:$AA$506,"&gt;0"))</f>
        <v/>
      </c>
      <c r="K25" s="49">
        <f>IF(B25="","",ROUND(SUMIFS('Entries'!$AB$7:$AB$506,'Entries'!$C$7:$C$506,B25),0))</f>
        <v/>
      </c>
      <c r="L25" s="49">
        <f>IF(B25="","",SUMIFS('Entries'!$AF$7:$AF$506,'Entries'!$C$7:$C$506,B25))</f>
        <v/>
      </c>
      <c r="M25" s="23">
        <f>IF(B25="","",IF(AND(C25="Debtor",N(E25)&lt;0),"Credit balance: an advance or an excess receipt",IF(AND(C25="Creditor",N(E25)&gt;0),"Debit balance: an advance paid to the supplier",IF(AND(C25="Creditor",N(L25)&gt;0),"Pay before the year end to keep the deduction, s.37(2)(g)",IF(N(J25)&gt;0,IF(C25="Creditor","Past due: pay, or confirm the terms in writing","Past due: follow up"),"OK")))))</f>
        <v/>
      </c>
    </row>
    <row r="26">
      <c r="B26" s="37">
        <f>IF('Parties'!$B$31="","",'Parties'!$B$31)</f>
        <v/>
      </c>
      <c r="C26" s="40">
        <f>IF(B26="","",'Parties'!$C$31&amp;"")</f>
        <v/>
      </c>
      <c r="D26" s="39">
        <f>IF(B26="","",'Parties'!$E$31&amp;"")</f>
        <v/>
      </c>
      <c r="E26" s="38">
        <f>IF(OR(B26="",$E$5=""),"",'Parties'!$M$31+SUMIFS('Entries'!$I$7:$I$506,'Entries'!$C$7:$C$506,B26,'Entries'!$B$7:$B$506,"&lt;="&amp;$E$5)-SUMIFS('Entries'!$J$7:$J$506,'Entries'!$C$7:$C$506,B26,'Entries'!$B$7:$B$506,"&lt;="&amp;$E$5))</f>
        <v/>
      </c>
      <c r="F26" s="49">
        <f>IF(B26="","",SUMIFS('Entries'!$W$7:$W$506,'Entries'!$C$7:$C$506,B26,'Entries'!$AC$7:$AC$506,"&gt;=0",'Entries'!$AC$7:$AC$506,"&lt;=30"))</f>
        <v/>
      </c>
      <c r="G26" s="49">
        <f>IF(B26="","",SUMIFS('Entries'!$W$7:$W$506,'Entries'!$C$7:$C$506,B26,'Entries'!$AC$7:$AC$506,"&gt;=31",'Entries'!$AC$7:$AC$506,"&lt;=60"))</f>
        <v/>
      </c>
      <c r="H26" s="49">
        <f>IF(B26="","",SUMIFS('Entries'!$W$7:$W$506,'Entries'!$C$7:$C$506,B26,'Entries'!$AC$7:$AC$506,"&gt;=61",'Entries'!$AC$7:$AC$506,"&lt;=90"))</f>
        <v/>
      </c>
      <c r="I26" s="49">
        <f>IF(B26="","",SUMIFS('Entries'!$W$7:$W$506,'Entries'!$C$7:$C$506,B26,'Entries'!$AC$7:$AC$506,"&gt;90"))</f>
        <v/>
      </c>
      <c r="J26" s="50">
        <f>IF(B26="","",SUMIFS('Entries'!$W$7:$W$506,'Entries'!$C$7:$C$506,B26,'Entries'!$AA$7:$AA$506,"&gt;0"))</f>
        <v/>
      </c>
      <c r="K26" s="49">
        <f>IF(B26="","",ROUND(SUMIFS('Entries'!$AB$7:$AB$506,'Entries'!$C$7:$C$506,B26),0))</f>
        <v/>
      </c>
      <c r="L26" s="49">
        <f>IF(B26="","",SUMIFS('Entries'!$AF$7:$AF$506,'Entries'!$C$7:$C$506,B26))</f>
        <v/>
      </c>
      <c r="M26" s="23">
        <f>IF(B26="","",IF(AND(C26="Debtor",N(E26)&lt;0),"Credit balance: an advance or an excess receipt",IF(AND(C26="Creditor",N(E26)&gt;0),"Debit balance: an advance paid to the supplier",IF(AND(C26="Creditor",N(L26)&gt;0),"Pay before the year end to keep the deduction, s.37(2)(g)",IF(N(J26)&gt;0,IF(C26="Creditor","Past due: pay, or confirm the terms in writing","Past due: follow up"),"OK")))))</f>
        <v/>
      </c>
    </row>
    <row r="27">
      <c r="B27" s="37">
        <f>IF('Parties'!$B$32="","",'Parties'!$B$32)</f>
        <v/>
      </c>
      <c r="C27" s="40">
        <f>IF(B27="","",'Parties'!$C$32&amp;"")</f>
        <v/>
      </c>
      <c r="D27" s="39">
        <f>IF(B27="","",'Parties'!$E$32&amp;"")</f>
        <v/>
      </c>
      <c r="E27" s="38">
        <f>IF(OR(B27="",$E$5=""),"",'Parties'!$M$32+SUMIFS('Entries'!$I$7:$I$506,'Entries'!$C$7:$C$506,B27,'Entries'!$B$7:$B$506,"&lt;="&amp;$E$5)-SUMIFS('Entries'!$J$7:$J$506,'Entries'!$C$7:$C$506,B27,'Entries'!$B$7:$B$506,"&lt;="&amp;$E$5))</f>
        <v/>
      </c>
      <c r="F27" s="49">
        <f>IF(B27="","",SUMIFS('Entries'!$W$7:$W$506,'Entries'!$C$7:$C$506,B27,'Entries'!$AC$7:$AC$506,"&gt;=0",'Entries'!$AC$7:$AC$506,"&lt;=30"))</f>
        <v/>
      </c>
      <c r="G27" s="49">
        <f>IF(B27="","",SUMIFS('Entries'!$W$7:$W$506,'Entries'!$C$7:$C$506,B27,'Entries'!$AC$7:$AC$506,"&gt;=31",'Entries'!$AC$7:$AC$506,"&lt;=60"))</f>
        <v/>
      </c>
      <c r="H27" s="49">
        <f>IF(B27="","",SUMIFS('Entries'!$W$7:$W$506,'Entries'!$C$7:$C$506,B27,'Entries'!$AC$7:$AC$506,"&gt;=61",'Entries'!$AC$7:$AC$506,"&lt;=90"))</f>
        <v/>
      </c>
      <c r="I27" s="49">
        <f>IF(B27="","",SUMIFS('Entries'!$W$7:$W$506,'Entries'!$C$7:$C$506,B27,'Entries'!$AC$7:$AC$506,"&gt;90"))</f>
        <v/>
      </c>
      <c r="J27" s="50">
        <f>IF(B27="","",SUMIFS('Entries'!$W$7:$W$506,'Entries'!$C$7:$C$506,B27,'Entries'!$AA$7:$AA$506,"&gt;0"))</f>
        <v/>
      </c>
      <c r="K27" s="49">
        <f>IF(B27="","",ROUND(SUMIFS('Entries'!$AB$7:$AB$506,'Entries'!$C$7:$C$506,B27),0))</f>
        <v/>
      </c>
      <c r="L27" s="49">
        <f>IF(B27="","",SUMIFS('Entries'!$AF$7:$AF$506,'Entries'!$C$7:$C$506,B27))</f>
        <v/>
      </c>
      <c r="M27" s="23">
        <f>IF(B27="","",IF(AND(C27="Debtor",N(E27)&lt;0),"Credit balance: an advance or an excess receipt",IF(AND(C27="Creditor",N(E27)&gt;0),"Debit balance: an advance paid to the supplier",IF(AND(C27="Creditor",N(L27)&gt;0),"Pay before the year end to keep the deduction, s.37(2)(g)",IF(N(J27)&gt;0,IF(C27="Creditor","Past due: pay, or confirm the terms in writing","Past due: follow up"),"OK")))))</f>
        <v/>
      </c>
    </row>
    <row r="28">
      <c r="B28" s="37">
        <f>IF('Parties'!$B$33="","",'Parties'!$B$33)</f>
        <v/>
      </c>
      <c r="C28" s="40">
        <f>IF(B28="","",'Parties'!$C$33&amp;"")</f>
        <v/>
      </c>
      <c r="D28" s="39">
        <f>IF(B28="","",'Parties'!$E$33&amp;"")</f>
        <v/>
      </c>
      <c r="E28" s="38">
        <f>IF(OR(B28="",$E$5=""),"",'Parties'!$M$33+SUMIFS('Entries'!$I$7:$I$506,'Entries'!$C$7:$C$506,B28,'Entries'!$B$7:$B$506,"&lt;="&amp;$E$5)-SUMIFS('Entries'!$J$7:$J$506,'Entries'!$C$7:$C$506,B28,'Entries'!$B$7:$B$506,"&lt;="&amp;$E$5))</f>
        <v/>
      </c>
      <c r="F28" s="49">
        <f>IF(B28="","",SUMIFS('Entries'!$W$7:$W$506,'Entries'!$C$7:$C$506,B28,'Entries'!$AC$7:$AC$506,"&gt;=0",'Entries'!$AC$7:$AC$506,"&lt;=30"))</f>
        <v/>
      </c>
      <c r="G28" s="49">
        <f>IF(B28="","",SUMIFS('Entries'!$W$7:$W$506,'Entries'!$C$7:$C$506,B28,'Entries'!$AC$7:$AC$506,"&gt;=31",'Entries'!$AC$7:$AC$506,"&lt;=60"))</f>
        <v/>
      </c>
      <c r="H28" s="49">
        <f>IF(B28="","",SUMIFS('Entries'!$W$7:$W$506,'Entries'!$C$7:$C$506,B28,'Entries'!$AC$7:$AC$506,"&gt;=61",'Entries'!$AC$7:$AC$506,"&lt;=90"))</f>
        <v/>
      </c>
      <c r="I28" s="49">
        <f>IF(B28="","",SUMIFS('Entries'!$W$7:$W$506,'Entries'!$C$7:$C$506,B28,'Entries'!$AC$7:$AC$506,"&gt;90"))</f>
        <v/>
      </c>
      <c r="J28" s="50">
        <f>IF(B28="","",SUMIFS('Entries'!$W$7:$W$506,'Entries'!$C$7:$C$506,B28,'Entries'!$AA$7:$AA$506,"&gt;0"))</f>
        <v/>
      </c>
      <c r="K28" s="49">
        <f>IF(B28="","",ROUND(SUMIFS('Entries'!$AB$7:$AB$506,'Entries'!$C$7:$C$506,B28),0))</f>
        <v/>
      </c>
      <c r="L28" s="49">
        <f>IF(B28="","",SUMIFS('Entries'!$AF$7:$AF$506,'Entries'!$C$7:$C$506,B28))</f>
        <v/>
      </c>
      <c r="M28" s="23">
        <f>IF(B28="","",IF(AND(C28="Debtor",N(E28)&lt;0),"Credit balance: an advance or an excess receipt",IF(AND(C28="Creditor",N(E28)&gt;0),"Debit balance: an advance paid to the supplier",IF(AND(C28="Creditor",N(L28)&gt;0),"Pay before the year end to keep the deduction, s.37(2)(g)",IF(N(J28)&gt;0,IF(C28="Creditor","Past due: pay, or confirm the terms in writing","Past due: follow up"),"OK")))))</f>
        <v/>
      </c>
    </row>
    <row r="29">
      <c r="B29" s="37">
        <f>IF('Parties'!$B$34="","",'Parties'!$B$34)</f>
        <v/>
      </c>
      <c r="C29" s="40">
        <f>IF(B29="","",'Parties'!$C$34&amp;"")</f>
        <v/>
      </c>
      <c r="D29" s="39">
        <f>IF(B29="","",'Parties'!$E$34&amp;"")</f>
        <v/>
      </c>
      <c r="E29" s="38">
        <f>IF(OR(B29="",$E$5=""),"",'Parties'!$M$34+SUMIFS('Entries'!$I$7:$I$506,'Entries'!$C$7:$C$506,B29,'Entries'!$B$7:$B$506,"&lt;="&amp;$E$5)-SUMIFS('Entries'!$J$7:$J$506,'Entries'!$C$7:$C$506,B29,'Entries'!$B$7:$B$506,"&lt;="&amp;$E$5))</f>
        <v/>
      </c>
      <c r="F29" s="49">
        <f>IF(B29="","",SUMIFS('Entries'!$W$7:$W$506,'Entries'!$C$7:$C$506,B29,'Entries'!$AC$7:$AC$506,"&gt;=0",'Entries'!$AC$7:$AC$506,"&lt;=30"))</f>
        <v/>
      </c>
      <c r="G29" s="49">
        <f>IF(B29="","",SUMIFS('Entries'!$W$7:$W$506,'Entries'!$C$7:$C$506,B29,'Entries'!$AC$7:$AC$506,"&gt;=31",'Entries'!$AC$7:$AC$506,"&lt;=60"))</f>
        <v/>
      </c>
      <c r="H29" s="49">
        <f>IF(B29="","",SUMIFS('Entries'!$W$7:$W$506,'Entries'!$C$7:$C$506,B29,'Entries'!$AC$7:$AC$506,"&gt;=61",'Entries'!$AC$7:$AC$506,"&lt;=90"))</f>
        <v/>
      </c>
      <c r="I29" s="49">
        <f>IF(B29="","",SUMIFS('Entries'!$W$7:$W$506,'Entries'!$C$7:$C$506,B29,'Entries'!$AC$7:$AC$506,"&gt;90"))</f>
        <v/>
      </c>
      <c r="J29" s="50">
        <f>IF(B29="","",SUMIFS('Entries'!$W$7:$W$506,'Entries'!$C$7:$C$506,B29,'Entries'!$AA$7:$AA$506,"&gt;0"))</f>
        <v/>
      </c>
      <c r="K29" s="49">
        <f>IF(B29="","",ROUND(SUMIFS('Entries'!$AB$7:$AB$506,'Entries'!$C$7:$C$506,B29),0))</f>
        <v/>
      </c>
      <c r="L29" s="49">
        <f>IF(B29="","",SUMIFS('Entries'!$AF$7:$AF$506,'Entries'!$C$7:$C$506,B29))</f>
        <v/>
      </c>
      <c r="M29" s="23">
        <f>IF(B29="","",IF(AND(C29="Debtor",N(E29)&lt;0),"Credit balance: an advance or an excess receipt",IF(AND(C29="Creditor",N(E29)&gt;0),"Debit balance: an advance paid to the supplier",IF(AND(C29="Creditor",N(L29)&gt;0),"Pay before the year end to keep the deduction, s.37(2)(g)",IF(N(J29)&gt;0,IF(C29="Creditor","Past due: pay, or confirm the terms in writing","Past due: follow up"),"OK")))))</f>
        <v/>
      </c>
    </row>
    <row r="30">
      <c r="B30" s="37">
        <f>IF('Parties'!$B$35="","",'Parties'!$B$35)</f>
        <v/>
      </c>
      <c r="C30" s="40">
        <f>IF(B30="","",'Parties'!$C$35&amp;"")</f>
        <v/>
      </c>
      <c r="D30" s="39">
        <f>IF(B30="","",'Parties'!$E$35&amp;"")</f>
        <v/>
      </c>
      <c r="E30" s="38">
        <f>IF(OR(B30="",$E$5=""),"",'Parties'!$M$35+SUMIFS('Entries'!$I$7:$I$506,'Entries'!$C$7:$C$506,B30,'Entries'!$B$7:$B$506,"&lt;="&amp;$E$5)-SUMIFS('Entries'!$J$7:$J$506,'Entries'!$C$7:$C$506,B30,'Entries'!$B$7:$B$506,"&lt;="&amp;$E$5))</f>
        <v/>
      </c>
      <c r="F30" s="49">
        <f>IF(B30="","",SUMIFS('Entries'!$W$7:$W$506,'Entries'!$C$7:$C$506,B30,'Entries'!$AC$7:$AC$506,"&gt;=0",'Entries'!$AC$7:$AC$506,"&lt;=30"))</f>
        <v/>
      </c>
      <c r="G30" s="49">
        <f>IF(B30="","",SUMIFS('Entries'!$W$7:$W$506,'Entries'!$C$7:$C$506,B30,'Entries'!$AC$7:$AC$506,"&gt;=31",'Entries'!$AC$7:$AC$506,"&lt;=60"))</f>
        <v/>
      </c>
      <c r="H30" s="49">
        <f>IF(B30="","",SUMIFS('Entries'!$W$7:$W$506,'Entries'!$C$7:$C$506,B30,'Entries'!$AC$7:$AC$506,"&gt;=61",'Entries'!$AC$7:$AC$506,"&lt;=90"))</f>
        <v/>
      </c>
      <c r="I30" s="49">
        <f>IF(B30="","",SUMIFS('Entries'!$W$7:$W$506,'Entries'!$C$7:$C$506,B30,'Entries'!$AC$7:$AC$506,"&gt;90"))</f>
        <v/>
      </c>
      <c r="J30" s="50">
        <f>IF(B30="","",SUMIFS('Entries'!$W$7:$W$506,'Entries'!$C$7:$C$506,B30,'Entries'!$AA$7:$AA$506,"&gt;0"))</f>
        <v/>
      </c>
      <c r="K30" s="49">
        <f>IF(B30="","",ROUND(SUMIFS('Entries'!$AB$7:$AB$506,'Entries'!$C$7:$C$506,B30),0))</f>
        <v/>
      </c>
      <c r="L30" s="49">
        <f>IF(B30="","",SUMIFS('Entries'!$AF$7:$AF$506,'Entries'!$C$7:$C$506,B30))</f>
        <v/>
      </c>
      <c r="M30" s="23">
        <f>IF(B30="","",IF(AND(C30="Debtor",N(E30)&lt;0),"Credit balance: an advance or an excess receipt",IF(AND(C30="Creditor",N(E30)&gt;0),"Debit balance: an advance paid to the supplier",IF(AND(C30="Creditor",N(L30)&gt;0),"Pay before the year end to keep the deduction, s.37(2)(g)",IF(N(J30)&gt;0,IF(C30="Creditor","Past due: pay, or confirm the terms in writing","Past due: follow up"),"OK")))))</f>
        <v/>
      </c>
    </row>
    <row r="31">
      <c r="B31" s="37">
        <f>IF('Parties'!$B$36="","",'Parties'!$B$36)</f>
        <v/>
      </c>
      <c r="C31" s="40">
        <f>IF(B31="","",'Parties'!$C$36&amp;"")</f>
        <v/>
      </c>
      <c r="D31" s="39">
        <f>IF(B31="","",'Parties'!$E$36&amp;"")</f>
        <v/>
      </c>
      <c r="E31" s="38">
        <f>IF(OR(B31="",$E$5=""),"",'Parties'!$M$36+SUMIFS('Entries'!$I$7:$I$506,'Entries'!$C$7:$C$506,B31,'Entries'!$B$7:$B$506,"&lt;="&amp;$E$5)-SUMIFS('Entries'!$J$7:$J$506,'Entries'!$C$7:$C$506,B31,'Entries'!$B$7:$B$506,"&lt;="&amp;$E$5))</f>
        <v/>
      </c>
      <c r="F31" s="49">
        <f>IF(B31="","",SUMIFS('Entries'!$W$7:$W$506,'Entries'!$C$7:$C$506,B31,'Entries'!$AC$7:$AC$506,"&gt;=0",'Entries'!$AC$7:$AC$506,"&lt;=30"))</f>
        <v/>
      </c>
      <c r="G31" s="49">
        <f>IF(B31="","",SUMIFS('Entries'!$W$7:$W$506,'Entries'!$C$7:$C$506,B31,'Entries'!$AC$7:$AC$506,"&gt;=31",'Entries'!$AC$7:$AC$506,"&lt;=60"))</f>
        <v/>
      </c>
      <c r="H31" s="49">
        <f>IF(B31="","",SUMIFS('Entries'!$W$7:$W$506,'Entries'!$C$7:$C$506,B31,'Entries'!$AC$7:$AC$506,"&gt;=61",'Entries'!$AC$7:$AC$506,"&lt;=90"))</f>
        <v/>
      </c>
      <c r="I31" s="49">
        <f>IF(B31="","",SUMIFS('Entries'!$W$7:$W$506,'Entries'!$C$7:$C$506,B31,'Entries'!$AC$7:$AC$506,"&gt;90"))</f>
        <v/>
      </c>
      <c r="J31" s="50">
        <f>IF(B31="","",SUMIFS('Entries'!$W$7:$W$506,'Entries'!$C$7:$C$506,B31,'Entries'!$AA$7:$AA$506,"&gt;0"))</f>
        <v/>
      </c>
      <c r="K31" s="49">
        <f>IF(B31="","",ROUND(SUMIFS('Entries'!$AB$7:$AB$506,'Entries'!$C$7:$C$506,B31),0))</f>
        <v/>
      </c>
      <c r="L31" s="49">
        <f>IF(B31="","",SUMIFS('Entries'!$AF$7:$AF$506,'Entries'!$C$7:$C$506,B31))</f>
        <v/>
      </c>
      <c r="M31" s="23">
        <f>IF(B31="","",IF(AND(C31="Debtor",N(E31)&lt;0),"Credit balance: an advance or an excess receipt",IF(AND(C31="Creditor",N(E31)&gt;0),"Debit balance: an advance paid to the supplier",IF(AND(C31="Creditor",N(L31)&gt;0),"Pay before the year end to keep the deduction, s.37(2)(g)",IF(N(J31)&gt;0,IF(C31="Creditor","Past due: pay, or confirm the terms in writing","Past due: follow up"),"OK")))))</f>
        <v/>
      </c>
    </row>
    <row r="32">
      <c r="B32" s="37">
        <f>IF('Parties'!$B$37="","",'Parties'!$B$37)</f>
        <v/>
      </c>
      <c r="C32" s="40">
        <f>IF(B32="","",'Parties'!$C$37&amp;"")</f>
        <v/>
      </c>
      <c r="D32" s="39">
        <f>IF(B32="","",'Parties'!$E$37&amp;"")</f>
        <v/>
      </c>
      <c r="E32" s="38">
        <f>IF(OR(B32="",$E$5=""),"",'Parties'!$M$37+SUMIFS('Entries'!$I$7:$I$506,'Entries'!$C$7:$C$506,B32,'Entries'!$B$7:$B$506,"&lt;="&amp;$E$5)-SUMIFS('Entries'!$J$7:$J$506,'Entries'!$C$7:$C$506,B32,'Entries'!$B$7:$B$506,"&lt;="&amp;$E$5))</f>
        <v/>
      </c>
      <c r="F32" s="49">
        <f>IF(B32="","",SUMIFS('Entries'!$W$7:$W$506,'Entries'!$C$7:$C$506,B32,'Entries'!$AC$7:$AC$506,"&gt;=0",'Entries'!$AC$7:$AC$506,"&lt;=30"))</f>
        <v/>
      </c>
      <c r="G32" s="49">
        <f>IF(B32="","",SUMIFS('Entries'!$W$7:$W$506,'Entries'!$C$7:$C$506,B32,'Entries'!$AC$7:$AC$506,"&gt;=31",'Entries'!$AC$7:$AC$506,"&lt;=60"))</f>
        <v/>
      </c>
      <c r="H32" s="49">
        <f>IF(B32="","",SUMIFS('Entries'!$W$7:$W$506,'Entries'!$C$7:$C$506,B32,'Entries'!$AC$7:$AC$506,"&gt;=61",'Entries'!$AC$7:$AC$506,"&lt;=90"))</f>
        <v/>
      </c>
      <c r="I32" s="49">
        <f>IF(B32="","",SUMIFS('Entries'!$W$7:$W$506,'Entries'!$C$7:$C$506,B32,'Entries'!$AC$7:$AC$506,"&gt;90"))</f>
        <v/>
      </c>
      <c r="J32" s="50">
        <f>IF(B32="","",SUMIFS('Entries'!$W$7:$W$506,'Entries'!$C$7:$C$506,B32,'Entries'!$AA$7:$AA$506,"&gt;0"))</f>
        <v/>
      </c>
      <c r="K32" s="49">
        <f>IF(B32="","",ROUND(SUMIFS('Entries'!$AB$7:$AB$506,'Entries'!$C$7:$C$506,B32),0))</f>
        <v/>
      </c>
      <c r="L32" s="49">
        <f>IF(B32="","",SUMIFS('Entries'!$AF$7:$AF$506,'Entries'!$C$7:$C$506,B32))</f>
        <v/>
      </c>
      <c r="M32" s="23">
        <f>IF(B32="","",IF(AND(C32="Debtor",N(E32)&lt;0),"Credit balance: an advance or an excess receipt",IF(AND(C32="Creditor",N(E32)&gt;0),"Debit balance: an advance paid to the supplier",IF(AND(C32="Creditor",N(L32)&gt;0),"Pay before the year end to keep the deduction, s.37(2)(g)",IF(N(J32)&gt;0,IF(C32="Creditor","Past due: pay, or confirm the terms in writing","Past due: follow up"),"OK")))))</f>
        <v/>
      </c>
    </row>
    <row r="33">
      <c r="B33" s="37">
        <f>IF('Parties'!$B$38="","",'Parties'!$B$38)</f>
        <v/>
      </c>
      <c r="C33" s="40">
        <f>IF(B33="","",'Parties'!$C$38&amp;"")</f>
        <v/>
      </c>
      <c r="D33" s="39">
        <f>IF(B33="","",'Parties'!$E$38&amp;"")</f>
        <v/>
      </c>
      <c r="E33" s="38">
        <f>IF(OR(B33="",$E$5=""),"",'Parties'!$M$38+SUMIFS('Entries'!$I$7:$I$506,'Entries'!$C$7:$C$506,B33,'Entries'!$B$7:$B$506,"&lt;="&amp;$E$5)-SUMIFS('Entries'!$J$7:$J$506,'Entries'!$C$7:$C$506,B33,'Entries'!$B$7:$B$506,"&lt;="&amp;$E$5))</f>
        <v/>
      </c>
      <c r="F33" s="49">
        <f>IF(B33="","",SUMIFS('Entries'!$W$7:$W$506,'Entries'!$C$7:$C$506,B33,'Entries'!$AC$7:$AC$506,"&gt;=0",'Entries'!$AC$7:$AC$506,"&lt;=30"))</f>
        <v/>
      </c>
      <c r="G33" s="49">
        <f>IF(B33="","",SUMIFS('Entries'!$W$7:$W$506,'Entries'!$C$7:$C$506,B33,'Entries'!$AC$7:$AC$506,"&gt;=31",'Entries'!$AC$7:$AC$506,"&lt;=60"))</f>
        <v/>
      </c>
      <c r="H33" s="49">
        <f>IF(B33="","",SUMIFS('Entries'!$W$7:$W$506,'Entries'!$C$7:$C$506,B33,'Entries'!$AC$7:$AC$506,"&gt;=61",'Entries'!$AC$7:$AC$506,"&lt;=90"))</f>
        <v/>
      </c>
      <c r="I33" s="49">
        <f>IF(B33="","",SUMIFS('Entries'!$W$7:$W$506,'Entries'!$C$7:$C$506,B33,'Entries'!$AC$7:$AC$506,"&gt;90"))</f>
        <v/>
      </c>
      <c r="J33" s="50">
        <f>IF(B33="","",SUMIFS('Entries'!$W$7:$W$506,'Entries'!$C$7:$C$506,B33,'Entries'!$AA$7:$AA$506,"&gt;0"))</f>
        <v/>
      </c>
      <c r="K33" s="49">
        <f>IF(B33="","",ROUND(SUMIFS('Entries'!$AB$7:$AB$506,'Entries'!$C$7:$C$506,B33),0))</f>
        <v/>
      </c>
      <c r="L33" s="49">
        <f>IF(B33="","",SUMIFS('Entries'!$AF$7:$AF$506,'Entries'!$C$7:$C$506,B33))</f>
        <v/>
      </c>
      <c r="M33" s="23">
        <f>IF(B33="","",IF(AND(C33="Debtor",N(E33)&lt;0),"Credit balance: an advance or an excess receipt",IF(AND(C33="Creditor",N(E33)&gt;0),"Debit balance: an advance paid to the supplier",IF(AND(C33="Creditor",N(L33)&gt;0),"Pay before the year end to keep the deduction, s.37(2)(g)",IF(N(J33)&gt;0,IF(C33="Creditor","Past due: pay, or confirm the terms in writing","Past due: follow up"),"OK")))))</f>
        <v/>
      </c>
    </row>
    <row r="34">
      <c r="B34" s="37">
        <f>IF('Parties'!$B$39="","",'Parties'!$B$39)</f>
        <v/>
      </c>
      <c r="C34" s="40">
        <f>IF(B34="","",'Parties'!$C$39&amp;"")</f>
        <v/>
      </c>
      <c r="D34" s="39">
        <f>IF(B34="","",'Parties'!$E$39&amp;"")</f>
        <v/>
      </c>
      <c r="E34" s="38">
        <f>IF(OR(B34="",$E$5=""),"",'Parties'!$M$39+SUMIFS('Entries'!$I$7:$I$506,'Entries'!$C$7:$C$506,B34,'Entries'!$B$7:$B$506,"&lt;="&amp;$E$5)-SUMIFS('Entries'!$J$7:$J$506,'Entries'!$C$7:$C$506,B34,'Entries'!$B$7:$B$506,"&lt;="&amp;$E$5))</f>
        <v/>
      </c>
      <c r="F34" s="49">
        <f>IF(B34="","",SUMIFS('Entries'!$W$7:$W$506,'Entries'!$C$7:$C$506,B34,'Entries'!$AC$7:$AC$506,"&gt;=0",'Entries'!$AC$7:$AC$506,"&lt;=30"))</f>
        <v/>
      </c>
      <c r="G34" s="49">
        <f>IF(B34="","",SUMIFS('Entries'!$W$7:$W$506,'Entries'!$C$7:$C$506,B34,'Entries'!$AC$7:$AC$506,"&gt;=31",'Entries'!$AC$7:$AC$506,"&lt;=60"))</f>
        <v/>
      </c>
      <c r="H34" s="49">
        <f>IF(B34="","",SUMIFS('Entries'!$W$7:$W$506,'Entries'!$C$7:$C$506,B34,'Entries'!$AC$7:$AC$506,"&gt;=61",'Entries'!$AC$7:$AC$506,"&lt;=90"))</f>
        <v/>
      </c>
      <c r="I34" s="49">
        <f>IF(B34="","",SUMIFS('Entries'!$W$7:$W$506,'Entries'!$C$7:$C$506,B34,'Entries'!$AC$7:$AC$506,"&gt;90"))</f>
        <v/>
      </c>
      <c r="J34" s="50">
        <f>IF(B34="","",SUMIFS('Entries'!$W$7:$W$506,'Entries'!$C$7:$C$506,B34,'Entries'!$AA$7:$AA$506,"&gt;0"))</f>
        <v/>
      </c>
      <c r="K34" s="49">
        <f>IF(B34="","",ROUND(SUMIFS('Entries'!$AB$7:$AB$506,'Entries'!$C$7:$C$506,B34),0))</f>
        <v/>
      </c>
      <c r="L34" s="49">
        <f>IF(B34="","",SUMIFS('Entries'!$AF$7:$AF$506,'Entries'!$C$7:$C$506,B34))</f>
        <v/>
      </c>
      <c r="M34" s="23">
        <f>IF(B34="","",IF(AND(C34="Debtor",N(E34)&lt;0),"Credit balance: an advance or an excess receipt",IF(AND(C34="Creditor",N(E34)&gt;0),"Debit balance: an advance paid to the supplier",IF(AND(C34="Creditor",N(L34)&gt;0),"Pay before the year end to keep the deduction, s.37(2)(g)",IF(N(J34)&gt;0,IF(C34="Creditor","Past due: pay, or confirm the terms in writing","Past due: follow up"),"OK")))))</f>
        <v/>
      </c>
    </row>
    <row r="35">
      <c r="B35" s="37">
        <f>IF('Parties'!$B$40="","",'Parties'!$B$40)</f>
        <v/>
      </c>
      <c r="C35" s="40">
        <f>IF(B35="","",'Parties'!$C$40&amp;"")</f>
        <v/>
      </c>
      <c r="D35" s="39">
        <f>IF(B35="","",'Parties'!$E$40&amp;"")</f>
        <v/>
      </c>
      <c r="E35" s="38">
        <f>IF(OR(B35="",$E$5=""),"",'Parties'!$M$40+SUMIFS('Entries'!$I$7:$I$506,'Entries'!$C$7:$C$506,B35,'Entries'!$B$7:$B$506,"&lt;="&amp;$E$5)-SUMIFS('Entries'!$J$7:$J$506,'Entries'!$C$7:$C$506,B35,'Entries'!$B$7:$B$506,"&lt;="&amp;$E$5))</f>
        <v/>
      </c>
      <c r="F35" s="49">
        <f>IF(B35="","",SUMIFS('Entries'!$W$7:$W$506,'Entries'!$C$7:$C$506,B35,'Entries'!$AC$7:$AC$506,"&gt;=0",'Entries'!$AC$7:$AC$506,"&lt;=30"))</f>
        <v/>
      </c>
      <c r="G35" s="49">
        <f>IF(B35="","",SUMIFS('Entries'!$W$7:$W$506,'Entries'!$C$7:$C$506,B35,'Entries'!$AC$7:$AC$506,"&gt;=31",'Entries'!$AC$7:$AC$506,"&lt;=60"))</f>
        <v/>
      </c>
      <c r="H35" s="49">
        <f>IF(B35="","",SUMIFS('Entries'!$W$7:$W$506,'Entries'!$C$7:$C$506,B35,'Entries'!$AC$7:$AC$506,"&gt;=61",'Entries'!$AC$7:$AC$506,"&lt;=90"))</f>
        <v/>
      </c>
      <c r="I35" s="49">
        <f>IF(B35="","",SUMIFS('Entries'!$W$7:$W$506,'Entries'!$C$7:$C$506,B35,'Entries'!$AC$7:$AC$506,"&gt;90"))</f>
        <v/>
      </c>
      <c r="J35" s="50">
        <f>IF(B35="","",SUMIFS('Entries'!$W$7:$W$506,'Entries'!$C$7:$C$506,B35,'Entries'!$AA$7:$AA$506,"&gt;0"))</f>
        <v/>
      </c>
      <c r="K35" s="49">
        <f>IF(B35="","",ROUND(SUMIFS('Entries'!$AB$7:$AB$506,'Entries'!$C$7:$C$506,B35),0))</f>
        <v/>
      </c>
      <c r="L35" s="49">
        <f>IF(B35="","",SUMIFS('Entries'!$AF$7:$AF$506,'Entries'!$C$7:$C$506,B35))</f>
        <v/>
      </c>
      <c r="M35" s="23">
        <f>IF(B35="","",IF(AND(C35="Debtor",N(E35)&lt;0),"Credit balance: an advance or an excess receipt",IF(AND(C35="Creditor",N(E35)&gt;0),"Debit balance: an advance paid to the supplier",IF(AND(C35="Creditor",N(L35)&gt;0),"Pay before the year end to keep the deduction, s.37(2)(g)",IF(N(J35)&gt;0,IF(C35="Creditor","Past due: pay, or confirm the terms in writing","Past due: follow up"),"OK")))))</f>
        <v/>
      </c>
    </row>
    <row r="36">
      <c r="B36" s="37">
        <f>IF('Parties'!$B$41="","",'Parties'!$B$41)</f>
        <v/>
      </c>
      <c r="C36" s="40">
        <f>IF(B36="","",'Parties'!$C$41&amp;"")</f>
        <v/>
      </c>
      <c r="D36" s="39">
        <f>IF(B36="","",'Parties'!$E$41&amp;"")</f>
        <v/>
      </c>
      <c r="E36" s="38">
        <f>IF(OR(B36="",$E$5=""),"",'Parties'!$M$41+SUMIFS('Entries'!$I$7:$I$506,'Entries'!$C$7:$C$506,B36,'Entries'!$B$7:$B$506,"&lt;="&amp;$E$5)-SUMIFS('Entries'!$J$7:$J$506,'Entries'!$C$7:$C$506,B36,'Entries'!$B$7:$B$506,"&lt;="&amp;$E$5))</f>
        <v/>
      </c>
      <c r="F36" s="49">
        <f>IF(B36="","",SUMIFS('Entries'!$W$7:$W$506,'Entries'!$C$7:$C$506,B36,'Entries'!$AC$7:$AC$506,"&gt;=0",'Entries'!$AC$7:$AC$506,"&lt;=30"))</f>
        <v/>
      </c>
      <c r="G36" s="49">
        <f>IF(B36="","",SUMIFS('Entries'!$W$7:$W$506,'Entries'!$C$7:$C$506,B36,'Entries'!$AC$7:$AC$506,"&gt;=31",'Entries'!$AC$7:$AC$506,"&lt;=60"))</f>
        <v/>
      </c>
      <c r="H36" s="49">
        <f>IF(B36="","",SUMIFS('Entries'!$W$7:$W$506,'Entries'!$C$7:$C$506,B36,'Entries'!$AC$7:$AC$506,"&gt;=61",'Entries'!$AC$7:$AC$506,"&lt;=90"))</f>
        <v/>
      </c>
      <c r="I36" s="49">
        <f>IF(B36="","",SUMIFS('Entries'!$W$7:$W$506,'Entries'!$C$7:$C$506,B36,'Entries'!$AC$7:$AC$506,"&gt;90"))</f>
        <v/>
      </c>
      <c r="J36" s="50">
        <f>IF(B36="","",SUMIFS('Entries'!$W$7:$W$506,'Entries'!$C$7:$C$506,B36,'Entries'!$AA$7:$AA$506,"&gt;0"))</f>
        <v/>
      </c>
      <c r="K36" s="49">
        <f>IF(B36="","",ROUND(SUMIFS('Entries'!$AB$7:$AB$506,'Entries'!$C$7:$C$506,B36),0))</f>
        <v/>
      </c>
      <c r="L36" s="49">
        <f>IF(B36="","",SUMIFS('Entries'!$AF$7:$AF$506,'Entries'!$C$7:$C$506,B36))</f>
        <v/>
      </c>
      <c r="M36" s="23">
        <f>IF(B36="","",IF(AND(C36="Debtor",N(E36)&lt;0),"Credit balance: an advance or an excess receipt",IF(AND(C36="Creditor",N(E36)&gt;0),"Debit balance: an advance paid to the supplier",IF(AND(C36="Creditor",N(L36)&gt;0),"Pay before the year end to keep the deduction, s.37(2)(g)",IF(N(J36)&gt;0,IF(C36="Creditor","Past due: pay, or confirm the terms in writing","Past due: follow up"),"OK")))))</f>
        <v/>
      </c>
    </row>
    <row r="37">
      <c r="B37" s="37">
        <f>IF('Parties'!$B$42="","",'Parties'!$B$42)</f>
        <v/>
      </c>
      <c r="C37" s="40">
        <f>IF(B37="","",'Parties'!$C$42&amp;"")</f>
        <v/>
      </c>
      <c r="D37" s="39">
        <f>IF(B37="","",'Parties'!$E$42&amp;"")</f>
        <v/>
      </c>
      <c r="E37" s="38">
        <f>IF(OR(B37="",$E$5=""),"",'Parties'!$M$42+SUMIFS('Entries'!$I$7:$I$506,'Entries'!$C$7:$C$506,B37,'Entries'!$B$7:$B$506,"&lt;="&amp;$E$5)-SUMIFS('Entries'!$J$7:$J$506,'Entries'!$C$7:$C$506,B37,'Entries'!$B$7:$B$506,"&lt;="&amp;$E$5))</f>
        <v/>
      </c>
      <c r="F37" s="49">
        <f>IF(B37="","",SUMIFS('Entries'!$W$7:$W$506,'Entries'!$C$7:$C$506,B37,'Entries'!$AC$7:$AC$506,"&gt;=0",'Entries'!$AC$7:$AC$506,"&lt;=30"))</f>
        <v/>
      </c>
      <c r="G37" s="49">
        <f>IF(B37="","",SUMIFS('Entries'!$W$7:$W$506,'Entries'!$C$7:$C$506,B37,'Entries'!$AC$7:$AC$506,"&gt;=31",'Entries'!$AC$7:$AC$506,"&lt;=60"))</f>
        <v/>
      </c>
      <c r="H37" s="49">
        <f>IF(B37="","",SUMIFS('Entries'!$W$7:$W$506,'Entries'!$C$7:$C$506,B37,'Entries'!$AC$7:$AC$506,"&gt;=61",'Entries'!$AC$7:$AC$506,"&lt;=90"))</f>
        <v/>
      </c>
      <c r="I37" s="49">
        <f>IF(B37="","",SUMIFS('Entries'!$W$7:$W$506,'Entries'!$C$7:$C$506,B37,'Entries'!$AC$7:$AC$506,"&gt;90"))</f>
        <v/>
      </c>
      <c r="J37" s="50">
        <f>IF(B37="","",SUMIFS('Entries'!$W$7:$W$506,'Entries'!$C$7:$C$506,B37,'Entries'!$AA$7:$AA$506,"&gt;0"))</f>
        <v/>
      </c>
      <c r="K37" s="49">
        <f>IF(B37="","",ROUND(SUMIFS('Entries'!$AB$7:$AB$506,'Entries'!$C$7:$C$506,B37),0))</f>
        <v/>
      </c>
      <c r="L37" s="49">
        <f>IF(B37="","",SUMIFS('Entries'!$AF$7:$AF$506,'Entries'!$C$7:$C$506,B37))</f>
        <v/>
      </c>
      <c r="M37" s="23">
        <f>IF(B37="","",IF(AND(C37="Debtor",N(E37)&lt;0),"Credit balance: an advance or an excess receipt",IF(AND(C37="Creditor",N(E37)&gt;0),"Debit balance: an advance paid to the supplier",IF(AND(C37="Creditor",N(L37)&gt;0),"Pay before the year end to keep the deduction, s.37(2)(g)",IF(N(J37)&gt;0,IF(C37="Creditor","Past due: pay, or confirm the terms in writing","Past due: follow up"),"OK")))))</f>
        <v/>
      </c>
    </row>
    <row r="38">
      <c r="B38" s="37">
        <f>IF('Parties'!$B$43="","",'Parties'!$B$43)</f>
        <v/>
      </c>
      <c r="C38" s="40">
        <f>IF(B38="","",'Parties'!$C$43&amp;"")</f>
        <v/>
      </c>
      <c r="D38" s="39">
        <f>IF(B38="","",'Parties'!$E$43&amp;"")</f>
        <v/>
      </c>
      <c r="E38" s="38">
        <f>IF(OR(B38="",$E$5=""),"",'Parties'!$M$43+SUMIFS('Entries'!$I$7:$I$506,'Entries'!$C$7:$C$506,B38,'Entries'!$B$7:$B$506,"&lt;="&amp;$E$5)-SUMIFS('Entries'!$J$7:$J$506,'Entries'!$C$7:$C$506,B38,'Entries'!$B$7:$B$506,"&lt;="&amp;$E$5))</f>
        <v/>
      </c>
      <c r="F38" s="49">
        <f>IF(B38="","",SUMIFS('Entries'!$W$7:$W$506,'Entries'!$C$7:$C$506,B38,'Entries'!$AC$7:$AC$506,"&gt;=0",'Entries'!$AC$7:$AC$506,"&lt;=30"))</f>
        <v/>
      </c>
      <c r="G38" s="49">
        <f>IF(B38="","",SUMIFS('Entries'!$W$7:$W$506,'Entries'!$C$7:$C$506,B38,'Entries'!$AC$7:$AC$506,"&gt;=31",'Entries'!$AC$7:$AC$506,"&lt;=60"))</f>
        <v/>
      </c>
      <c r="H38" s="49">
        <f>IF(B38="","",SUMIFS('Entries'!$W$7:$W$506,'Entries'!$C$7:$C$506,B38,'Entries'!$AC$7:$AC$506,"&gt;=61",'Entries'!$AC$7:$AC$506,"&lt;=90"))</f>
        <v/>
      </c>
      <c r="I38" s="49">
        <f>IF(B38="","",SUMIFS('Entries'!$W$7:$W$506,'Entries'!$C$7:$C$506,B38,'Entries'!$AC$7:$AC$506,"&gt;90"))</f>
        <v/>
      </c>
      <c r="J38" s="50">
        <f>IF(B38="","",SUMIFS('Entries'!$W$7:$W$506,'Entries'!$C$7:$C$506,B38,'Entries'!$AA$7:$AA$506,"&gt;0"))</f>
        <v/>
      </c>
      <c r="K38" s="49">
        <f>IF(B38="","",ROUND(SUMIFS('Entries'!$AB$7:$AB$506,'Entries'!$C$7:$C$506,B38),0))</f>
        <v/>
      </c>
      <c r="L38" s="49">
        <f>IF(B38="","",SUMIFS('Entries'!$AF$7:$AF$506,'Entries'!$C$7:$C$506,B38))</f>
        <v/>
      </c>
      <c r="M38" s="23">
        <f>IF(B38="","",IF(AND(C38="Debtor",N(E38)&lt;0),"Credit balance: an advance or an excess receipt",IF(AND(C38="Creditor",N(E38)&gt;0),"Debit balance: an advance paid to the supplier",IF(AND(C38="Creditor",N(L38)&gt;0),"Pay before the year end to keep the deduction, s.37(2)(g)",IF(N(J38)&gt;0,IF(C38="Creditor","Past due: pay, or confirm the terms in writing","Past due: follow up"),"OK")))))</f>
        <v/>
      </c>
    </row>
    <row r="39">
      <c r="B39" s="37">
        <f>IF('Parties'!$B$44="","",'Parties'!$B$44)</f>
        <v/>
      </c>
      <c r="C39" s="40">
        <f>IF(B39="","",'Parties'!$C$44&amp;"")</f>
        <v/>
      </c>
      <c r="D39" s="39">
        <f>IF(B39="","",'Parties'!$E$44&amp;"")</f>
        <v/>
      </c>
      <c r="E39" s="38">
        <f>IF(OR(B39="",$E$5=""),"",'Parties'!$M$44+SUMIFS('Entries'!$I$7:$I$506,'Entries'!$C$7:$C$506,B39,'Entries'!$B$7:$B$506,"&lt;="&amp;$E$5)-SUMIFS('Entries'!$J$7:$J$506,'Entries'!$C$7:$C$506,B39,'Entries'!$B$7:$B$506,"&lt;="&amp;$E$5))</f>
        <v/>
      </c>
      <c r="F39" s="49">
        <f>IF(B39="","",SUMIFS('Entries'!$W$7:$W$506,'Entries'!$C$7:$C$506,B39,'Entries'!$AC$7:$AC$506,"&gt;=0",'Entries'!$AC$7:$AC$506,"&lt;=30"))</f>
        <v/>
      </c>
      <c r="G39" s="49">
        <f>IF(B39="","",SUMIFS('Entries'!$W$7:$W$506,'Entries'!$C$7:$C$506,B39,'Entries'!$AC$7:$AC$506,"&gt;=31",'Entries'!$AC$7:$AC$506,"&lt;=60"))</f>
        <v/>
      </c>
      <c r="H39" s="49">
        <f>IF(B39="","",SUMIFS('Entries'!$W$7:$W$506,'Entries'!$C$7:$C$506,B39,'Entries'!$AC$7:$AC$506,"&gt;=61",'Entries'!$AC$7:$AC$506,"&lt;=90"))</f>
        <v/>
      </c>
      <c r="I39" s="49">
        <f>IF(B39="","",SUMIFS('Entries'!$W$7:$W$506,'Entries'!$C$7:$C$506,B39,'Entries'!$AC$7:$AC$506,"&gt;90"))</f>
        <v/>
      </c>
      <c r="J39" s="50">
        <f>IF(B39="","",SUMIFS('Entries'!$W$7:$W$506,'Entries'!$C$7:$C$506,B39,'Entries'!$AA$7:$AA$506,"&gt;0"))</f>
        <v/>
      </c>
      <c r="K39" s="49">
        <f>IF(B39="","",ROUND(SUMIFS('Entries'!$AB$7:$AB$506,'Entries'!$C$7:$C$506,B39),0))</f>
        <v/>
      </c>
      <c r="L39" s="49">
        <f>IF(B39="","",SUMIFS('Entries'!$AF$7:$AF$506,'Entries'!$C$7:$C$506,B39))</f>
        <v/>
      </c>
      <c r="M39" s="23">
        <f>IF(B39="","",IF(AND(C39="Debtor",N(E39)&lt;0),"Credit balance: an advance or an excess receipt",IF(AND(C39="Creditor",N(E39)&gt;0),"Debit balance: an advance paid to the supplier",IF(AND(C39="Creditor",N(L39)&gt;0),"Pay before the year end to keep the deduction, s.37(2)(g)",IF(N(J39)&gt;0,IF(C39="Creditor","Past due: pay, or confirm the terms in writing","Past due: follow up"),"OK")))))</f>
        <v/>
      </c>
    </row>
    <row r="40">
      <c r="B40" s="37">
        <f>IF('Parties'!$B$45="","",'Parties'!$B$45)</f>
        <v/>
      </c>
      <c r="C40" s="40">
        <f>IF(B40="","",'Parties'!$C$45&amp;"")</f>
        <v/>
      </c>
      <c r="D40" s="39">
        <f>IF(B40="","",'Parties'!$E$45&amp;"")</f>
        <v/>
      </c>
      <c r="E40" s="38">
        <f>IF(OR(B40="",$E$5=""),"",'Parties'!$M$45+SUMIFS('Entries'!$I$7:$I$506,'Entries'!$C$7:$C$506,B40,'Entries'!$B$7:$B$506,"&lt;="&amp;$E$5)-SUMIFS('Entries'!$J$7:$J$506,'Entries'!$C$7:$C$506,B40,'Entries'!$B$7:$B$506,"&lt;="&amp;$E$5))</f>
        <v/>
      </c>
      <c r="F40" s="49">
        <f>IF(B40="","",SUMIFS('Entries'!$W$7:$W$506,'Entries'!$C$7:$C$506,B40,'Entries'!$AC$7:$AC$506,"&gt;=0",'Entries'!$AC$7:$AC$506,"&lt;=30"))</f>
        <v/>
      </c>
      <c r="G40" s="49">
        <f>IF(B40="","",SUMIFS('Entries'!$W$7:$W$506,'Entries'!$C$7:$C$506,B40,'Entries'!$AC$7:$AC$506,"&gt;=31",'Entries'!$AC$7:$AC$506,"&lt;=60"))</f>
        <v/>
      </c>
      <c r="H40" s="49">
        <f>IF(B40="","",SUMIFS('Entries'!$W$7:$W$506,'Entries'!$C$7:$C$506,B40,'Entries'!$AC$7:$AC$506,"&gt;=61",'Entries'!$AC$7:$AC$506,"&lt;=90"))</f>
        <v/>
      </c>
      <c r="I40" s="49">
        <f>IF(B40="","",SUMIFS('Entries'!$W$7:$W$506,'Entries'!$C$7:$C$506,B40,'Entries'!$AC$7:$AC$506,"&gt;90"))</f>
        <v/>
      </c>
      <c r="J40" s="50">
        <f>IF(B40="","",SUMIFS('Entries'!$W$7:$W$506,'Entries'!$C$7:$C$506,B40,'Entries'!$AA$7:$AA$506,"&gt;0"))</f>
        <v/>
      </c>
      <c r="K40" s="49">
        <f>IF(B40="","",ROUND(SUMIFS('Entries'!$AB$7:$AB$506,'Entries'!$C$7:$C$506,B40),0))</f>
        <v/>
      </c>
      <c r="L40" s="49">
        <f>IF(B40="","",SUMIFS('Entries'!$AF$7:$AF$506,'Entries'!$C$7:$C$506,B40))</f>
        <v/>
      </c>
      <c r="M40" s="23">
        <f>IF(B40="","",IF(AND(C40="Debtor",N(E40)&lt;0),"Credit balance: an advance or an excess receipt",IF(AND(C40="Creditor",N(E40)&gt;0),"Debit balance: an advance paid to the supplier",IF(AND(C40="Creditor",N(L40)&gt;0),"Pay before the year end to keep the deduction, s.37(2)(g)",IF(N(J40)&gt;0,IF(C40="Creditor","Past due: pay, or confirm the terms in writing","Past due: follow up"),"OK")))))</f>
        <v/>
      </c>
    </row>
    <row r="41">
      <c r="B41" s="37">
        <f>IF('Parties'!$B$46="","",'Parties'!$B$46)</f>
        <v/>
      </c>
      <c r="C41" s="40">
        <f>IF(B41="","",'Parties'!$C$46&amp;"")</f>
        <v/>
      </c>
      <c r="D41" s="39">
        <f>IF(B41="","",'Parties'!$E$46&amp;"")</f>
        <v/>
      </c>
      <c r="E41" s="38">
        <f>IF(OR(B41="",$E$5=""),"",'Parties'!$M$46+SUMIFS('Entries'!$I$7:$I$506,'Entries'!$C$7:$C$506,B41,'Entries'!$B$7:$B$506,"&lt;="&amp;$E$5)-SUMIFS('Entries'!$J$7:$J$506,'Entries'!$C$7:$C$506,B41,'Entries'!$B$7:$B$506,"&lt;="&amp;$E$5))</f>
        <v/>
      </c>
      <c r="F41" s="49">
        <f>IF(B41="","",SUMIFS('Entries'!$W$7:$W$506,'Entries'!$C$7:$C$506,B41,'Entries'!$AC$7:$AC$506,"&gt;=0",'Entries'!$AC$7:$AC$506,"&lt;=30"))</f>
        <v/>
      </c>
      <c r="G41" s="49">
        <f>IF(B41="","",SUMIFS('Entries'!$W$7:$W$506,'Entries'!$C$7:$C$506,B41,'Entries'!$AC$7:$AC$506,"&gt;=31",'Entries'!$AC$7:$AC$506,"&lt;=60"))</f>
        <v/>
      </c>
      <c r="H41" s="49">
        <f>IF(B41="","",SUMIFS('Entries'!$W$7:$W$506,'Entries'!$C$7:$C$506,B41,'Entries'!$AC$7:$AC$506,"&gt;=61",'Entries'!$AC$7:$AC$506,"&lt;=90"))</f>
        <v/>
      </c>
      <c r="I41" s="49">
        <f>IF(B41="","",SUMIFS('Entries'!$W$7:$W$506,'Entries'!$C$7:$C$506,B41,'Entries'!$AC$7:$AC$506,"&gt;90"))</f>
        <v/>
      </c>
      <c r="J41" s="50">
        <f>IF(B41="","",SUMIFS('Entries'!$W$7:$W$506,'Entries'!$C$7:$C$506,B41,'Entries'!$AA$7:$AA$506,"&gt;0"))</f>
        <v/>
      </c>
      <c r="K41" s="49">
        <f>IF(B41="","",ROUND(SUMIFS('Entries'!$AB$7:$AB$506,'Entries'!$C$7:$C$506,B41),0))</f>
        <v/>
      </c>
      <c r="L41" s="49">
        <f>IF(B41="","",SUMIFS('Entries'!$AF$7:$AF$506,'Entries'!$C$7:$C$506,B41))</f>
        <v/>
      </c>
      <c r="M41" s="23">
        <f>IF(B41="","",IF(AND(C41="Debtor",N(E41)&lt;0),"Credit balance: an advance or an excess receipt",IF(AND(C41="Creditor",N(E41)&gt;0),"Debit balance: an advance paid to the supplier",IF(AND(C41="Creditor",N(L41)&gt;0),"Pay before the year end to keep the deduction, s.37(2)(g)",IF(N(J41)&gt;0,IF(C41="Creditor","Past due: pay, or confirm the terms in writing","Past due: follow up"),"OK")))))</f>
        <v/>
      </c>
    </row>
    <row r="42">
      <c r="B42" s="37">
        <f>IF('Parties'!$B$47="","",'Parties'!$B$47)</f>
        <v/>
      </c>
      <c r="C42" s="40">
        <f>IF(B42="","",'Parties'!$C$47&amp;"")</f>
        <v/>
      </c>
      <c r="D42" s="39">
        <f>IF(B42="","",'Parties'!$E$47&amp;"")</f>
        <v/>
      </c>
      <c r="E42" s="38">
        <f>IF(OR(B42="",$E$5=""),"",'Parties'!$M$47+SUMIFS('Entries'!$I$7:$I$506,'Entries'!$C$7:$C$506,B42,'Entries'!$B$7:$B$506,"&lt;="&amp;$E$5)-SUMIFS('Entries'!$J$7:$J$506,'Entries'!$C$7:$C$506,B42,'Entries'!$B$7:$B$506,"&lt;="&amp;$E$5))</f>
        <v/>
      </c>
      <c r="F42" s="49">
        <f>IF(B42="","",SUMIFS('Entries'!$W$7:$W$506,'Entries'!$C$7:$C$506,B42,'Entries'!$AC$7:$AC$506,"&gt;=0",'Entries'!$AC$7:$AC$506,"&lt;=30"))</f>
        <v/>
      </c>
      <c r="G42" s="49">
        <f>IF(B42="","",SUMIFS('Entries'!$W$7:$W$506,'Entries'!$C$7:$C$506,B42,'Entries'!$AC$7:$AC$506,"&gt;=31",'Entries'!$AC$7:$AC$506,"&lt;=60"))</f>
        <v/>
      </c>
      <c r="H42" s="49">
        <f>IF(B42="","",SUMIFS('Entries'!$W$7:$W$506,'Entries'!$C$7:$C$506,B42,'Entries'!$AC$7:$AC$506,"&gt;=61",'Entries'!$AC$7:$AC$506,"&lt;=90"))</f>
        <v/>
      </c>
      <c r="I42" s="49">
        <f>IF(B42="","",SUMIFS('Entries'!$W$7:$W$506,'Entries'!$C$7:$C$506,B42,'Entries'!$AC$7:$AC$506,"&gt;90"))</f>
        <v/>
      </c>
      <c r="J42" s="50">
        <f>IF(B42="","",SUMIFS('Entries'!$W$7:$W$506,'Entries'!$C$7:$C$506,B42,'Entries'!$AA$7:$AA$506,"&gt;0"))</f>
        <v/>
      </c>
      <c r="K42" s="49">
        <f>IF(B42="","",ROUND(SUMIFS('Entries'!$AB$7:$AB$506,'Entries'!$C$7:$C$506,B42),0))</f>
        <v/>
      </c>
      <c r="L42" s="49">
        <f>IF(B42="","",SUMIFS('Entries'!$AF$7:$AF$506,'Entries'!$C$7:$C$506,B42))</f>
        <v/>
      </c>
      <c r="M42" s="23">
        <f>IF(B42="","",IF(AND(C42="Debtor",N(E42)&lt;0),"Credit balance: an advance or an excess receipt",IF(AND(C42="Creditor",N(E42)&gt;0),"Debit balance: an advance paid to the supplier",IF(AND(C42="Creditor",N(L42)&gt;0),"Pay before the year end to keep the deduction, s.37(2)(g)",IF(N(J42)&gt;0,IF(C42="Creditor","Past due: pay, or confirm the terms in writing","Past due: follow up"),"OK")))))</f>
        <v/>
      </c>
    </row>
    <row r="43">
      <c r="B43" s="37">
        <f>IF('Parties'!$B$48="","",'Parties'!$B$48)</f>
        <v/>
      </c>
      <c r="C43" s="40">
        <f>IF(B43="","",'Parties'!$C$48&amp;"")</f>
        <v/>
      </c>
      <c r="D43" s="39">
        <f>IF(B43="","",'Parties'!$E$48&amp;"")</f>
        <v/>
      </c>
      <c r="E43" s="38">
        <f>IF(OR(B43="",$E$5=""),"",'Parties'!$M$48+SUMIFS('Entries'!$I$7:$I$506,'Entries'!$C$7:$C$506,B43,'Entries'!$B$7:$B$506,"&lt;="&amp;$E$5)-SUMIFS('Entries'!$J$7:$J$506,'Entries'!$C$7:$C$506,B43,'Entries'!$B$7:$B$506,"&lt;="&amp;$E$5))</f>
        <v/>
      </c>
      <c r="F43" s="49">
        <f>IF(B43="","",SUMIFS('Entries'!$W$7:$W$506,'Entries'!$C$7:$C$506,B43,'Entries'!$AC$7:$AC$506,"&gt;=0",'Entries'!$AC$7:$AC$506,"&lt;=30"))</f>
        <v/>
      </c>
      <c r="G43" s="49">
        <f>IF(B43="","",SUMIFS('Entries'!$W$7:$W$506,'Entries'!$C$7:$C$506,B43,'Entries'!$AC$7:$AC$506,"&gt;=31",'Entries'!$AC$7:$AC$506,"&lt;=60"))</f>
        <v/>
      </c>
      <c r="H43" s="49">
        <f>IF(B43="","",SUMIFS('Entries'!$W$7:$W$506,'Entries'!$C$7:$C$506,B43,'Entries'!$AC$7:$AC$506,"&gt;=61",'Entries'!$AC$7:$AC$506,"&lt;=90"))</f>
        <v/>
      </c>
      <c r="I43" s="49">
        <f>IF(B43="","",SUMIFS('Entries'!$W$7:$W$506,'Entries'!$C$7:$C$506,B43,'Entries'!$AC$7:$AC$506,"&gt;90"))</f>
        <v/>
      </c>
      <c r="J43" s="50">
        <f>IF(B43="","",SUMIFS('Entries'!$W$7:$W$506,'Entries'!$C$7:$C$506,B43,'Entries'!$AA$7:$AA$506,"&gt;0"))</f>
        <v/>
      </c>
      <c r="K43" s="49">
        <f>IF(B43="","",ROUND(SUMIFS('Entries'!$AB$7:$AB$506,'Entries'!$C$7:$C$506,B43),0))</f>
        <v/>
      </c>
      <c r="L43" s="49">
        <f>IF(B43="","",SUMIFS('Entries'!$AF$7:$AF$506,'Entries'!$C$7:$C$506,B43))</f>
        <v/>
      </c>
      <c r="M43" s="23">
        <f>IF(B43="","",IF(AND(C43="Debtor",N(E43)&lt;0),"Credit balance: an advance or an excess receipt",IF(AND(C43="Creditor",N(E43)&gt;0),"Debit balance: an advance paid to the supplier",IF(AND(C43="Creditor",N(L43)&gt;0),"Pay before the year end to keep the deduction, s.37(2)(g)",IF(N(J43)&gt;0,IF(C43="Creditor","Past due: pay, or confirm the terms in writing","Past due: follow up"),"OK")))))</f>
        <v/>
      </c>
    </row>
    <row r="44">
      <c r="B44" s="37">
        <f>IF('Parties'!$B$49="","",'Parties'!$B$49)</f>
        <v/>
      </c>
      <c r="C44" s="40">
        <f>IF(B44="","",'Parties'!$C$49&amp;"")</f>
        <v/>
      </c>
      <c r="D44" s="39">
        <f>IF(B44="","",'Parties'!$E$49&amp;"")</f>
        <v/>
      </c>
      <c r="E44" s="38">
        <f>IF(OR(B44="",$E$5=""),"",'Parties'!$M$49+SUMIFS('Entries'!$I$7:$I$506,'Entries'!$C$7:$C$506,B44,'Entries'!$B$7:$B$506,"&lt;="&amp;$E$5)-SUMIFS('Entries'!$J$7:$J$506,'Entries'!$C$7:$C$506,B44,'Entries'!$B$7:$B$506,"&lt;="&amp;$E$5))</f>
        <v/>
      </c>
      <c r="F44" s="49">
        <f>IF(B44="","",SUMIFS('Entries'!$W$7:$W$506,'Entries'!$C$7:$C$506,B44,'Entries'!$AC$7:$AC$506,"&gt;=0",'Entries'!$AC$7:$AC$506,"&lt;=30"))</f>
        <v/>
      </c>
      <c r="G44" s="49">
        <f>IF(B44="","",SUMIFS('Entries'!$W$7:$W$506,'Entries'!$C$7:$C$506,B44,'Entries'!$AC$7:$AC$506,"&gt;=31",'Entries'!$AC$7:$AC$506,"&lt;=60"))</f>
        <v/>
      </c>
      <c r="H44" s="49">
        <f>IF(B44="","",SUMIFS('Entries'!$W$7:$W$506,'Entries'!$C$7:$C$506,B44,'Entries'!$AC$7:$AC$506,"&gt;=61",'Entries'!$AC$7:$AC$506,"&lt;=90"))</f>
        <v/>
      </c>
      <c r="I44" s="49">
        <f>IF(B44="","",SUMIFS('Entries'!$W$7:$W$506,'Entries'!$C$7:$C$506,B44,'Entries'!$AC$7:$AC$506,"&gt;90"))</f>
        <v/>
      </c>
      <c r="J44" s="50">
        <f>IF(B44="","",SUMIFS('Entries'!$W$7:$W$506,'Entries'!$C$7:$C$506,B44,'Entries'!$AA$7:$AA$506,"&gt;0"))</f>
        <v/>
      </c>
      <c r="K44" s="49">
        <f>IF(B44="","",ROUND(SUMIFS('Entries'!$AB$7:$AB$506,'Entries'!$C$7:$C$506,B44),0))</f>
        <v/>
      </c>
      <c r="L44" s="49">
        <f>IF(B44="","",SUMIFS('Entries'!$AF$7:$AF$506,'Entries'!$C$7:$C$506,B44))</f>
        <v/>
      </c>
      <c r="M44" s="23">
        <f>IF(B44="","",IF(AND(C44="Debtor",N(E44)&lt;0),"Credit balance: an advance or an excess receipt",IF(AND(C44="Creditor",N(E44)&gt;0),"Debit balance: an advance paid to the supplier",IF(AND(C44="Creditor",N(L44)&gt;0),"Pay before the year end to keep the deduction, s.37(2)(g)",IF(N(J44)&gt;0,IF(C44="Creditor","Past due: pay, or confirm the terms in writing","Past due: follow up"),"OK")))))</f>
        <v/>
      </c>
    </row>
    <row r="45">
      <c r="B45" s="37">
        <f>IF('Parties'!$B$50="","",'Parties'!$B$50)</f>
        <v/>
      </c>
      <c r="C45" s="40">
        <f>IF(B45="","",'Parties'!$C$50&amp;"")</f>
        <v/>
      </c>
      <c r="D45" s="39">
        <f>IF(B45="","",'Parties'!$E$50&amp;"")</f>
        <v/>
      </c>
      <c r="E45" s="38">
        <f>IF(OR(B45="",$E$5=""),"",'Parties'!$M$50+SUMIFS('Entries'!$I$7:$I$506,'Entries'!$C$7:$C$506,B45,'Entries'!$B$7:$B$506,"&lt;="&amp;$E$5)-SUMIFS('Entries'!$J$7:$J$506,'Entries'!$C$7:$C$506,B45,'Entries'!$B$7:$B$506,"&lt;="&amp;$E$5))</f>
        <v/>
      </c>
      <c r="F45" s="49">
        <f>IF(B45="","",SUMIFS('Entries'!$W$7:$W$506,'Entries'!$C$7:$C$506,B45,'Entries'!$AC$7:$AC$506,"&gt;=0",'Entries'!$AC$7:$AC$506,"&lt;=30"))</f>
        <v/>
      </c>
      <c r="G45" s="49">
        <f>IF(B45="","",SUMIFS('Entries'!$W$7:$W$506,'Entries'!$C$7:$C$506,B45,'Entries'!$AC$7:$AC$506,"&gt;=31",'Entries'!$AC$7:$AC$506,"&lt;=60"))</f>
        <v/>
      </c>
      <c r="H45" s="49">
        <f>IF(B45="","",SUMIFS('Entries'!$W$7:$W$506,'Entries'!$C$7:$C$506,B45,'Entries'!$AC$7:$AC$506,"&gt;=61",'Entries'!$AC$7:$AC$506,"&lt;=90"))</f>
        <v/>
      </c>
      <c r="I45" s="49">
        <f>IF(B45="","",SUMIFS('Entries'!$W$7:$W$506,'Entries'!$C$7:$C$506,B45,'Entries'!$AC$7:$AC$506,"&gt;90"))</f>
        <v/>
      </c>
      <c r="J45" s="50">
        <f>IF(B45="","",SUMIFS('Entries'!$W$7:$W$506,'Entries'!$C$7:$C$506,B45,'Entries'!$AA$7:$AA$506,"&gt;0"))</f>
        <v/>
      </c>
      <c r="K45" s="49">
        <f>IF(B45="","",ROUND(SUMIFS('Entries'!$AB$7:$AB$506,'Entries'!$C$7:$C$506,B45),0))</f>
        <v/>
      </c>
      <c r="L45" s="49">
        <f>IF(B45="","",SUMIFS('Entries'!$AF$7:$AF$506,'Entries'!$C$7:$C$506,B45))</f>
        <v/>
      </c>
      <c r="M45" s="23">
        <f>IF(B45="","",IF(AND(C45="Debtor",N(E45)&lt;0),"Credit balance: an advance or an excess receipt",IF(AND(C45="Creditor",N(E45)&gt;0),"Debit balance: an advance paid to the supplier",IF(AND(C45="Creditor",N(L45)&gt;0),"Pay before the year end to keep the deduction, s.37(2)(g)",IF(N(J45)&gt;0,IF(C45="Creditor","Past due: pay, or confirm the terms in writing","Past due: follow up"),"OK")))))</f>
        <v/>
      </c>
    </row>
    <row r="46">
      <c r="B46" s="37">
        <f>IF('Parties'!$B$51="","",'Parties'!$B$51)</f>
        <v/>
      </c>
      <c r="C46" s="40">
        <f>IF(B46="","",'Parties'!$C$51&amp;"")</f>
        <v/>
      </c>
      <c r="D46" s="39">
        <f>IF(B46="","",'Parties'!$E$51&amp;"")</f>
        <v/>
      </c>
      <c r="E46" s="38">
        <f>IF(OR(B46="",$E$5=""),"",'Parties'!$M$51+SUMIFS('Entries'!$I$7:$I$506,'Entries'!$C$7:$C$506,B46,'Entries'!$B$7:$B$506,"&lt;="&amp;$E$5)-SUMIFS('Entries'!$J$7:$J$506,'Entries'!$C$7:$C$506,B46,'Entries'!$B$7:$B$506,"&lt;="&amp;$E$5))</f>
        <v/>
      </c>
      <c r="F46" s="49">
        <f>IF(B46="","",SUMIFS('Entries'!$W$7:$W$506,'Entries'!$C$7:$C$506,B46,'Entries'!$AC$7:$AC$506,"&gt;=0",'Entries'!$AC$7:$AC$506,"&lt;=30"))</f>
        <v/>
      </c>
      <c r="G46" s="49">
        <f>IF(B46="","",SUMIFS('Entries'!$W$7:$W$506,'Entries'!$C$7:$C$506,B46,'Entries'!$AC$7:$AC$506,"&gt;=31",'Entries'!$AC$7:$AC$506,"&lt;=60"))</f>
        <v/>
      </c>
      <c r="H46" s="49">
        <f>IF(B46="","",SUMIFS('Entries'!$W$7:$W$506,'Entries'!$C$7:$C$506,B46,'Entries'!$AC$7:$AC$506,"&gt;=61",'Entries'!$AC$7:$AC$506,"&lt;=90"))</f>
        <v/>
      </c>
      <c r="I46" s="49">
        <f>IF(B46="","",SUMIFS('Entries'!$W$7:$W$506,'Entries'!$C$7:$C$506,B46,'Entries'!$AC$7:$AC$506,"&gt;90"))</f>
        <v/>
      </c>
      <c r="J46" s="50">
        <f>IF(B46="","",SUMIFS('Entries'!$W$7:$W$506,'Entries'!$C$7:$C$506,B46,'Entries'!$AA$7:$AA$506,"&gt;0"))</f>
        <v/>
      </c>
      <c r="K46" s="49">
        <f>IF(B46="","",ROUND(SUMIFS('Entries'!$AB$7:$AB$506,'Entries'!$C$7:$C$506,B46),0))</f>
        <v/>
      </c>
      <c r="L46" s="49">
        <f>IF(B46="","",SUMIFS('Entries'!$AF$7:$AF$506,'Entries'!$C$7:$C$506,B46))</f>
        <v/>
      </c>
      <c r="M46" s="23">
        <f>IF(B46="","",IF(AND(C46="Debtor",N(E46)&lt;0),"Credit balance: an advance or an excess receipt",IF(AND(C46="Creditor",N(E46)&gt;0),"Debit balance: an advance paid to the supplier",IF(AND(C46="Creditor",N(L46)&gt;0),"Pay before the year end to keep the deduction, s.37(2)(g)",IF(N(J46)&gt;0,IF(C46="Creditor","Past due: pay, or confirm the terms in writing","Past due: follow up"),"OK")))))</f>
        <v/>
      </c>
    </row>
    <row r="47">
      <c r="B47" s="37">
        <f>IF('Parties'!$B$52="","",'Parties'!$B$52)</f>
        <v/>
      </c>
      <c r="C47" s="40">
        <f>IF(B47="","",'Parties'!$C$52&amp;"")</f>
        <v/>
      </c>
      <c r="D47" s="39">
        <f>IF(B47="","",'Parties'!$E$52&amp;"")</f>
        <v/>
      </c>
      <c r="E47" s="38">
        <f>IF(OR(B47="",$E$5=""),"",'Parties'!$M$52+SUMIFS('Entries'!$I$7:$I$506,'Entries'!$C$7:$C$506,B47,'Entries'!$B$7:$B$506,"&lt;="&amp;$E$5)-SUMIFS('Entries'!$J$7:$J$506,'Entries'!$C$7:$C$506,B47,'Entries'!$B$7:$B$506,"&lt;="&amp;$E$5))</f>
        <v/>
      </c>
      <c r="F47" s="49">
        <f>IF(B47="","",SUMIFS('Entries'!$W$7:$W$506,'Entries'!$C$7:$C$506,B47,'Entries'!$AC$7:$AC$506,"&gt;=0",'Entries'!$AC$7:$AC$506,"&lt;=30"))</f>
        <v/>
      </c>
      <c r="G47" s="49">
        <f>IF(B47="","",SUMIFS('Entries'!$W$7:$W$506,'Entries'!$C$7:$C$506,B47,'Entries'!$AC$7:$AC$506,"&gt;=31",'Entries'!$AC$7:$AC$506,"&lt;=60"))</f>
        <v/>
      </c>
      <c r="H47" s="49">
        <f>IF(B47="","",SUMIFS('Entries'!$W$7:$W$506,'Entries'!$C$7:$C$506,B47,'Entries'!$AC$7:$AC$506,"&gt;=61",'Entries'!$AC$7:$AC$506,"&lt;=90"))</f>
        <v/>
      </c>
      <c r="I47" s="49">
        <f>IF(B47="","",SUMIFS('Entries'!$W$7:$W$506,'Entries'!$C$7:$C$506,B47,'Entries'!$AC$7:$AC$506,"&gt;90"))</f>
        <v/>
      </c>
      <c r="J47" s="50">
        <f>IF(B47="","",SUMIFS('Entries'!$W$7:$W$506,'Entries'!$C$7:$C$506,B47,'Entries'!$AA$7:$AA$506,"&gt;0"))</f>
        <v/>
      </c>
      <c r="K47" s="49">
        <f>IF(B47="","",ROUND(SUMIFS('Entries'!$AB$7:$AB$506,'Entries'!$C$7:$C$506,B47),0))</f>
        <v/>
      </c>
      <c r="L47" s="49">
        <f>IF(B47="","",SUMIFS('Entries'!$AF$7:$AF$506,'Entries'!$C$7:$C$506,B47))</f>
        <v/>
      </c>
      <c r="M47" s="23">
        <f>IF(B47="","",IF(AND(C47="Debtor",N(E47)&lt;0),"Credit balance: an advance or an excess receipt",IF(AND(C47="Creditor",N(E47)&gt;0),"Debit balance: an advance paid to the supplier",IF(AND(C47="Creditor",N(L47)&gt;0),"Pay before the year end to keep the deduction, s.37(2)(g)",IF(N(J47)&gt;0,IF(C47="Creditor","Past due: pay, or confirm the terms in writing","Past due: follow up"),"OK")))))</f>
        <v/>
      </c>
    </row>
    <row r="48">
      <c r="B48" s="37">
        <f>IF('Parties'!$B$53="","",'Parties'!$B$53)</f>
        <v/>
      </c>
      <c r="C48" s="40">
        <f>IF(B48="","",'Parties'!$C$53&amp;"")</f>
        <v/>
      </c>
      <c r="D48" s="39">
        <f>IF(B48="","",'Parties'!$E$53&amp;"")</f>
        <v/>
      </c>
      <c r="E48" s="38">
        <f>IF(OR(B48="",$E$5=""),"",'Parties'!$M$53+SUMIFS('Entries'!$I$7:$I$506,'Entries'!$C$7:$C$506,B48,'Entries'!$B$7:$B$506,"&lt;="&amp;$E$5)-SUMIFS('Entries'!$J$7:$J$506,'Entries'!$C$7:$C$506,B48,'Entries'!$B$7:$B$506,"&lt;="&amp;$E$5))</f>
        <v/>
      </c>
      <c r="F48" s="49">
        <f>IF(B48="","",SUMIFS('Entries'!$W$7:$W$506,'Entries'!$C$7:$C$506,B48,'Entries'!$AC$7:$AC$506,"&gt;=0",'Entries'!$AC$7:$AC$506,"&lt;=30"))</f>
        <v/>
      </c>
      <c r="G48" s="49">
        <f>IF(B48="","",SUMIFS('Entries'!$W$7:$W$506,'Entries'!$C$7:$C$506,B48,'Entries'!$AC$7:$AC$506,"&gt;=31",'Entries'!$AC$7:$AC$506,"&lt;=60"))</f>
        <v/>
      </c>
      <c r="H48" s="49">
        <f>IF(B48="","",SUMIFS('Entries'!$W$7:$W$506,'Entries'!$C$7:$C$506,B48,'Entries'!$AC$7:$AC$506,"&gt;=61",'Entries'!$AC$7:$AC$506,"&lt;=90"))</f>
        <v/>
      </c>
      <c r="I48" s="49">
        <f>IF(B48="","",SUMIFS('Entries'!$W$7:$W$506,'Entries'!$C$7:$C$506,B48,'Entries'!$AC$7:$AC$506,"&gt;90"))</f>
        <v/>
      </c>
      <c r="J48" s="50">
        <f>IF(B48="","",SUMIFS('Entries'!$W$7:$W$506,'Entries'!$C$7:$C$506,B48,'Entries'!$AA$7:$AA$506,"&gt;0"))</f>
        <v/>
      </c>
      <c r="K48" s="49">
        <f>IF(B48="","",ROUND(SUMIFS('Entries'!$AB$7:$AB$506,'Entries'!$C$7:$C$506,B48),0))</f>
        <v/>
      </c>
      <c r="L48" s="49">
        <f>IF(B48="","",SUMIFS('Entries'!$AF$7:$AF$506,'Entries'!$C$7:$C$506,B48))</f>
        <v/>
      </c>
      <c r="M48" s="23">
        <f>IF(B48="","",IF(AND(C48="Debtor",N(E48)&lt;0),"Credit balance: an advance or an excess receipt",IF(AND(C48="Creditor",N(E48)&gt;0),"Debit balance: an advance paid to the supplier",IF(AND(C48="Creditor",N(L48)&gt;0),"Pay before the year end to keep the deduction, s.37(2)(g)",IF(N(J48)&gt;0,IF(C48="Creditor","Past due: pay, or confirm the terms in writing","Past due: follow up"),"OK")))))</f>
        <v/>
      </c>
    </row>
    <row r="49">
      <c r="B49" s="37">
        <f>IF('Parties'!$B$54="","",'Parties'!$B$54)</f>
        <v/>
      </c>
      <c r="C49" s="40">
        <f>IF(B49="","",'Parties'!$C$54&amp;"")</f>
        <v/>
      </c>
      <c r="D49" s="39">
        <f>IF(B49="","",'Parties'!$E$54&amp;"")</f>
        <v/>
      </c>
      <c r="E49" s="38">
        <f>IF(OR(B49="",$E$5=""),"",'Parties'!$M$54+SUMIFS('Entries'!$I$7:$I$506,'Entries'!$C$7:$C$506,B49,'Entries'!$B$7:$B$506,"&lt;="&amp;$E$5)-SUMIFS('Entries'!$J$7:$J$506,'Entries'!$C$7:$C$506,B49,'Entries'!$B$7:$B$506,"&lt;="&amp;$E$5))</f>
        <v/>
      </c>
      <c r="F49" s="49">
        <f>IF(B49="","",SUMIFS('Entries'!$W$7:$W$506,'Entries'!$C$7:$C$506,B49,'Entries'!$AC$7:$AC$506,"&gt;=0",'Entries'!$AC$7:$AC$506,"&lt;=30"))</f>
        <v/>
      </c>
      <c r="G49" s="49">
        <f>IF(B49="","",SUMIFS('Entries'!$W$7:$W$506,'Entries'!$C$7:$C$506,B49,'Entries'!$AC$7:$AC$506,"&gt;=31",'Entries'!$AC$7:$AC$506,"&lt;=60"))</f>
        <v/>
      </c>
      <c r="H49" s="49">
        <f>IF(B49="","",SUMIFS('Entries'!$W$7:$W$506,'Entries'!$C$7:$C$506,B49,'Entries'!$AC$7:$AC$506,"&gt;=61",'Entries'!$AC$7:$AC$506,"&lt;=90"))</f>
        <v/>
      </c>
      <c r="I49" s="49">
        <f>IF(B49="","",SUMIFS('Entries'!$W$7:$W$506,'Entries'!$C$7:$C$506,B49,'Entries'!$AC$7:$AC$506,"&gt;90"))</f>
        <v/>
      </c>
      <c r="J49" s="50">
        <f>IF(B49="","",SUMIFS('Entries'!$W$7:$W$506,'Entries'!$C$7:$C$506,B49,'Entries'!$AA$7:$AA$506,"&gt;0"))</f>
        <v/>
      </c>
      <c r="K49" s="49">
        <f>IF(B49="","",ROUND(SUMIFS('Entries'!$AB$7:$AB$506,'Entries'!$C$7:$C$506,B49),0))</f>
        <v/>
      </c>
      <c r="L49" s="49">
        <f>IF(B49="","",SUMIFS('Entries'!$AF$7:$AF$506,'Entries'!$C$7:$C$506,B49))</f>
        <v/>
      </c>
      <c r="M49" s="23">
        <f>IF(B49="","",IF(AND(C49="Debtor",N(E49)&lt;0),"Credit balance: an advance or an excess receipt",IF(AND(C49="Creditor",N(E49)&gt;0),"Debit balance: an advance paid to the supplier",IF(AND(C49="Creditor",N(L49)&gt;0),"Pay before the year end to keep the deduction, s.37(2)(g)",IF(N(J49)&gt;0,IF(C49="Creditor","Past due: pay, or confirm the terms in writing","Past due: follow up"),"OK")))))</f>
        <v/>
      </c>
    </row>
    <row r="50">
      <c r="B50" s="37">
        <f>IF('Parties'!$B$55="","",'Parties'!$B$55)</f>
        <v/>
      </c>
      <c r="C50" s="40">
        <f>IF(B50="","",'Parties'!$C$55&amp;"")</f>
        <v/>
      </c>
      <c r="D50" s="39">
        <f>IF(B50="","",'Parties'!$E$55&amp;"")</f>
        <v/>
      </c>
      <c r="E50" s="38">
        <f>IF(OR(B50="",$E$5=""),"",'Parties'!$M$55+SUMIFS('Entries'!$I$7:$I$506,'Entries'!$C$7:$C$506,B50,'Entries'!$B$7:$B$506,"&lt;="&amp;$E$5)-SUMIFS('Entries'!$J$7:$J$506,'Entries'!$C$7:$C$506,B50,'Entries'!$B$7:$B$506,"&lt;="&amp;$E$5))</f>
        <v/>
      </c>
      <c r="F50" s="49">
        <f>IF(B50="","",SUMIFS('Entries'!$W$7:$W$506,'Entries'!$C$7:$C$506,B50,'Entries'!$AC$7:$AC$506,"&gt;=0",'Entries'!$AC$7:$AC$506,"&lt;=30"))</f>
        <v/>
      </c>
      <c r="G50" s="49">
        <f>IF(B50="","",SUMIFS('Entries'!$W$7:$W$506,'Entries'!$C$7:$C$506,B50,'Entries'!$AC$7:$AC$506,"&gt;=31",'Entries'!$AC$7:$AC$506,"&lt;=60"))</f>
        <v/>
      </c>
      <c r="H50" s="49">
        <f>IF(B50="","",SUMIFS('Entries'!$W$7:$W$506,'Entries'!$C$7:$C$506,B50,'Entries'!$AC$7:$AC$506,"&gt;=61",'Entries'!$AC$7:$AC$506,"&lt;=90"))</f>
        <v/>
      </c>
      <c r="I50" s="49">
        <f>IF(B50="","",SUMIFS('Entries'!$W$7:$W$506,'Entries'!$C$7:$C$506,B50,'Entries'!$AC$7:$AC$506,"&gt;90"))</f>
        <v/>
      </c>
      <c r="J50" s="50">
        <f>IF(B50="","",SUMIFS('Entries'!$W$7:$W$506,'Entries'!$C$7:$C$506,B50,'Entries'!$AA$7:$AA$506,"&gt;0"))</f>
        <v/>
      </c>
      <c r="K50" s="49">
        <f>IF(B50="","",ROUND(SUMIFS('Entries'!$AB$7:$AB$506,'Entries'!$C$7:$C$506,B50),0))</f>
        <v/>
      </c>
      <c r="L50" s="49">
        <f>IF(B50="","",SUMIFS('Entries'!$AF$7:$AF$506,'Entries'!$C$7:$C$506,B50))</f>
        <v/>
      </c>
      <c r="M50" s="23">
        <f>IF(B50="","",IF(AND(C50="Debtor",N(E50)&lt;0),"Credit balance: an advance or an excess receipt",IF(AND(C50="Creditor",N(E50)&gt;0),"Debit balance: an advance paid to the supplier",IF(AND(C50="Creditor",N(L50)&gt;0),"Pay before the year end to keep the deduction, s.37(2)(g)",IF(N(J50)&gt;0,IF(C50="Creditor","Past due: pay, or confirm the terms in writing","Past due: follow up"),"OK")))))</f>
        <v/>
      </c>
    </row>
    <row r="51">
      <c r="B51" s="37">
        <f>IF('Parties'!$B$56="","",'Parties'!$B$56)</f>
        <v/>
      </c>
      <c r="C51" s="40">
        <f>IF(B51="","",'Parties'!$C$56&amp;"")</f>
        <v/>
      </c>
      <c r="D51" s="39">
        <f>IF(B51="","",'Parties'!$E$56&amp;"")</f>
        <v/>
      </c>
      <c r="E51" s="38">
        <f>IF(OR(B51="",$E$5=""),"",'Parties'!$M$56+SUMIFS('Entries'!$I$7:$I$506,'Entries'!$C$7:$C$506,B51,'Entries'!$B$7:$B$506,"&lt;="&amp;$E$5)-SUMIFS('Entries'!$J$7:$J$506,'Entries'!$C$7:$C$506,B51,'Entries'!$B$7:$B$506,"&lt;="&amp;$E$5))</f>
        <v/>
      </c>
      <c r="F51" s="49">
        <f>IF(B51="","",SUMIFS('Entries'!$W$7:$W$506,'Entries'!$C$7:$C$506,B51,'Entries'!$AC$7:$AC$506,"&gt;=0",'Entries'!$AC$7:$AC$506,"&lt;=30"))</f>
        <v/>
      </c>
      <c r="G51" s="49">
        <f>IF(B51="","",SUMIFS('Entries'!$W$7:$W$506,'Entries'!$C$7:$C$506,B51,'Entries'!$AC$7:$AC$506,"&gt;=31",'Entries'!$AC$7:$AC$506,"&lt;=60"))</f>
        <v/>
      </c>
      <c r="H51" s="49">
        <f>IF(B51="","",SUMIFS('Entries'!$W$7:$W$506,'Entries'!$C$7:$C$506,B51,'Entries'!$AC$7:$AC$506,"&gt;=61",'Entries'!$AC$7:$AC$506,"&lt;=90"))</f>
        <v/>
      </c>
      <c r="I51" s="49">
        <f>IF(B51="","",SUMIFS('Entries'!$W$7:$W$506,'Entries'!$C$7:$C$506,B51,'Entries'!$AC$7:$AC$506,"&gt;90"))</f>
        <v/>
      </c>
      <c r="J51" s="50">
        <f>IF(B51="","",SUMIFS('Entries'!$W$7:$W$506,'Entries'!$C$7:$C$506,B51,'Entries'!$AA$7:$AA$506,"&gt;0"))</f>
        <v/>
      </c>
      <c r="K51" s="49">
        <f>IF(B51="","",ROUND(SUMIFS('Entries'!$AB$7:$AB$506,'Entries'!$C$7:$C$506,B51),0))</f>
        <v/>
      </c>
      <c r="L51" s="49">
        <f>IF(B51="","",SUMIFS('Entries'!$AF$7:$AF$506,'Entries'!$C$7:$C$506,B51))</f>
        <v/>
      </c>
      <c r="M51" s="23">
        <f>IF(B51="","",IF(AND(C51="Debtor",N(E51)&lt;0),"Credit balance: an advance or an excess receipt",IF(AND(C51="Creditor",N(E51)&gt;0),"Debit balance: an advance paid to the supplier",IF(AND(C51="Creditor",N(L51)&gt;0),"Pay before the year end to keep the deduction, s.37(2)(g)",IF(N(J51)&gt;0,IF(C51="Creditor","Past due: pay, or confirm the terms in writing","Past due: follow up"),"OK")))))</f>
        <v/>
      </c>
    </row>
    <row r="52">
      <c r="B52" s="37">
        <f>IF('Parties'!$B$57="","",'Parties'!$B$57)</f>
        <v/>
      </c>
      <c r="C52" s="40">
        <f>IF(B52="","",'Parties'!$C$57&amp;"")</f>
        <v/>
      </c>
      <c r="D52" s="39">
        <f>IF(B52="","",'Parties'!$E$57&amp;"")</f>
        <v/>
      </c>
      <c r="E52" s="38">
        <f>IF(OR(B52="",$E$5=""),"",'Parties'!$M$57+SUMIFS('Entries'!$I$7:$I$506,'Entries'!$C$7:$C$506,B52,'Entries'!$B$7:$B$506,"&lt;="&amp;$E$5)-SUMIFS('Entries'!$J$7:$J$506,'Entries'!$C$7:$C$506,B52,'Entries'!$B$7:$B$506,"&lt;="&amp;$E$5))</f>
        <v/>
      </c>
      <c r="F52" s="49">
        <f>IF(B52="","",SUMIFS('Entries'!$W$7:$W$506,'Entries'!$C$7:$C$506,B52,'Entries'!$AC$7:$AC$506,"&gt;=0",'Entries'!$AC$7:$AC$506,"&lt;=30"))</f>
        <v/>
      </c>
      <c r="G52" s="49">
        <f>IF(B52="","",SUMIFS('Entries'!$W$7:$W$506,'Entries'!$C$7:$C$506,B52,'Entries'!$AC$7:$AC$506,"&gt;=31",'Entries'!$AC$7:$AC$506,"&lt;=60"))</f>
        <v/>
      </c>
      <c r="H52" s="49">
        <f>IF(B52="","",SUMIFS('Entries'!$W$7:$W$506,'Entries'!$C$7:$C$506,B52,'Entries'!$AC$7:$AC$506,"&gt;=61",'Entries'!$AC$7:$AC$506,"&lt;=90"))</f>
        <v/>
      </c>
      <c r="I52" s="49">
        <f>IF(B52="","",SUMIFS('Entries'!$W$7:$W$506,'Entries'!$C$7:$C$506,B52,'Entries'!$AC$7:$AC$506,"&gt;90"))</f>
        <v/>
      </c>
      <c r="J52" s="50">
        <f>IF(B52="","",SUMIFS('Entries'!$W$7:$W$506,'Entries'!$C$7:$C$506,B52,'Entries'!$AA$7:$AA$506,"&gt;0"))</f>
        <v/>
      </c>
      <c r="K52" s="49">
        <f>IF(B52="","",ROUND(SUMIFS('Entries'!$AB$7:$AB$506,'Entries'!$C$7:$C$506,B52),0))</f>
        <v/>
      </c>
      <c r="L52" s="49">
        <f>IF(B52="","",SUMIFS('Entries'!$AF$7:$AF$506,'Entries'!$C$7:$C$506,B52))</f>
        <v/>
      </c>
      <c r="M52" s="23">
        <f>IF(B52="","",IF(AND(C52="Debtor",N(E52)&lt;0),"Credit balance: an advance or an excess receipt",IF(AND(C52="Creditor",N(E52)&gt;0),"Debit balance: an advance paid to the supplier",IF(AND(C52="Creditor",N(L52)&gt;0),"Pay before the year end to keep the deduction, s.37(2)(g)",IF(N(J52)&gt;0,IF(C52="Creditor","Past due: pay, or confirm the terms in writing","Past due: follow up"),"OK")))))</f>
        <v/>
      </c>
    </row>
    <row r="53">
      <c r="B53" s="37">
        <f>IF('Parties'!$B$58="","",'Parties'!$B$58)</f>
        <v/>
      </c>
      <c r="C53" s="40">
        <f>IF(B53="","",'Parties'!$C$58&amp;"")</f>
        <v/>
      </c>
      <c r="D53" s="39">
        <f>IF(B53="","",'Parties'!$E$58&amp;"")</f>
        <v/>
      </c>
      <c r="E53" s="38">
        <f>IF(OR(B53="",$E$5=""),"",'Parties'!$M$58+SUMIFS('Entries'!$I$7:$I$506,'Entries'!$C$7:$C$506,B53,'Entries'!$B$7:$B$506,"&lt;="&amp;$E$5)-SUMIFS('Entries'!$J$7:$J$506,'Entries'!$C$7:$C$506,B53,'Entries'!$B$7:$B$506,"&lt;="&amp;$E$5))</f>
        <v/>
      </c>
      <c r="F53" s="49">
        <f>IF(B53="","",SUMIFS('Entries'!$W$7:$W$506,'Entries'!$C$7:$C$506,B53,'Entries'!$AC$7:$AC$506,"&gt;=0",'Entries'!$AC$7:$AC$506,"&lt;=30"))</f>
        <v/>
      </c>
      <c r="G53" s="49">
        <f>IF(B53="","",SUMIFS('Entries'!$W$7:$W$506,'Entries'!$C$7:$C$506,B53,'Entries'!$AC$7:$AC$506,"&gt;=31",'Entries'!$AC$7:$AC$506,"&lt;=60"))</f>
        <v/>
      </c>
      <c r="H53" s="49">
        <f>IF(B53="","",SUMIFS('Entries'!$W$7:$W$506,'Entries'!$C$7:$C$506,B53,'Entries'!$AC$7:$AC$506,"&gt;=61",'Entries'!$AC$7:$AC$506,"&lt;=90"))</f>
        <v/>
      </c>
      <c r="I53" s="49">
        <f>IF(B53="","",SUMIFS('Entries'!$W$7:$W$506,'Entries'!$C$7:$C$506,B53,'Entries'!$AC$7:$AC$506,"&gt;90"))</f>
        <v/>
      </c>
      <c r="J53" s="50">
        <f>IF(B53="","",SUMIFS('Entries'!$W$7:$W$506,'Entries'!$C$7:$C$506,B53,'Entries'!$AA$7:$AA$506,"&gt;0"))</f>
        <v/>
      </c>
      <c r="K53" s="49">
        <f>IF(B53="","",ROUND(SUMIFS('Entries'!$AB$7:$AB$506,'Entries'!$C$7:$C$506,B53),0))</f>
        <v/>
      </c>
      <c r="L53" s="49">
        <f>IF(B53="","",SUMIFS('Entries'!$AF$7:$AF$506,'Entries'!$C$7:$C$506,B53))</f>
        <v/>
      </c>
      <c r="M53" s="23">
        <f>IF(B53="","",IF(AND(C53="Debtor",N(E53)&lt;0),"Credit balance: an advance or an excess receipt",IF(AND(C53="Creditor",N(E53)&gt;0),"Debit balance: an advance paid to the supplier",IF(AND(C53="Creditor",N(L53)&gt;0),"Pay before the year end to keep the deduction, s.37(2)(g)",IF(N(J53)&gt;0,IF(C53="Creditor","Past due: pay, or confirm the terms in writing","Past due: follow up"),"OK")))))</f>
        <v/>
      </c>
    </row>
    <row r="54">
      <c r="B54" s="37">
        <f>IF('Parties'!$B$59="","",'Parties'!$B$59)</f>
        <v/>
      </c>
      <c r="C54" s="40">
        <f>IF(B54="","",'Parties'!$C$59&amp;"")</f>
        <v/>
      </c>
      <c r="D54" s="39">
        <f>IF(B54="","",'Parties'!$E$59&amp;"")</f>
        <v/>
      </c>
      <c r="E54" s="38">
        <f>IF(OR(B54="",$E$5=""),"",'Parties'!$M$59+SUMIFS('Entries'!$I$7:$I$506,'Entries'!$C$7:$C$506,B54,'Entries'!$B$7:$B$506,"&lt;="&amp;$E$5)-SUMIFS('Entries'!$J$7:$J$506,'Entries'!$C$7:$C$506,B54,'Entries'!$B$7:$B$506,"&lt;="&amp;$E$5))</f>
        <v/>
      </c>
      <c r="F54" s="49">
        <f>IF(B54="","",SUMIFS('Entries'!$W$7:$W$506,'Entries'!$C$7:$C$506,B54,'Entries'!$AC$7:$AC$506,"&gt;=0",'Entries'!$AC$7:$AC$506,"&lt;=30"))</f>
        <v/>
      </c>
      <c r="G54" s="49">
        <f>IF(B54="","",SUMIFS('Entries'!$W$7:$W$506,'Entries'!$C$7:$C$506,B54,'Entries'!$AC$7:$AC$506,"&gt;=31",'Entries'!$AC$7:$AC$506,"&lt;=60"))</f>
        <v/>
      </c>
      <c r="H54" s="49">
        <f>IF(B54="","",SUMIFS('Entries'!$W$7:$W$506,'Entries'!$C$7:$C$506,B54,'Entries'!$AC$7:$AC$506,"&gt;=61",'Entries'!$AC$7:$AC$506,"&lt;=90"))</f>
        <v/>
      </c>
      <c r="I54" s="49">
        <f>IF(B54="","",SUMIFS('Entries'!$W$7:$W$506,'Entries'!$C$7:$C$506,B54,'Entries'!$AC$7:$AC$506,"&gt;90"))</f>
        <v/>
      </c>
      <c r="J54" s="50">
        <f>IF(B54="","",SUMIFS('Entries'!$W$7:$W$506,'Entries'!$C$7:$C$506,B54,'Entries'!$AA$7:$AA$506,"&gt;0"))</f>
        <v/>
      </c>
      <c r="K54" s="49">
        <f>IF(B54="","",ROUND(SUMIFS('Entries'!$AB$7:$AB$506,'Entries'!$C$7:$C$506,B54),0))</f>
        <v/>
      </c>
      <c r="L54" s="49">
        <f>IF(B54="","",SUMIFS('Entries'!$AF$7:$AF$506,'Entries'!$C$7:$C$506,B54))</f>
        <v/>
      </c>
      <c r="M54" s="23">
        <f>IF(B54="","",IF(AND(C54="Debtor",N(E54)&lt;0),"Credit balance: an advance or an excess receipt",IF(AND(C54="Creditor",N(E54)&gt;0),"Debit balance: an advance paid to the supplier",IF(AND(C54="Creditor",N(L54)&gt;0),"Pay before the year end to keep the deduction, s.37(2)(g)",IF(N(J54)&gt;0,IF(C54="Creditor","Past due: pay, or confirm the terms in writing","Past due: follow up"),"OK")))))</f>
        <v/>
      </c>
    </row>
    <row r="55">
      <c r="B55" s="37">
        <f>IF('Parties'!$B$60="","",'Parties'!$B$60)</f>
        <v/>
      </c>
      <c r="C55" s="40">
        <f>IF(B55="","",'Parties'!$C$60&amp;"")</f>
        <v/>
      </c>
      <c r="D55" s="39">
        <f>IF(B55="","",'Parties'!$E$60&amp;"")</f>
        <v/>
      </c>
      <c r="E55" s="38">
        <f>IF(OR(B55="",$E$5=""),"",'Parties'!$M$60+SUMIFS('Entries'!$I$7:$I$506,'Entries'!$C$7:$C$506,B55,'Entries'!$B$7:$B$506,"&lt;="&amp;$E$5)-SUMIFS('Entries'!$J$7:$J$506,'Entries'!$C$7:$C$506,B55,'Entries'!$B$7:$B$506,"&lt;="&amp;$E$5))</f>
        <v/>
      </c>
      <c r="F55" s="49">
        <f>IF(B55="","",SUMIFS('Entries'!$W$7:$W$506,'Entries'!$C$7:$C$506,B55,'Entries'!$AC$7:$AC$506,"&gt;=0",'Entries'!$AC$7:$AC$506,"&lt;=30"))</f>
        <v/>
      </c>
      <c r="G55" s="49">
        <f>IF(B55="","",SUMIFS('Entries'!$W$7:$W$506,'Entries'!$C$7:$C$506,B55,'Entries'!$AC$7:$AC$506,"&gt;=31",'Entries'!$AC$7:$AC$506,"&lt;=60"))</f>
        <v/>
      </c>
      <c r="H55" s="49">
        <f>IF(B55="","",SUMIFS('Entries'!$W$7:$W$506,'Entries'!$C$7:$C$506,B55,'Entries'!$AC$7:$AC$506,"&gt;=61",'Entries'!$AC$7:$AC$506,"&lt;=90"))</f>
        <v/>
      </c>
      <c r="I55" s="49">
        <f>IF(B55="","",SUMIFS('Entries'!$W$7:$W$506,'Entries'!$C$7:$C$506,B55,'Entries'!$AC$7:$AC$506,"&gt;90"))</f>
        <v/>
      </c>
      <c r="J55" s="50">
        <f>IF(B55="","",SUMIFS('Entries'!$W$7:$W$506,'Entries'!$C$7:$C$506,B55,'Entries'!$AA$7:$AA$506,"&gt;0"))</f>
        <v/>
      </c>
      <c r="K55" s="49">
        <f>IF(B55="","",ROUND(SUMIFS('Entries'!$AB$7:$AB$506,'Entries'!$C$7:$C$506,B55),0))</f>
        <v/>
      </c>
      <c r="L55" s="49">
        <f>IF(B55="","",SUMIFS('Entries'!$AF$7:$AF$506,'Entries'!$C$7:$C$506,B55))</f>
        <v/>
      </c>
      <c r="M55" s="23">
        <f>IF(B55="","",IF(AND(C55="Debtor",N(E55)&lt;0),"Credit balance: an advance or an excess receipt",IF(AND(C55="Creditor",N(E55)&gt;0),"Debit balance: an advance paid to the supplier",IF(AND(C55="Creditor",N(L55)&gt;0),"Pay before the year end to keep the deduction, s.37(2)(g)",IF(N(J55)&gt;0,IF(C55="Creditor","Past due: pay, or confirm the terms in writing","Past due: follow up"),"OK")))))</f>
        <v/>
      </c>
    </row>
    <row r="56">
      <c r="B56" s="37">
        <f>IF('Parties'!$B$61="","",'Parties'!$B$61)</f>
        <v/>
      </c>
      <c r="C56" s="40">
        <f>IF(B56="","",'Parties'!$C$61&amp;"")</f>
        <v/>
      </c>
      <c r="D56" s="39">
        <f>IF(B56="","",'Parties'!$E$61&amp;"")</f>
        <v/>
      </c>
      <c r="E56" s="38">
        <f>IF(OR(B56="",$E$5=""),"",'Parties'!$M$61+SUMIFS('Entries'!$I$7:$I$506,'Entries'!$C$7:$C$506,B56,'Entries'!$B$7:$B$506,"&lt;="&amp;$E$5)-SUMIFS('Entries'!$J$7:$J$506,'Entries'!$C$7:$C$506,B56,'Entries'!$B$7:$B$506,"&lt;="&amp;$E$5))</f>
        <v/>
      </c>
      <c r="F56" s="49">
        <f>IF(B56="","",SUMIFS('Entries'!$W$7:$W$506,'Entries'!$C$7:$C$506,B56,'Entries'!$AC$7:$AC$506,"&gt;=0",'Entries'!$AC$7:$AC$506,"&lt;=30"))</f>
        <v/>
      </c>
      <c r="G56" s="49">
        <f>IF(B56="","",SUMIFS('Entries'!$W$7:$W$506,'Entries'!$C$7:$C$506,B56,'Entries'!$AC$7:$AC$506,"&gt;=31",'Entries'!$AC$7:$AC$506,"&lt;=60"))</f>
        <v/>
      </c>
      <c r="H56" s="49">
        <f>IF(B56="","",SUMIFS('Entries'!$W$7:$W$506,'Entries'!$C$7:$C$506,B56,'Entries'!$AC$7:$AC$506,"&gt;=61",'Entries'!$AC$7:$AC$506,"&lt;=90"))</f>
        <v/>
      </c>
      <c r="I56" s="49">
        <f>IF(B56="","",SUMIFS('Entries'!$W$7:$W$506,'Entries'!$C$7:$C$506,B56,'Entries'!$AC$7:$AC$506,"&gt;90"))</f>
        <v/>
      </c>
      <c r="J56" s="50">
        <f>IF(B56="","",SUMIFS('Entries'!$W$7:$W$506,'Entries'!$C$7:$C$506,B56,'Entries'!$AA$7:$AA$506,"&gt;0"))</f>
        <v/>
      </c>
      <c r="K56" s="49">
        <f>IF(B56="","",ROUND(SUMIFS('Entries'!$AB$7:$AB$506,'Entries'!$C$7:$C$506,B56),0))</f>
        <v/>
      </c>
      <c r="L56" s="49">
        <f>IF(B56="","",SUMIFS('Entries'!$AF$7:$AF$506,'Entries'!$C$7:$C$506,B56))</f>
        <v/>
      </c>
      <c r="M56" s="23">
        <f>IF(B56="","",IF(AND(C56="Debtor",N(E56)&lt;0),"Credit balance: an advance or an excess receipt",IF(AND(C56="Creditor",N(E56)&gt;0),"Debit balance: an advance paid to the supplier",IF(AND(C56="Creditor",N(L56)&gt;0),"Pay before the year end to keep the deduction, s.37(2)(g)",IF(N(J56)&gt;0,IF(C56="Creditor","Past due: pay, or confirm the terms in writing","Past due: follow up"),"OK")))))</f>
        <v/>
      </c>
    </row>
    <row r="57">
      <c r="B57" s="37">
        <f>IF('Parties'!$B$62="","",'Parties'!$B$62)</f>
        <v/>
      </c>
      <c r="C57" s="40">
        <f>IF(B57="","",'Parties'!$C$62&amp;"")</f>
        <v/>
      </c>
      <c r="D57" s="39">
        <f>IF(B57="","",'Parties'!$E$62&amp;"")</f>
        <v/>
      </c>
      <c r="E57" s="38">
        <f>IF(OR(B57="",$E$5=""),"",'Parties'!$M$62+SUMIFS('Entries'!$I$7:$I$506,'Entries'!$C$7:$C$506,B57,'Entries'!$B$7:$B$506,"&lt;="&amp;$E$5)-SUMIFS('Entries'!$J$7:$J$506,'Entries'!$C$7:$C$506,B57,'Entries'!$B$7:$B$506,"&lt;="&amp;$E$5))</f>
        <v/>
      </c>
      <c r="F57" s="49">
        <f>IF(B57="","",SUMIFS('Entries'!$W$7:$W$506,'Entries'!$C$7:$C$506,B57,'Entries'!$AC$7:$AC$506,"&gt;=0",'Entries'!$AC$7:$AC$506,"&lt;=30"))</f>
        <v/>
      </c>
      <c r="G57" s="49">
        <f>IF(B57="","",SUMIFS('Entries'!$W$7:$W$506,'Entries'!$C$7:$C$506,B57,'Entries'!$AC$7:$AC$506,"&gt;=31",'Entries'!$AC$7:$AC$506,"&lt;=60"))</f>
        <v/>
      </c>
      <c r="H57" s="49">
        <f>IF(B57="","",SUMIFS('Entries'!$W$7:$W$506,'Entries'!$C$7:$C$506,B57,'Entries'!$AC$7:$AC$506,"&gt;=61",'Entries'!$AC$7:$AC$506,"&lt;=90"))</f>
        <v/>
      </c>
      <c r="I57" s="49">
        <f>IF(B57="","",SUMIFS('Entries'!$W$7:$W$506,'Entries'!$C$7:$C$506,B57,'Entries'!$AC$7:$AC$506,"&gt;90"))</f>
        <v/>
      </c>
      <c r="J57" s="50">
        <f>IF(B57="","",SUMIFS('Entries'!$W$7:$W$506,'Entries'!$C$7:$C$506,B57,'Entries'!$AA$7:$AA$506,"&gt;0"))</f>
        <v/>
      </c>
      <c r="K57" s="49">
        <f>IF(B57="","",ROUND(SUMIFS('Entries'!$AB$7:$AB$506,'Entries'!$C$7:$C$506,B57),0))</f>
        <v/>
      </c>
      <c r="L57" s="49">
        <f>IF(B57="","",SUMIFS('Entries'!$AF$7:$AF$506,'Entries'!$C$7:$C$506,B57))</f>
        <v/>
      </c>
      <c r="M57" s="23">
        <f>IF(B57="","",IF(AND(C57="Debtor",N(E57)&lt;0),"Credit balance: an advance or an excess receipt",IF(AND(C57="Creditor",N(E57)&gt;0),"Debit balance: an advance paid to the supplier",IF(AND(C57="Creditor",N(L57)&gt;0),"Pay before the year end to keep the deduction, s.37(2)(g)",IF(N(J57)&gt;0,IF(C57="Creditor","Past due: pay, or confirm the terms in writing","Past due: follow up"),"OK")))))</f>
        <v/>
      </c>
    </row>
    <row r="58">
      <c r="B58" s="37">
        <f>IF('Parties'!$B$63="","",'Parties'!$B$63)</f>
        <v/>
      </c>
      <c r="C58" s="40">
        <f>IF(B58="","",'Parties'!$C$63&amp;"")</f>
        <v/>
      </c>
      <c r="D58" s="39">
        <f>IF(B58="","",'Parties'!$E$63&amp;"")</f>
        <v/>
      </c>
      <c r="E58" s="38">
        <f>IF(OR(B58="",$E$5=""),"",'Parties'!$M$63+SUMIFS('Entries'!$I$7:$I$506,'Entries'!$C$7:$C$506,B58,'Entries'!$B$7:$B$506,"&lt;="&amp;$E$5)-SUMIFS('Entries'!$J$7:$J$506,'Entries'!$C$7:$C$506,B58,'Entries'!$B$7:$B$506,"&lt;="&amp;$E$5))</f>
        <v/>
      </c>
      <c r="F58" s="49">
        <f>IF(B58="","",SUMIFS('Entries'!$W$7:$W$506,'Entries'!$C$7:$C$506,B58,'Entries'!$AC$7:$AC$506,"&gt;=0",'Entries'!$AC$7:$AC$506,"&lt;=30"))</f>
        <v/>
      </c>
      <c r="G58" s="49">
        <f>IF(B58="","",SUMIFS('Entries'!$W$7:$W$506,'Entries'!$C$7:$C$506,B58,'Entries'!$AC$7:$AC$506,"&gt;=31",'Entries'!$AC$7:$AC$506,"&lt;=60"))</f>
        <v/>
      </c>
      <c r="H58" s="49">
        <f>IF(B58="","",SUMIFS('Entries'!$W$7:$W$506,'Entries'!$C$7:$C$506,B58,'Entries'!$AC$7:$AC$506,"&gt;=61",'Entries'!$AC$7:$AC$506,"&lt;=90"))</f>
        <v/>
      </c>
      <c r="I58" s="49">
        <f>IF(B58="","",SUMIFS('Entries'!$W$7:$W$506,'Entries'!$C$7:$C$506,B58,'Entries'!$AC$7:$AC$506,"&gt;90"))</f>
        <v/>
      </c>
      <c r="J58" s="50">
        <f>IF(B58="","",SUMIFS('Entries'!$W$7:$W$506,'Entries'!$C$7:$C$506,B58,'Entries'!$AA$7:$AA$506,"&gt;0"))</f>
        <v/>
      </c>
      <c r="K58" s="49">
        <f>IF(B58="","",ROUND(SUMIFS('Entries'!$AB$7:$AB$506,'Entries'!$C$7:$C$506,B58),0))</f>
        <v/>
      </c>
      <c r="L58" s="49">
        <f>IF(B58="","",SUMIFS('Entries'!$AF$7:$AF$506,'Entries'!$C$7:$C$506,B58))</f>
        <v/>
      </c>
      <c r="M58" s="23">
        <f>IF(B58="","",IF(AND(C58="Debtor",N(E58)&lt;0),"Credit balance: an advance or an excess receipt",IF(AND(C58="Creditor",N(E58)&gt;0),"Debit balance: an advance paid to the supplier",IF(AND(C58="Creditor",N(L58)&gt;0),"Pay before the year end to keep the deduction, s.37(2)(g)",IF(N(J58)&gt;0,IF(C58="Creditor","Past due: pay, or confirm the terms in writing","Past due: follow up"),"OK")))))</f>
        <v/>
      </c>
    </row>
    <row r="59">
      <c r="B59" s="37">
        <f>IF('Parties'!$B$64="","",'Parties'!$B$64)</f>
        <v/>
      </c>
      <c r="C59" s="40">
        <f>IF(B59="","",'Parties'!$C$64&amp;"")</f>
        <v/>
      </c>
      <c r="D59" s="39">
        <f>IF(B59="","",'Parties'!$E$64&amp;"")</f>
        <v/>
      </c>
      <c r="E59" s="38">
        <f>IF(OR(B59="",$E$5=""),"",'Parties'!$M$64+SUMIFS('Entries'!$I$7:$I$506,'Entries'!$C$7:$C$506,B59,'Entries'!$B$7:$B$506,"&lt;="&amp;$E$5)-SUMIFS('Entries'!$J$7:$J$506,'Entries'!$C$7:$C$506,B59,'Entries'!$B$7:$B$506,"&lt;="&amp;$E$5))</f>
        <v/>
      </c>
      <c r="F59" s="49">
        <f>IF(B59="","",SUMIFS('Entries'!$W$7:$W$506,'Entries'!$C$7:$C$506,B59,'Entries'!$AC$7:$AC$506,"&gt;=0",'Entries'!$AC$7:$AC$506,"&lt;=30"))</f>
        <v/>
      </c>
      <c r="G59" s="49">
        <f>IF(B59="","",SUMIFS('Entries'!$W$7:$W$506,'Entries'!$C$7:$C$506,B59,'Entries'!$AC$7:$AC$506,"&gt;=31",'Entries'!$AC$7:$AC$506,"&lt;=60"))</f>
        <v/>
      </c>
      <c r="H59" s="49">
        <f>IF(B59="","",SUMIFS('Entries'!$W$7:$W$506,'Entries'!$C$7:$C$506,B59,'Entries'!$AC$7:$AC$506,"&gt;=61",'Entries'!$AC$7:$AC$506,"&lt;=90"))</f>
        <v/>
      </c>
      <c r="I59" s="49">
        <f>IF(B59="","",SUMIFS('Entries'!$W$7:$W$506,'Entries'!$C$7:$C$506,B59,'Entries'!$AC$7:$AC$506,"&gt;90"))</f>
        <v/>
      </c>
      <c r="J59" s="50">
        <f>IF(B59="","",SUMIFS('Entries'!$W$7:$W$506,'Entries'!$C$7:$C$506,B59,'Entries'!$AA$7:$AA$506,"&gt;0"))</f>
        <v/>
      </c>
      <c r="K59" s="49">
        <f>IF(B59="","",ROUND(SUMIFS('Entries'!$AB$7:$AB$506,'Entries'!$C$7:$C$506,B59),0))</f>
        <v/>
      </c>
      <c r="L59" s="49">
        <f>IF(B59="","",SUMIFS('Entries'!$AF$7:$AF$506,'Entries'!$C$7:$C$506,B59))</f>
        <v/>
      </c>
      <c r="M59" s="23">
        <f>IF(B59="","",IF(AND(C59="Debtor",N(E59)&lt;0),"Credit balance: an advance or an excess receipt",IF(AND(C59="Creditor",N(E59)&gt;0),"Debit balance: an advance paid to the supplier",IF(AND(C59="Creditor",N(L59)&gt;0),"Pay before the year end to keep the deduction, s.37(2)(g)",IF(N(J59)&gt;0,IF(C59="Creditor","Past due: pay, or confirm the terms in writing","Past due: follow up"),"OK")))))</f>
        <v/>
      </c>
    </row>
    <row r="60">
      <c r="B60" s="37">
        <f>IF('Parties'!$B$65="","",'Parties'!$B$65)</f>
        <v/>
      </c>
      <c r="C60" s="40">
        <f>IF(B60="","",'Parties'!$C$65&amp;"")</f>
        <v/>
      </c>
      <c r="D60" s="39">
        <f>IF(B60="","",'Parties'!$E$65&amp;"")</f>
        <v/>
      </c>
      <c r="E60" s="38">
        <f>IF(OR(B60="",$E$5=""),"",'Parties'!$M$65+SUMIFS('Entries'!$I$7:$I$506,'Entries'!$C$7:$C$506,B60,'Entries'!$B$7:$B$506,"&lt;="&amp;$E$5)-SUMIFS('Entries'!$J$7:$J$506,'Entries'!$C$7:$C$506,B60,'Entries'!$B$7:$B$506,"&lt;="&amp;$E$5))</f>
        <v/>
      </c>
      <c r="F60" s="49">
        <f>IF(B60="","",SUMIFS('Entries'!$W$7:$W$506,'Entries'!$C$7:$C$506,B60,'Entries'!$AC$7:$AC$506,"&gt;=0",'Entries'!$AC$7:$AC$506,"&lt;=30"))</f>
        <v/>
      </c>
      <c r="G60" s="49">
        <f>IF(B60="","",SUMIFS('Entries'!$W$7:$W$506,'Entries'!$C$7:$C$506,B60,'Entries'!$AC$7:$AC$506,"&gt;=31",'Entries'!$AC$7:$AC$506,"&lt;=60"))</f>
        <v/>
      </c>
      <c r="H60" s="49">
        <f>IF(B60="","",SUMIFS('Entries'!$W$7:$W$506,'Entries'!$C$7:$C$506,B60,'Entries'!$AC$7:$AC$506,"&gt;=61",'Entries'!$AC$7:$AC$506,"&lt;=90"))</f>
        <v/>
      </c>
      <c r="I60" s="49">
        <f>IF(B60="","",SUMIFS('Entries'!$W$7:$W$506,'Entries'!$C$7:$C$506,B60,'Entries'!$AC$7:$AC$506,"&gt;90"))</f>
        <v/>
      </c>
      <c r="J60" s="50">
        <f>IF(B60="","",SUMIFS('Entries'!$W$7:$W$506,'Entries'!$C$7:$C$506,B60,'Entries'!$AA$7:$AA$506,"&gt;0"))</f>
        <v/>
      </c>
      <c r="K60" s="49">
        <f>IF(B60="","",ROUND(SUMIFS('Entries'!$AB$7:$AB$506,'Entries'!$C$7:$C$506,B60),0))</f>
        <v/>
      </c>
      <c r="L60" s="49">
        <f>IF(B60="","",SUMIFS('Entries'!$AF$7:$AF$506,'Entries'!$C$7:$C$506,B60))</f>
        <v/>
      </c>
      <c r="M60" s="23">
        <f>IF(B60="","",IF(AND(C60="Debtor",N(E60)&lt;0),"Credit balance: an advance or an excess receipt",IF(AND(C60="Creditor",N(E60)&gt;0),"Debit balance: an advance paid to the supplier",IF(AND(C60="Creditor",N(L60)&gt;0),"Pay before the year end to keep the deduction, s.37(2)(g)",IF(N(J60)&gt;0,IF(C60="Creditor","Past due: pay, or confirm the terms in writing","Past due: follow up"),"OK")))))</f>
        <v/>
      </c>
    </row>
    <row r="61">
      <c r="B61" s="37">
        <f>IF('Parties'!$B$66="","",'Parties'!$B$66)</f>
        <v/>
      </c>
      <c r="C61" s="40">
        <f>IF(B61="","",'Parties'!$C$66&amp;"")</f>
        <v/>
      </c>
      <c r="D61" s="39">
        <f>IF(B61="","",'Parties'!$E$66&amp;"")</f>
        <v/>
      </c>
      <c r="E61" s="38">
        <f>IF(OR(B61="",$E$5=""),"",'Parties'!$M$66+SUMIFS('Entries'!$I$7:$I$506,'Entries'!$C$7:$C$506,B61,'Entries'!$B$7:$B$506,"&lt;="&amp;$E$5)-SUMIFS('Entries'!$J$7:$J$506,'Entries'!$C$7:$C$506,B61,'Entries'!$B$7:$B$506,"&lt;="&amp;$E$5))</f>
        <v/>
      </c>
      <c r="F61" s="49">
        <f>IF(B61="","",SUMIFS('Entries'!$W$7:$W$506,'Entries'!$C$7:$C$506,B61,'Entries'!$AC$7:$AC$506,"&gt;=0",'Entries'!$AC$7:$AC$506,"&lt;=30"))</f>
        <v/>
      </c>
      <c r="G61" s="49">
        <f>IF(B61="","",SUMIFS('Entries'!$W$7:$W$506,'Entries'!$C$7:$C$506,B61,'Entries'!$AC$7:$AC$506,"&gt;=31",'Entries'!$AC$7:$AC$506,"&lt;=60"))</f>
        <v/>
      </c>
      <c r="H61" s="49">
        <f>IF(B61="","",SUMIFS('Entries'!$W$7:$W$506,'Entries'!$C$7:$C$506,B61,'Entries'!$AC$7:$AC$506,"&gt;=61",'Entries'!$AC$7:$AC$506,"&lt;=90"))</f>
        <v/>
      </c>
      <c r="I61" s="49">
        <f>IF(B61="","",SUMIFS('Entries'!$W$7:$W$506,'Entries'!$C$7:$C$506,B61,'Entries'!$AC$7:$AC$506,"&gt;90"))</f>
        <v/>
      </c>
      <c r="J61" s="50">
        <f>IF(B61="","",SUMIFS('Entries'!$W$7:$W$506,'Entries'!$C$7:$C$506,B61,'Entries'!$AA$7:$AA$506,"&gt;0"))</f>
        <v/>
      </c>
      <c r="K61" s="49">
        <f>IF(B61="","",ROUND(SUMIFS('Entries'!$AB$7:$AB$506,'Entries'!$C$7:$C$506,B61),0))</f>
        <v/>
      </c>
      <c r="L61" s="49">
        <f>IF(B61="","",SUMIFS('Entries'!$AF$7:$AF$506,'Entries'!$C$7:$C$506,B61))</f>
        <v/>
      </c>
      <c r="M61" s="23">
        <f>IF(B61="","",IF(AND(C61="Debtor",N(E61)&lt;0),"Credit balance: an advance or an excess receipt",IF(AND(C61="Creditor",N(E61)&gt;0),"Debit balance: an advance paid to the supplier",IF(AND(C61="Creditor",N(L61)&gt;0),"Pay before the year end to keep the deduction, s.37(2)(g)",IF(N(J61)&gt;0,IF(C61="Creditor","Past due: pay, or confirm the terms in writing","Past due: follow up"),"OK")))))</f>
        <v/>
      </c>
    </row>
    <row r="62">
      <c r="B62" s="37">
        <f>IF('Parties'!$B$67="","",'Parties'!$B$67)</f>
        <v/>
      </c>
      <c r="C62" s="40">
        <f>IF(B62="","",'Parties'!$C$67&amp;"")</f>
        <v/>
      </c>
      <c r="D62" s="39">
        <f>IF(B62="","",'Parties'!$E$67&amp;"")</f>
        <v/>
      </c>
      <c r="E62" s="38">
        <f>IF(OR(B62="",$E$5=""),"",'Parties'!$M$67+SUMIFS('Entries'!$I$7:$I$506,'Entries'!$C$7:$C$506,B62,'Entries'!$B$7:$B$506,"&lt;="&amp;$E$5)-SUMIFS('Entries'!$J$7:$J$506,'Entries'!$C$7:$C$506,B62,'Entries'!$B$7:$B$506,"&lt;="&amp;$E$5))</f>
        <v/>
      </c>
      <c r="F62" s="49">
        <f>IF(B62="","",SUMIFS('Entries'!$W$7:$W$506,'Entries'!$C$7:$C$506,B62,'Entries'!$AC$7:$AC$506,"&gt;=0",'Entries'!$AC$7:$AC$506,"&lt;=30"))</f>
        <v/>
      </c>
      <c r="G62" s="49">
        <f>IF(B62="","",SUMIFS('Entries'!$W$7:$W$506,'Entries'!$C$7:$C$506,B62,'Entries'!$AC$7:$AC$506,"&gt;=31",'Entries'!$AC$7:$AC$506,"&lt;=60"))</f>
        <v/>
      </c>
      <c r="H62" s="49">
        <f>IF(B62="","",SUMIFS('Entries'!$W$7:$W$506,'Entries'!$C$7:$C$506,B62,'Entries'!$AC$7:$AC$506,"&gt;=61",'Entries'!$AC$7:$AC$506,"&lt;=90"))</f>
        <v/>
      </c>
      <c r="I62" s="49">
        <f>IF(B62="","",SUMIFS('Entries'!$W$7:$W$506,'Entries'!$C$7:$C$506,B62,'Entries'!$AC$7:$AC$506,"&gt;90"))</f>
        <v/>
      </c>
      <c r="J62" s="50">
        <f>IF(B62="","",SUMIFS('Entries'!$W$7:$W$506,'Entries'!$C$7:$C$506,B62,'Entries'!$AA$7:$AA$506,"&gt;0"))</f>
        <v/>
      </c>
      <c r="K62" s="49">
        <f>IF(B62="","",ROUND(SUMIFS('Entries'!$AB$7:$AB$506,'Entries'!$C$7:$C$506,B62),0))</f>
        <v/>
      </c>
      <c r="L62" s="49">
        <f>IF(B62="","",SUMIFS('Entries'!$AF$7:$AF$506,'Entries'!$C$7:$C$506,B62))</f>
        <v/>
      </c>
      <c r="M62" s="23">
        <f>IF(B62="","",IF(AND(C62="Debtor",N(E62)&lt;0),"Credit balance: an advance or an excess receipt",IF(AND(C62="Creditor",N(E62)&gt;0),"Debit balance: an advance paid to the supplier",IF(AND(C62="Creditor",N(L62)&gt;0),"Pay before the year end to keep the deduction, s.37(2)(g)",IF(N(J62)&gt;0,IF(C62="Creditor","Past due: pay, or confirm the terms in writing","Past due: follow up"),"OK")))))</f>
        <v/>
      </c>
    </row>
    <row r="63">
      <c r="B63" s="37">
        <f>IF('Parties'!$B$68="","",'Parties'!$B$68)</f>
        <v/>
      </c>
      <c r="C63" s="40">
        <f>IF(B63="","",'Parties'!$C$68&amp;"")</f>
        <v/>
      </c>
      <c r="D63" s="39">
        <f>IF(B63="","",'Parties'!$E$68&amp;"")</f>
        <v/>
      </c>
      <c r="E63" s="38">
        <f>IF(OR(B63="",$E$5=""),"",'Parties'!$M$68+SUMIFS('Entries'!$I$7:$I$506,'Entries'!$C$7:$C$506,B63,'Entries'!$B$7:$B$506,"&lt;="&amp;$E$5)-SUMIFS('Entries'!$J$7:$J$506,'Entries'!$C$7:$C$506,B63,'Entries'!$B$7:$B$506,"&lt;="&amp;$E$5))</f>
        <v/>
      </c>
      <c r="F63" s="49">
        <f>IF(B63="","",SUMIFS('Entries'!$W$7:$W$506,'Entries'!$C$7:$C$506,B63,'Entries'!$AC$7:$AC$506,"&gt;=0",'Entries'!$AC$7:$AC$506,"&lt;=30"))</f>
        <v/>
      </c>
      <c r="G63" s="49">
        <f>IF(B63="","",SUMIFS('Entries'!$W$7:$W$506,'Entries'!$C$7:$C$506,B63,'Entries'!$AC$7:$AC$506,"&gt;=31",'Entries'!$AC$7:$AC$506,"&lt;=60"))</f>
        <v/>
      </c>
      <c r="H63" s="49">
        <f>IF(B63="","",SUMIFS('Entries'!$W$7:$W$506,'Entries'!$C$7:$C$506,B63,'Entries'!$AC$7:$AC$506,"&gt;=61",'Entries'!$AC$7:$AC$506,"&lt;=90"))</f>
        <v/>
      </c>
      <c r="I63" s="49">
        <f>IF(B63="","",SUMIFS('Entries'!$W$7:$W$506,'Entries'!$C$7:$C$506,B63,'Entries'!$AC$7:$AC$506,"&gt;90"))</f>
        <v/>
      </c>
      <c r="J63" s="50">
        <f>IF(B63="","",SUMIFS('Entries'!$W$7:$W$506,'Entries'!$C$7:$C$506,B63,'Entries'!$AA$7:$AA$506,"&gt;0"))</f>
        <v/>
      </c>
      <c r="K63" s="49">
        <f>IF(B63="","",ROUND(SUMIFS('Entries'!$AB$7:$AB$506,'Entries'!$C$7:$C$506,B63),0))</f>
        <v/>
      </c>
      <c r="L63" s="49">
        <f>IF(B63="","",SUMIFS('Entries'!$AF$7:$AF$506,'Entries'!$C$7:$C$506,B63))</f>
        <v/>
      </c>
      <c r="M63" s="23">
        <f>IF(B63="","",IF(AND(C63="Debtor",N(E63)&lt;0),"Credit balance: an advance or an excess receipt",IF(AND(C63="Creditor",N(E63)&gt;0),"Debit balance: an advance paid to the supplier",IF(AND(C63="Creditor",N(L63)&gt;0),"Pay before the year end to keep the deduction, s.37(2)(g)",IF(N(J63)&gt;0,IF(C63="Creditor","Past due: pay, or confirm the terms in writing","Past due: follow up"),"OK")))))</f>
        <v/>
      </c>
    </row>
    <row r="64">
      <c r="B64" s="37">
        <f>IF('Parties'!$B$69="","",'Parties'!$B$69)</f>
        <v/>
      </c>
      <c r="C64" s="40">
        <f>IF(B64="","",'Parties'!$C$69&amp;"")</f>
        <v/>
      </c>
      <c r="D64" s="39">
        <f>IF(B64="","",'Parties'!$E$69&amp;"")</f>
        <v/>
      </c>
      <c r="E64" s="38">
        <f>IF(OR(B64="",$E$5=""),"",'Parties'!$M$69+SUMIFS('Entries'!$I$7:$I$506,'Entries'!$C$7:$C$506,B64,'Entries'!$B$7:$B$506,"&lt;="&amp;$E$5)-SUMIFS('Entries'!$J$7:$J$506,'Entries'!$C$7:$C$506,B64,'Entries'!$B$7:$B$506,"&lt;="&amp;$E$5))</f>
        <v/>
      </c>
      <c r="F64" s="49">
        <f>IF(B64="","",SUMIFS('Entries'!$W$7:$W$506,'Entries'!$C$7:$C$506,B64,'Entries'!$AC$7:$AC$506,"&gt;=0",'Entries'!$AC$7:$AC$506,"&lt;=30"))</f>
        <v/>
      </c>
      <c r="G64" s="49">
        <f>IF(B64="","",SUMIFS('Entries'!$W$7:$W$506,'Entries'!$C$7:$C$506,B64,'Entries'!$AC$7:$AC$506,"&gt;=31",'Entries'!$AC$7:$AC$506,"&lt;=60"))</f>
        <v/>
      </c>
      <c r="H64" s="49">
        <f>IF(B64="","",SUMIFS('Entries'!$W$7:$W$506,'Entries'!$C$7:$C$506,B64,'Entries'!$AC$7:$AC$506,"&gt;=61",'Entries'!$AC$7:$AC$506,"&lt;=90"))</f>
        <v/>
      </c>
      <c r="I64" s="49">
        <f>IF(B64="","",SUMIFS('Entries'!$W$7:$W$506,'Entries'!$C$7:$C$506,B64,'Entries'!$AC$7:$AC$506,"&gt;90"))</f>
        <v/>
      </c>
      <c r="J64" s="50">
        <f>IF(B64="","",SUMIFS('Entries'!$W$7:$W$506,'Entries'!$C$7:$C$506,B64,'Entries'!$AA$7:$AA$506,"&gt;0"))</f>
        <v/>
      </c>
      <c r="K64" s="49">
        <f>IF(B64="","",ROUND(SUMIFS('Entries'!$AB$7:$AB$506,'Entries'!$C$7:$C$506,B64),0))</f>
        <v/>
      </c>
      <c r="L64" s="49">
        <f>IF(B64="","",SUMIFS('Entries'!$AF$7:$AF$506,'Entries'!$C$7:$C$506,B64))</f>
        <v/>
      </c>
      <c r="M64" s="23">
        <f>IF(B64="","",IF(AND(C64="Debtor",N(E64)&lt;0),"Credit balance: an advance or an excess receipt",IF(AND(C64="Creditor",N(E64)&gt;0),"Debit balance: an advance paid to the supplier",IF(AND(C64="Creditor",N(L64)&gt;0),"Pay before the year end to keep the deduction, s.37(2)(g)",IF(N(J64)&gt;0,IF(C64="Creditor","Past due: pay, or confirm the terms in writing","Past due: follow up"),"OK")))))</f>
        <v/>
      </c>
    </row>
    <row r="65">
      <c r="B65" s="37">
        <f>IF('Parties'!$B$70="","",'Parties'!$B$70)</f>
        <v/>
      </c>
      <c r="C65" s="40">
        <f>IF(B65="","",'Parties'!$C$70&amp;"")</f>
        <v/>
      </c>
      <c r="D65" s="39">
        <f>IF(B65="","",'Parties'!$E$70&amp;"")</f>
        <v/>
      </c>
      <c r="E65" s="38">
        <f>IF(OR(B65="",$E$5=""),"",'Parties'!$M$70+SUMIFS('Entries'!$I$7:$I$506,'Entries'!$C$7:$C$506,B65,'Entries'!$B$7:$B$506,"&lt;="&amp;$E$5)-SUMIFS('Entries'!$J$7:$J$506,'Entries'!$C$7:$C$506,B65,'Entries'!$B$7:$B$506,"&lt;="&amp;$E$5))</f>
        <v/>
      </c>
      <c r="F65" s="49">
        <f>IF(B65="","",SUMIFS('Entries'!$W$7:$W$506,'Entries'!$C$7:$C$506,B65,'Entries'!$AC$7:$AC$506,"&gt;=0",'Entries'!$AC$7:$AC$506,"&lt;=30"))</f>
        <v/>
      </c>
      <c r="G65" s="49">
        <f>IF(B65="","",SUMIFS('Entries'!$W$7:$W$506,'Entries'!$C$7:$C$506,B65,'Entries'!$AC$7:$AC$506,"&gt;=31",'Entries'!$AC$7:$AC$506,"&lt;=60"))</f>
        <v/>
      </c>
      <c r="H65" s="49">
        <f>IF(B65="","",SUMIFS('Entries'!$W$7:$W$506,'Entries'!$C$7:$C$506,B65,'Entries'!$AC$7:$AC$506,"&gt;=61",'Entries'!$AC$7:$AC$506,"&lt;=90"))</f>
        <v/>
      </c>
      <c r="I65" s="49">
        <f>IF(B65="","",SUMIFS('Entries'!$W$7:$W$506,'Entries'!$C$7:$C$506,B65,'Entries'!$AC$7:$AC$506,"&gt;90"))</f>
        <v/>
      </c>
      <c r="J65" s="50">
        <f>IF(B65="","",SUMIFS('Entries'!$W$7:$W$506,'Entries'!$C$7:$C$506,B65,'Entries'!$AA$7:$AA$506,"&gt;0"))</f>
        <v/>
      </c>
      <c r="K65" s="49">
        <f>IF(B65="","",ROUND(SUMIFS('Entries'!$AB$7:$AB$506,'Entries'!$C$7:$C$506,B65),0))</f>
        <v/>
      </c>
      <c r="L65" s="49">
        <f>IF(B65="","",SUMIFS('Entries'!$AF$7:$AF$506,'Entries'!$C$7:$C$506,B65))</f>
        <v/>
      </c>
      <c r="M65" s="23">
        <f>IF(B65="","",IF(AND(C65="Debtor",N(E65)&lt;0),"Credit balance: an advance or an excess receipt",IF(AND(C65="Creditor",N(E65)&gt;0),"Debit balance: an advance paid to the supplier",IF(AND(C65="Creditor",N(L65)&gt;0),"Pay before the year end to keep the deduction, s.37(2)(g)",IF(N(J65)&gt;0,IF(C65="Creditor","Past due: pay, or confirm the terms in writing","Past due: follow up"),"OK")))))</f>
        <v/>
      </c>
    </row>
    <row r="66">
      <c r="B66" s="37">
        <f>IF('Parties'!$B$71="","",'Parties'!$B$71)</f>
        <v/>
      </c>
      <c r="C66" s="40">
        <f>IF(B66="","",'Parties'!$C$71&amp;"")</f>
        <v/>
      </c>
      <c r="D66" s="39">
        <f>IF(B66="","",'Parties'!$E$71&amp;"")</f>
        <v/>
      </c>
      <c r="E66" s="38">
        <f>IF(OR(B66="",$E$5=""),"",'Parties'!$M$71+SUMIFS('Entries'!$I$7:$I$506,'Entries'!$C$7:$C$506,B66,'Entries'!$B$7:$B$506,"&lt;="&amp;$E$5)-SUMIFS('Entries'!$J$7:$J$506,'Entries'!$C$7:$C$506,B66,'Entries'!$B$7:$B$506,"&lt;="&amp;$E$5))</f>
        <v/>
      </c>
      <c r="F66" s="49">
        <f>IF(B66="","",SUMIFS('Entries'!$W$7:$W$506,'Entries'!$C$7:$C$506,B66,'Entries'!$AC$7:$AC$506,"&gt;=0",'Entries'!$AC$7:$AC$506,"&lt;=30"))</f>
        <v/>
      </c>
      <c r="G66" s="49">
        <f>IF(B66="","",SUMIFS('Entries'!$W$7:$W$506,'Entries'!$C$7:$C$506,B66,'Entries'!$AC$7:$AC$506,"&gt;=31",'Entries'!$AC$7:$AC$506,"&lt;=60"))</f>
        <v/>
      </c>
      <c r="H66" s="49">
        <f>IF(B66="","",SUMIFS('Entries'!$W$7:$W$506,'Entries'!$C$7:$C$506,B66,'Entries'!$AC$7:$AC$506,"&gt;=61",'Entries'!$AC$7:$AC$506,"&lt;=90"))</f>
        <v/>
      </c>
      <c r="I66" s="49">
        <f>IF(B66="","",SUMIFS('Entries'!$W$7:$W$506,'Entries'!$C$7:$C$506,B66,'Entries'!$AC$7:$AC$506,"&gt;90"))</f>
        <v/>
      </c>
      <c r="J66" s="50">
        <f>IF(B66="","",SUMIFS('Entries'!$W$7:$W$506,'Entries'!$C$7:$C$506,B66,'Entries'!$AA$7:$AA$506,"&gt;0"))</f>
        <v/>
      </c>
      <c r="K66" s="49">
        <f>IF(B66="","",ROUND(SUMIFS('Entries'!$AB$7:$AB$506,'Entries'!$C$7:$C$506,B66),0))</f>
        <v/>
      </c>
      <c r="L66" s="49">
        <f>IF(B66="","",SUMIFS('Entries'!$AF$7:$AF$506,'Entries'!$C$7:$C$506,B66))</f>
        <v/>
      </c>
      <c r="M66" s="23">
        <f>IF(B66="","",IF(AND(C66="Debtor",N(E66)&lt;0),"Credit balance: an advance or an excess receipt",IF(AND(C66="Creditor",N(E66)&gt;0),"Debit balance: an advance paid to the supplier",IF(AND(C66="Creditor",N(L66)&gt;0),"Pay before the year end to keep the deduction, s.37(2)(g)",IF(N(J66)&gt;0,IF(C66="Creditor","Past due: pay, or confirm the terms in writing","Past due: follow up"),"OK")))))</f>
        <v/>
      </c>
    </row>
    <row r="67">
      <c r="B67" s="37">
        <f>IF('Parties'!$B$72="","",'Parties'!$B$72)</f>
        <v/>
      </c>
      <c r="C67" s="40">
        <f>IF(B67="","",'Parties'!$C$72&amp;"")</f>
        <v/>
      </c>
      <c r="D67" s="39">
        <f>IF(B67="","",'Parties'!$E$72&amp;"")</f>
        <v/>
      </c>
      <c r="E67" s="38">
        <f>IF(OR(B67="",$E$5=""),"",'Parties'!$M$72+SUMIFS('Entries'!$I$7:$I$506,'Entries'!$C$7:$C$506,B67,'Entries'!$B$7:$B$506,"&lt;="&amp;$E$5)-SUMIFS('Entries'!$J$7:$J$506,'Entries'!$C$7:$C$506,B67,'Entries'!$B$7:$B$506,"&lt;="&amp;$E$5))</f>
        <v/>
      </c>
      <c r="F67" s="49">
        <f>IF(B67="","",SUMIFS('Entries'!$W$7:$W$506,'Entries'!$C$7:$C$506,B67,'Entries'!$AC$7:$AC$506,"&gt;=0",'Entries'!$AC$7:$AC$506,"&lt;=30"))</f>
        <v/>
      </c>
      <c r="G67" s="49">
        <f>IF(B67="","",SUMIFS('Entries'!$W$7:$W$506,'Entries'!$C$7:$C$506,B67,'Entries'!$AC$7:$AC$506,"&gt;=31",'Entries'!$AC$7:$AC$506,"&lt;=60"))</f>
        <v/>
      </c>
      <c r="H67" s="49">
        <f>IF(B67="","",SUMIFS('Entries'!$W$7:$W$506,'Entries'!$C$7:$C$506,B67,'Entries'!$AC$7:$AC$506,"&gt;=61",'Entries'!$AC$7:$AC$506,"&lt;=90"))</f>
        <v/>
      </c>
      <c r="I67" s="49">
        <f>IF(B67="","",SUMIFS('Entries'!$W$7:$W$506,'Entries'!$C$7:$C$506,B67,'Entries'!$AC$7:$AC$506,"&gt;90"))</f>
        <v/>
      </c>
      <c r="J67" s="50">
        <f>IF(B67="","",SUMIFS('Entries'!$W$7:$W$506,'Entries'!$C$7:$C$506,B67,'Entries'!$AA$7:$AA$506,"&gt;0"))</f>
        <v/>
      </c>
      <c r="K67" s="49">
        <f>IF(B67="","",ROUND(SUMIFS('Entries'!$AB$7:$AB$506,'Entries'!$C$7:$C$506,B67),0))</f>
        <v/>
      </c>
      <c r="L67" s="49">
        <f>IF(B67="","",SUMIFS('Entries'!$AF$7:$AF$506,'Entries'!$C$7:$C$506,B67))</f>
        <v/>
      </c>
      <c r="M67" s="23">
        <f>IF(B67="","",IF(AND(C67="Debtor",N(E67)&lt;0),"Credit balance: an advance or an excess receipt",IF(AND(C67="Creditor",N(E67)&gt;0),"Debit balance: an advance paid to the supplier",IF(AND(C67="Creditor",N(L67)&gt;0),"Pay before the year end to keep the deduction, s.37(2)(g)",IF(N(J67)&gt;0,IF(C67="Creditor","Past due: pay, or confirm the terms in writing","Past due: follow up"),"OK")))))</f>
        <v/>
      </c>
    </row>
    <row r="68">
      <c r="B68" s="37">
        <f>IF('Parties'!$B$73="","",'Parties'!$B$73)</f>
        <v/>
      </c>
      <c r="C68" s="40">
        <f>IF(B68="","",'Parties'!$C$73&amp;"")</f>
        <v/>
      </c>
      <c r="D68" s="39">
        <f>IF(B68="","",'Parties'!$E$73&amp;"")</f>
        <v/>
      </c>
      <c r="E68" s="38">
        <f>IF(OR(B68="",$E$5=""),"",'Parties'!$M$73+SUMIFS('Entries'!$I$7:$I$506,'Entries'!$C$7:$C$506,B68,'Entries'!$B$7:$B$506,"&lt;="&amp;$E$5)-SUMIFS('Entries'!$J$7:$J$506,'Entries'!$C$7:$C$506,B68,'Entries'!$B$7:$B$506,"&lt;="&amp;$E$5))</f>
        <v/>
      </c>
      <c r="F68" s="49">
        <f>IF(B68="","",SUMIFS('Entries'!$W$7:$W$506,'Entries'!$C$7:$C$506,B68,'Entries'!$AC$7:$AC$506,"&gt;=0",'Entries'!$AC$7:$AC$506,"&lt;=30"))</f>
        <v/>
      </c>
      <c r="G68" s="49">
        <f>IF(B68="","",SUMIFS('Entries'!$W$7:$W$506,'Entries'!$C$7:$C$506,B68,'Entries'!$AC$7:$AC$506,"&gt;=31",'Entries'!$AC$7:$AC$506,"&lt;=60"))</f>
        <v/>
      </c>
      <c r="H68" s="49">
        <f>IF(B68="","",SUMIFS('Entries'!$W$7:$W$506,'Entries'!$C$7:$C$506,B68,'Entries'!$AC$7:$AC$506,"&gt;=61",'Entries'!$AC$7:$AC$506,"&lt;=90"))</f>
        <v/>
      </c>
      <c r="I68" s="49">
        <f>IF(B68="","",SUMIFS('Entries'!$W$7:$W$506,'Entries'!$C$7:$C$506,B68,'Entries'!$AC$7:$AC$506,"&gt;90"))</f>
        <v/>
      </c>
      <c r="J68" s="50">
        <f>IF(B68="","",SUMIFS('Entries'!$W$7:$W$506,'Entries'!$C$7:$C$506,B68,'Entries'!$AA$7:$AA$506,"&gt;0"))</f>
        <v/>
      </c>
      <c r="K68" s="49">
        <f>IF(B68="","",ROUND(SUMIFS('Entries'!$AB$7:$AB$506,'Entries'!$C$7:$C$506,B68),0))</f>
        <v/>
      </c>
      <c r="L68" s="49">
        <f>IF(B68="","",SUMIFS('Entries'!$AF$7:$AF$506,'Entries'!$C$7:$C$506,B68))</f>
        <v/>
      </c>
      <c r="M68" s="23">
        <f>IF(B68="","",IF(AND(C68="Debtor",N(E68)&lt;0),"Credit balance: an advance or an excess receipt",IF(AND(C68="Creditor",N(E68)&gt;0),"Debit balance: an advance paid to the supplier",IF(AND(C68="Creditor",N(L68)&gt;0),"Pay before the year end to keep the deduction, s.37(2)(g)",IF(N(J68)&gt;0,IF(C68="Creditor","Past due: pay, or confirm the terms in writing","Past due: follow up"),"OK")))))</f>
        <v/>
      </c>
    </row>
    <row r="69">
      <c r="B69" s="37">
        <f>IF('Parties'!$B$74="","",'Parties'!$B$74)</f>
        <v/>
      </c>
      <c r="C69" s="40">
        <f>IF(B69="","",'Parties'!$C$74&amp;"")</f>
        <v/>
      </c>
      <c r="D69" s="39">
        <f>IF(B69="","",'Parties'!$E$74&amp;"")</f>
        <v/>
      </c>
      <c r="E69" s="38">
        <f>IF(OR(B69="",$E$5=""),"",'Parties'!$M$74+SUMIFS('Entries'!$I$7:$I$506,'Entries'!$C$7:$C$506,B69,'Entries'!$B$7:$B$506,"&lt;="&amp;$E$5)-SUMIFS('Entries'!$J$7:$J$506,'Entries'!$C$7:$C$506,B69,'Entries'!$B$7:$B$506,"&lt;="&amp;$E$5))</f>
        <v/>
      </c>
      <c r="F69" s="49">
        <f>IF(B69="","",SUMIFS('Entries'!$W$7:$W$506,'Entries'!$C$7:$C$506,B69,'Entries'!$AC$7:$AC$506,"&gt;=0",'Entries'!$AC$7:$AC$506,"&lt;=30"))</f>
        <v/>
      </c>
      <c r="G69" s="49">
        <f>IF(B69="","",SUMIFS('Entries'!$W$7:$W$506,'Entries'!$C$7:$C$506,B69,'Entries'!$AC$7:$AC$506,"&gt;=31",'Entries'!$AC$7:$AC$506,"&lt;=60"))</f>
        <v/>
      </c>
      <c r="H69" s="49">
        <f>IF(B69="","",SUMIFS('Entries'!$W$7:$W$506,'Entries'!$C$7:$C$506,B69,'Entries'!$AC$7:$AC$506,"&gt;=61",'Entries'!$AC$7:$AC$506,"&lt;=90"))</f>
        <v/>
      </c>
      <c r="I69" s="49">
        <f>IF(B69="","",SUMIFS('Entries'!$W$7:$W$506,'Entries'!$C$7:$C$506,B69,'Entries'!$AC$7:$AC$506,"&gt;90"))</f>
        <v/>
      </c>
      <c r="J69" s="50">
        <f>IF(B69="","",SUMIFS('Entries'!$W$7:$W$506,'Entries'!$C$7:$C$506,B69,'Entries'!$AA$7:$AA$506,"&gt;0"))</f>
        <v/>
      </c>
      <c r="K69" s="49">
        <f>IF(B69="","",ROUND(SUMIFS('Entries'!$AB$7:$AB$506,'Entries'!$C$7:$C$506,B69),0))</f>
        <v/>
      </c>
      <c r="L69" s="49">
        <f>IF(B69="","",SUMIFS('Entries'!$AF$7:$AF$506,'Entries'!$C$7:$C$506,B69))</f>
        <v/>
      </c>
      <c r="M69" s="23">
        <f>IF(B69="","",IF(AND(C69="Debtor",N(E69)&lt;0),"Credit balance: an advance or an excess receipt",IF(AND(C69="Creditor",N(E69)&gt;0),"Debit balance: an advance paid to the supplier",IF(AND(C69="Creditor",N(L69)&gt;0),"Pay before the year end to keep the deduction, s.37(2)(g)",IF(N(J69)&gt;0,IF(C69="Creditor","Past due: pay, or confirm the terms in writing","Past due: follow up"),"OK")))))</f>
        <v/>
      </c>
    </row>
    <row r="70">
      <c r="B70" s="37">
        <f>IF('Parties'!$B$75="","",'Parties'!$B$75)</f>
        <v/>
      </c>
      <c r="C70" s="40">
        <f>IF(B70="","",'Parties'!$C$75&amp;"")</f>
        <v/>
      </c>
      <c r="D70" s="39">
        <f>IF(B70="","",'Parties'!$E$75&amp;"")</f>
        <v/>
      </c>
      <c r="E70" s="38">
        <f>IF(OR(B70="",$E$5=""),"",'Parties'!$M$75+SUMIFS('Entries'!$I$7:$I$506,'Entries'!$C$7:$C$506,B70,'Entries'!$B$7:$B$506,"&lt;="&amp;$E$5)-SUMIFS('Entries'!$J$7:$J$506,'Entries'!$C$7:$C$506,B70,'Entries'!$B$7:$B$506,"&lt;="&amp;$E$5))</f>
        <v/>
      </c>
      <c r="F70" s="49">
        <f>IF(B70="","",SUMIFS('Entries'!$W$7:$W$506,'Entries'!$C$7:$C$506,B70,'Entries'!$AC$7:$AC$506,"&gt;=0",'Entries'!$AC$7:$AC$506,"&lt;=30"))</f>
        <v/>
      </c>
      <c r="G70" s="49">
        <f>IF(B70="","",SUMIFS('Entries'!$W$7:$W$506,'Entries'!$C$7:$C$506,B70,'Entries'!$AC$7:$AC$506,"&gt;=31",'Entries'!$AC$7:$AC$506,"&lt;=60"))</f>
        <v/>
      </c>
      <c r="H70" s="49">
        <f>IF(B70="","",SUMIFS('Entries'!$W$7:$W$506,'Entries'!$C$7:$C$506,B70,'Entries'!$AC$7:$AC$506,"&gt;=61",'Entries'!$AC$7:$AC$506,"&lt;=90"))</f>
        <v/>
      </c>
      <c r="I70" s="49">
        <f>IF(B70="","",SUMIFS('Entries'!$W$7:$W$506,'Entries'!$C$7:$C$506,B70,'Entries'!$AC$7:$AC$506,"&gt;90"))</f>
        <v/>
      </c>
      <c r="J70" s="50">
        <f>IF(B70="","",SUMIFS('Entries'!$W$7:$W$506,'Entries'!$C$7:$C$506,B70,'Entries'!$AA$7:$AA$506,"&gt;0"))</f>
        <v/>
      </c>
      <c r="K70" s="49">
        <f>IF(B70="","",ROUND(SUMIFS('Entries'!$AB$7:$AB$506,'Entries'!$C$7:$C$506,B70),0))</f>
        <v/>
      </c>
      <c r="L70" s="49">
        <f>IF(B70="","",SUMIFS('Entries'!$AF$7:$AF$506,'Entries'!$C$7:$C$506,B70))</f>
        <v/>
      </c>
      <c r="M70" s="23">
        <f>IF(B70="","",IF(AND(C70="Debtor",N(E70)&lt;0),"Credit balance: an advance or an excess receipt",IF(AND(C70="Creditor",N(E70)&gt;0),"Debit balance: an advance paid to the supplier",IF(AND(C70="Creditor",N(L70)&gt;0),"Pay before the year end to keep the deduction, s.37(2)(g)",IF(N(J70)&gt;0,IF(C70="Creditor","Past due: pay, or confirm the terms in writing","Past due: follow up"),"OK")))))</f>
        <v/>
      </c>
    </row>
    <row r="71">
      <c r="B71" s="37">
        <f>IF('Parties'!$B$76="","",'Parties'!$B$76)</f>
        <v/>
      </c>
      <c r="C71" s="40">
        <f>IF(B71="","",'Parties'!$C$76&amp;"")</f>
        <v/>
      </c>
      <c r="D71" s="39">
        <f>IF(B71="","",'Parties'!$E$76&amp;"")</f>
        <v/>
      </c>
      <c r="E71" s="38">
        <f>IF(OR(B71="",$E$5=""),"",'Parties'!$M$76+SUMIFS('Entries'!$I$7:$I$506,'Entries'!$C$7:$C$506,B71,'Entries'!$B$7:$B$506,"&lt;="&amp;$E$5)-SUMIFS('Entries'!$J$7:$J$506,'Entries'!$C$7:$C$506,B71,'Entries'!$B$7:$B$506,"&lt;="&amp;$E$5))</f>
        <v/>
      </c>
      <c r="F71" s="49">
        <f>IF(B71="","",SUMIFS('Entries'!$W$7:$W$506,'Entries'!$C$7:$C$506,B71,'Entries'!$AC$7:$AC$506,"&gt;=0",'Entries'!$AC$7:$AC$506,"&lt;=30"))</f>
        <v/>
      </c>
      <c r="G71" s="49">
        <f>IF(B71="","",SUMIFS('Entries'!$W$7:$W$506,'Entries'!$C$7:$C$506,B71,'Entries'!$AC$7:$AC$506,"&gt;=31",'Entries'!$AC$7:$AC$506,"&lt;=60"))</f>
        <v/>
      </c>
      <c r="H71" s="49">
        <f>IF(B71="","",SUMIFS('Entries'!$W$7:$W$506,'Entries'!$C$7:$C$506,B71,'Entries'!$AC$7:$AC$506,"&gt;=61",'Entries'!$AC$7:$AC$506,"&lt;=90"))</f>
        <v/>
      </c>
      <c r="I71" s="49">
        <f>IF(B71="","",SUMIFS('Entries'!$W$7:$W$506,'Entries'!$C$7:$C$506,B71,'Entries'!$AC$7:$AC$506,"&gt;90"))</f>
        <v/>
      </c>
      <c r="J71" s="50">
        <f>IF(B71="","",SUMIFS('Entries'!$W$7:$W$506,'Entries'!$C$7:$C$506,B71,'Entries'!$AA$7:$AA$506,"&gt;0"))</f>
        <v/>
      </c>
      <c r="K71" s="49">
        <f>IF(B71="","",ROUND(SUMIFS('Entries'!$AB$7:$AB$506,'Entries'!$C$7:$C$506,B71),0))</f>
        <v/>
      </c>
      <c r="L71" s="49">
        <f>IF(B71="","",SUMIFS('Entries'!$AF$7:$AF$506,'Entries'!$C$7:$C$506,B71))</f>
        <v/>
      </c>
      <c r="M71" s="23">
        <f>IF(B71="","",IF(AND(C71="Debtor",N(E71)&lt;0),"Credit balance: an advance or an excess receipt",IF(AND(C71="Creditor",N(E71)&gt;0),"Debit balance: an advance paid to the supplier",IF(AND(C71="Creditor",N(L71)&gt;0),"Pay before the year end to keep the deduction, s.37(2)(g)",IF(N(J71)&gt;0,IF(C71="Creditor","Past due: pay, or confirm the terms in writing","Past due: follow up"),"OK")))))</f>
        <v/>
      </c>
    </row>
    <row r="72">
      <c r="B72" s="37">
        <f>IF('Parties'!$B$77="","",'Parties'!$B$77)</f>
        <v/>
      </c>
      <c r="C72" s="40">
        <f>IF(B72="","",'Parties'!$C$77&amp;"")</f>
        <v/>
      </c>
      <c r="D72" s="39">
        <f>IF(B72="","",'Parties'!$E$77&amp;"")</f>
        <v/>
      </c>
      <c r="E72" s="38">
        <f>IF(OR(B72="",$E$5=""),"",'Parties'!$M$77+SUMIFS('Entries'!$I$7:$I$506,'Entries'!$C$7:$C$506,B72,'Entries'!$B$7:$B$506,"&lt;="&amp;$E$5)-SUMIFS('Entries'!$J$7:$J$506,'Entries'!$C$7:$C$506,B72,'Entries'!$B$7:$B$506,"&lt;="&amp;$E$5))</f>
        <v/>
      </c>
      <c r="F72" s="49">
        <f>IF(B72="","",SUMIFS('Entries'!$W$7:$W$506,'Entries'!$C$7:$C$506,B72,'Entries'!$AC$7:$AC$506,"&gt;=0",'Entries'!$AC$7:$AC$506,"&lt;=30"))</f>
        <v/>
      </c>
      <c r="G72" s="49">
        <f>IF(B72="","",SUMIFS('Entries'!$W$7:$W$506,'Entries'!$C$7:$C$506,B72,'Entries'!$AC$7:$AC$506,"&gt;=31",'Entries'!$AC$7:$AC$506,"&lt;=60"))</f>
        <v/>
      </c>
      <c r="H72" s="49">
        <f>IF(B72="","",SUMIFS('Entries'!$W$7:$W$506,'Entries'!$C$7:$C$506,B72,'Entries'!$AC$7:$AC$506,"&gt;=61",'Entries'!$AC$7:$AC$506,"&lt;=90"))</f>
        <v/>
      </c>
      <c r="I72" s="49">
        <f>IF(B72="","",SUMIFS('Entries'!$W$7:$W$506,'Entries'!$C$7:$C$506,B72,'Entries'!$AC$7:$AC$506,"&gt;90"))</f>
        <v/>
      </c>
      <c r="J72" s="50">
        <f>IF(B72="","",SUMIFS('Entries'!$W$7:$W$506,'Entries'!$C$7:$C$506,B72,'Entries'!$AA$7:$AA$506,"&gt;0"))</f>
        <v/>
      </c>
      <c r="K72" s="49">
        <f>IF(B72="","",ROUND(SUMIFS('Entries'!$AB$7:$AB$506,'Entries'!$C$7:$C$506,B72),0))</f>
        <v/>
      </c>
      <c r="L72" s="49">
        <f>IF(B72="","",SUMIFS('Entries'!$AF$7:$AF$506,'Entries'!$C$7:$C$506,B72))</f>
        <v/>
      </c>
      <c r="M72" s="23">
        <f>IF(B72="","",IF(AND(C72="Debtor",N(E72)&lt;0),"Credit balance: an advance or an excess receipt",IF(AND(C72="Creditor",N(E72)&gt;0),"Debit balance: an advance paid to the supplier",IF(AND(C72="Creditor",N(L72)&gt;0),"Pay before the year end to keep the deduction, s.37(2)(g)",IF(N(J72)&gt;0,IF(C72="Creditor","Past due: pay, or confirm the terms in writing","Past due: follow up"),"OK")))))</f>
        <v/>
      </c>
    </row>
    <row r="73">
      <c r="B73" s="37">
        <f>IF('Parties'!$B$78="","",'Parties'!$B$78)</f>
        <v/>
      </c>
      <c r="C73" s="40">
        <f>IF(B73="","",'Parties'!$C$78&amp;"")</f>
        <v/>
      </c>
      <c r="D73" s="39">
        <f>IF(B73="","",'Parties'!$E$78&amp;"")</f>
        <v/>
      </c>
      <c r="E73" s="38">
        <f>IF(OR(B73="",$E$5=""),"",'Parties'!$M$78+SUMIFS('Entries'!$I$7:$I$506,'Entries'!$C$7:$C$506,B73,'Entries'!$B$7:$B$506,"&lt;="&amp;$E$5)-SUMIFS('Entries'!$J$7:$J$506,'Entries'!$C$7:$C$506,B73,'Entries'!$B$7:$B$506,"&lt;="&amp;$E$5))</f>
        <v/>
      </c>
      <c r="F73" s="49">
        <f>IF(B73="","",SUMIFS('Entries'!$W$7:$W$506,'Entries'!$C$7:$C$506,B73,'Entries'!$AC$7:$AC$506,"&gt;=0",'Entries'!$AC$7:$AC$506,"&lt;=30"))</f>
        <v/>
      </c>
      <c r="G73" s="49">
        <f>IF(B73="","",SUMIFS('Entries'!$W$7:$W$506,'Entries'!$C$7:$C$506,B73,'Entries'!$AC$7:$AC$506,"&gt;=31",'Entries'!$AC$7:$AC$506,"&lt;=60"))</f>
        <v/>
      </c>
      <c r="H73" s="49">
        <f>IF(B73="","",SUMIFS('Entries'!$W$7:$W$506,'Entries'!$C$7:$C$506,B73,'Entries'!$AC$7:$AC$506,"&gt;=61",'Entries'!$AC$7:$AC$506,"&lt;=90"))</f>
        <v/>
      </c>
      <c r="I73" s="49">
        <f>IF(B73="","",SUMIFS('Entries'!$W$7:$W$506,'Entries'!$C$7:$C$506,B73,'Entries'!$AC$7:$AC$506,"&gt;90"))</f>
        <v/>
      </c>
      <c r="J73" s="50">
        <f>IF(B73="","",SUMIFS('Entries'!$W$7:$W$506,'Entries'!$C$7:$C$506,B73,'Entries'!$AA$7:$AA$506,"&gt;0"))</f>
        <v/>
      </c>
      <c r="K73" s="49">
        <f>IF(B73="","",ROUND(SUMIFS('Entries'!$AB$7:$AB$506,'Entries'!$C$7:$C$506,B73),0))</f>
        <v/>
      </c>
      <c r="L73" s="49">
        <f>IF(B73="","",SUMIFS('Entries'!$AF$7:$AF$506,'Entries'!$C$7:$C$506,B73))</f>
        <v/>
      </c>
      <c r="M73" s="23">
        <f>IF(B73="","",IF(AND(C73="Debtor",N(E73)&lt;0),"Credit balance: an advance or an excess receipt",IF(AND(C73="Creditor",N(E73)&gt;0),"Debit balance: an advance paid to the supplier",IF(AND(C73="Creditor",N(L73)&gt;0),"Pay before the year end to keep the deduction, s.37(2)(g)",IF(N(J73)&gt;0,IF(C73="Creditor","Past due: pay, or confirm the terms in writing","Past due: follow up"),"OK")))))</f>
        <v/>
      </c>
    </row>
    <row r="74">
      <c r="B74" s="37">
        <f>IF('Parties'!$B$79="","",'Parties'!$B$79)</f>
        <v/>
      </c>
      <c r="C74" s="40">
        <f>IF(B74="","",'Parties'!$C$79&amp;"")</f>
        <v/>
      </c>
      <c r="D74" s="39">
        <f>IF(B74="","",'Parties'!$E$79&amp;"")</f>
        <v/>
      </c>
      <c r="E74" s="38">
        <f>IF(OR(B74="",$E$5=""),"",'Parties'!$M$79+SUMIFS('Entries'!$I$7:$I$506,'Entries'!$C$7:$C$506,B74,'Entries'!$B$7:$B$506,"&lt;="&amp;$E$5)-SUMIFS('Entries'!$J$7:$J$506,'Entries'!$C$7:$C$506,B74,'Entries'!$B$7:$B$506,"&lt;="&amp;$E$5))</f>
        <v/>
      </c>
      <c r="F74" s="49">
        <f>IF(B74="","",SUMIFS('Entries'!$W$7:$W$506,'Entries'!$C$7:$C$506,B74,'Entries'!$AC$7:$AC$506,"&gt;=0",'Entries'!$AC$7:$AC$506,"&lt;=30"))</f>
        <v/>
      </c>
      <c r="G74" s="49">
        <f>IF(B74="","",SUMIFS('Entries'!$W$7:$W$506,'Entries'!$C$7:$C$506,B74,'Entries'!$AC$7:$AC$506,"&gt;=31",'Entries'!$AC$7:$AC$506,"&lt;=60"))</f>
        <v/>
      </c>
      <c r="H74" s="49">
        <f>IF(B74="","",SUMIFS('Entries'!$W$7:$W$506,'Entries'!$C$7:$C$506,B74,'Entries'!$AC$7:$AC$506,"&gt;=61",'Entries'!$AC$7:$AC$506,"&lt;=90"))</f>
        <v/>
      </c>
      <c r="I74" s="49">
        <f>IF(B74="","",SUMIFS('Entries'!$W$7:$W$506,'Entries'!$C$7:$C$506,B74,'Entries'!$AC$7:$AC$506,"&gt;90"))</f>
        <v/>
      </c>
      <c r="J74" s="50">
        <f>IF(B74="","",SUMIFS('Entries'!$W$7:$W$506,'Entries'!$C$7:$C$506,B74,'Entries'!$AA$7:$AA$506,"&gt;0"))</f>
        <v/>
      </c>
      <c r="K74" s="49">
        <f>IF(B74="","",ROUND(SUMIFS('Entries'!$AB$7:$AB$506,'Entries'!$C$7:$C$506,B74),0))</f>
        <v/>
      </c>
      <c r="L74" s="49">
        <f>IF(B74="","",SUMIFS('Entries'!$AF$7:$AF$506,'Entries'!$C$7:$C$506,B74))</f>
        <v/>
      </c>
      <c r="M74" s="23">
        <f>IF(B74="","",IF(AND(C74="Debtor",N(E74)&lt;0),"Credit balance: an advance or an excess receipt",IF(AND(C74="Creditor",N(E74)&gt;0),"Debit balance: an advance paid to the supplier",IF(AND(C74="Creditor",N(L74)&gt;0),"Pay before the year end to keep the deduction, s.37(2)(g)",IF(N(J74)&gt;0,IF(C74="Creditor","Past due: pay, or confirm the terms in writing","Past due: follow up"),"OK")))))</f>
        <v/>
      </c>
    </row>
    <row r="75">
      <c r="B75" s="37">
        <f>IF('Parties'!$B$80="","",'Parties'!$B$80)</f>
        <v/>
      </c>
      <c r="C75" s="40">
        <f>IF(B75="","",'Parties'!$C$80&amp;"")</f>
        <v/>
      </c>
      <c r="D75" s="39">
        <f>IF(B75="","",'Parties'!$E$80&amp;"")</f>
        <v/>
      </c>
      <c r="E75" s="38">
        <f>IF(OR(B75="",$E$5=""),"",'Parties'!$M$80+SUMIFS('Entries'!$I$7:$I$506,'Entries'!$C$7:$C$506,B75,'Entries'!$B$7:$B$506,"&lt;="&amp;$E$5)-SUMIFS('Entries'!$J$7:$J$506,'Entries'!$C$7:$C$506,B75,'Entries'!$B$7:$B$506,"&lt;="&amp;$E$5))</f>
        <v/>
      </c>
      <c r="F75" s="49">
        <f>IF(B75="","",SUMIFS('Entries'!$W$7:$W$506,'Entries'!$C$7:$C$506,B75,'Entries'!$AC$7:$AC$506,"&gt;=0",'Entries'!$AC$7:$AC$506,"&lt;=30"))</f>
        <v/>
      </c>
      <c r="G75" s="49">
        <f>IF(B75="","",SUMIFS('Entries'!$W$7:$W$506,'Entries'!$C$7:$C$506,B75,'Entries'!$AC$7:$AC$506,"&gt;=31",'Entries'!$AC$7:$AC$506,"&lt;=60"))</f>
        <v/>
      </c>
      <c r="H75" s="49">
        <f>IF(B75="","",SUMIFS('Entries'!$W$7:$W$506,'Entries'!$C$7:$C$506,B75,'Entries'!$AC$7:$AC$506,"&gt;=61",'Entries'!$AC$7:$AC$506,"&lt;=90"))</f>
        <v/>
      </c>
      <c r="I75" s="49">
        <f>IF(B75="","",SUMIFS('Entries'!$W$7:$W$506,'Entries'!$C$7:$C$506,B75,'Entries'!$AC$7:$AC$506,"&gt;90"))</f>
        <v/>
      </c>
      <c r="J75" s="50">
        <f>IF(B75="","",SUMIFS('Entries'!$W$7:$W$506,'Entries'!$C$7:$C$506,B75,'Entries'!$AA$7:$AA$506,"&gt;0"))</f>
        <v/>
      </c>
      <c r="K75" s="49">
        <f>IF(B75="","",ROUND(SUMIFS('Entries'!$AB$7:$AB$506,'Entries'!$C$7:$C$506,B75),0))</f>
        <v/>
      </c>
      <c r="L75" s="49">
        <f>IF(B75="","",SUMIFS('Entries'!$AF$7:$AF$506,'Entries'!$C$7:$C$506,B75))</f>
        <v/>
      </c>
      <c r="M75" s="23">
        <f>IF(B75="","",IF(AND(C75="Debtor",N(E75)&lt;0),"Credit balance: an advance or an excess receipt",IF(AND(C75="Creditor",N(E75)&gt;0),"Debit balance: an advance paid to the supplier",IF(AND(C75="Creditor",N(L75)&gt;0),"Pay before the year end to keep the deduction, s.37(2)(g)",IF(N(J75)&gt;0,IF(C75="Creditor","Past due: pay, or confirm the terms in writing","Past due: follow up"),"OK")))))</f>
        <v/>
      </c>
    </row>
    <row r="76">
      <c r="B76" s="37">
        <f>IF('Parties'!$B$81="","",'Parties'!$B$81)</f>
        <v/>
      </c>
      <c r="C76" s="40">
        <f>IF(B76="","",'Parties'!$C$81&amp;"")</f>
        <v/>
      </c>
      <c r="D76" s="39">
        <f>IF(B76="","",'Parties'!$E$81&amp;"")</f>
        <v/>
      </c>
      <c r="E76" s="38">
        <f>IF(OR(B76="",$E$5=""),"",'Parties'!$M$81+SUMIFS('Entries'!$I$7:$I$506,'Entries'!$C$7:$C$506,B76,'Entries'!$B$7:$B$506,"&lt;="&amp;$E$5)-SUMIFS('Entries'!$J$7:$J$506,'Entries'!$C$7:$C$506,B76,'Entries'!$B$7:$B$506,"&lt;="&amp;$E$5))</f>
        <v/>
      </c>
      <c r="F76" s="49">
        <f>IF(B76="","",SUMIFS('Entries'!$W$7:$W$506,'Entries'!$C$7:$C$506,B76,'Entries'!$AC$7:$AC$506,"&gt;=0",'Entries'!$AC$7:$AC$506,"&lt;=30"))</f>
        <v/>
      </c>
      <c r="G76" s="49">
        <f>IF(B76="","",SUMIFS('Entries'!$W$7:$W$506,'Entries'!$C$7:$C$506,B76,'Entries'!$AC$7:$AC$506,"&gt;=31",'Entries'!$AC$7:$AC$506,"&lt;=60"))</f>
        <v/>
      </c>
      <c r="H76" s="49">
        <f>IF(B76="","",SUMIFS('Entries'!$W$7:$W$506,'Entries'!$C$7:$C$506,B76,'Entries'!$AC$7:$AC$506,"&gt;=61",'Entries'!$AC$7:$AC$506,"&lt;=90"))</f>
        <v/>
      </c>
      <c r="I76" s="49">
        <f>IF(B76="","",SUMIFS('Entries'!$W$7:$W$506,'Entries'!$C$7:$C$506,B76,'Entries'!$AC$7:$AC$506,"&gt;90"))</f>
        <v/>
      </c>
      <c r="J76" s="50">
        <f>IF(B76="","",SUMIFS('Entries'!$W$7:$W$506,'Entries'!$C$7:$C$506,B76,'Entries'!$AA$7:$AA$506,"&gt;0"))</f>
        <v/>
      </c>
      <c r="K76" s="49">
        <f>IF(B76="","",ROUND(SUMIFS('Entries'!$AB$7:$AB$506,'Entries'!$C$7:$C$506,B76),0))</f>
        <v/>
      </c>
      <c r="L76" s="49">
        <f>IF(B76="","",SUMIFS('Entries'!$AF$7:$AF$506,'Entries'!$C$7:$C$506,B76))</f>
        <v/>
      </c>
      <c r="M76" s="23">
        <f>IF(B76="","",IF(AND(C76="Debtor",N(E76)&lt;0),"Credit balance: an advance or an excess receipt",IF(AND(C76="Creditor",N(E76)&gt;0),"Debit balance: an advance paid to the supplier",IF(AND(C76="Creditor",N(L76)&gt;0),"Pay before the year end to keep the deduction, s.37(2)(g)",IF(N(J76)&gt;0,IF(C76="Creditor","Past due: pay, or confirm the terms in writing","Past due: follow up"),"OK")))))</f>
        <v/>
      </c>
    </row>
    <row r="77">
      <c r="B77" s="37">
        <f>IF('Parties'!$B$82="","",'Parties'!$B$82)</f>
        <v/>
      </c>
      <c r="C77" s="40">
        <f>IF(B77="","",'Parties'!$C$82&amp;"")</f>
        <v/>
      </c>
      <c r="D77" s="39">
        <f>IF(B77="","",'Parties'!$E$82&amp;"")</f>
        <v/>
      </c>
      <c r="E77" s="38">
        <f>IF(OR(B77="",$E$5=""),"",'Parties'!$M$82+SUMIFS('Entries'!$I$7:$I$506,'Entries'!$C$7:$C$506,B77,'Entries'!$B$7:$B$506,"&lt;="&amp;$E$5)-SUMIFS('Entries'!$J$7:$J$506,'Entries'!$C$7:$C$506,B77,'Entries'!$B$7:$B$506,"&lt;="&amp;$E$5))</f>
        <v/>
      </c>
      <c r="F77" s="49">
        <f>IF(B77="","",SUMIFS('Entries'!$W$7:$W$506,'Entries'!$C$7:$C$506,B77,'Entries'!$AC$7:$AC$506,"&gt;=0",'Entries'!$AC$7:$AC$506,"&lt;=30"))</f>
        <v/>
      </c>
      <c r="G77" s="49">
        <f>IF(B77="","",SUMIFS('Entries'!$W$7:$W$506,'Entries'!$C$7:$C$506,B77,'Entries'!$AC$7:$AC$506,"&gt;=31",'Entries'!$AC$7:$AC$506,"&lt;=60"))</f>
        <v/>
      </c>
      <c r="H77" s="49">
        <f>IF(B77="","",SUMIFS('Entries'!$W$7:$W$506,'Entries'!$C$7:$C$506,B77,'Entries'!$AC$7:$AC$506,"&gt;=61",'Entries'!$AC$7:$AC$506,"&lt;=90"))</f>
        <v/>
      </c>
      <c r="I77" s="49">
        <f>IF(B77="","",SUMIFS('Entries'!$W$7:$W$506,'Entries'!$C$7:$C$506,B77,'Entries'!$AC$7:$AC$506,"&gt;90"))</f>
        <v/>
      </c>
      <c r="J77" s="50">
        <f>IF(B77="","",SUMIFS('Entries'!$W$7:$W$506,'Entries'!$C$7:$C$506,B77,'Entries'!$AA$7:$AA$506,"&gt;0"))</f>
        <v/>
      </c>
      <c r="K77" s="49">
        <f>IF(B77="","",ROUND(SUMIFS('Entries'!$AB$7:$AB$506,'Entries'!$C$7:$C$506,B77),0))</f>
        <v/>
      </c>
      <c r="L77" s="49">
        <f>IF(B77="","",SUMIFS('Entries'!$AF$7:$AF$506,'Entries'!$C$7:$C$506,B77))</f>
        <v/>
      </c>
      <c r="M77" s="23">
        <f>IF(B77="","",IF(AND(C77="Debtor",N(E77)&lt;0),"Credit balance: an advance or an excess receipt",IF(AND(C77="Creditor",N(E77)&gt;0),"Debit balance: an advance paid to the supplier",IF(AND(C77="Creditor",N(L77)&gt;0),"Pay before the year end to keep the deduction, s.37(2)(g)",IF(N(J77)&gt;0,IF(C77="Creditor","Past due: pay, or confirm the terms in writing","Past due: follow up"),"OK")))))</f>
        <v/>
      </c>
    </row>
    <row r="78">
      <c r="B78" s="37">
        <f>IF('Parties'!$B$83="","",'Parties'!$B$83)</f>
        <v/>
      </c>
      <c r="C78" s="40">
        <f>IF(B78="","",'Parties'!$C$83&amp;"")</f>
        <v/>
      </c>
      <c r="D78" s="39">
        <f>IF(B78="","",'Parties'!$E$83&amp;"")</f>
        <v/>
      </c>
      <c r="E78" s="38">
        <f>IF(OR(B78="",$E$5=""),"",'Parties'!$M$83+SUMIFS('Entries'!$I$7:$I$506,'Entries'!$C$7:$C$506,B78,'Entries'!$B$7:$B$506,"&lt;="&amp;$E$5)-SUMIFS('Entries'!$J$7:$J$506,'Entries'!$C$7:$C$506,B78,'Entries'!$B$7:$B$506,"&lt;="&amp;$E$5))</f>
        <v/>
      </c>
      <c r="F78" s="49">
        <f>IF(B78="","",SUMIFS('Entries'!$W$7:$W$506,'Entries'!$C$7:$C$506,B78,'Entries'!$AC$7:$AC$506,"&gt;=0",'Entries'!$AC$7:$AC$506,"&lt;=30"))</f>
        <v/>
      </c>
      <c r="G78" s="49">
        <f>IF(B78="","",SUMIFS('Entries'!$W$7:$W$506,'Entries'!$C$7:$C$506,B78,'Entries'!$AC$7:$AC$506,"&gt;=31",'Entries'!$AC$7:$AC$506,"&lt;=60"))</f>
        <v/>
      </c>
      <c r="H78" s="49">
        <f>IF(B78="","",SUMIFS('Entries'!$W$7:$W$506,'Entries'!$C$7:$C$506,B78,'Entries'!$AC$7:$AC$506,"&gt;=61",'Entries'!$AC$7:$AC$506,"&lt;=90"))</f>
        <v/>
      </c>
      <c r="I78" s="49">
        <f>IF(B78="","",SUMIFS('Entries'!$W$7:$W$506,'Entries'!$C$7:$C$506,B78,'Entries'!$AC$7:$AC$506,"&gt;90"))</f>
        <v/>
      </c>
      <c r="J78" s="50">
        <f>IF(B78="","",SUMIFS('Entries'!$W$7:$W$506,'Entries'!$C$7:$C$506,B78,'Entries'!$AA$7:$AA$506,"&gt;0"))</f>
        <v/>
      </c>
      <c r="K78" s="49">
        <f>IF(B78="","",ROUND(SUMIFS('Entries'!$AB$7:$AB$506,'Entries'!$C$7:$C$506,B78),0))</f>
        <v/>
      </c>
      <c r="L78" s="49">
        <f>IF(B78="","",SUMIFS('Entries'!$AF$7:$AF$506,'Entries'!$C$7:$C$506,B78))</f>
        <v/>
      </c>
      <c r="M78" s="23">
        <f>IF(B78="","",IF(AND(C78="Debtor",N(E78)&lt;0),"Credit balance: an advance or an excess receipt",IF(AND(C78="Creditor",N(E78)&gt;0),"Debit balance: an advance paid to the supplier",IF(AND(C78="Creditor",N(L78)&gt;0),"Pay before the year end to keep the deduction, s.37(2)(g)",IF(N(J78)&gt;0,IF(C78="Creditor","Past due: pay, or confirm the terms in writing","Past due: follow up"),"OK")))))</f>
        <v/>
      </c>
    </row>
    <row r="79">
      <c r="B79" s="37">
        <f>IF('Parties'!$B$84="","",'Parties'!$B$84)</f>
        <v/>
      </c>
      <c r="C79" s="40">
        <f>IF(B79="","",'Parties'!$C$84&amp;"")</f>
        <v/>
      </c>
      <c r="D79" s="39">
        <f>IF(B79="","",'Parties'!$E$84&amp;"")</f>
        <v/>
      </c>
      <c r="E79" s="38">
        <f>IF(OR(B79="",$E$5=""),"",'Parties'!$M$84+SUMIFS('Entries'!$I$7:$I$506,'Entries'!$C$7:$C$506,B79,'Entries'!$B$7:$B$506,"&lt;="&amp;$E$5)-SUMIFS('Entries'!$J$7:$J$506,'Entries'!$C$7:$C$506,B79,'Entries'!$B$7:$B$506,"&lt;="&amp;$E$5))</f>
        <v/>
      </c>
      <c r="F79" s="49">
        <f>IF(B79="","",SUMIFS('Entries'!$W$7:$W$506,'Entries'!$C$7:$C$506,B79,'Entries'!$AC$7:$AC$506,"&gt;=0",'Entries'!$AC$7:$AC$506,"&lt;=30"))</f>
        <v/>
      </c>
      <c r="G79" s="49">
        <f>IF(B79="","",SUMIFS('Entries'!$W$7:$W$506,'Entries'!$C$7:$C$506,B79,'Entries'!$AC$7:$AC$506,"&gt;=31",'Entries'!$AC$7:$AC$506,"&lt;=60"))</f>
        <v/>
      </c>
      <c r="H79" s="49">
        <f>IF(B79="","",SUMIFS('Entries'!$W$7:$W$506,'Entries'!$C$7:$C$506,B79,'Entries'!$AC$7:$AC$506,"&gt;=61",'Entries'!$AC$7:$AC$506,"&lt;=90"))</f>
        <v/>
      </c>
      <c r="I79" s="49">
        <f>IF(B79="","",SUMIFS('Entries'!$W$7:$W$506,'Entries'!$C$7:$C$506,B79,'Entries'!$AC$7:$AC$506,"&gt;90"))</f>
        <v/>
      </c>
      <c r="J79" s="50">
        <f>IF(B79="","",SUMIFS('Entries'!$W$7:$W$506,'Entries'!$C$7:$C$506,B79,'Entries'!$AA$7:$AA$506,"&gt;0"))</f>
        <v/>
      </c>
      <c r="K79" s="49">
        <f>IF(B79="","",ROUND(SUMIFS('Entries'!$AB$7:$AB$506,'Entries'!$C$7:$C$506,B79),0))</f>
        <v/>
      </c>
      <c r="L79" s="49">
        <f>IF(B79="","",SUMIFS('Entries'!$AF$7:$AF$506,'Entries'!$C$7:$C$506,B79))</f>
        <v/>
      </c>
      <c r="M79" s="23">
        <f>IF(B79="","",IF(AND(C79="Debtor",N(E79)&lt;0),"Credit balance: an advance or an excess receipt",IF(AND(C79="Creditor",N(E79)&gt;0),"Debit balance: an advance paid to the supplier",IF(AND(C79="Creditor",N(L79)&gt;0),"Pay before the year end to keep the deduction, s.37(2)(g)",IF(N(J79)&gt;0,IF(C79="Creditor","Past due: pay, or confirm the terms in writing","Past due: follow up"),"OK")))))</f>
        <v/>
      </c>
    </row>
    <row r="80">
      <c r="B80" s="37">
        <f>IF('Parties'!$B$85="","",'Parties'!$B$85)</f>
        <v/>
      </c>
      <c r="C80" s="40">
        <f>IF(B80="","",'Parties'!$C$85&amp;"")</f>
        <v/>
      </c>
      <c r="D80" s="39">
        <f>IF(B80="","",'Parties'!$E$85&amp;"")</f>
        <v/>
      </c>
      <c r="E80" s="38">
        <f>IF(OR(B80="",$E$5=""),"",'Parties'!$M$85+SUMIFS('Entries'!$I$7:$I$506,'Entries'!$C$7:$C$506,B80,'Entries'!$B$7:$B$506,"&lt;="&amp;$E$5)-SUMIFS('Entries'!$J$7:$J$506,'Entries'!$C$7:$C$506,B80,'Entries'!$B$7:$B$506,"&lt;="&amp;$E$5))</f>
        <v/>
      </c>
      <c r="F80" s="49">
        <f>IF(B80="","",SUMIFS('Entries'!$W$7:$W$506,'Entries'!$C$7:$C$506,B80,'Entries'!$AC$7:$AC$506,"&gt;=0",'Entries'!$AC$7:$AC$506,"&lt;=30"))</f>
        <v/>
      </c>
      <c r="G80" s="49">
        <f>IF(B80="","",SUMIFS('Entries'!$W$7:$W$506,'Entries'!$C$7:$C$506,B80,'Entries'!$AC$7:$AC$506,"&gt;=31",'Entries'!$AC$7:$AC$506,"&lt;=60"))</f>
        <v/>
      </c>
      <c r="H80" s="49">
        <f>IF(B80="","",SUMIFS('Entries'!$W$7:$W$506,'Entries'!$C$7:$C$506,B80,'Entries'!$AC$7:$AC$506,"&gt;=61",'Entries'!$AC$7:$AC$506,"&lt;=90"))</f>
        <v/>
      </c>
      <c r="I80" s="49">
        <f>IF(B80="","",SUMIFS('Entries'!$W$7:$W$506,'Entries'!$C$7:$C$506,B80,'Entries'!$AC$7:$AC$506,"&gt;90"))</f>
        <v/>
      </c>
      <c r="J80" s="50">
        <f>IF(B80="","",SUMIFS('Entries'!$W$7:$W$506,'Entries'!$C$7:$C$506,B80,'Entries'!$AA$7:$AA$506,"&gt;0"))</f>
        <v/>
      </c>
      <c r="K80" s="49">
        <f>IF(B80="","",ROUND(SUMIFS('Entries'!$AB$7:$AB$506,'Entries'!$C$7:$C$506,B80),0))</f>
        <v/>
      </c>
      <c r="L80" s="49">
        <f>IF(B80="","",SUMIFS('Entries'!$AF$7:$AF$506,'Entries'!$C$7:$C$506,B80))</f>
        <v/>
      </c>
      <c r="M80" s="23">
        <f>IF(B80="","",IF(AND(C80="Debtor",N(E80)&lt;0),"Credit balance: an advance or an excess receipt",IF(AND(C80="Creditor",N(E80)&gt;0),"Debit balance: an advance paid to the supplier",IF(AND(C80="Creditor",N(L80)&gt;0),"Pay before the year end to keep the deduction, s.37(2)(g)",IF(N(J80)&gt;0,IF(C80="Creditor","Past due: pay, or confirm the terms in writing","Past due: follow up"),"OK")))))</f>
        <v/>
      </c>
    </row>
    <row r="81">
      <c r="B81" s="37">
        <f>IF('Parties'!$B$86="","",'Parties'!$B$86)</f>
        <v/>
      </c>
      <c r="C81" s="40">
        <f>IF(B81="","",'Parties'!$C$86&amp;"")</f>
        <v/>
      </c>
      <c r="D81" s="39">
        <f>IF(B81="","",'Parties'!$E$86&amp;"")</f>
        <v/>
      </c>
      <c r="E81" s="38">
        <f>IF(OR(B81="",$E$5=""),"",'Parties'!$M$86+SUMIFS('Entries'!$I$7:$I$506,'Entries'!$C$7:$C$506,B81,'Entries'!$B$7:$B$506,"&lt;="&amp;$E$5)-SUMIFS('Entries'!$J$7:$J$506,'Entries'!$C$7:$C$506,B81,'Entries'!$B$7:$B$506,"&lt;="&amp;$E$5))</f>
        <v/>
      </c>
      <c r="F81" s="49">
        <f>IF(B81="","",SUMIFS('Entries'!$W$7:$W$506,'Entries'!$C$7:$C$506,B81,'Entries'!$AC$7:$AC$506,"&gt;=0",'Entries'!$AC$7:$AC$506,"&lt;=30"))</f>
        <v/>
      </c>
      <c r="G81" s="49">
        <f>IF(B81="","",SUMIFS('Entries'!$W$7:$W$506,'Entries'!$C$7:$C$506,B81,'Entries'!$AC$7:$AC$506,"&gt;=31",'Entries'!$AC$7:$AC$506,"&lt;=60"))</f>
        <v/>
      </c>
      <c r="H81" s="49">
        <f>IF(B81="","",SUMIFS('Entries'!$W$7:$W$506,'Entries'!$C$7:$C$506,B81,'Entries'!$AC$7:$AC$506,"&gt;=61",'Entries'!$AC$7:$AC$506,"&lt;=90"))</f>
        <v/>
      </c>
      <c r="I81" s="49">
        <f>IF(B81="","",SUMIFS('Entries'!$W$7:$W$506,'Entries'!$C$7:$C$506,B81,'Entries'!$AC$7:$AC$506,"&gt;90"))</f>
        <v/>
      </c>
      <c r="J81" s="50">
        <f>IF(B81="","",SUMIFS('Entries'!$W$7:$W$506,'Entries'!$C$7:$C$506,B81,'Entries'!$AA$7:$AA$506,"&gt;0"))</f>
        <v/>
      </c>
      <c r="K81" s="49">
        <f>IF(B81="","",ROUND(SUMIFS('Entries'!$AB$7:$AB$506,'Entries'!$C$7:$C$506,B81),0))</f>
        <v/>
      </c>
      <c r="L81" s="49">
        <f>IF(B81="","",SUMIFS('Entries'!$AF$7:$AF$506,'Entries'!$C$7:$C$506,B81))</f>
        <v/>
      </c>
      <c r="M81" s="23">
        <f>IF(B81="","",IF(AND(C81="Debtor",N(E81)&lt;0),"Credit balance: an advance or an excess receipt",IF(AND(C81="Creditor",N(E81)&gt;0),"Debit balance: an advance paid to the supplier",IF(AND(C81="Creditor",N(L81)&gt;0),"Pay before the year end to keep the deduction, s.37(2)(g)",IF(N(J81)&gt;0,IF(C81="Creditor","Past due: pay, or confirm the terms in writing","Past due: follow up"),"OK")))))</f>
        <v/>
      </c>
    </row>
    <row r="82">
      <c r="B82" s="37">
        <f>IF('Parties'!$B$87="","",'Parties'!$B$87)</f>
        <v/>
      </c>
      <c r="C82" s="40">
        <f>IF(B82="","",'Parties'!$C$87&amp;"")</f>
        <v/>
      </c>
      <c r="D82" s="39">
        <f>IF(B82="","",'Parties'!$E$87&amp;"")</f>
        <v/>
      </c>
      <c r="E82" s="38">
        <f>IF(OR(B82="",$E$5=""),"",'Parties'!$M$87+SUMIFS('Entries'!$I$7:$I$506,'Entries'!$C$7:$C$506,B82,'Entries'!$B$7:$B$506,"&lt;="&amp;$E$5)-SUMIFS('Entries'!$J$7:$J$506,'Entries'!$C$7:$C$506,B82,'Entries'!$B$7:$B$506,"&lt;="&amp;$E$5))</f>
        <v/>
      </c>
      <c r="F82" s="49">
        <f>IF(B82="","",SUMIFS('Entries'!$W$7:$W$506,'Entries'!$C$7:$C$506,B82,'Entries'!$AC$7:$AC$506,"&gt;=0",'Entries'!$AC$7:$AC$506,"&lt;=30"))</f>
        <v/>
      </c>
      <c r="G82" s="49">
        <f>IF(B82="","",SUMIFS('Entries'!$W$7:$W$506,'Entries'!$C$7:$C$506,B82,'Entries'!$AC$7:$AC$506,"&gt;=31",'Entries'!$AC$7:$AC$506,"&lt;=60"))</f>
        <v/>
      </c>
      <c r="H82" s="49">
        <f>IF(B82="","",SUMIFS('Entries'!$W$7:$W$506,'Entries'!$C$7:$C$506,B82,'Entries'!$AC$7:$AC$506,"&gt;=61",'Entries'!$AC$7:$AC$506,"&lt;=90"))</f>
        <v/>
      </c>
      <c r="I82" s="49">
        <f>IF(B82="","",SUMIFS('Entries'!$W$7:$W$506,'Entries'!$C$7:$C$506,B82,'Entries'!$AC$7:$AC$506,"&gt;90"))</f>
        <v/>
      </c>
      <c r="J82" s="50">
        <f>IF(B82="","",SUMIFS('Entries'!$W$7:$W$506,'Entries'!$C$7:$C$506,B82,'Entries'!$AA$7:$AA$506,"&gt;0"))</f>
        <v/>
      </c>
      <c r="K82" s="49">
        <f>IF(B82="","",ROUND(SUMIFS('Entries'!$AB$7:$AB$506,'Entries'!$C$7:$C$506,B82),0))</f>
        <v/>
      </c>
      <c r="L82" s="49">
        <f>IF(B82="","",SUMIFS('Entries'!$AF$7:$AF$506,'Entries'!$C$7:$C$506,B82))</f>
        <v/>
      </c>
      <c r="M82" s="23">
        <f>IF(B82="","",IF(AND(C82="Debtor",N(E82)&lt;0),"Credit balance: an advance or an excess receipt",IF(AND(C82="Creditor",N(E82)&gt;0),"Debit balance: an advance paid to the supplier",IF(AND(C82="Creditor",N(L82)&gt;0),"Pay before the year end to keep the deduction, s.37(2)(g)",IF(N(J82)&gt;0,IF(C82="Creditor","Past due: pay, or confirm the terms in writing","Past due: follow up"),"OK")))))</f>
        <v/>
      </c>
    </row>
    <row r="83">
      <c r="B83" s="37">
        <f>IF('Parties'!$B$88="","",'Parties'!$B$88)</f>
        <v/>
      </c>
      <c r="C83" s="40">
        <f>IF(B83="","",'Parties'!$C$88&amp;"")</f>
        <v/>
      </c>
      <c r="D83" s="39">
        <f>IF(B83="","",'Parties'!$E$88&amp;"")</f>
        <v/>
      </c>
      <c r="E83" s="38">
        <f>IF(OR(B83="",$E$5=""),"",'Parties'!$M$88+SUMIFS('Entries'!$I$7:$I$506,'Entries'!$C$7:$C$506,B83,'Entries'!$B$7:$B$506,"&lt;="&amp;$E$5)-SUMIFS('Entries'!$J$7:$J$506,'Entries'!$C$7:$C$506,B83,'Entries'!$B$7:$B$506,"&lt;="&amp;$E$5))</f>
        <v/>
      </c>
      <c r="F83" s="49">
        <f>IF(B83="","",SUMIFS('Entries'!$W$7:$W$506,'Entries'!$C$7:$C$506,B83,'Entries'!$AC$7:$AC$506,"&gt;=0",'Entries'!$AC$7:$AC$506,"&lt;=30"))</f>
        <v/>
      </c>
      <c r="G83" s="49">
        <f>IF(B83="","",SUMIFS('Entries'!$W$7:$W$506,'Entries'!$C$7:$C$506,B83,'Entries'!$AC$7:$AC$506,"&gt;=31",'Entries'!$AC$7:$AC$506,"&lt;=60"))</f>
        <v/>
      </c>
      <c r="H83" s="49">
        <f>IF(B83="","",SUMIFS('Entries'!$W$7:$W$506,'Entries'!$C$7:$C$506,B83,'Entries'!$AC$7:$AC$506,"&gt;=61",'Entries'!$AC$7:$AC$506,"&lt;=90"))</f>
        <v/>
      </c>
      <c r="I83" s="49">
        <f>IF(B83="","",SUMIFS('Entries'!$W$7:$W$506,'Entries'!$C$7:$C$506,B83,'Entries'!$AC$7:$AC$506,"&gt;90"))</f>
        <v/>
      </c>
      <c r="J83" s="50">
        <f>IF(B83="","",SUMIFS('Entries'!$W$7:$W$506,'Entries'!$C$7:$C$506,B83,'Entries'!$AA$7:$AA$506,"&gt;0"))</f>
        <v/>
      </c>
      <c r="K83" s="49">
        <f>IF(B83="","",ROUND(SUMIFS('Entries'!$AB$7:$AB$506,'Entries'!$C$7:$C$506,B83),0))</f>
        <v/>
      </c>
      <c r="L83" s="49">
        <f>IF(B83="","",SUMIFS('Entries'!$AF$7:$AF$506,'Entries'!$C$7:$C$506,B83))</f>
        <v/>
      </c>
      <c r="M83" s="23">
        <f>IF(B83="","",IF(AND(C83="Debtor",N(E83)&lt;0),"Credit balance: an advance or an excess receipt",IF(AND(C83="Creditor",N(E83)&gt;0),"Debit balance: an advance paid to the supplier",IF(AND(C83="Creditor",N(L83)&gt;0),"Pay before the year end to keep the deduction, s.37(2)(g)",IF(N(J83)&gt;0,IF(C83="Creditor","Past due: pay, or confirm the terms in writing","Past due: follow up"),"OK")))))</f>
        <v/>
      </c>
    </row>
    <row r="84">
      <c r="B84" s="37">
        <f>IF('Parties'!$B$89="","",'Parties'!$B$89)</f>
        <v/>
      </c>
      <c r="C84" s="40">
        <f>IF(B84="","",'Parties'!$C$89&amp;"")</f>
        <v/>
      </c>
      <c r="D84" s="39">
        <f>IF(B84="","",'Parties'!$E$89&amp;"")</f>
        <v/>
      </c>
      <c r="E84" s="38">
        <f>IF(OR(B84="",$E$5=""),"",'Parties'!$M$89+SUMIFS('Entries'!$I$7:$I$506,'Entries'!$C$7:$C$506,B84,'Entries'!$B$7:$B$506,"&lt;="&amp;$E$5)-SUMIFS('Entries'!$J$7:$J$506,'Entries'!$C$7:$C$506,B84,'Entries'!$B$7:$B$506,"&lt;="&amp;$E$5))</f>
        <v/>
      </c>
      <c r="F84" s="49">
        <f>IF(B84="","",SUMIFS('Entries'!$W$7:$W$506,'Entries'!$C$7:$C$506,B84,'Entries'!$AC$7:$AC$506,"&gt;=0",'Entries'!$AC$7:$AC$506,"&lt;=30"))</f>
        <v/>
      </c>
      <c r="G84" s="49">
        <f>IF(B84="","",SUMIFS('Entries'!$W$7:$W$506,'Entries'!$C$7:$C$506,B84,'Entries'!$AC$7:$AC$506,"&gt;=31",'Entries'!$AC$7:$AC$506,"&lt;=60"))</f>
        <v/>
      </c>
      <c r="H84" s="49">
        <f>IF(B84="","",SUMIFS('Entries'!$W$7:$W$506,'Entries'!$C$7:$C$506,B84,'Entries'!$AC$7:$AC$506,"&gt;=61",'Entries'!$AC$7:$AC$506,"&lt;=90"))</f>
        <v/>
      </c>
      <c r="I84" s="49">
        <f>IF(B84="","",SUMIFS('Entries'!$W$7:$W$506,'Entries'!$C$7:$C$506,B84,'Entries'!$AC$7:$AC$506,"&gt;90"))</f>
        <v/>
      </c>
      <c r="J84" s="50">
        <f>IF(B84="","",SUMIFS('Entries'!$W$7:$W$506,'Entries'!$C$7:$C$506,B84,'Entries'!$AA$7:$AA$506,"&gt;0"))</f>
        <v/>
      </c>
      <c r="K84" s="49">
        <f>IF(B84="","",ROUND(SUMIFS('Entries'!$AB$7:$AB$506,'Entries'!$C$7:$C$506,B84),0))</f>
        <v/>
      </c>
      <c r="L84" s="49">
        <f>IF(B84="","",SUMIFS('Entries'!$AF$7:$AF$506,'Entries'!$C$7:$C$506,B84))</f>
        <v/>
      </c>
      <c r="M84" s="23">
        <f>IF(B84="","",IF(AND(C84="Debtor",N(E84)&lt;0),"Credit balance: an advance or an excess receipt",IF(AND(C84="Creditor",N(E84)&gt;0),"Debit balance: an advance paid to the supplier",IF(AND(C84="Creditor",N(L84)&gt;0),"Pay before the year end to keep the deduction, s.37(2)(g)",IF(N(J84)&gt;0,IF(C84="Creditor","Past due: pay, or confirm the terms in writing","Past due: follow up"),"OK")))))</f>
        <v/>
      </c>
    </row>
    <row r="85">
      <c r="B85" s="37">
        <f>IF('Parties'!$B$90="","",'Parties'!$B$90)</f>
        <v/>
      </c>
      <c r="C85" s="40">
        <f>IF(B85="","",'Parties'!$C$90&amp;"")</f>
        <v/>
      </c>
      <c r="D85" s="39">
        <f>IF(B85="","",'Parties'!$E$90&amp;"")</f>
        <v/>
      </c>
      <c r="E85" s="38">
        <f>IF(OR(B85="",$E$5=""),"",'Parties'!$M$90+SUMIFS('Entries'!$I$7:$I$506,'Entries'!$C$7:$C$506,B85,'Entries'!$B$7:$B$506,"&lt;="&amp;$E$5)-SUMIFS('Entries'!$J$7:$J$506,'Entries'!$C$7:$C$506,B85,'Entries'!$B$7:$B$506,"&lt;="&amp;$E$5))</f>
        <v/>
      </c>
      <c r="F85" s="49">
        <f>IF(B85="","",SUMIFS('Entries'!$W$7:$W$506,'Entries'!$C$7:$C$506,B85,'Entries'!$AC$7:$AC$506,"&gt;=0",'Entries'!$AC$7:$AC$506,"&lt;=30"))</f>
        <v/>
      </c>
      <c r="G85" s="49">
        <f>IF(B85="","",SUMIFS('Entries'!$W$7:$W$506,'Entries'!$C$7:$C$506,B85,'Entries'!$AC$7:$AC$506,"&gt;=31",'Entries'!$AC$7:$AC$506,"&lt;=60"))</f>
        <v/>
      </c>
      <c r="H85" s="49">
        <f>IF(B85="","",SUMIFS('Entries'!$W$7:$W$506,'Entries'!$C$7:$C$506,B85,'Entries'!$AC$7:$AC$506,"&gt;=61",'Entries'!$AC$7:$AC$506,"&lt;=90"))</f>
        <v/>
      </c>
      <c r="I85" s="49">
        <f>IF(B85="","",SUMIFS('Entries'!$W$7:$W$506,'Entries'!$C$7:$C$506,B85,'Entries'!$AC$7:$AC$506,"&gt;90"))</f>
        <v/>
      </c>
      <c r="J85" s="50">
        <f>IF(B85="","",SUMIFS('Entries'!$W$7:$W$506,'Entries'!$C$7:$C$506,B85,'Entries'!$AA$7:$AA$506,"&gt;0"))</f>
        <v/>
      </c>
      <c r="K85" s="49">
        <f>IF(B85="","",ROUND(SUMIFS('Entries'!$AB$7:$AB$506,'Entries'!$C$7:$C$506,B85),0))</f>
        <v/>
      </c>
      <c r="L85" s="49">
        <f>IF(B85="","",SUMIFS('Entries'!$AF$7:$AF$506,'Entries'!$C$7:$C$506,B85))</f>
        <v/>
      </c>
      <c r="M85" s="23">
        <f>IF(B85="","",IF(AND(C85="Debtor",N(E85)&lt;0),"Credit balance: an advance or an excess receipt",IF(AND(C85="Creditor",N(E85)&gt;0),"Debit balance: an advance paid to the supplier",IF(AND(C85="Creditor",N(L85)&gt;0),"Pay before the year end to keep the deduction, s.37(2)(g)",IF(N(J85)&gt;0,IF(C85="Creditor","Past due: pay, or confirm the terms in writing","Past due: follow up"),"OK")))))</f>
        <v/>
      </c>
    </row>
    <row r="86">
      <c r="B86" s="37">
        <f>IF('Parties'!$B$91="","",'Parties'!$B$91)</f>
        <v/>
      </c>
      <c r="C86" s="40">
        <f>IF(B86="","",'Parties'!$C$91&amp;"")</f>
        <v/>
      </c>
      <c r="D86" s="39">
        <f>IF(B86="","",'Parties'!$E$91&amp;"")</f>
        <v/>
      </c>
      <c r="E86" s="38">
        <f>IF(OR(B86="",$E$5=""),"",'Parties'!$M$91+SUMIFS('Entries'!$I$7:$I$506,'Entries'!$C$7:$C$506,B86,'Entries'!$B$7:$B$506,"&lt;="&amp;$E$5)-SUMIFS('Entries'!$J$7:$J$506,'Entries'!$C$7:$C$506,B86,'Entries'!$B$7:$B$506,"&lt;="&amp;$E$5))</f>
        <v/>
      </c>
      <c r="F86" s="49">
        <f>IF(B86="","",SUMIFS('Entries'!$W$7:$W$506,'Entries'!$C$7:$C$506,B86,'Entries'!$AC$7:$AC$506,"&gt;=0",'Entries'!$AC$7:$AC$506,"&lt;=30"))</f>
        <v/>
      </c>
      <c r="G86" s="49">
        <f>IF(B86="","",SUMIFS('Entries'!$W$7:$W$506,'Entries'!$C$7:$C$506,B86,'Entries'!$AC$7:$AC$506,"&gt;=31",'Entries'!$AC$7:$AC$506,"&lt;=60"))</f>
        <v/>
      </c>
      <c r="H86" s="49">
        <f>IF(B86="","",SUMIFS('Entries'!$W$7:$W$506,'Entries'!$C$7:$C$506,B86,'Entries'!$AC$7:$AC$506,"&gt;=61",'Entries'!$AC$7:$AC$506,"&lt;=90"))</f>
        <v/>
      </c>
      <c r="I86" s="49">
        <f>IF(B86="","",SUMIFS('Entries'!$W$7:$W$506,'Entries'!$C$7:$C$506,B86,'Entries'!$AC$7:$AC$506,"&gt;90"))</f>
        <v/>
      </c>
      <c r="J86" s="50">
        <f>IF(B86="","",SUMIFS('Entries'!$W$7:$W$506,'Entries'!$C$7:$C$506,B86,'Entries'!$AA$7:$AA$506,"&gt;0"))</f>
        <v/>
      </c>
      <c r="K86" s="49">
        <f>IF(B86="","",ROUND(SUMIFS('Entries'!$AB$7:$AB$506,'Entries'!$C$7:$C$506,B86),0))</f>
        <v/>
      </c>
      <c r="L86" s="49">
        <f>IF(B86="","",SUMIFS('Entries'!$AF$7:$AF$506,'Entries'!$C$7:$C$506,B86))</f>
        <v/>
      </c>
      <c r="M86" s="23">
        <f>IF(B86="","",IF(AND(C86="Debtor",N(E86)&lt;0),"Credit balance: an advance or an excess receipt",IF(AND(C86="Creditor",N(E86)&gt;0),"Debit balance: an advance paid to the supplier",IF(AND(C86="Creditor",N(L86)&gt;0),"Pay before the year end to keep the deduction, s.37(2)(g)",IF(N(J86)&gt;0,IF(C86="Creditor","Past due: pay, or confirm the terms in writing","Past due: follow up"),"OK")))))</f>
        <v/>
      </c>
    </row>
    <row r="87">
      <c r="B87" s="37">
        <f>IF('Parties'!$B$92="","",'Parties'!$B$92)</f>
        <v/>
      </c>
      <c r="C87" s="40">
        <f>IF(B87="","",'Parties'!$C$92&amp;"")</f>
        <v/>
      </c>
      <c r="D87" s="39">
        <f>IF(B87="","",'Parties'!$E$92&amp;"")</f>
        <v/>
      </c>
      <c r="E87" s="38">
        <f>IF(OR(B87="",$E$5=""),"",'Parties'!$M$92+SUMIFS('Entries'!$I$7:$I$506,'Entries'!$C$7:$C$506,B87,'Entries'!$B$7:$B$506,"&lt;="&amp;$E$5)-SUMIFS('Entries'!$J$7:$J$506,'Entries'!$C$7:$C$506,B87,'Entries'!$B$7:$B$506,"&lt;="&amp;$E$5))</f>
        <v/>
      </c>
      <c r="F87" s="49">
        <f>IF(B87="","",SUMIFS('Entries'!$W$7:$W$506,'Entries'!$C$7:$C$506,B87,'Entries'!$AC$7:$AC$506,"&gt;=0",'Entries'!$AC$7:$AC$506,"&lt;=30"))</f>
        <v/>
      </c>
      <c r="G87" s="49">
        <f>IF(B87="","",SUMIFS('Entries'!$W$7:$W$506,'Entries'!$C$7:$C$506,B87,'Entries'!$AC$7:$AC$506,"&gt;=31",'Entries'!$AC$7:$AC$506,"&lt;=60"))</f>
        <v/>
      </c>
      <c r="H87" s="49">
        <f>IF(B87="","",SUMIFS('Entries'!$W$7:$W$506,'Entries'!$C$7:$C$506,B87,'Entries'!$AC$7:$AC$506,"&gt;=61",'Entries'!$AC$7:$AC$506,"&lt;=90"))</f>
        <v/>
      </c>
      <c r="I87" s="49">
        <f>IF(B87="","",SUMIFS('Entries'!$W$7:$W$506,'Entries'!$C$7:$C$506,B87,'Entries'!$AC$7:$AC$506,"&gt;90"))</f>
        <v/>
      </c>
      <c r="J87" s="50">
        <f>IF(B87="","",SUMIFS('Entries'!$W$7:$W$506,'Entries'!$C$7:$C$506,B87,'Entries'!$AA$7:$AA$506,"&gt;0"))</f>
        <v/>
      </c>
      <c r="K87" s="49">
        <f>IF(B87="","",ROUND(SUMIFS('Entries'!$AB$7:$AB$506,'Entries'!$C$7:$C$506,B87),0))</f>
        <v/>
      </c>
      <c r="L87" s="49">
        <f>IF(B87="","",SUMIFS('Entries'!$AF$7:$AF$506,'Entries'!$C$7:$C$506,B87))</f>
        <v/>
      </c>
      <c r="M87" s="23">
        <f>IF(B87="","",IF(AND(C87="Debtor",N(E87)&lt;0),"Credit balance: an advance or an excess receipt",IF(AND(C87="Creditor",N(E87)&gt;0),"Debit balance: an advance paid to the supplier",IF(AND(C87="Creditor",N(L87)&gt;0),"Pay before the year end to keep the deduction, s.37(2)(g)",IF(N(J87)&gt;0,IF(C87="Creditor","Past due: pay, or confirm the terms in writing","Past due: follow up"),"OK")))))</f>
        <v/>
      </c>
    </row>
    <row r="88">
      <c r="B88" s="37">
        <f>IF('Parties'!$B$93="","",'Parties'!$B$93)</f>
        <v/>
      </c>
      <c r="C88" s="40">
        <f>IF(B88="","",'Parties'!$C$93&amp;"")</f>
        <v/>
      </c>
      <c r="D88" s="39">
        <f>IF(B88="","",'Parties'!$E$93&amp;"")</f>
        <v/>
      </c>
      <c r="E88" s="38">
        <f>IF(OR(B88="",$E$5=""),"",'Parties'!$M$93+SUMIFS('Entries'!$I$7:$I$506,'Entries'!$C$7:$C$506,B88,'Entries'!$B$7:$B$506,"&lt;="&amp;$E$5)-SUMIFS('Entries'!$J$7:$J$506,'Entries'!$C$7:$C$506,B88,'Entries'!$B$7:$B$506,"&lt;="&amp;$E$5))</f>
        <v/>
      </c>
      <c r="F88" s="49">
        <f>IF(B88="","",SUMIFS('Entries'!$W$7:$W$506,'Entries'!$C$7:$C$506,B88,'Entries'!$AC$7:$AC$506,"&gt;=0",'Entries'!$AC$7:$AC$506,"&lt;=30"))</f>
        <v/>
      </c>
      <c r="G88" s="49">
        <f>IF(B88="","",SUMIFS('Entries'!$W$7:$W$506,'Entries'!$C$7:$C$506,B88,'Entries'!$AC$7:$AC$506,"&gt;=31",'Entries'!$AC$7:$AC$506,"&lt;=60"))</f>
        <v/>
      </c>
      <c r="H88" s="49">
        <f>IF(B88="","",SUMIFS('Entries'!$W$7:$W$506,'Entries'!$C$7:$C$506,B88,'Entries'!$AC$7:$AC$506,"&gt;=61",'Entries'!$AC$7:$AC$506,"&lt;=90"))</f>
        <v/>
      </c>
      <c r="I88" s="49">
        <f>IF(B88="","",SUMIFS('Entries'!$W$7:$W$506,'Entries'!$C$7:$C$506,B88,'Entries'!$AC$7:$AC$506,"&gt;90"))</f>
        <v/>
      </c>
      <c r="J88" s="50">
        <f>IF(B88="","",SUMIFS('Entries'!$W$7:$W$506,'Entries'!$C$7:$C$506,B88,'Entries'!$AA$7:$AA$506,"&gt;0"))</f>
        <v/>
      </c>
      <c r="K88" s="49">
        <f>IF(B88="","",ROUND(SUMIFS('Entries'!$AB$7:$AB$506,'Entries'!$C$7:$C$506,B88),0))</f>
        <v/>
      </c>
      <c r="L88" s="49">
        <f>IF(B88="","",SUMIFS('Entries'!$AF$7:$AF$506,'Entries'!$C$7:$C$506,B88))</f>
        <v/>
      </c>
      <c r="M88" s="23">
        <f>IF(B88="","",IF(AND(C88="Debtor",N(E88)&lt;0),"Credit balance: an advance or an excess receipt",IF(AND(C88="Creditor",N(E88)&gt;0),"Debit balance: an advance paid to the supplier",IF(AND(C88="Creditor",N(L88)&gt;0),"Pay before the year end to keep the deduction, s.37(2)(g)",IF(N(J88)&gt;0,IF(C88="Creditor","Past due: pay, or confirm the terms in writing","Past due: follow up"),"OK")))))</f>
        <v/>
      </c>
    </row>
    <row r="89">
      <c r="B89" s="37">
        <f>IF('Parties'!$B$94="","",'Parties'!$B$94)</f>
        <v/>
      </c>
      <c r="C89" s="40">
        <f>IF(B89="","",'Parties'!$C$94&amp;"")</f>
        <v/>
      </c>
      <c r="D89" s="39">
        <f>IF(B89="","",'Parties'!$E$94&amp;"")</f>
        <v/>
      </c>
      <c r="E89" s="38">
        <f>IF(OR(B89="",$E$5=""),"",'Parties'!$M$94+SUMIFS('Entries'!$I$7:$I$506,'Entries'!$C$7:$C$506,B89,'Entries'!$B$7:$B$506,"&lt;="&amp;$E$5)-SUMIFS('Entries'!$J$7:$J$506,'Entries'!$C$7:$C$506,B89,'Entries'!$B$7:$B$506,"&lt;="&amp;$E$5))</f>
        <v/>
      </c>
      <c r="F89" s="49">
        <f>IF(B89="","",SUMIFS('Entries'!$W$7:$W$506,'Entries'!$C$7:$C$506,B89,'Entries'!$AC$7:$AC$506,"&gt;=0",'Entries'!$AC$7:$AC$506,"&lt;=30"))</f>
        <v/>
      </c>
      <c r="G89" s="49">
        <f>IF(B89="","",SUMIFS('Entries'!$W$7:$W$506,'Entries'!$C$7:$C$506,B89,'Entries'!$AC$7:$AC$506,"&gt;=31",'Entries'!$AC$7:$AC$506,"&lt;=60"))</f>
        <v/>
      </c>
      <c r="H89" s="49">
        <f>IF(B89="","",SUMIFS('Entries'!$W$7:$W$506,'Entries'!$C$7:$C$506,B89,'Entries'!$AC$7:$AC$506,"&gt;=61",'Entries'!$AC$7:$AC$506,"&lt;=90"))</f>
        <v/>
      </c>
      <c r="I89" s="49">
        <f>IF(B89="","",SUMIFS('Entries'!$W$7:$W$506,'Entries'!$C$7:$C$506,B89,'Entries'!$AC$7:$AC$506,"&gt;90"))</f>
        <v/>
      </c>
      <c r="J89" s="50">
        <f>IF(B89="","",SUMIFS('Entries'!$W$7:$W$506,'Entries'!$C$7:$C$506,B89,'Entries'!$AA$7:$AA$506,"&gt;0"))</f>
        <v/>
      </c>
      <c r="K89" s="49">
        <f>IF(B89="","",ROUND(SUMIFS('Entries'!$AB$7:$AB$506,'Entries'!$C$7:$C$506,B89),0))</f>
        <v/>
      </c>
      <c r="L89" s="49">
        <f>IF(B89="","",SUMIFS('Entries'!$AF$7:$AF$506,'Entries'!$C$7:$C$506,B89))</f>
        <v/>
      </c>
      <c r="M89" s="23">
        <f>IF(B89="","",IF(AND(C89="Debtor",N(E89)&lt;0),"Credit balance: an advance or an excess receipt",IF(AND(C89="Creditor",N(E89)&gt;0),"Debit balance: an advance paid to the supplier",IF(AND(C89="Creditor",N(L89)&gt;0),"Pay before the year end to keep the deduction, s.37(2)(g)",IF(N(J89)&gt;0,IF(C89="Creditor","Past due: pay, or confirm the terms in writing","Past due: follow up"),"OK")))))</f>
        <v/>
      </c>
    </row>
    <row r="90">
      <c r="B90" s="37">
        <f>IF('Parties'!$B$95="","",'Parties'!$B$95)</f>
        <v/>
      </c>
      <c r="C90" s="40">
        <f>IF(B90="","",'Parties'!$C$95&amp;"")</f>
        <v/>
      </c>
      <c r="D90" s="39">
        <f>IF(B90="","",'Parties'!$E$95&amp;"")</f>
        <v/>
      </c>
      <c r="E90" s="38">
        <f>IF(OR(B90="",$E$5=""),"",'Parties'!$M$95+SUMIFS('Entries'!$I$7:$I$506,'Entries'!$C$7:$C$506,B90,'Entries'!$B$7:$B$506,"&lt;="&amp;$E$5)-SUMIFS('Entries'!$J$7:$J$506,'Entries'!$C$7:$C$506,B90,'Entries'!$B$7:$B$506,"&lt;="&amp;$E$5))</f>
        <v/>
      </c>
      <c r="F90" s="49">
        <f>IF(B90="","",SUMIFS('Entries'!$W$7:$W$506,'Entries'!$C$7:$C$506,B90,'Entries'!$AC$7:$AC$506,"&gt;=0",'Entries'!$AC$7:$AC$506,"&lt;=30"))</f>
        <v/>
      </c>
      <c r="G90" s="49">
        <f>IF(B90="","",SUMIFS('Entries'!$W$7:$W$506,'Entries'!$C$7:$C$506,B90,'Entries'!$AC$7:$AC$506,"&gt;=31",'Entries'!$AC$7:$AC$506,"&lt;=60"))</f>
        <v/>
      </c>
      <c r="H90" s="49">
        <f>IF(B90="","",SUMIFS('Entries'!$W$7:$W$506,'Entries'!$C$7:$C$506,B90,'Entries'!$AC$7:$AC$506,"&gt;=61",'Entries'!$AC$7:$AC$506,"&lt;=90"))</f>
        <v/>
      </c>
      <c r="I90" s="49">
        <f>IF(B90="","",SUMIFS('Entries'!$W$7:$W$506,'Entries'!$C$7:$C$506,B90,'Entries'!$AC$7:$AC$506,"&gt;90"))</f>
        <v/>
      </c>
      <c r="J90" s="50">
        <f>IF(B90="","",SUMIFS('Entries'!$W$7:$W$506,'Entries'!$C$7:$C$506,B90,'Entries'!$AA$7:$AA$506,"&gt;0"))</f>
        <v/>
      </c>
      <c r="K90" s="49">
        <f>IF(B90="","",ROUND(SUMIFS('Entries'!$AB$7:$AB$506,'Entries'!$C$7:$C$506,B90),0))</f>
        <v/>
      </c>
      <c r="L90" s="49">
        <f>IF(B90="","",SUMIFS('Entries'!$AF$7:$AF$506,'Entries'!$C$7:$C$506,B90))</f>
        <v/>
      </c>
      <c r="M90" s="23">
        <f>IF(B90="","",IF(AND(C90="Debtor",N(E90)&lt;0),"Credit balance: an advance or an excess receipt",IF(AND(C90="Creditor",N(E90)&gt;0),"Debit balance: an advance paid to the supplier",IF(AND(C90="Creditor",N(L90)&gt;0),"Pay before the year end to keep the deduction, s.37(2)(g)",IF(N(J90)&gt;0,IF(C90="Creditor","Past due: pay, or confirm the terms in writing","Past due: follow up"),"OK")))))</f>
        <v/>
      </c>
    </row>
    <row r="91">
      <c r="B91" s="37">
        <f>IF('Parties'!$B$96="","",'Parties'!$B$96)</f>
        <v/>
      </c>
      <c r="C91" s="40">
        <f>IF(B91="","",'Parties'!$C$96&amp;"")</f>
        <v/>
      </c>
      <c r="D91" s="39">
        <f>IF(B91="","",'Parties'!$E$96&amp;"")</f>
        <v/>
      </c>
      <c r="E91" s="38">
        <f>IF(OR(B91="",$E$5=""),"",'Parties'!$M$96+SUMIFS('Entries'!$I$7:$I$506,'Entries'!$C$7:$C$506,B91,'Entries'!$B$7:$B$506,"&lt;="&amp;$E$5)-SUMIFS('Entries'!$J$7:$J$506,'Entries'!$C$7:$C$506,B91,'Entries'!$B$7:$B$506,"&lt;="&amp;$E$5))</f>
        <v/>
      </c>
      <c r="F91" s="49">
        <f>IF(B91="","",SUMIFS('Entries'!$W$7:$W$506,'Entries'!$C$7:$C$506,B91,'Entries'!$AC$7:$AC$506,"&gt;=0",'Entries'!$AC$7:$AC$506,"&lt;=30"))</f>
        <v/>
      </c>
      <c r="G91" s="49">
        <f>IF(B91="","",SUMIFS('Entries'!$W$7:$W$506,'Entries'!$C$7:$C$506,B91,'Entries'!$AC$7:$AC$506,"&gt;=31",'Entries'!$AC$7:$AC$506,"&lt;=60"))</f>
        <v/>
      </c>
      <c r="H91" s="49">
        <f>IF(B91="","",SUMIFS('Entries'!$W$7:$W$506,'Entries'!$C$7:$C$506,B91,'Entries'!$AC$7:$AC$506,"&gt;=61",'Entries'!$AC$7:$AC$506,"&lt;=90"))</f>
        <v/>
      </c>
      <c r="I91" s="49">
        <f>IF(B91="","",SUMIFS('Entries'!$W$7:$W$506,'Entries'!$C$7:$C$506,B91,'Entries'!$AC$7:$AC$506,"&gt;90"))</f>
        <v/>
      </c>
      <c r="J91" s="50">
        <f>IF(B91="","",SUMIFS('Entries'!$W$7:$W$506,'Entries'!$C$7:$C$506,B91,'Entries'!$AA$7:$AA$506,"&gt;0"))</f>
        <v/>
      </c>
      <c r="K91" s="49">
        <f>IF(B91="","",ROUND(SUMIFS('Entries'!$AB$7:$AB$506,'Entries'!$C$7:$C$506,B91),0))</f>
        <v/>
      </c>
      <c r="L91" s="49">
        <f>IF(B91="","",SUMIFS('Entries'!$AF$7:$AF$506,'Entries'!$C$7:$C$506,B91))</f>
        <v/>
      </c>
      <c r="M91" s="23">
        <f>IF(B91="","",IF(AND(C91="Debtor",N(E91)&lt;0),"Credit balance: an advance or an excess receipt",IF(AND(C91="Creditor",N(E91)&gt;0),"Debit balance: an advance paid to the supplier",IF(AND(C91="Creditor",N(L91)&gt;0),"Pay before the year end to keep the deduction, s.37(2)(g)",IF(N(J91)&gt;0,IF(C91="Creditor","Past due: pay, or confirm the terms in writing","Past due: follow up"),"OK")))))</f>
        <v/>
      </c>
    </row>
    <row r="92">
      <c r="B92" s="37">
        <f>IF('Parties'!$B$97="","",'Parties'!$B$97)</f>
        <v/>
      </c>
      <c r="C92" s="40">
        <f>IF(B92="","",'Parties'!$C$97&amp;"")</f>
        <v/>
      </c>
      <c r="D92" s="39">
        <f>IF(B92="","",'Parties'!$E$97&amp;"")</f>
        <v/>
      </c>
      <c r="E92" s="38">
        <f>IF(OR(B92="",$E$5=""),"",'Parties'!$M$97+SUMIFS('Entries'!$I$7:$I$506,'Entries'!$C$7:$C$506,B92,'Entries'!$B$7:$B$506,"&lt;="&amp;$E$5)-SUMIFS('Entries'!$J$7:$J$506,'Entries'!$C$7:$C$506,B92,'Entries'!$B$7:$B$506,"&lt;="&amp;$E$5))</f>
        <v/>
      </c>
      <c r="F92" s="49">
        <f>IF(B92="","",SUMIFS('Entries'!$W$7:$W$506,'Entries'!$C$7:$C$506,B92,'Entries'!$AC$7:$AC$506,"&gt;=0",'Entries'!$AC$7:$AC$506,"&lt;=30"))</f>
        <v/>
      </c>
      <c r="G92" s="49">
        <f>IF(B92="","",SUMIFS('Entries'!$W$7:$W$506,'Entries'!$C$7:$C$506,B92,'Entries'!$AC$7:$AC$506,"&gt;=31",'Entries'!$AC$7:$AC$506,"&lt;=60"))</f>
        <v/>
      </c>
      <c r="H92" s="49">
        <f>IF(B92="","",SUMIFS('Entries'!$W$7:$W$506,'Entries'!$C$7:$C$506,B92,'Entries'!$AC$7:$AC$506,"&gt;=61",'Entries'!$AC$7:$AC$506,"&lt;=90"))</f>
        <v/>
      </c>
      <c r="I92" s="49">
        <f>IF(B92="","",SUMIFS('Entries'!$W$7:$W$506,'Entries'!$C$7:$C$506,B92,'Entries'!$AC$7:$AC$506,"&gt;90"))</f>
        <v/>
      </c>
      <c r="J92" s="50">
        <f>IF(B92="","",SUMIFS('Entries'!$W$7:$W$506,'Entries'!$C$7:$C$506,B92,'Entries'!$AA$7:$AA$506,"&gt;0"))</f>
        <v/>
      </c>
      <c r="K92" s="49">
        <f>IF(B92="","",ROUND(SUMIFS('Entries'!$AB$7:$AB$506,'Entries'!$C$7:$C$506,B92),0))</f>
        <v/>
      </c>
      <c r="L92" s="49">
        <f>IF(B92="","",SUMIFS('Entries'!$AF$7:$AF$506,'Entries'!$C$7:$C$506,B92))</f>
        <v/>
      </c>
      <c r="M92" s="23">
        <f>IF(B92="","",IF(AND(C92="Debtor",N(E92)&lt;0),"Credit balance: an advance or an excess receipt",IF(AND(C92="Creditor",N(E92)&gt;0),"Debit balance: an advance paid to the supplier",IF(AND(C92="Creditor",N(L92)&gt;0),"Pay before the year end to keep the deduction, s.37(2)(g)",IF(N(J92)&gt;0,IF(C92="Creditor","Past due: pay, or confirm the terms in writing","Past due: follow up"),"OK")))))</f>
        <v/>
      </c>
    </row>
    <row r="93">
      <c r="B93" s="37">
        <f>IF('Parties'!$B$98="","",'Parties'!$B$98)</f>
        <v/>
      </c>
      <c r="C93" s="40">
        <f>IF(B93="","",'Parties'!$C$98&amp;"")</f>
        <v/>
      </c>
      <c r="D93" s="39">
        <f>IF(B93="","",'Parties'!$E$98&amp;"")</f>
        <v/>
      </c>
      <c r="E93" s="38">
        <f>IF(OR(B93="",$E$5=""),"",'Parties'!$M$98+SUMIFS('Entries'!$I$7:$I$506,'Entries'!$C$7:$C$506,B93,'Entries'!$B$7:$B$506,"&lt;="&amp;$E$5)-SUMIFS('Entries'!$J$7:$J$506,'Entries'!$C$7:$C$506,B93,'Entries'!$B$7:$B$506,"&lt;="&amp;$E$5))</f>
        <v/>
      </c>
      <c r="F93" s="49">
        <f>IF(B93="","",SUMIFS('Entries'!$W$7:$W$506,'Entries'!$C$7:$C$506,B93,'Entries'!$AC$7:$AC$506,"&gt;=0",'Entries'!$AC$7:$AC$506,"&lt;=30"))</f>
        <v/>
      </c>
      <c r="G93" s="49">
        <f>IF(B93="","",SUMIFS('Entries'!$W$7:$W$506,'Entries'!$C$7:$C$506,B93,'Entries'!$AC$7:$AC$506,"&gt;=31",'Entries'!$AC$7:$AC$506,"&lt;=60"))</f>
        <v/>
      </c>
      <c r="H93" s="49">
        <f>IF(B93="","",SUMIFS('Entries'!$W$7:$W$506,'Entries'!$C$7:$C$506,B93,'Entries'!$AC$7:$AC$506,"&gt;=61",'Entries'!$AC$7:$AC$506,"&lt;=90"))</f>
        <v/>
      </c>
      <c r="I93" s="49">
        <f>IF(B93="","",SUMIFS('Entries'!$W$7:$W$506,'Entries'!$C$7:$C$506,B93,'Entries'!$AC$7:$AC$506,"&gt;90"))</f>
        <v/>
      </c>
      <c r="J93" s="50">
        <f>IF(B93="","",SUMIFS('Entries'!$W$7:$W$506,'Entries'!$C$7:$C$506,B93,'Entries'!$AA$7:$AA$506,"&gt;0"))</f>
        <v/>
      </c>
      <c r="K93" s="49">
        <f>IF(B93="","",ROUND(SUMIFS('Entries'!$AB$7:$AB$506,'Entries'!$C$7:$C$506,B93),0))</f>
        <v/>
      </c>
      <c r="L93" s="49">
        <f>IF(B93="","",SUMIFS('Entries'!$AF$7:$AF$506,'Entries'!$C$7:$C$506,B93))</f>
        <v/>
      </c>
      <c r="M93" s="23">
        <f>IF(B93="","",IF(AND(C93="Debtor",N(E93)&lt;0),"Credit balance: an advance or an excess receipt",IF(AND(C93="Creditor",N(E93)&gt;0),"Debit balance: an advance paid to the supplier",IF(AND(C93="Creditor",N(L93)&gt;0),"Pay before the year end to keep the deduction, s.37(2)(g)",IF(N(J93)&gt;0,IF(C93="Creditor","Past due: pay, or confirm the terms in writing","Past due: follow up"),"OK")))))</f>
        <v/>
      </c>
    </row>
    <row r="94">
      <c r="B94" s="37">
        <f>IF('Parties'!$B$99="","",'Parties'!$B$99)</f>
        <v/>
      </c>
      <c r="C94" s="40">
        <f>IF(B94="","",'Parties'!$C$99&amp;"")</f>
        <v/>
      </c>
      <c r="D94" s="39">
        <f>IF(B94="","",'Parties'!$E$99&amp;"")</f>
        <v/>
      </c>
      <c r="E94" s="38">
        <f>IF(OR(B94="",$E$5=""),"",'Parties'!$M$99+SUMIFS('Entries'!$I$7:$I$506,'Entries'!$C$7:$C$506,B94,'Entries'!$B$7:$B$506,"&lt;="&amp;$E$5)-SUMIFS('Entries'!$J$7:$J$506,'Entries'!$C$7:$C$506,B94,'Entries'!$B$7:$B$506,"&lt;="&amp;$E$5))</f>
        <v/>
      </c>
      <c r="F94" s="49">
        <f>IF(B94="","",SUMIFS('Entries'!$W$7:$W$506,'Entries'!$C$7:$C$506,B94,'Entries'!$AC$7:$AC$506,"&gt;=0",'Entries'!$AC$7:$AC$506,"&lt;=30"))</f>
        <v/>
      </c>
      <c r="G94" s="49">
        <f>IF(B94="","",SUMIFS('Entries'!$W$7:$W$506,'Entries'!$C$7:$C$506,B94,'Entries'!$AC$7:$AC$506,"&gt;=31",'Entries'!$AC$7:$AC$506,"&lt;=60"))</f>
        <v/>
      </c>
      <c r="H94" s="49">
        <f>IF(B94="","",SUMIFS('Entries'!$W$7:$W$506,'Entries'!$C$7:$C$506,B94,'Entries'!$AC$7:$AC$506,"&gt;=61",'Entries'!$AC$7:$AC$506,"&lt;=90"))</f>
        <v/>
      </c>
      <c r="I94" s="49">
        <f>IF(B94="","",SUMIFS('Entries'!$W$7:$W$506,'Entries'!$C$7:$C$506,B94,'Entries'!$AC$7:$AC$506,"&gt;90"))</f>
        <v/>
      </c>
      <c r="J94" s="50">
        <f>IF(B94="","",SUMIFS('Entries'!$W$7:$W$506,'Entries'!$C$7:$C$506,B94,'Entries'!$AA$7:$AA$506,"&gt;0"))</f>
        <v/>
      </c>
      <c r="K94" s="49">
        <f>IF(B94="","",ROUND(SUMIFS('Entries'!$AB$7:$AB$506,'Entries'!$C$7:$C$506,B94),0))</f>
        <v/>
      </c>
      <c r="L94" s="49">
        <f>IF(B94="","",SUMIFS('Entries'!$AF$7:$AF$506,'Entries'!$C$7:$C$506,B94))</f>
        <v/>
      </c>
      <c r="M94" s="23">
        <f>IF(B94="","",IF(AND(C94="Debtor",N(E94)&lt;0),"Credit balance: an advance or an excess receipt",IF(AND(C94="Creditor",N(E94)&gt;0),"Debit balance: an advance paid to the supplier",IF(AND(C94="Creditor",N(L94)&gt;0),"Pay before the year end to keep the deduction, s.37(2)(g)",IF(N(J94)&gt;0,IF(C94="Creditor","Past due: pay, or confirm the terms in writing","Past due: follow up"),"OK")))))</f>
        <v/>
      </c>
    </row>
    <row r="95">
      <c r="B95" s="37">
        <f>IF('Parties'!$B$100="","",'Parties'!$B$100)</f>
        <v/>
      </c>
      <c r="C95" s="40">
        <f>IF(B95="","",'Parties'!$C$100&amp;"")</f>
        <v/>
      </c>
      <c r="D95" s="39">
        <f>IF(B95="","",'Parties'!$E$100&amp;"")</f>
        <v/>
      </c>
      <c r="E95" s="38">
        <f>IF(OR(B95="",$E$5=""),"",'Parties'!$M$100+SUMIFS('Entries'!$I$7:$I$506,'Entries'!$C$7:$C$506,B95,'Entries'!$B$7:$B$506,"&lt;="&amp;$E$5)-SUMIFS('Entries'!$J$7:$J$506,'Entries'!$C$7:$C$506,B95,'Entries'!$B$7:$B$506,"&lt;="&amp;$E$5))</f>
        <v/>
      </c>
      <c r="F95" s="49">
        <f>IF(B95="","",SUMIFS('Entries'!$W$7:$W$506,'Entries'!$C$7:$C$506,B95,'Entries'!$AC$7:$AC$506,"&gt;=0",'Entries'!$AC$7:$AC$506,"&lt;=30"))</f>
        <v/>
      </c>
      <c r="G95" s="49">
        <f>IF(B95="","",SUMIFS('Entries'!$W$7:$W$506,'Entries'!$C$7:$C$506,B95,'Entries'!$AC$7:$AC$506,"&gt;=31",'Entries'!$AC$7:$AC$506,"&lt;=60"))</f>
        <v/>
      </c>
      <c r="H95" s="49">
        <f>IF(B95="","",SUMIFS('Entries'!$W$7:$W$506,'Entries'!$C$7:$C$506,B95,'Entries'!$AC$7:$AC$506,"&gt;=61",'Entries'!$AC$7:$AC$506,"&lt;=90"))</f>
        <v/>
      </c>
      <c r="I95" s="49">
        <f>IF(B95="","",SUMIFS('Entries'!$W$7:$W$506,'Entries'!$C$7:$C$506,B95,'Entries'!$AC$7:$AC$506,"&gt;90"))</f>
        <v/>
      </c>
      <c r="J95" s="50">
        <f>IF(B95="","",SUMIFS('Entries'!$W$7:$W$506,'Entries'!$C$7:$C$506,B95,'Entries'!$AA$7:$AA$506,"&gt;0"))</f>
        <v/>
      </c>
      <c r="K95" s="49">
        <f>IF(B95="","",ROUND(SUMIFS('Entries'!$AB$7:$AB$506,'Entries'!$C$7:$C$506,B95),0))</f>
        <v/>
      </c>
      <c r="L95" s="49">
        <f>IF(B95="","",SUMIFS('Entries'!$AF$7:$AF$506,'Entries'!$C$7:$C$506,B95))</f>
        <v/>
      </c>
      <c r="M95" s="23">
        <f>IF(B95="","",IF(AND(C95="Debtor",N(E95)&lt;0),"Credit balance: an advance or an excess receipt",IF(AND(C95="Creditor",N(E95)&gt;0),"Debit balance: an advance paid to the supplier",IF(AND(C95="Creditor",N(L95)&gt;0),"Pay before the year end to keep the deduction, s.37(2)(g)",IF(N(J95)&gt;0,IF(C95="Creditor","Past due: pay, or confirm the terms in writing","Past due: follow up"),"OK")))))</f>
        <v/>
      </c>
    </row>
    <row r="96">
      <c r="B96" s="37">
        <f>IF('Parties'!$B$101="","",'Parties'!$B$101)</f>
        <v/>
      </c>
      <c r="C96" s="40">
        <f>IF(B96="","",'Parties'!$C$101&amp;"")</f>
        <v/>
      </c>
      <c r="D96" s="39">
        <f>IF(B96="","",'Parties'!$E$101&amp;"")</f>
        <v/>
      </c>
      <c r="E96" s="38">
        <f>IF(OR(B96="",$E$5=""),"",'Parties'!$M$101+SUMIFS('Entries'!$I$7:$I$506,'Entries'!$C$7:$C$506,B96,'Entries'!$B$7:$B$506,"&lt;="&amp;$E$5)-SUMIFS('Entries'!$J$7:$J$506,'Entries'!$C$7:$C$506,B96,'Entries'!$B$7:$B$506,"&lt;="&amp;$E$5))</f>
        <v/>
      </c>
      <c r="F96" s="49">
        <f>IF(B96="","",SUMIFS('Entries'!$W$7:$W$506,'Entries'!$C$7:$C$506,B96,'Entries'!$AC$7:$AC$506,"&gt;=0",'Entries'!$AC$7:$AC$506,"&lt;=30"))</f>
        <v/>
      </c>
      <c r="G96" s="49">
        <f>IF(B96="","",SUMIFS('Entries'!$W$7:$W$506,'Entries'!$C$7:$C$506,B96,'Entries'!$AC$7:$AC$506,"&gt;=31",'Entries'!$AC$7:$AC$506,"&lt;=60"))</f>
        <v/>
      </c>
      <c r="H96" s="49">
        <f>IF(B96="","",SUMIFS('Entries'!$W$7:$W$506,'Entries'!$C$7:$C$506,B96,'Entries'!$AC$7:$AC$506,"&gt;=61",'Entries'!$AC$7:$AC$506,"&lt;=90"))</f>
        <v/>
      </c>
      <c r="I96" s="49">
        <f>IF(B96="","",SUMIFS('Entries'!$W$7:$W$506,'Entries'!$C$7:$C$506,B96,'Entries'!$AC$7:$AC$506,"&gt;90"))</f>
        <v/>
      </c>
      <c r="J96" s="50">
        <f>IF(B96="","",SUMIFS('Entries'!$W$7:$W$506,'Entries'!$C$7:$C$506,B96,'Entries'!$AA$7:$AA$506,"&gt;0"))</f>
        <v/>
      </c>
      <c r="K96" s="49">
        <f>IF(B96="","",ROUND(SUMIFS('Entries'!$AB$7:$AB$506,'Entries'!$C$7:$C$506,B96),0))</f>
        <v/>
      </c>
      <c r="L96" s="49">
        <f>IF(B96="","",SUMIFS('Entries'!$AF$7:$AF$506,'Entries'!$C$7:$C$506,B96))</f>
        <v/>
      </c>
      <c r="M96" s="23">
        <f>IF(B96="","",IF(AND(C96="Debtor",N(E96)&lt;0),"Credit balance: an advance or an excess receipt",IF(AND(C96="Creditor",N(E96)&gt;0),"Debit balance: an advance paid to the supplier",IF(AND(C96="Creditor",N(L96)&gt;0),"Pay before the year end to keep the deduction, s.37(2)(g)",IF(N(J96)&gt;0,IF(C96="Creditor","Past due: pay, or confirm the terms in writing","Past due: follow up"),"OK")))))</f>
        <v/>
      </c>
    </row>
    <row r="97">
      <c r="B97" s="37">
        <f>IF('Parties'!$B$102="","",'Parties'!$B$102)</f>
        <v/>
      </c>
      <c r="C97" s="40">
        <f>IF(B97="","",'Parties'!$C$102&amp;"")</f>
        <v/>
      </c>
      <c r="D97" s="39">
        <f>IF(B97="","",'Parties'!$E$102&amp;"")</f>
        <v/>
      </c>
      <c r="E97" s="38">
        <f>IF(OR(B97="",$E$5=""),"",'Parties'!$M$102+SUMIFS('Entries'!$I$7:$I$506,'Entries'!$C$7:$C$506,B97,'Entries'!$B$7:$B$506,"&lt;="&amp;$E$5)-SUMIFS('Entries'!$J$7:$J$506,'Entries'!$C$7:$C$506,B97,'Entries'!$B$7:$B$506,"&lt;="&amp;$E$5))</f>
        <v/>
      </c>
      <c r="F97" s="49">
        <f>IF(B97="","",SUMIFS('Entries'!$W$7:$W$506,'Entries'!$C$7:$C$506,B97,'Entries'!$AC$7:$AC$506,"&gt;=0",'Entries'!$AC$7:$AC$506,"&lt;=30"))</f>
        <v/>
      </c>
      <c r="G97" s="49">
        <f>IF(B97="","",SUMIFS('Entries'!$W$7:$W$506,'Entries'!$C$7:$C$506,B97,'Entries'!$AC$7:$AC$506,"&gt;=31",'Entries'!$AC$7:$AC$506,"&lt;=60"))</f>
        <v/>
      </c>
      <c r="H97" s="49">
        <f>IF(B97="","",SUMIFS('Entries'!$W$7:$W$506,'Entries'!$C$7:$C$506,B97,'Entries'!$AC$7:$AC$506,"&gt;=61",'Entries'!$AC$7:$AC$506,"&lt;=90"))</f>
        <v/>
      </c>
      <c r="I97" s="49">
        <f>IF(B97="","",SUMIFS('Entries'!$W$7:$W$506,'Entries'!$C$7:$C$506,B97,'Entries'!$AC$7:$AC$506,"&gt;90"))</f>
        <v/>
      </c>
      <c r="J97" s="50">
        <f>IF(B97="","",SUMIFS('Entries'!$W$7:$W$506,'Entries'!$C$7:$C$506,B97,'Entries'!$AA$7:$AA$506,"&gt;0"))</f>
        <v/>
      </c>
      <c r="K97" s="49">
        <f>IF(B97="","",ROUND(SUMIFS('Entries'!$AB$7:$AB$506,'Entries'!$C$7:$C$506,B97),0))</f>
        <v/>
      </c>
      <c r="L97" s="49">
        <f>IF(B97="","",SUMIFS('Entries'!$AF$7:$AF$506,'Entries'!$C$7:$C$506,B97))</f>
        <v/>
      </c>
      <c r="M97" s="23">
        <f>IF(B97="","",IF(AND(C97="Debtor",N(E97)&lt;0),"Credit balance: an advance or an excess receipt",IF(AND(C97="Creditor",N(E97)&gt;0),"Debit balance: an advance paid to the supplier",IF(AND(C97="Creditor",N(L97)&gt;0),"Pay before the year end to keep the deduction, s.37(2)(g)",IF(N(J97)&gt;0,IF(C97="Creditor","Past due: pay, or confirm the terms in writing","Past due: follow up"),"OK")))))</f>
        <v/>
      </c>
    </row>
    <row r="98">
      <c r="B98" s="37">
        <f>IF('Parties'!$B$103="","",'Parties'!$B$103)</f>
        <v/>
      </c>
      <c r="C98" s="40">
        <f>IF(B98="","",'Parties'!$C$103&amp;"")</f>
        <v/>
      </c>
      <c r="D98" s="39">
        <f>IF(B98="","",'Parties'!$E$103&amp;"")</f>
        <v/>
      </c>
      <c r="E98" s="38">
        <f>IF(OR(B98="",$E$5=""),"",'Parties'!$M$103+SUMIFS('Entries'!$I$7:$I$506,'Entries'!$C$7:$C$506,B98,'Entries'!$B$7:$B$506,"&lt;="&amp;$E$5)-SUMIFS('Entries'!$J$7:$J$506,'Entries'!$C$7:$C$506,B98,'Entries'!$B$7:$B$506,"&lt;="&amp;$E$5))</f>
        <v/>
      </c>
      <c r="F98" s="49">
        <f>IF(B98="","",SUMIFS('Entries'!$W$7:$W$506,'Entries'!$C$7:$C$506,B98,'Entries'!$AC$7:$AC$506,"&gt;=0",'Entries'!$AC$7:$AC$506,"&lt;=30"))</f>
        <v/>
      </c>
      <c r="G98" s="49">
        <f>IF(B98="","",SUMIFS('Entries'!$W$7:$W$506,'Entries'!$C$7:$C$506,B98,'Entries'!$AC$7:$AC$506,"&gt;=31",'Entries'!$AC$7:$AC$506,"&lt;=60"))</f>
        <v/>
      </c>
      <c r="H98" s="49">
        <f>IF(B98="","",SUMIFS('Entries'!$W$7:$W$506,'Entries'!$C$7:$C$506,B98,'Entries'!$AC$7:$AC$506,"&gt;=61",'Entries'!$AC$7:$AC$506,"&lt;=90"))</f>
        <v/>
      </c>
      <c r="I98" s="49">
        <f>IF(B98="","",SUMIFS('Entries'!$W$7:$W$506,'Entries'!$C$7:$C$506,B98,'Entries'!$AC$7:$AC$506,"&gt;90"))</f>
        <v/>
      </c>
      <c r="J98" s="50">
        <f>IF(B98="","",SUMIFS('Entries'!$W$7:$W$506,'Entries'!$C$7:$C$506,B98,'Entries'!$AA$7:$AA$506,"&gt;0"))</f>
        <v/>
      </c>
      <c r="K98" s="49">
        <f>IF(B98="","",ROUND(SUMIFS('Entries'!$AB$7:$AB$506,'Entries'!$C$7:$C$506,B98),0))</f>
        <v/>
      </c>
      <c r="L98" s="49">
        <f>IF(B98="","",SUMIFS('Entries'!$AF$7:$AF$506,'Entries'!$C$7:$C$506,B98))</f>
        <v/>
      </c>
      <c r="M98" s="23">
        <f>IF(B98="","",IF(AND(C98="Debtor",N(E98)&lt;0),"Credit balance: an advance or an excess receipt",IF(AND(C98="Creditor",N(E98)&gt;0),"Debit balance: an advance paid to the supplier",IF(AND(C98="Creditor",N(L98)&gt;0),"Pay before the year end to keep the deduction, s.37(2)(g)",IF(N(J98)&gt;0,IF(C98="Creditor","Past due: pay, or confirm the terms in writing","Past due: follow up"),"OK")))))</f>
        <v/>
      </c>
    </row>
    <row r="99">
      <c r="B99" s="37">
        <f>IF('Parties'!$B$104="","",'Parties'!$B$104)</f>
        <v/>
      </c>
      <c r="C99" s="40">
        <f>IF(B99="","",'Parties'!$C$104&amp;"")</f>
        <v/>
      </c>
      <c r="D99" s="39">
        <f>IF(B99="","",'Parties'!$E$104&amp;"")</f>
        <v/>
      </c>
      <c r="E99" s="38">
        <f>IF(OR(B99="",$E$5=""),"",'Parties'!$M$104+SUMIFS('Entries'!$I$7:$I$506,'Entries'!$C$7:$C$506,B99,'Entries'!$B$7:$B$506,"&lt;="&amp;$E$5)-SUMIFS('Entries'!$J$7:$J$506,'Entries'!$C$7:$C$506,B99,'Entries'!$B$7:$B$506,"&lt;="&amp;$E$5))</f>
        <v/>
      </c>
      <c r="F99" s="49">
        <f>IF(B99="","",SUMIFS('Entries'!$W$7:$W$506,'Entries'!$C$7:$C$506,B99,'Entries'!$AC$7:$AC$506,"&gt;=0",'Entries'!$AC$7:$AC$506,"&lt;=30"))</f>
        <v/>
      </c>
      <c r="G99" s="49">
        <f>IF(B99="","",SUMIFS('Entries'!$W$7:$W$506,'Entries'!$C$7:$C$506,B99,'Entries'!$AC$7:$AC$506,"&gt;=31",'Entries'!$AC$7:$AC$506,"&lt;=60"))</f>
        <v/>
      </c>
      <c r="H99" s="49">
        <f>IF(B99="","",SUMIFS('Entries'!$W$7:$W$506,'Entries'!$C$7:$C$506,B99,'Entries'!$AC$7:$AC$506,"&gt;=61",'Entries'!$AC$7:$AC$506,"&lt;=90"))</f>
        <v/>
      </c>
      <c r="I99" s="49">
        <f>IF(B99="","",SUMIFS('Entries'!$W$7:$W$506,'Entries'!$C$7:$C$506,B99,'Entries'!$AC$7:$AC$506,"&gt;90"))</f>
        <v/>
      </c>
      <c r="J99" s="50">
        <f>IF(B99="","",SUMIFS('Entries'!$W$7:$W$506,'Entries'!$C$7:$C$506,B99,'Entries'!$AA$7:$AA$506,"&gt;0"))</f>
        <v/>
      </c>
      <c r="K99" s="49">
        <f>IF(B99="","",ROUND(SUMIFS('Entries'!$AB$7:$AB$506,'Entries'!$C$7:$C$506,B99),0))</f>
        <v/>
      </c>
      <c r="L99" s="49">
        <f>IF(B99="","",SUMIFS('Entries'!$AF$7:$AF$506,'Entries'!$C$7:$C$506,B99))</f>
        <v/>
      </c>
      <c r="M99" s="23">
        <f>IF(B99="","",IF(AND(C99="Debtor",N(E99)&lt;0),"Credit balance: an advance or an excess receipt",IF(AND(C99="Creditor",N(E99)&gt;0),"Debit balance: an advance paid to the supplier",IF(AND(C99="Creditor",N(L99)&gt;0),"Pay before the year end to keep the deduction, s.37(2)(g)",IF(N(J99)&gt;0,IF(C99="Creditor","Past due: pay, or confirm the terms in writing","Past due: follow up"),"OK")))))</f>
        <v/>
      </c>
    </row>
    <row r="100">
      <c r="B100" s="37">
        <f>IF('Parties'!$B$105="","",'Parties'!$B$105)</f>
        <v/>
      </c>
      <c r="C100" s="40">
        <f>IF(B100="","",'Parties'!$C$105&amp;"")</f>
        <v/>
      </c>
      <c r="D100" s="39">
        <f>IF(B100="","",'Parties'!$E$105&amp;"")</f>
        <v/>
      </c>
      <c r="E100" s="38">
        <f>IF(OR(B100="",$E$5=""),"",'Parties'!$M$105+SUMIFS('Entries'!$I$7:$I$506,'Entries'!$C$7:$C$506,B100,'Entries'!$B$7:$B$506,"&lt;="&amp;$E$5)-SUMIFS('Entries'!$J$7:$J$506,'Entries'!$C$7:$C$506,B100,'Entries'!$B$7:$B$506,"&lt;="&amp;$E$5))</f>
        <v/>
      </c>
      <c r="F100" s="49">
        <f>IF(B100="","",SUMIFS('Entries'!$W$7:$W$506,'Entries'!$C$7:$C$506,B100,'Entries'!$AC$7:$AC$506,"&gt;=0",'Entries'!$AC$7:$AC$506,"&lt;=30"))</f>
        <v/>
      </c>
      <c r="G100" s="49">
        <f>IF(B100="","",SUMIFS('Entries'!$W$7:$W$506,'Entries'!$C$7:$C$506,B100,'Entries'!$AC$7:$AC$506,"&gt;=31",'Entries'!$AC$7:$AC$506,"&lt;=60"))</f>
        <v/>
      </c>
      <c r="H100" s="49">
        <f>IF(B100="","",SUMIFS('Entries'!$W$7:$W$506,'Entries'!$C$7:$C$506,B100,'Entries'!$AC$7:$AC$506,"&gt;=61",'Entries'!$AC$7:$AC$506,"&lt;=90"))</f>
        <v/>
      </c>
      <c r="I100" s="49">
        <f>IF(B100="","",SUMIFS('Entries'!$W$7:$W$506,'Entries'!$C$7:$C$506,B100,'Entries'!$AC$7:$AC$506,"&gt;90"))</f>
        <v/>
      </c>
      <c r="J100" s="50">
        <f>IF(B100="","",SUMIFS('Entries'!$W$7:$W$506,'Entries'!$C$7:$C$506,B100,'Entries'!$AA$7:$AA$506,"&gt;0"))</f>
        <v/>
      </c>
      <c r="K100" s="49">
        <f>IF(B100="","",ROUND(SUMIFS('Entries'!$AB$7:$AB$506,'Entries'!$C$7:$C$506,B100),0))</f>
        <v/>
      </c>
      <c r="L100" s="49">
        <f>IF(B100="","",SUMIFS('Entries'!$AF$7:$AF$506,'Entries'!$C$7:$C$506,B100))</f>
        <v/>
      </c>
      <c r="M100" s="23">
        <f>IF(B100="","",IF(AND(C100="Debtor",N(E100)&lt;0),"Credit balance: an advance or an excess receipt",IF(AND(C100="Creditor",N(E100)&gt;0),"Debit balance: an advance paid to the supplier",IF(AND(C100="Creditor",N(L100)&gt;0),"Pay before the year end to keep the deduction, s.37(2)(g)",IF(N(J100)&gt;0,IF(C100="Creditor","Past due: pay, or confirm the terms in writing","Past due: follow up"),"OK")))))</f>
        <v/>
      </c>
    </row>
    <row r="101">
      <c r="B101" s="37">
        <f>IF('Parties'!$B$106="","",'Parties'!$B$106)</f>
        <v/>
      </c>
      <c r="C101" s="40">
        <f>IF(B101="","",'Parties'!$C$106&amp;"")</f>
        <v/>
      </c>
      <c r="D101" s="39">
        <f>IF(B101="","",'Parties'!$E$106&amp;"")</f>
        <v/>
      </c>
      <c r="E101" s="38">
        <f>IF(OR(B101="",$E$5=""),"",'Parties'!$M$106+SUMIFS('Entries'!$I$7:$I$506,'Entries'!$C$7:$C$506,B101,'Entries'!$B$7:$B$506,"&lt;="&amp;$E$5)-SUMIFS('Entries'!$J$7:$J$506,'Entries'!$C$7:$C$506,B101,'Entries'!$B$7:$B$506,"&lt;="&amp;$E$5))</f>
        <v/>
      </c>
      <c r="F101" s="49">
        <f>IF(B101="","",SUMIFS('Entries'!$W$7:$W$506,'Entries'!$C$7:$C$506,B101,'Entries'!$AC$7:$AC$506,"&gt;=0",'Entries'!$AC$7:$AC$506,"&lt;=30"))</f>
        <v/>
      </c>
      <c r="G101" s="49">
        <f>IF(B101="","",SUMIFS('Entries'!$W$7:$W$506,'Entries'!$C$7:$C$506,B101,'Entries'!$AC$7:$AC$506,"&gt;=31",'Entries'!$AC$7:$AC$506,"&lt;=60"))</f>
        <v/>
      </c>
      <c r="H101" s="49">
        <f>IF(B101="","",SUMIFS('Entries'!$W$7:$W$506,'Entries'!$C$7:$C$506,B101,'Entries'!$AC$7:$AC$506,"&gt;=61",'Entries'!$AC$7:$AC$506,"&lt;=90"))</f>
        <v/>
      </c>
      <c r="I101" s="49">
        <f>IF(B101="","",SUMIFS('Entries'!$W$7:$W$506,'Entries'!$C$7:$C$506,B101,'Entries'!$AC$7:$AC$506,"&gt;90"))</f>
        <v/>
      </c>
      <c r="J101" s="50">
        <f>IF(B101="","",SUMIFS('Entries'!$W$7:$W$506,'Entries'!$C$7:$C$506,B101,'Entries'!$AA$7:$AA$506,"&gt;0"))</f>
        <v/>
      </c>
      <c r="K101" s="49">
        <f>IF(B101="","",ROUND(SUMIFS('Entries'!$AB$7:$AB$506,'Entries'!$C$7:$C$506,B101),0))</f>
        <v/>
      </c>
      <c r="L101" s="49">
        <f>IF(B101="","",SUMIFS('Entries'!$AF$7:$AF$506,'Entries'!$C$7:$C$506,B101))</f>
        <v/>
      </c>
      <c r="M101" s="23">
        <f>IF(B101="","",IF(AND(C101="Debtor",N(E101)&lt;0),"Credit balance: an advance or an excess receipt",IF(AND(C101="Creditor",N(E101)&gt;0),"Debit balance: an advance paid to the supplier",IF(AND(C101="Creditor",N(L101)&gt;0),"Pay before the year end to keep the deduction, s.37(2)(g)",IF(N(J101)&gt;0,IF(C101="Creditor","Past due: pay, or confirm the terms in writing","Past due: follow up"),"OK")))))</f>
        <v/>
      </c>
    </row>
    <row r="102">
      <c r="B102" s="37">
        <f>IF('Parties'!$B$107="","",'Parties'!$B$107)</f>
        <v/>
      </c>
      <c r="C102" s="40">
        <f>IF(B102="","",'Parties'!$C$107&amp;"")</f>
        <v/>
      </c>
      <c r="D102" s="39">
        <f>IF(B102="","",'Parties'!$E$107&amp;"")</f>
        <v/>
      </c>
      <c r="E102" s="38">
        <f>IF(OR(B102="",$E$5=""),"",'Parties'!$M$107+SUMIFS('Entries'!$I$7:$I$506,'Entries'!$C$7:$C$506,B102,'Entries'!$B$7:$B$506,"&lt;="&amp;$E$5)-SUMIFS('Entries'!$J$7:$J$506,'Entries'!$C$7:$C$506,B102,'Entries'!$B$7:$B$506,"&lt;="&amp;$E$5))</f>
        <v/>
      </c>
      <c r="F102" s="49">
        <f>IF(B102="","",SUMIFS('Entries'!$W$7:$W$506,'Entries'!$C$7:$C$506,B102,'Entries'!$AC$7:$AC$506,"&gt;=0",'Entries'!$AC$7:$AC$506,"&lt;=30"))</f>
        <v/>
      </c>
      <c r="G102" s="49">
        <f>IF(B102="","",SUMIFS('Entries'!$W$7:$W$506,'Entries'!$C$7:$C$506,B102,'Entries'!$AC$7:$AC$506,"&gt;=31",'Entries'!$AC$7:$AC$506,"&lt;=60"))</f>
        <v/>
      </c>
      <c r="H102" s="49">
        <f>IF(B102="","",SUMIFS('Entries'!$W$7:$W$506,'Entries'!$C$7:$C$506,B102,'Entries'!$AC$7:$AC$506,"&gt;=61",'Entries'!$AC$7:$AC$506,"&lt;=90"))</f>
        <v/>
      </c>
      <c r="I102" s="49">
        <f>IF(B102="","",SUMIFS('Entries'!$W$7:$W$506,'Entries'!$C$7:$C$506,B102,'Entries'!$AC$7:$AC$506,"&gt;90"))</f>
        <v/>
      </c>
      <c r="J102" s="50">
        <f>IF(B102="","",SUMIFS('Entries'!$W$7:$W$506,'Entries'!$C$7:$C$506,B102,'Entries'!$AA$7:$AA$506,"&gt;0"))</f>
        <v/>
      </c>
      <c r="K102" s="49">
        <f>IF(B102="","",ROUND(SUMIFS('Entries'!$AB$7:$AB$506,'Entries'!$C$7:$C$506,B102),0))</f>
        <v/>
      </c>
      <c r="L102" s="49">
        <f>IF(B102="","",SUMIFS('Entries'!$AF$7:$AF$506,'Entries'!$C$7:$C$506,B102))</f>
        <v/>
      </c>
      <c r="M102" s="23">
        <f>IF(B102="","",IF(AND(C102="Debtor",N(E102)&lt;0),"Credit balance: an advance or an excess receipt",IF(AND(C102="Creditor",N(E102)&gt;0),"Debit balance: an advance paid to the supplier",IF(AND(C102="Creditor",N(L102)&gt;0),"Pay before the year end to keep the deduction, s.37(2)(g)",IF(N(J102)&gt;0,IF(C102="Creditor","Past due: pay, or confirm the terms in writing","Past due: follow up"),"OK")))))</f>
        <v/>
      </c>
    </row>
    <row r="103">
      <c r="B103" s="37">
        <f>IF('Parties'!$B$108="","",'Parties'!$B$108)</f>
        <v/>
      </c>
      <c r="C103" s="40">
        <f>IF(B103="","",'Parties'!$C$108&amp;"")</f>
        <v/>
      </c>
      <c r="D103" s="39">
        <f>IF(B103="","",'Parties'!$E$108&amp;"")</f>
        <v/>
      </c>
      <c r="E103" s="38">
        <f>IF(OR(B103="",$E$5=""),"",'Parties'!$M$108+SUMIFS('Entries'!$I$7:$I$506,'Entries'!$C$7:$C$506,B103,'Entries'!$B$7:$B$506,"&lt;="&amp;$E$5)-SUMIFS('Entries'!$J$7:$J$506,'Entries'!$C$7:$C$506,B103,'Entries'!$B$7:$B$506,"&lt;="&amp;$E$5))</f>
        <v/>
      </c>
      <c r="F103" s="49">
        <f>IF(B103="","",SUMIFS('Entries'!$W$7:$W$506,'Entries'!$C$7:$C$506,B103,'Entries'!$AC$7:$AC$506,"&gt;=0",'Entries'!$AC$7:$AC$506,"&lt;=30"))</f>
        <v/>
      </c>
      <c r="G103" s="49">
        <f>IF(B103="","",SUMIFS('Entries'!$W$7:$W$506,'Entries'!$C$7:$C$506,B103,'Entries'!$AC$7:$AC$506,"&gt;=31",'Entries'!$AC$7:$AC$506,"&lt;=60"))</f>
        <v/>
      </c>
      <c r="H103" s="49">
        <f>IF(B103="","",SUMIFS('Entries'!$W$7:$W$506,'Entries'!$C$7:$C$506,B103,'Entries'!$AC$7:$AC$506,"&gt;=61",'Entries'!$AC$7:$AC$506,"&lt;=90"))</f>
        <v/>
      </c>
      <c r="I103" s="49">
        <f>IF(B103="","",SUMIFS('Entries'!$W$7:$W$506,'Entries'!$C$7:$C$506,B103,'Entries'!$AC$7:$AC$506,"&gt;90"))</f>
        <v/>
      </c>
      <c r="J103" s="50">
        <f>IF(B103="","",SUMIFS('Entries'!$W$7:$W$506,'Entries'!$C$7:$C$506,B103,'Entries'!$AA$7:$AA$506,"&gt;0"))</f>
        <v/>
      </c>
      <c r="K103" s="49">
        <f>IF(B103="","",ROUND(SUMIFS('Entries'!$AB$7:$AB$506,'Entries'!$C$7:$C$506,B103),0))</f>
        <v/>
      </c>
      <c r="L103" s="49">
        <f>IF(B103="","",SUMIFS('Entries'!$AF$7:$AF$506,'Entries'!$C$7:$C$506,B103))</f>
        <v/>
      </c>
      <c r="M103" s="23">
        <f>IF(B103="","",IF(AND(C103="Debtor",N(E103)&lt;0),"Credit balance: an advance or an excess receipt",IF(AND(C103="Creditor",N(E103)&gt;0),"Debit balance: an advance paid to the supplier",IF(AND(C103="Creditor",N(L103)&gt;0),"Pay before the year end to keep the deduction, s.37(2)(g)",IF(N(J103)&gt;0,IF(C103="Creditor","Past due: pay, or confirm the terms in writing","Past due: follow up"),"OK")))))</f>
        <v/>
      </c>
    </row>
    <row r="104">
      <c r="B104" s="37">
        <f>IF('Parties'!$B$109="","",'Parties'!$B$109)</f>
        <v/>
      </c>
      <c r="C104" s="40">
        <f>IF(B104="","",'Parties'!$C$109&amp;"")</f>
        <v/>
      </c>
      <c r="D104" s="39">
        <f>IF(B104="","",'Parties'!$E$109&amp;"")</f>
        <v/>
      </c>
      <c r="E104" s="38">
        <f>IF(OR(B104="",$E$5=""),"",'Parties'!$M$109+SUMIFS('Entries'!$I$7:$I$506,'Entries'!$C$7:$C$506,B104,'Entries'!$B$7:$B$506,"&lt;="&amp;$E$5)-SUMIFS('Entries'!$J$7:$J$506,'Entries'!$C$7:$C$506,B104,'Entries'!$B$7:$B$506,"&lt;="&amp;$E$5))</f>
        <v/>
      </c>
      <c r="F104" s="49">
        <f>IF(B104="","",SUMIFS('Entries'!$W$7:$W$506,'Entries'!$C$7:$C$506,B104,'Entries'!$AC$7:$AC$506,"&gt;=0",'Entries'!$AC$7:$AC$506,"&lt;=30"))</f>
        <v/>
      </c>
      <c r="G104" s="49">
        <f>IF(B104="","",SUMIFS('Entries'!$W$7:$W$506,'Entries'!$C$7:$C$506,B104,'Entries'!$AC$7:$AC$506,"&gt;=31",'Entries'!$AC$7:$AC$506,"&lt;=60"))</f>
        <v/>
      </c>
      <c r="H104" s="49">
        <f>IF(B104="","",SUMIFS('Entries'!$W$7:$W$506,'Entries'!$C$7:$C$506,B104,'Entries'!$AC$7:$AC$506,"&gt;=61",'Entries'!$AC$7:$AC$506,"&lt;=90"))</f>
        <v/>
      </c>
      <c r="I104" s="49">
        <f>IF(B104="","",SUMIFS('Entries'!$W$7:$W$506,'Entries'!$C$7:$C$506,B104,'Entries'!$AC$7:$AC$506,"&gt;90"))</f>
        <v/>
      </c>
      <c r="J104" s="50">
        <f>IF(B104="","",SUMIFS('Entries'!$W$7:$W$506,'Entries'!$C$7:$C$506,B104,'Entries'!$AA$7:$AA$506,"&gt;0"))</f>
        <v/>
      </c>
      <c r="K104" s="49">
        <f>IF(B104="","",ROUND(SUMIFS('Entries'!$AB$7:$AB$506,'Entries'!$C$7:$C$506,B104),0))</f>
        <v/>
      </c>
      <c r="L104" s="49">
        <f>IF(B104="","",SUMIFS('Entries'!$AF$7:$AF$506,'Entries'!$C$7:$C$506,B104))</f>
        <v/>
      </c>
      <c r="M104" s="23">
        <f>IF(B104="","",IF(AND(C104="Debtor",N(E104)&lt;0),"Credit balance: an advance or an excess receipt",IF(AND(C104="Creditor",N(E104)&gt;0),"Debit balance: an advance paid to the supplier",IF(AND(C104="Creditor",N(L104)&gt;0),"Pay before the year end to keep the deduction, s.37(2)(g)",IF(N(J104)&gt;0,IF(C104="Creditor","Past due: pay, or confirm the terms in writing","Past due: follow up"),"OK")))))</f>
        <v/>
      </c>
    </row>
    <row r="105">
      <c r="B105" s="37">
        <f>IF('Parties'!$B$110="","",'Parties'!$B$110)</f>
        <v/>
      </c>
      <c r="C105" s="40">
        <f>IF(B105="","",'Parties'!$C$110&amp;"")</f>
        <v/>
      </c>
      <c r="D105" s="39">
        <f>IF(B105="","",'Parties'!$E$110&amp;"")</f>
        <v/>
      </c>
      <c r="E105" s="38">
        <f>IF(OR(B105="",$E$5=""),"",'Parties'!$M$110+SUMIFS('Entries'!$I$7:$I$506,'Entries'!$C$7:$C$506,B105,'Entries'!$B$7:$B$506,"&lt;="&amp;$E$5)-SUMIFS('Entries'!$J$7:$J$506,'Entries'!$C$7:$C$506,B105,'Entries'!$B$7:$B$506,"&lt;="&amp;$E$5))</f>
        <v/>
      </c>
      <c r="F105" s="49">
        <f>IF(B105="","",SUMIFS('Entries'!$W$7:$W$506,'Entries'!$C$7:$C$506,B105,'Entries'!$AC$7:$AC$506,"&gt;=0",'Entries'!$AC$7:$AC$506,"&lt;=30"))</f>
        <v/>
      </c>
      <c r="G105" s="49">
        <f>IF(B105="","",SUMIFS('Entries'!$W$7:$W$506,'Entries'!$C$7:$C$506,B105,'Entries'!$AC$7:$AC$506,"&gt;=31",'Entries'!$AC$7:$AC$506,"&lt;=60"))</f>
        <v/>
      </c>
      <c r="H105" s="49">
        <f>IF(B105="","",SUMIFS('Entries'!$W$7:$W$506,'Entries'!$C$7:$C$506,B105,'Entries'!$AC$7:$AC$506,"&gt;=61",'Entries'!$AC$7:$AC$506,"&lt;=90"))</f>
        <v/>
      </c>
      <c r="I105" s="49">
        <f>IF(B105="","",SUMIFS('Entries'!$W$7:$W$506,'Entries'!$C$7:$C$506,B105,'Entries'!$AC$7:$AC$506,"&gt;90"))</f>
        <v/>
      </c>
      <c r="J105" s="50">
        <f>IF(B105="","",SUMIFS('Entries'!$W$7:$W$506,'Entries'!$C$7:$C$506,B105,'Entries'!$AA$7:$AA$506,"&gt;0"))</f>
        <v/>
      </c>
      <c r="K105" s="49">
        <f>IF(B105="","",ROUND(SUMIFS('Entries'!$AB$7:$AB$506,'Entries'!$C$7:$C$506,B105),0))</f>
        <v/>
      </c>
      <c r="L105" s="49">
        <f>IF(B105="","",SUMIFS('Entries'!$AF$7:$AF$506,'Entries'!$C$7:$C$506,B105))</f>
        <v/>
      </c>
      <c r="M105" s="23">
        <f>IF(B105="","",IF(AND(C105="Debtor",N(E105)&lt;0),"Credit balance: an advance or an excess receipt",IF(AND(C105="Creditor",N(E105)&gt;0),"Debit balance: an advance paid to the supplier",IF(AND(C105="Creditor",N(L105)&gt;0),"Pay before the year end to keep the deduction, s.37(2)(g)",IF(N(J105)&gt;0,IF(C105="Creditor","Past due: pay, or confirm the terms in writing","Past due: follow up"),"OK")))))</f>
        <v/>
      </c>
    </row>
    <row r="106">
      <c r="B106" s="37">
        <f>IF('Parties'!$B$111="","",'Parties'!$B$111)</f>
        <v/>
      </c>
      <c r="C106" s="40">
        <f>IF(B106="","",'Parties'!$C$111&amp;"")</f>
        <v/>
      </c>
      <c r="D106" s="39">
        <f>IF(B106="","",'Parties'!$E$111&amp;"")</f>
        <v/>
      </c>
      <c r="E106" s="38">
        <f>IF(OR(B106="",$E$5=""),"",'Parties'!$M$111+SUMIFS('Entries'!$I$7:$I$506,'Entries'!$C$7:$C$506,B106,'Entries'!$B$7:$B$506,"&lt;="&amp;$E$5)-SUMIFS('Entries'!$J$7:$J$506,'Entries'!$C$7:$C$506,B106,'Entries'!$B$7:$B$506,"&lt;="&amp;$E$5))</f>
        <v/>
      </c>
      <c r="F106" s="49">
        <f>IF(B106="","",SUMIFS('Entries'!$W$7:$W$506,'Entries'!$C$7:$C$506,B106,'Entries'!$AC$7:$AC$506,"&gt;=0",'Entries'!$AC$7:$AC$506,"&lt;=30"))</f>
        <v/>
      </c>
      <c r="G106" s="49">
        <f>IF(B106="","",SUMIFS('Entries'!$W$7:$W$506,'Entries'!$C$7:$C$506,B106,'Entries'!$AC$7:$AC$506,"&gt;=31",'Entries'!$AC$7:$AC$506,"&lt;=60"))</f>
        <v/>
      </c>
      <c r="H106" s="49">
        <f>IF(B106="","",SUMIFS('Entries'!$W$7:$W$506,'Entries'!$C$7:$C$506,B106,'Entries'!$AC$7:$AC$506,"&gt;=61",'Entries'!$AC$7:$AC$506,"&lt;=90"))</f>
        <v/>
      </c>
      <c r="I106" s="49">
        <f>IF(B106="","",SUMIFS('Entries'!$W$7:$W$506,'Entries'!$C$7:$C$506,B106,'Entries'!$AC$7:$AC$506,"&gt;90"))</f>
        <v/>
      </c>
      <c r="J106" s="50">
        <f>IF(B106="","",SUMIFS('Entries'!$W$7:$W$506,'Entries'!$C$7:$C$506,B106,'Entries'!$AA$7:$AA$506,"&gt;0"))</f>
        <v/>
      </c>
      <c r="K106" s="49">
        <f>IF(B106="","",ROUND(SUMIFS('Entries'!$AB$7:$AB$506,'Entries'!$C$7:$C$506,B106),0))</f>
        <v/>
      </c>
      <c r="L106" s="49">
        <f>IF(B106="","",SUMIFS('Entries'!$AF$7:$AF$506,'Entries'!$C$7:$C$506,B106))</f>
        <v/>
      </c>
      <c r="M106" s="23">
        <f>IF(B106="","",IF(AND(C106="Debtor",N(E106)&lt;0),"Credit balance: an advance or an excess receipt",IF(AND(C106="Creditor",N(E106)&gt;0),"Debit balance: an advance paid to the supplier",IF(AND(C106="Creditor",N(L106)&gt;0),"Pay before the year end to keep the deduction, s.37(2)(g)",IF(N(J106)&gt;0,IF(C106="Creditor","Past due: pay, or confirm the terms in writing","Past due: follow up"),"OK")))))</f>
        <v/>
      </c>
    </row>
    <row r="107">
      <c r="B107" s="37">
        <f>IF('Parties'!$B$112="","",'Parties'!$B$112)</f>
        <v/>
      </c>
      <c r="C107" s="40">
        <f>IF(B107="","",'Parties'!$C$112&amp;"")</f>
        <v/>
      </c>
      <c r="D107" s="39">
        <f>IF(B107="","",'Parties'!$E$112&amp;"")</f>
        <v/>
      </c>
      <c r="E107" s="38">
        <f>IF(OR(B107="",$E$5=""),"",'Parties'!$M$112+SUMIFS('Entries'!$I$7:$I$506,'Entries'!$C$7:$C$506,B107,'Entries'!$B$7:$B$506,"&lt;="&amp;$E$5)-SUMIFS('Entries'!$J$7:$J$506,'Entries'!$C$7:$C$506,B107,'Entries'!$B$7:$B$506,"&lt;="&amp;$E$5))</f>
        <v/>
      </c>
      <c r="F107" s="49">
        <f>IF(B107="","",SUMIFS('Entries'!$W$7:$W$506,'Entries'!$C$7:$C$506,B107,'Entries'!$AC$7:$AC$506,"&gt;=0",'Entries'!$AC$7:$AC$506,"&lt;=30"))</f>
        <v/>
      </c>
      <c r="G107" s="49">
        <f>IF(B107="","",SUMIFS('Entries'!$W$7:$W$506,'Entries'!$C$7:$C$506,B107,'Entries'!$AC$7:$AC$506,"&gt;=31",'Entries'!$AC$7:$AC$506,"&lt;=60"))</f>
        <v/>
      </c>
      <c r="H107" s="49">
        <f>IF(B107="","",SUMIFS('Entries'!$W$7:$W$506,'Entries'!$C$7:$C$506,B107,'Entries'!$AC$7:$AC$506,"&gt;=61",'Entries'!$AC$7:$AC$506,"&lt;=90"))</f>
        <v/>
      </c>
      <c r="I107" s="49">
        <f>IF(B107="","",SUMIFS('Entries'!$W$7:$W$506,'Entries'!$C$7:$C$506,B107,'Entries'!$AC$7:$AC$506,"&gt;90"))</f>
        <v/>
      </c>
      <c r="J107" s="50">
        <f>IF(B107="","",SUMIFS('Entries'!$W$7:$W$506,'Entries'!$C$7:$C$506,B107,'Entries'!$AA$7:$AA$506,"&gt;0"))</f>
        <v/>
      </c>
      <c r="K107" s="49">
        <f>IF(B107="","",ROUND(SUMIFS('Entries'!$AB$7:$AB$506,'Entries'!$C$7:$C$506,B107),0))</f>
        <v/>
      </c>
      <c r="L107" s="49">
        <f>IF(B107="","",SUMIFS('Entries'!$AF$7:$AF$506,'Entries'!$C$7:$C$506,B107))</f>
        <v/>
      </c>
      <c r="M107" s="23">
        <f>IF(B107="","",IF(AND(C107="Debtor",N(E107)&lt;0),"Credit balance: an advance or an excess receipt",IF(AND(C107="Creditor",N(E107)&gt;0),"Debit balance: an advance paid to the supplier",IF(AND(C107="Creditor",N(L107)&gt;0),"Pay before the year end to keep the deduction, s.37(2)(g)",IF(N(J107)&gt;0,IF(C107="Creditor","Past due: pay, or confirm the terms in writing","Past due: follow up"),"OK")))))</f>
        <v/>
      </c>
    </row>
    <row r="108" ht="18" customHeight="1">
      <c r="B108" s="29" t="inlineStr">
        <is>
          <t>Total</t>
        </is>
      </c>
      <c r="C108" s="30" t="n"/>
      <c r="D108" s="30" t="n"/>
      <c r="E108" s="30" t="n"/>
      <c r="F108" s="31">
        <f>SUM($F$8:$F$107)</f>
        <v/>
      </c>
      <c r="G108" s="31">
        <f>SUM($G$8:$G$107)</f>
        <v/>
      </c>
      <c r="H108" s="31">
        <f>SUM($H$8:$H$107)</f>
        <v/>
      </c>
      <c r="I108" s="31">
        <f>SUM($I$8:$I$107)</f>
        <v/>
      </c>
      <c r="J108" s="31">
        <f>SUM($J$8:$J$107)</f>
        <v/>
      </c>
      <c r="K108" s="31">
        <f>SUM($K$8:$K$107)</f>
        <v/>
      </c>
      <c r="L108" s="31">
        <f>SUM($L$8:$L$107)</f>
        <v/>
      </c>
      <c r="M108" s="30" t="n"/>
    </row>
    <row r="109"/>
    <row r="110" ht="19" customHeight="1">
      <c r="B110" s="3" t="inlineStr">
        <is>
          <t xml:space="preserve">  TOTALS</t>
        </is>
      </c>
      <c r="C110" s="4" t="n"/>
      <c r="D110" s="4" t="n"/>
      <c r="E110" s="4" t="n"/>
      <c r="F110" s="4" t="n"/>
      <c r="G110" s="4" t="n"/>
      <c r="H110" s="4" t="n"/>
      <c r="I110" s="4" t="n"/>
      <c r="J110" s="4" t="n"/>
      <c r="K110" s="4" t="n"/>
      <c r="L110" s="4" t="n"/>
      <c r="M110" s="4" t="n"/>
    </row>
    <row r="111" ht="18" customHeight="1">
      <c r="B111" s="12" t="inlineStr">
        <is>
          <t>Owed to you by debtors</t>
        </is>
      </c>
      <c r="C111" s="13" t="n"/>
      <c r="D111" s="13" t="n"/>
      <c r="E111" s="51">
        <f>SUMIFS($E$8:$E$107,$C$8:$C$107,"Debtor")</f>
        <v/>
      </c>
      <c r="F111" s="7" t="n"/>
    </row>
    <row r="112" ht="18" customHeight="1">
      <c r="B112" s="12" t="inlineStr">
        <is>
          <t>Owed by you to creditors</t>
        </is>
      </c>
      <c r="C112" s="13" t="n"/>
      <c r="D112" s="13" t="n"/>
      <c r="E112" s="51">
        <f>SUMIFS($E$8:$E$107,$C$8:$C$107,"Creditor")</f>
        <v/>
      </c>
      <c r="F112" s="7" t="n"/>
    </row>
    <row r="113"/>
    <row r="114">
      <c r="B114" s="3">
        <f>"  YEAR END, MICRO AND SMALL SUPPLIERS: "&amp;IF('Parties'!$E$8="","set the financial year on the Parties sheet",TEXT('Parties'!$E$8,"DD-MMM-YYYY"))</f>
        <v/>
      </c>
      <c r="C114" s="4" t="n"/>
      <c r="D114" s="4" t="n"/>
      <c r="E114" s="4" t="n"/>
      <c r="F114" s="4" t="n"/>
      <c r="G114" s="4" t="n"/>
      <c r="H114" s="4" t="n"/>
      <c r="I114" s="4" t="n"/>
      <c r="J114" s="4" t="n"/>
      <c r="K114" s="4" t="n"/>
      <c r="L114" s="4" t="n"/>
      <c r="M114" s="4" t="n"/>
    </row>
    <row r="115" ht="18" customHeight="1">
      <c r="B115" s="12" t="inlineStr">
        <is>
          <t>Principal unpaid to micro and small suppliers at year end (MSMED s.22(i))</t>
        </is>
      </c>
      <c r="C115" s="13" t="n"/>
      <c r="D115" s="13" t="n"/>
      <c r="E115" s="13" t="n"/>
      <c r="F115" s="13" t="n"/>
      <c r="G115" s="13" t="n"/>
      <c r="H115" s="13" t="n"/>
      <c r="I115" s="13" t="n"/>
      <c r="J115" s="52">
        <f>SUMIFS('Entries'!$AE$7:$AE$506,'Entries'!$X$7:$X$506,1,'Entries'!$P$7:$P$506,"Creditor")</f>
        <v/>
      </c>
      <c r="K115" s="7" t="n"/>
    </row>
    <row r="116" ht="18" customHeight="1">
      <c r="B116" s="12" t="inlineStr">
        <is>
          <t>Interest due on it at year end, estimate (MSMED s.16 and s.22)</t>
        </is>
      </c>
      <c r="C116" s="13" t="n"/>
      <c r="D116" s="13" t="n"/>
      <c r="E116" s="13" t="n"/>
      <c r="F116" s="13" t="n"/>
      <c r="G116" s="13" t="n"/>
      <c r="H116" s="13" t="n"/>
      <c r="I116" s="13" t="n"/>
      <c r="J116" s="52">
        <f>ROUND(SUM('Entries'!$AH$7:$AH$506),0)</f>
        <v/>
      </c>
      <c r="K116" s="7" t="n"/>
    </row>
    <row r="117" ht="18" customHeight="1">
      <c r="B117" s="12" t="inlineStr">
        <is>
          <t>Past due and unpaid at year end: not deductible that year (Income-tax Act, 2025, s.37(2)(g))</t>
        </is>
      </c>
      <c r="C117" s="13" t="n"/>
      <c r="D117" s="13" t="n"/>
      <c r="E117" s="13" t="n"/>
      <c r="F117" s="13" t="n"/>
      <c r="G117" s="13" t="n"/>
      <c r="H117" s="13" t="n"/>
      <c r="I117" s="13" t="n"/>
      <c r="J117" s="52">
        <f>SUM('Entries'!$AF$7:$AF$506)</f>
        <v/>
      </c>
      <c r="K117" s="7" t="n"/>
    </row>
    <row r="118" ht="28" customHeight="1">
      <c r="B118" s="8" t="inlineStr">
        <is>
          <t>Year-end figures use every entry dated up to the year-end date. Until the year ends they show what happens if nothing more is paid. If your accounts are audited under any law, s.22 of the MSMED Act asks for these figures in them. The interest uses the rate on the Parties sheet, compounded monthly, and is an estimate: confirm it with your accountant. A bill not yet due at the year end is not counted here; pay it by its due date, or ask your accountant which year it is deducted in if it is paid late.</t>
        </is>
      </c>
      <c r="C118" s="9" t="n"/>
      <c r="D118" s="9" t="n"/>
      <c r="E118" s="9" t="n"/>
      <c r="F118" s="9" t="n"/>
      <c r="G118" s="9" t="n"/>
      <c r="H118" s="9" t="n"/>
      <c r="I118" s="9" t="n"/>
      <c r="J118" s="9" t="n"/>
      <c r="K118" s="9" t="n"/>
      <c r="L118" s="9" t="n"/>
      <c r="M118" s="9" t="n"/>
    </row>
    <row r="119"/>
    <row r="120" ht="16" customHeight="1">
      <c r="B120"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8">
    <mergeCell ref="B112:D112"/>
    <mergeCell ref="B2:M2"/>
    <mergeCell ref="B5:D5"/>
    <mergeCell ref="B116:I116"/>
    <mergeCell ref="B3:M3"/>
    <mergeCell ref="J117:K117"/>
    <mergeCell ref="B120:M120"/>
    <mergeCell ref="B114:M114"/>
    <mergeCell ref="J115:K115"/>
    <mergeCell ref="J116:K116"/>
    <mergeCell ref="E112:F112"/>
    <mergeCell ref="E111:F111"/>
    <mergeCell ref="B117:I117"/>
    <mergeCell ref="E5:F5"/>
    <mergeCell ref="B115:I115"/>
    <mergeCell ref="B110:M110"/>
    <mergeCell ref="B118:M118"/>
    <mergeCell ref="B111:D111"/>
  </mergeCells>
  <dataValidations count="1">
    <dataValidation sqref="E5" showDropDown="0" showInputMessage="0" showErrorMessage="1" allowBlank="1" errorTitle="Enter a date" error="Enter a date, for example 01-Apr-2026." type="date" operator="between">
      <formula1>DATE(2000,1,1)</formula1>
      <formula2>DATE(2100,12,31)</formula2>
    </dataValidation>
  </dataValidations>
  <pageMargins left="0.3" right="0.3" top="0.4" bottom="0.4"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D21"/>
  <sheetViews>
    <sheetView showGridLines="0" workbookViewId="0">
      <selection activeCell="A1" sqref="A1"/>
    </sheetView>
  </sheetViews>
  <sheetFormatPr baseColWidth="8" defaultRowHeight="15"/>
  <cols>
    <col width="2" customWidth="1" min="1" max="1"/>
    <col width="30" customWidth="1" min="2" max="2"/>
    <col width="64" customWidth="1" min="3" max="3"/>
    <col width="48" customWidth="1" min="4" max="4"/>
    <col width="2" customWidth="1" min="5" max="5"/>
  </cols>
  <sheetData>
    <row r="1"/>
    <row r="2" ht="26" customHeight="1">
      <c r="B2" s="1" t="inlineStr">
        <is>
          <t>THE RULES BEHIND THE DUE DATES AND CHECKS</t>
        </is>
      </c>
    </row>
    <row r="3" ht="28" customHeight="1">
      <c r="B3" s="53" t="inlineStr">
        <is>
          <t>A ledger is a book of account, and for micro and small suppliers the MSMED Act sets the due date and the interest. The Income-tax Act, 2025 then decides when you may deduct what you owe them. Each provision is quoted or summarised, with what it means for your ledger.</t>
        </is>
      </c>
    </row>
    <row r="4"/>
    <row r="5" ht="19" customHeight="1">
      <c r="B5" s="19" t="inlineStr">
        <is>
          <t>Provision</t>
        </is>
      </c>
      <c r="C5" s="19" t="inlineStr">
        <is>
          <t>What it says</t>
        </is>
      </c>
      <c r="D5" s="19" t="inlineStr">
        <is>
          <t>What it means for your ledger</t>
        </is>
      </c>
    </row>
    <row r="6" ht="57" customHeight="1">
      <c r="B6" s="5" t="inlineStr">
        <is>
          <t>Income-tax Act, 2025, s.2(19)</t>
        </is>
      </c>
      <c r="C6" s="6" t="inlineStr">
        <is>
          <t>"'books or books of account' includes ledgers, day-books, cash books, account-books and other books, whether kept (a) in written form; or (b) in electronic or any digital form, or on cloud based storage ..."</t>
        </is>
      </c>
      <c r="D6" s="6" t="inlineStr">
        <is>
          <t>A ledger in Excel is a book of account just as a bound register is.</t>
        </is>
      </c>
    </row>
    <row r="7" ht="44" customHeight="1">
      <c r="B7" s="5" t="inlineStr">
        <is>
          <t>MSMED Act, 2006, s.2(n)</t>
        </is>
      </c>
      <c r="C7" s="6" t="inlineStr">
        <is>
          <t>"'supplier' means a micro or small enterprise, which has filed a memorandum with the authority referred to in sub-section (1) of section 8" (now Udyam registration).</t>
        </is>
      </c>
      <c r="D7" s="6" t="inlineStr">
        <is>
          <t>The payment rules protect micro and small suppliers that are registered. A medium enterprise is not covered.</t>
        </is>
      </c>
    </row>
    <row r="8" ht="44" customHeight="1">
      <c r="B8" s="5" t="inlineStr">
        <is>
          <t>RBI circular RBI/2021-2022/67, 07-Jul-2021</t>
        </is>
      </c>
      <c r="C8" s="6" t="inlineStr">
        <is>
          <t>Following the Ministry of MSME's Office Memorandum of 02-Jul-2021, retail and wholesale trade are included as MSMEs "for the limited purpose of Priority Sector Lending".</t>
        </is>
      </c>
      <c r="D8" s="6" t="inlineStr">
        <is>
          <t>A trader's Udyam certificate is about bank lending. Ask your accountant before applying the 45-day rule to a trader; the Parties sheet flags it.</t>
        </is>
      </c>
    </row>
    <row r="9" ht="70" customHeight="1">
      <c r="B9" s="5" t="inlineStr">
        <is>
          <t>MSMED Act, s.2(b) and Explanation</t>
        </is>
      </c>
      <c r="C9" s="6" t="inlineStr">
        <is>
          <t>"'appointed day' means the day following immediately after the expiry of the period of fifteen days from the day of acceptance or the day of deemed acceptance". Acceptance is the day of actual delivery or rendering of services, or, if the buyer objects in writing within fifteen days, the day the objection is removed.</t>
        </is>
      </c>
      <c r="D9" s="6" t="inlineStr">
        <is>
          <t>The clock starts when the goods or services are received, which is why purchase bills have a received-on column.</t>
        </is>
      </c>
    </row>
    <row r="10" ht="84" customHeight="1">
      <c r="B10" s="5" t="inlineStr">
        <is>
          <t>MSMED Act, s.15 and proviso</t>
        </is>
      </c>
      <c r="C10" s="6" t="inlineStr">
        <is>
          <t>The buyer shall make payment "on or before the date agreed upon between him and the supplier in writing or, where there is no agreement in this behalf, before the appointed day". "Provided that in no case the period agreed upon between the supplier and the buyer in writing shall exceed forty-five days from the day of acceptance or the day of deemed acceptance."</t>
        </is>
      </c>
      <c r="D10" s="6" t="inlineStr">
        <is>
          <t>With no written term the due date is 15 days from acceptance. A written term can go up to 45 days, never more. The book uses 45 if a longer term is entered.</t>
        </is>
      </c>
    </row>
    <row r="11" ht="70" customHeight="1">
      <c r="B11" s="5" t="inlineStr">
        <is>
          <t>MSMED Act, s.16</t>
        </is>
      </c>
      <c r="C11" s="6" t="inlineStr">
        <is>
          <t>The buyer shall, "notwithstanding anything contained in any agreement between the buyer and the supplier or in any law for the time being in force, be liable to pay compound interest with monthly rests ... at three times of the bank rate notified by the Reserve Bank".</t>
        </is>
      </c>
      <c r="D11" s="6" t="inlineStr">
        <is>
          <t>Interest runs on a late bill whatever the contract says. The book estimates it at three times the RBI Bank Rate on the Parties sheet, compounded monthly.</t>
        </is>
      </c>
    </row>
    <row r="12" ht="57" customHeight="1">
      <c r="B12" s="5" t="inlineStr">
        <is>
          <t>MSMED Act, s.17 and s.18</t>
        </is>
      </c>
      <c r="C12" s="6" t="inlineStr">
        <is>
          <t>"For any goods supplied or services rendered by the supplier, the buyer shall be liable to pay the amount with interest thereon"; any party to a dispute may make a reference to the Micro and Small Enterprises Facilitation Council.</t>
        </is>
      </c>
      <c r="D12" s="6" t="inlineStr">
        <is>
          <t>A micro or small supplier can take an unpaid bill, with the interest, to the state's Facilitation Council.</t>
        </is>
      </c>
    </row>
    <row r="13" ht="97" customHeight="1">
      <c r="B13" s="5" t="inlineStr">
        <is>
          <t>MSMED Act, s.22 and s.27(2)</t>
        </is>
      </c>
      <c r="C13" s="6" t="inlineStr">
        <is>
          <t>A buyer "required to get his annual accounts audited under any law" shall furnish in the annual statement of accounts "the principal amount and the interest due thereon (to be shown separately) remaining unpaid to any supplier as at the end of each accounting year", among other figures. s.27(2): a buyer who contravenes s.22 is punishable with fine "which shall not be less than rupees ten thousand".</t>
        </is>
      </c>
      <c r="D13" s="6" t="inlineStr">
        <is>
          <t>If your accounts are audited, the Outstanding sheet gives the year-end principal and interest to disclose.</t>
        </is>
      </c>
    </row>
    <row r="14" ht="44" customHeight="1">
      <c r="B14" s="5" t="inlineStr">
        <is>
          <t>MSMED Act, s.23</t>
        </is>
      </c>
      <c r="C14" s="6" t="inlineStr">
        <is>
          <t>The interest payable or paid by a buyer under the Act "shall not, for the purposes of computation of income ... be allowed as deduction".</t>
        </is>
      </c>
      <c r="D14" s="6" t="inlineStr">
        <is>
          <t>The interest itself is never deductible. The section still names the 1961 Act; the rule is the same.</t>
        </is>
      </c>
    </row>
    <row r="15" ht="110" customHeight="1">
      <c r="B15" s="5" t="inlineStr">
        <is>
          <t>Income-tax Act, 2025, s.37(1), (2)(g) and (3)  (was 43B(h))</t>
        </is>
      </c>
      <c r="C15" s="6" t="inlineStr">
        <is>
          <t>Sums payable are allowed "only in the tax year in which such sums are actually paid". (2)(g): "amount payable by the assessee to a micro or small enterprise beyond the time limit specified in section 15 of the Micro, Small and Medium Enterprises Development Act, 2006." (3) lets other sums paid before the return due date count for the year, "except the sum referred to in clause (g)".</t>
        </is>
      </c>
      <c r="D15" s="6" t="inlineStr">
        <is>
          <t>A bill to a micro or small supplier that is past its due date and still unpaid at year end is not deductible that year, and paying before you file the return does not bring it back. It is deducted in the year you pay. A bill not yet due at the year end is safest paid by its due date: if it is then paid late, ask your accountant which year it is deducted in.</t>
        </is>
      </c>
    </row>
    <row r="16" ht="44" customHeight="1">
      <c r="B16" s="5" t="inlineStr">
        <is>
          <t>CGST Act, 2017, s.36</t>
        </is>
      </c>
      <c r="C16" s="6" t="inlineStr">
        <is>
          <t>Accounts and records are kept for 72 months from the due date of furnishing the annual return for the year they relate to, and longer where an appeal, revision or proceeding is pending.</t>
        </is>
      </c>
      <c r="D16" s="6" t="inlineStr">
        <is>
          <t>Keep each year's ledger, with the bills and vouchers behind it, for at least six years from the annual return due date.</t>
        </is>
      </c>
    </row>
    <row r="17"/>
    <row r="18" ht="52" customHeight="1">
      <c r="B18" s="53" t="inlineStr">
        <is>
          <t>Sources: MSMED Act, 2006 (No. 27 of 2006), Gazette of India Extraordinary text as published by the Ministry of MSME (samadhaan.msme.gov.in/WriteReadData/DocumentFile/MSMED2006act.pdf); RBI circular RBI/2021-2022/67 (rbi.org.in); Income-tax Act, 2025 (No. 30 of 2025), egazette.gov.in/WriteReadData/2025/265620.pdf, checked against ICAI's text as amended by the Finance Act, 2026, which also maps s.37 to the 1961 Act's s.43B; CGST Act, 2017, s.36 (cbic.gov.in); RBI Bank Rate from rbi.org.in, 27-Oct-2026. Read 28-Oct-2026.</t>
        </is>
      </c>
    </row>
    <row r="19" ht="16" customHeight="1">
      <c r="B19" s="53" t="inlineStr">
        <is>
          <t>Quotes are shortened where marked. General guidance, not legal or tax advice.</t>
        </is>
      </c>
    </row>
    <row r="20"/>
    <row r="21" ht="16" customHeight="1">
      <c r="B21"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
    <mergeCell ref="B3:D3"/>
    <mergeCell ref="B19:D19"/>
    <mergeCell ref="B18:D18"/>
    <mergeCell ref="B21:D21"/>
    <mergeCell ref="B2:D2"/>
  </mergeCells>
  <pageMargins left="0.3" right="0.3" top="0.4" bottom="0.4"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Q116"/>
  <sheetViews>
    <sheetView workbookViewId="0">
      <pane xSplit="2" ySplit="12" topLeftCell="C13" activePane="bottomRight" state="frozen"/>
      <selection pane="topRight"/>
      <selection pane="bottomLeft"/>
      <selection pane="bottomRight" activeCell="A1" sqref="A1"/>
    </sheetView>
  </sheetViews>
  <sheetFormatPr baseColWidth="8" defaultRowHeight="15"/>
  <cols>
    <col width="2" customWidth="1" min="1" max="1"/>
    <col width="30" customWidth="1" min="2" max="2"/>
    <col width="13" customWidth="1" min="3" max="3"/>
    <col width="18" customWidth="1" min="4" max="4"/>
    <col width="30" customWidth="1" min="5" max="5"/>
    <col width="26" customWidth="1" min="6" max="6"/>
    <col width="12" customWidth="1" min="7" max="7"/>
    <col width="14" customWidth="1" min="8" max="8"/>
    <col width="8" customWidth="1" min="9" max="9"/>
    <col width="50" customWidth="1" min="10" max="10"/>
    <col width="2"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s>
  <sheetData>
    <row r="1"/>
    <row r="2" ht="26" customHeight="1">
      <c r="B2" s="1" t="inlineStr">
        <is>
          <t>PARTIES  (debtors and creditors)</t>
        </is>
      </c>
    </row>
    <row r="3" ht="16" customHeight="1">
      <c r="B3" s="11" t="inlineStr">
        <is>
          <t>EXAMPLE: a made-up distributor's customers and suppliers. Read the Check column for the trader.</t>
        </is>
      </c>
    </row>
    <row r="4"/>
    <row r="5" ht="19" customHeight="1">
      <c r="B5" s="3" t="inlineStr">
        <is>
          <t xml:space="preserve">  SET UP</t>
        </is>
      </c>
      <c r="C5" s="4" t="n"/>
      <c r="D5" s="4" t="n"/>
      <c r="E5" s="4" t="n"/>
      <c r="F5" s="4" t="n"/>
      <c r="G5" s="4" t="n"/>
      <c r="H5" s="4" t="n"/>
      <c r="I5" s="4" t="n"/>
      <c r="J5" s="4" t="n"/>
    </row>
    <row r="6" ht="18" customHeight="1">
      <c r="B6" s="12" t="inlineStr">
        <is>
          <t>Name of the business</t>
        </is>
      </c>
      <c r="C6" s="13" t="n"/>
      <c r="D6" s="13" t="n"/>
      <c r="E6" s="14" t="inlineStr">
        <is>
          <t>Sample Distributors (example)</t>
        </is>
      </c>
      <c r="F6" s="15" t="n"/>
    </row>
    <row r="7" ht="18" customHeight="1">
      <c r="B7" s="12" t="inlineStr">
        <is>
          <t>Financial year starts on (usually 01-Apr)</t>
        </is>
      </c>
      <c r="C7" s="13" t="n"/>
      <c r="D7" s="13" t="n"/>
      <c r="E7" s="16" t="n">
        <v>46113</v>
      </c>
      <c r="F7" s="15" t="n"/>
    </row>
    <row r="8" ht="18" customHeight="1">
      <c r="B8" s="12" t="inlineStr">
        <is>
          <t>Financial year ends on</t>
        </is>
      </c>
      <c r="C8" s="13" t="n"/>
      <c r="D8" s="13" t="n"/>
      <c r="E8" s="17">
        <f>IF($E$7="","",EDATE($E$7,12)-1)</f>
        <v/>
      </c>
      <c r="F8" s="7" t="n"/>
    </row>
    <row r="9" ht="18" customHeight="1">
      <c r="B9" s="12" t="inlineStr">
        <is>
          <t>Are you a micro or small enterprise with Udyam registration?</t>
        </is>
      </c>
      <c r="C9" s="13" t="n"/>
      <c r="D9" s="13" t="n"/>
      <c r="E9" s="14" t="inlineStr">
        <is>
          <t>No</t>
        </is>
      </c>
      <c r="F9" s="15" t="n"/>
    </row>
    <row r="10" ht="28" customHeight="1">
      <c r="B10" s="12" t="inlineStr">
        <is>
          <t>RBI Bank Rate (MSMED interest is three times this)</t>
        </is>
      </c>
      <c r="C10" s="13" t="n"/>
      <c r="D10" s="13" t="n"/>
      <c r="E10" s="18" t="n">
        <v>0.0575</v>
      </c>
      <c r="F10" s="15" t="n"/>
      <c r="G10" s="11" t="inlineStr">
        <is>
          <t>5.75% on rbi.org.in as on 27-Oct-2026. The RBI changes it; check before relying on the interest.</t>
        </is>
      </c>
    </row>
    <row r="11"/>
    <row r="12" ht="63" customHeight="1">
      <c r="B12" s="19" t="inlineStr">
        <is>
          <t>Party name</t>
        </is>
      </c>
      <c r="C12" s="19" t="inlineStr">
        <is>
          <t>Debtor or creditor</t>
        </is>
      </c>
      <c r="D12" s="19" t="inlineStr">
        <is>
          <t>GSTIN (optional)</t>
        </is>
      </c>
      <c r="E12" s="19" t="inlineStr">
        <is>
          <t>MSME status</t>
        </is>
      </c>
      <c r="F12" s="19" t="inlineStr">
        <is>
          <t>Udyam Registration No.</t>
        </is>
      </c>
      <c r="G12" s="19" t="inlineStr">
        <is>
          <t>Credit days agreed in writing</t>
        </is>
      </c>
      <c r="H12" s="19" t="inlineStr">
        <is>
          <t>Opening balance</t>
        </is>
      </c>
      <c r="I12" s="19" t="inlineStr">
        <is>
          <t>Dr or Cr</t>
        </is>
      </c>
      <c r="J12" s="19" t="inlineStr">
        <is>
          <t>Check</t>
        </is>
      </c>
    </row>
    <row r="13" ht="18" customHeight="1">
      <c r="B13" s="14" t="inlineStr">
        <is>
          <t>Retailer A</t>
        </is>
      </c>
      <c r="C13" s="20" t="inlineStr">
        <is>
          <t>Debtor</t>
        </is>
      </c>
      <c r="D13" s="20" t="n"/>
      <c r="E13" s="14" t="inlineStr">
        <is>
          <t>Not registered or not MSME</t>
        </is>
      </c>
      <c r="F13" s="20" t="n"/>
      <c r="G13" s="21" t="n"/>
      <c r="H13" s="22" t="n">
        <v>12000</v>
      </c>
      <c r="I13" s="20" t="inlineStr">
        <is>
          <t>Dr</t>
        </is>
      </c>
      <c r="J13" s="23">
        <f>IF(AND(B13="",C13="",N(H13)=0),"",IF(B13="","Enter the party name",IF(COUNTIF($B$13:$B$112,B13)&gt;1,"This name is used twice: enter each party once",IF(C13="","Pick Debtor or Creditor",IF(AND(N(H13)&gt;0,I13=""),"Pick Dr or Cr for the opening balance",IF(AND(L13=1,N(G13)&gt;45),"Over 45 days: the MSMED Act caps a written term at 45, so the book uses 45",IF(AND(L13=1,F13=""),"Ask for the Udyam Registration Number",IF(LEFT(E13,6)="Trader","Traders are MSMEs for bank lending only: ask your accountant before using the 45-day rule",IF(AND(C13="Creditor",LEFT(E13,6)="Medium"),"Medium enterprise: the MSMED payment rules do not apply",IF(AND(C13="Creditor",E13=""),"Ask the supplier whether they are a micro or small enterprise","OK"))))))))))</f>
        <v/>
      </c>
      <c r="L13">
        <f>IF(E13="",0,IFERROR(VLOOKUP(E13,Lists!$H$2:$I$6,2,FALSE),0))</f>
        <v/>
      </c>
      <c r="M13">
        <f>IF(N(H13)=0,0,IF(I13="Cr",-N(H13),N(H13)))</f>
        <v/>
      </c>
      <c r="N13">
        <f>IF(C13="Debtor",MAX(0,M13),IF(C13="Creditor",MAX(0,-M13),0))</f>
        <v/>
      </c>
      <c r="O13">
        <f>IF(C13="Debtor",MAX(0,-M13),IF(C13="Creditor",MAX(0,M13),0))</f>
        <v/>
      </c>
      <c r="P13">
        <f>IF(OR(AND(C13="Creditor",L13=1),AND(C13="Debtor",$E$9="Yes")),1,0)</f>
        <v/>
      </c>
      <c r="Q13">
        <f>IF(P13=1,IF(G13="",15,MIN(N(G13),45)),IF(G13="","",N(G13)))</f>
        <v/>
      </c>
    </row>
    <row r="14" ht="18" customHeight="1">
      <c r="B14" s="14" t="inlineStr">
        <is>
          <t>Retailer B</t>
        </is>
      </c>
      <c r="C14" s="20" t="inlineStr">
        <is>
          <t>Debtor</t>
        </is>
      </c>
      <c r="D14" s="20" t="n"/>
      <c r="E14" s="14" t="inlineStr">
        <is>
          <t>Not registered or not MSME</t>
        </is>
      </c>
      <c r="F14" s="20" t="n"/>
      <c r="G14" s="21" t="n">
        <v>30</v>
      </c>
      <c r="H14" s="22" t="n"/>
      <c r="I14" s="20" t="n"/>
      <c r="J14" s="23">
        <f>IF(AND(B14="",C14="",N(H14)=0),"",IF(B14="","Enter the party name",IF(COUNTIF($B$13:$B$112,B14)&gt;1,"This name is used twice: enter each party once",IF(C14="","Pick Debtor or Creditor",IF(AND(N(H14)&gt;0,I14=""),"Pick Dr or Cr for the opening balance",IF(AND(L14=1,N(G14)&gt;45),"Over 45 days: the MSMED Act caps a written term at 45, so the book uses 45",IF(AND(L14=1,F14=""),"Ask for the Udyam Registration Number",IF(LEFT(E14,6)="Trader","Traders are MSMEs for bank lending only: ask your accountant before using the 45-day rule",IF(AND(C14="Creditor",LEFT(E14,6)="Medium"),"Medium enterprise: the MSMED payment rules do not apply",IF(AND(C14="Creditor",E14=""),"Ask the supplier whether they are a micro or small enterprise","OK"))))))))))</f>
        <v/>
      </c>
      <c r="L14">
        <f>IF(E14="",0,IFERROR(VLOOKUP(E14,Lists!$H$2:$I$6,2,FALSE),0))</f>
        <v/>
      </c>
      <c r="M14">
        <f>IF(N(H14)=0,0,IF(I14="Cr",-N(H14),N(H14)))</f>
        <v/>
      </c>
      <c r="N14">
        <f>IF(C14="Debtor",MAX(0,M14),IF(C14="Creditor",MAX(0,-M14),0))</f>
        <v/>
      </c>
      <c r="O14">
        <f>IF(C14="Debtor",MAX(0,-M14),IF(C14="Creditor",MAX(0,M14),0))</f>
        <v/>
      </c>
      <c r="P14">
        <f>IF(OR(AND(C14="Creditor",L14=1),AND(C14="Debtor",$E$9="Yes")),1,0)</f>
        <v/>
      </c>
      <c r="Q14">
        <f>IF(P14=1,IF(G14="",15,MIN(N(G14),45)),IF(G14="","",N(G14)))</f>
        <v/>
      </c>
    </row>
    <row r="15" ht="18" customHeight="1">
      <c r="B15" s="14" t="inlineStr">
        <is>
          <t>Hotel C</t>
        </is>
      </c>
      <c r="C15" s="20" t="inlineStr">
        <is>
          <t>Debtor</t>
        </is>
      </c>
      <c r="D15" s="20" t="n"/>
      <c r="E15" s="14" t="inlineStr">
        <is>
          <t>Not registered or not MSME</t>
        </is>
      </c>
      <c r="F15" s="20" t="n"/>
      <c r="G15" s="21" t="n">
        <v>15</v>
      </c>
      <c r="H15" s="22" t="n"/>
      <c r="I15" s="20" t="n"/>
      <c r="J15" s="23">
        <f>IF(AND(B15="",C15="",N(H15)=0),"",IF(B15="","Enter the party name",IF(COUNTIF($B$13:$B$112,B15)&gt;1,"This name is used twice: enter each party once",IF(C15="","Pick Debtor or Creditor",IF(AND(N(H15)&gt;0,I15=""),"Pick Dr or Cr for the opening balance",IF(AND(L15=1,N(G15)&gt;45),"Over 45 days: the MSMED Act caps a written term at 45, so the book uses 45",IF(AND(L15=1,F15=""),"Ask for the Udyam Registration Number",IF(LEFT(E15,6)="Trader","Traders are MSMEs for bank lending only: ask your accountant before using the 45-day rule",IF(AND(C15="Creditor",LEFT(E15,6)="Medium"),"Medium enterprise: the MSMED payment rules do not apply",IF(AND(C15="Creditor",E15=""),"Ask the supplier whether they are a micro or small enterprise","OK"))))))))))</f>
        <v/>
      </c>
      <c r="L15">
        <f>IF(E15="",0,IFERROR(VLOOKUP(E15,Lists!$H$2:$I$6,2,FALSE),0))</f>
        <v/>
      </c>
      <c r="M15">
        <f>IF(N(H15)=0,0,IF(I15="Cr",-N(H15),N(H15)))</f>
        <v/>
      </c>
      <c r="N15">
        <f>IF(C15="Debtor",MAX(0,M15),IF(C15="Creditor",MAX(0,-M15),0))</f>
        <v/>
      </c>
      <c r="O15">
        <f>IF(C15="Debtor",MAX(0,-M15),IF(C15="Creditor",MAX(0,M15),0))</f>
        <v/>
      </c>
      <c r="P15">
        <f>IF(OR(AND(C15="Creditor",L15=1),AND(C15="Debtor",$E$9="Yes")),1,0)</f>
        <v/>
      </c>
      <c r="Q15">
        <f>IF(P15=1,IF(G15="",15,MIN(N(G15),45)),IF(G15="","",N(G15)))</f>
        <v/>
      </c>
    </row>
    <row r="16" ht="31" customHeight="1">
      <c r="B16" s="14" t="inlineStr">
        <is>
          <t>Packaging supplier</t>
        </is>
      </c>
      <c r="C16" s="20" t="inlineStr">
        <is>
          <t>Creditor</t>
        </is>
      </c>
      <c r="D16" s="20" t="n"/>
      <c r="E16" s="14" t="inlineStr">
        <is>
          <t>Micro enterprise (Udyam)</t>
        </is>
      </c>
      <c r="F16" s="20" t="inlineStr">
        <is>
          <t>UDYAM-XX-00-0000001 (example)</t>
        </is>
      </c>
      <c r="G16" s="21" t="n">
        <v>30</v>
      </c>
      <c r="H16" s="22" t="n">
        <v>18000</v>
      </c>
      <c r="I16" s="20" t="inlineStr">
        <is>
          <t>Cr</t>
        </is>
      </c>
      <c r="J16" s="23">
        <f>IF(AND(B16="",C16="",N(H16)=0),"",IF(B16="","Enter the party name",IF(COUNTIF($B$13:$B$112,B16)&gt;1,"This name is used twice: enter each party once",IF(C16="","Pick Debtor or Creditor",IF(AND(N(H16)&gt;0,I16=""),"Pick Dr or Cr for the opening balance",IF(AND(L16=1,N(G16)&gt;45),"Over 45 days: the MSMED Act caps a written term at 45, so the book uses 45",IF(AND(L16=1,F16=""),"Ask for the Udyam Registration Number",IF(LEFT(E16,6)="Trader","Traders are MSMEs for bank lending only: ask your accountant before using the 45-day rule",IF(AND(C16="Creditor",LEFT(E16,6)="Medium"),"Medium enterprise: the MSMED payment rules do not apply",IF(AND(C16="Creditor",E16=""),"Ask the supplier whether they are a micro or small enterprise","OK"))))))))))</f>
        <v/>
      </c>
      <c r="L16">
        <f>IF(E16="",0,IFERROR(VLOOKUP(E16,Lists!$H$2:$I$6,2,FALSE),0))</f>
        <v/>
      </c>
      <c r="M16">
        <f>IF(N(H16)=0,0,IF(I16="Cr",-N(H16),N(H16)))</f>
        <v/>
      </c>
      <c r="N16">
        <f>IF(C16="Debtor",MAX(0,M16),IF(C16="Creditor",MAX(0,-M16),0))</f>
        <v/>
      </c>
      <c r="O16">
        <f>IF(C16="Debtor",MAX(0,-M16),IF(C16="Creditor",MAX(0,M16),0))</f>
        <v/>
      </c>
      <c r="P16">
        <f>IF(OR(AND(C16="Creditor",L16=1),AND(C16="Debtor",$E$9="Yes")),1,0)</f>
        <v/>
      </c>
      <c r="Q16">
        <f>IF(P16=1,IF(G16="",15,MIN(N(G16),45)),IF(G16="","",N(G16)))</f>
        <v/>
      </c>
    </row>
    <row r="17" ht="31" customHeight="1">
      <c r="B17" s="14" t="inlineStr">
        <is>
          <t>Spice supplier</t>
        </is>
      </c>
      <c r="C17" s="20" t="inlineStr">
        <is>
          <t>Creditor</t>
        </is>
      </c>
      <c r="D17" s="20" t="n"/>
      <c r="E17" s="14" t="inlineStr">
        <is>
          <t>Small enterprise (Udyam)</t>
        </is>
      </c>
      <c r="F17" s="20" t="inlineStr">
        <is>
          <t>UDYAM-XX-00-0000002 (example)</t>
        </is>
      </c>
      <c r="G17" s="21" t="n"/>
      <c r="H17" s="22" t="n"/>
      <c r="I17" s="20" t="n"/>
      <c r="J17" s="23">
        <f>IF(AND(B17="",C17="",N(H17)=0),"",IF(B17="","Enter the party name",IF(COUNTIF($B$13:$B$112,B17)&gt;1,"This name is used twice: enter each party once",IF(C17="","Pick Debtor or Creditor",IF(AND(N(H17)&gt;0,I17=""),"Pick Dr or Cr for the opening balance",IF(AND(L17=1,N(G17)&gt;45),"Over 45 days: the MSMED Act caps a written term at 45, so the book uses 45",IF(AND(L17=1,F17=""),"Ask for the Udyam Registration Number",IF(LEFT(E17,6)="Trader","Traders are MSMEs for bank lending only: ask your accountant before using the 45-day rule",IF(AND(C17="Creditor",LEFT(E17,6)="Medium"),"Medium enterprise: the MSMED payment rules do not apply",IF(AND(C17="Creditor",E17=""),"Ask the supplier whether they are a micro or small enterprise","OK"))))))))))</f>
        <v/>
      </c>
      <c r="L17">
        <f>IF(E17="",0,IFERROR(VLOOKUP(E17,Lists!$H$2:$I$6,2,FALSE),0))</f>
        <v/>
      </c>
      <c r="M17">
        <f>IF(N(H17)=0,0,IF(I17="Cr",-N(H17),N(H17)))</f>
        <v/>
      </c>
      <c r="N17">
        <f>IF(C17="Debtor",MAX(0,M17),IF(C17="Creditor",MAX(0,-M17),0))</f>
        <v/>
      </c>
      <c r="O17">
        <f>IF(C17="Debtor",MAX(0,-M17),IF(C17="Creditor",MAX(0,M17),0))</f>
        <v/>
      </c>
      <c r="P17">
        <f>IF(OR(AND(C17="Creditor",L17=1),AND(C17="Debtor",$E$9="Yes")),1,0)</f>
        <v/>
      </c>
      <c r="Q17">
        <f>IF(P17=1,IF(G17="",15,MIN(N(G17),45)),IF(G17="","",N(G17)))</f>
        <v/>
      </c>
    </row>
    <row r="18" ht="18" customHeight="1">
      <c r="B18" s="14" t="inlineStr">
        <is>
          <t>Transporter</t>
        </is>
      </c>
      <c r="C18" s="20" t="inlineStr">
        <is>
          <t>Creditor</t>
        </is>
      </c>
      <c r="D18" s="20" t="n"/>
      <c r="E18" s="14" t="inlineStr">
        <is>
          <t>Not registered or not MSME</t>
        </is>
      </c>
      <c r="F18" s="20" t="n"/>
      <c r="G18" s="21" t="n">
        <v>30</v>
      </c>
      <c r="H18" s="22" t="n"/>
      <c r="I18" s="20" t="n"/>
      <c r="J18" s="23">
        <f>IF(AND(B18="",C18="",N(H18)=0),"",IF(B18="","Enter the party name",IF(COUNTIF($B$13:$B$112,B18)&gt;1,"This name is used twice: enter each party once",IF(C18="","Pick Debtor or Creditor",IF(AND(N(H18)&gt;0,I18=""),"Pick Dr or Cr for the opening balance",IF(AND(L18=1,N(G18)&gt;45),"Over 45 days: the MSMED Act caps a written term at 45, so the book uses 45",IF(AND(L18=1,F18=""),"Ask for the Udyam Registration Number",IF(LEFT(E18,6)="Trader","Traders are MSMEs for bank lending only: ask your accountant before using the 45-day rule",IF(AND(C18="Creditor",LEFT(E18,6)="Medium"),"Medium enterprise: the MSMED payment rules do not apply",IF(AND(C18="Creditor",E18=""),"Ask the supplier whether they are a micro or small enterprise","OK"))))))))))</f>
        <v/>
      </c>
      <c r="L18">
        <f>IF(E18="",0,IFERROR(VLOOKUP(E18,Lists!$H$2:$I$6,2,FALSE),0))</f>
        <v/>
      </c>
      <c r="M18">
        <f>IF(N(H18)=0,0,IF(I18="Cr",-N(H18),N(H18)))</f>
        <v/>
      </c>
      <c r="N18">
        <f>IF(C18="Debtor",MAX(0,M18),IF(C18="Creditor",MAX(0,-M18),0))</f>
        <v/>
      </c>
      <c r="O18">
        <f>IF(C18="Debtor",MAX(0,-M18),IF(C18="Creditor",MAX(0,M18),0))</f>
        <v/>
      </c>
      <c r="P18">
        <f>IF(OR(AND(C18="Creditor",L18=1),AND(C18="Debtor",$E$9="Yes")),1,0)</f>
        <v/>
      </c>
      <c r="Q18">
        <f>IF(P18=1,IF(G18="",15,MIN(N(G18),45)),IF(G18="","",N(G18)))</f>
        <v/>
      </c>
    </row>
    <row r="19" ht="31" customHeight="1">
      <c r="B19" s="14" t="inlineStr">
        <is>
          <t>Wholesale trader</t>
        </is>
      </c>
      <c r="C19" s="20" t="inlineStr">
        <is>
          <t>Creditor</t>
        </is>
      </c>
      <c r="D19" s="20" t="n"/>
      <c r="E19" s="14" t="inlineStr">
        <is>
          <t>Trader (Udyam, retail or wholesale)</t>
        </is>
      </c>
      <c r="F19" s="20" t="inlineStr">
        <is>
          <t>UDYAM-XX-00-0000003 (example)</t>
        </is>
      </c>
      <c r="G19" s="21" t="n">
        <v>60</v>
      </c>
      <c r="H19" s="22" t="n"/>
      <c r="I19" s="20" t="n"/>
      <c r="J19" s="23">
        <f>IF(AND(B19="",C19="",N(H19)=0),"",IF(B19="","Enter the party name",IF(COUNTIF($B$13:$B$112,B19)&gt;1,"This name is used twice: enter each party once",IF(C19="","Pick Debtor or Creditor",IF(AND(N(H19)&gt;0,I19=""),"Pick Dr or Cr for the opening balance",IF(AND(L19=1,N(G19)&gt;45),"Over 45 days: the MSMED Act caps a written term at 45, so the book uses 45",IF(AND(L19=1,F19=""),"Ask for the Udyam Registration Number",IF(LEFT(E19,6)="Trader","Traders are MSMEs for bank lending only: ask your accountant before using the 45-day rule",IF(AND(C19="Creditor",LEFT(E19,6)="Medium"),"Medium enterprise: the MSMED payment rules do not apply",IF(AND(C19="Creditor",E19=""),"Ask the supplier whether they are a micro or small enterprise","OK"))))))))))</f>
        <v/>
      </c>
      <c r="L19">
        <f>IF(E19="",0,IFERROR(VLOOKUP(E19,Lists!$H$2:$I$6,2,FALSE),0))</f>
        <v/>
      </c>
      <c r="M19">
        <f>IF(N(H19)=0,0,IF(I19="Cr",-N(H19),N(H19)))</f>
        <v/>
      </c>
      <c r="N19">
        <f>IF(C19="Debtor",MAX(0,M19),IF(C19="Creditor",MAX(0,-M19),0))</f>
        <v/>
      </c>
      <c r="O19">
        <f>IF(C19="Debtor",MAX(0,-M19),IF(C19="Creditor",MAX(0,M19),0))</f>
        <v/>
      </c>
      <c r="P19">
        <f>IF(OR(AND(C19="Creditor",L19=1),AND(C19="Debtor",$E$9="Yes")),1,0)</f>
        <v/>
      </c>
      <c r="Q19">
        <f>IF(P19=1,IF(G19="",15,MIN(N(G19),45)),IF(G19="","",N(G19)))</f>
        <v/>
      </c>
    </row>
    <row r="20">
      <c r="B20" s="14" t="n"/>
      <c r="C20" s="20" t="n"/>
      <c r="D20" s="20" t="n"/>
      <c r="E20" s="14" t="n"/>
      <c r="F20" s="20" t="n"/>
      <c r="G20" s="21" t="n"/>
      <c r="H20" s="22" t="n"/>
      <c r="I20" s="20" t="n"/>
      <c r="J20" s="23">
        <f>IF(AND(B20="",C20="",N(H20)=0),"",IF(B20="","Enter the party name",IF(COUNTIF($B$13:$B$112,B20)&gt;1,"This name is used twice: enter each party once",IF(C20="","Pick Debtor or Creditor",IF(AND(N(H20)&gt;0,I20=""),"Pick Dr or Cr for the opening balance",IF(AND(L20=1,N(G20)&gt;45),"Over 45 days: the MSMED Act caps a written term at 45, so the book uses 45",IF(AND(L20=1,F20=""),"Ask for the Udyam Registration Number",IF(LEFT(E20,6)="Trader","Traders are MSMEs for bank lending only: ask your accountant before using the 45-day rule",IF(AND(C20="Creditor",LEFT(E20,6)="Medium"),"Medium enterprise: the MSMED payment rules do not apply",IF(AND(C20="Creditor",E20=""),"Ask the supplier whether they are a micro or small enterprise","OK"))))))))))</f>
        <v/>
      </c>
      <c r="L20">
        <f>IF(E20="",0,IFERROR(VLOOKUP(E20,Lists!$H$2:$I$6,2,FALSE),0))</f>
        <v/>
      </c>
      <c r="M20">
        <f>IF(N(H20)=0,0,IF(I20="Cr",-N(H20),N(H20)))</f>
        <v/>
      </c>
      <c r="N20">
        <f>IF(C20="Debtor",MAX(0,M20),IF(C20="Creditor",MAX(0,-M20),0))</f>
        <v/>
      </c>
      <c r="O20">
        <f>IF(C20="Debtor",MAX(0,-M20),IF(C20="Creditor",MAX(0,M20),0))</f>
        <v/>
      </c>
      <c r="P20">
        <f>IF(OR(AND(C20="Creditor",L20=1),AND(C20="Debtor",$E$9="Yes")),1,0)</f>
        <v/>
      </c>
      <c r="Q20">
        <f>IF(P20=1,IF(G20="",15,MIN(N(G20),45)),IF(G20="","",N(G20)))</f>
        <v/>
      </c>
    </row>
    <row r="21">
      <c r="B21" s="14" t="n"/>
      <c r="C21" s="20" t="n"/>
      <c r="D21" s="20" t="n"/>
      <c r="E21" s="14" t="n"/>
      <c r="F21" s="20" t="n"/>
      <c r="G21" s="21" t="n"/>
      <c r="H21" s="22" t="n"/>
      <c r="I21" s="20" t="n"/>
      <c r="J21" s="23">
        <f>IF(AND(B21="",C21="",N(H21)=0),"",IF(B21="","Enter the party name",IF(COUNTIF($B$13:$B$112,B21)&gt;1,"This name is used twice: enter each party once",IF(C21="","Pick Debtor or Creditor",IF(AND(N(H21)&gt;0,I21=""),"Pick Dr or Cr for the opening balance",IF(AND(L21=1,N(G21)&gt;45),"Over 45 days: the MSMED Act caps a written term at 45, so the book uses 45",IF(AND(L21=1,F21=""),"Ask for the Udyam Registration Number",IF(LEFT(E21,6)="Trader","Traders are MSMEs for bank lending only: ask your accountant before using the 45-day rule",IF(AND(C21="Creditor",LEFT(E21,6)="Medium"),"Medium enterprise: the MSMED payment rules do not apply",IF(AND(C21="Creditor",E21=""),"Ask the supplier whether they are a micro or small enterprise","OK"))))))))))</f>
        <v/>
      </c>
      <c r="L21">
        <f>IF(E21="",0,IFERROR(VLOOKUP(E21,Lists!$H$2:$I$6,2,FALSE),0))</f>
        <v/>
      </c>
      <c r="M21">
        <f>IF(N(H21)=0,0,IF(I21="Cr",-N(H21),N(H21)))</f>
        <v/>
      </c>
      <c r="N21">
        <f>IF(C21="Debtor",MAX(0,M21),IF(C21="Creditor",MAX(0,-M21),0))</f>
        <v/>
      </c>
      <c r="O21">
        <f>IF(C21="Debtor",MAX(0,-M21),IF(C21="Creditor",MAX(0,M21),0))</f>
        <v/>
      </c>
      <c r="P21">
        <f>IF(OR(AND(C21="Creditor",L21=1),AND(C21="Debtor",$E$9="Yes")),1,0)</f>
        <v/>
      </c>
      <c r="Q21">
        <f>IF(P21=1,IF(G21="",15,MIN(N(G21),45)),IF(G21="","",N(G21)))</f>
        <v/>
      </c>
    </row>
    <row r="22">
      <c r="B22" s="14" t="n"/>
      <c r="C22" s="20" t="n"/>
      <c r="D22" s="20" t="n"/>
      <c r="E22" s="14" t="n"/>
      <c r="F22" s="20" t="n"/>
      <c r="G22" s="21" t="n"/>
      <c r="H22" s="22" t="n"/>
      <c r="I22" s="20" t="n"/>
      <c r="J22" s="23">
        <f>IF(AND(B22="",C22="",N(H22)=0),"",IF(B22="","Enter the party name",IF(COUNTIF($B$13:$B$112,B22)&gt;1,"This name is used twice: enter each party once",IF(C22="","Pick Debtor or Creditor",IF(AND(N(H22)&gt;0,I22=""),"Pick Dr or Cr for the opening balance",IF(AND(L22=1,N(G22)&gt;45),"Over 45 days: the MSMED Act caps a written term at 45, so the book uses 45",IF(AND(L22=1,F22=""),"Ask for the Udyam Registration Number",IF(LEFT(E22,6)="Trader","Traders are MSMEs for bank lending only: ask your accountant before using the 45-day rule",IF(AND(C22="Creditor",LEFT(E22,6)="Medium"),"Medium enterprise: the MSMED payment rules do not apply",IF(AND(C22="Creditor",E22=""),"Ask the supplier whether they are a micro or small enterprise","OK"))))))))))</f>
        <v/>
      </c>
      <c r="L22">
        <f>IF(E22="",0,IFERROR(VLOOKUP(E22,Lists!$H$2:$I$6,2,FALSE),0))</f>
        <v/>
      </c>
      <c r="M22">
        <f>IF(N(H22)=0,0,IF(I22="Cr",-N(H22),N(H22)))</f>
        <v/>
      </c>
      <c r="N22">
        <f>IF(C22="Debtor",MAX(0,M22),IF(C22="Creditor",MAX(0,-M22),0))</f>
        <v/>
      </c>
      <c r="O22">
        <f>IF(C22="Debtor",MAX(0,-M22),IF(C22="Creditor",MAX(0,M22),0))</f>
        <v/>
      </c>
      <c r="P22">
        <f>IF(OR(AND(C22="Creditor",L22=1),AND(C22="Debtor",$E$9="Yes")),1,0)</f>
        <v/>
      </c>
      <c r="Q22">
        <f>IF(P22=1,IF(G22="",15,MIN(N(G22),45)),IF(G22="","",N(G22)))</f>
        <v/>
      </c>
    </row>
    <row r="23">
      <c r="B23" s="14" t="n"/>
      <c r="C23" s="20" t="n"/>
      <c r="D23" s="20" t="n"/>
      <c r="E23" s="14" t="n"/>
      <c r="F23" s="20" t="n"/>
      <c r="G23" s="21" t="n"/>
      <c r="H23" s="22" t="n"/>
      <c r="I23" s="20" t="n"/>
      <c r="J23" s="23">
        <f>IF(AND(B23="",C23="",N(H23)=0),"",IF(B23="","Enter the party name",IF(COUNTIF($B$13:$B$112,B23)&gt;1,"This name is used twice: enter each party once",IF(C23="","Pick Debtor or Creditor",IF(AND(N(H23)&gt;0,I23=""),"Pick Dr or Cr for the opening balance",IF(AND(L23=1,N(G23)&gt;45),"Over 45 days: the MSMED Act caps a written term at 45, so the book uses 45",IF(AND(L23=1,F23=""),"Ask for the Udyam Registration Number",IF(LEFT(E23,6)="Trader","Traders are MSMEs for bank lending only: ask your accountant before using the 45-day rule",IF(AND(C23="Creditor",LEFT(E23,6)="Medium"),"Medium enterprise: the MSMED payment rules do not apply",IF(AND(C23="Creditor",E23=""),"Ask the supplier whether they are a micro or small enterprise","OK"))))))))))</f>
        <v/>
      </c>
      <c r="L23">
        <f>IF(E23="",0,IFERROR(VLOOKUP(E23,Lists!$H$2:$I$6,2,FALSE),0))</f>
        <v/>
      </c>
      <c r="M23">
        <f>IF(N(H23)=0,0,IF(I23="Cr",-N(H23),N(H23)))</f>
        <v/>
      </c>
      <c r="N23">
        <f>IF(C23="Debtor",MAX(0,M23),IF(C23="Creditor",MAX(0,-M23),0))</f>
        <v/>
      </c>
      <c r="O23">
        <f>IF(C23="Debtor",MAX(0,-M23),IF(C23="Creditor",MAX(0,M23),0))</f>
        <v/>
      </c>
      <c r="P23">
        <f>IF(OR(AND(C23="Creditor",L23=1),AND(C23="Debtor",$E$9="Yes")),1,0)</f>
        <v/>
      </c>
      <c r="Q23">
        <f>IF(P23=1,IF(G23="",15,MIN(N(G23),45)),IF(G23="","",N(G23)))</f>
        <v/>
      </c>
    </row>
    <row r="24">
      <c r="B24" s="14" t="n"/>
      <c r="C24" s="20" t="n"/>
      <c r="D24" s="20" t="n"/>
      <c r="E24" s="14" t="n"/>
      <c r="F24" s="20" t="n"/>
      <c r="G24" s="21" t="n"/>
      <c r="H24" s="22" t="n"/>
      <c r="I24" s="20" t="n"/>
      <c r="J24" s="23">
        <f>IF(AND(B24="",C24="",N(H24)=0),"",IF(B24="","Enter the party name",IF(COUNTIF($B$13:$B$112,B24)&gt;1,"This name is used twice: enter each party once",IF(C24="","Pick Debtor or Creditor",IF(AND(N(H24)&gt;0,I24=""),"Pick Dr or Cr for the opening balance",IF(AND(L24=1,N(G24)&gt;45),"Over 45 days: the MSMED Act caps a written term at 45, so the book uses 45",IF(AND(L24=1,F24=""),"Ask for the Udyam Registration Number",IF(LEFT(E24,6)="Trader","Traders are MSMEs for bank lending only: ask your accountant before using the 45-day rule",IF(AND(C24="Creditor",LEFT(E24,6)="Medium"),"Medium enterprise: the MSMED payment rules do not apply",IF(AND(C24="Creditor",E24=""),"Ask the supplier whether they are a micro or small enterprise","OK"))))))))))</f>
        <v/>
      </c>
      <c r="L24">
        <f>IF(E24="",0,IFERROR(VLOOKUP(E24,Lists!$H$2:$I$6,2,FALSE),0))</f>
        <v/>
      </c>
      <c r="M24">
        <f>IF(N(H24)=0,0,IF(I24="Cr",-N(H24),N(H24)))</f>
        <v/>
      </c>
      <c r="N24">
        <f>IF(C24="Debtor",MAX(0,M24),IF(C24="Creditor",MAX(0,-M24),0))</f>
        <v/>
      </c>
      <c r="O24">
        <f>IF(C24="Debtor",MAX(0,-M24),IF(C24="Creditor",MAX(0,M24),0))</f>
        <v/>
      </c>
      <c r="P24">
        <f>IF(OR(AND(C24="Creditor",L24=1),AND(C24="Debtor",$E$9="Yes")),1,0)</f>
        <v/>
      </c>
      <c r="Q24">
        <f>IF(P24=1,IF(G24="",15,MIN(N(G24),45)),IF(G24="","",N(G24)))</f>
        <v/>
      </c>
    </row>
    <row r="25">
      <c r="B25" s="14" t="n"/>
      <c r="C25" s="20" t="n"/>
      <c r="D25" s="20" t="n"/>
      <c r="E25" s="14" t="n"/>
      <c r="F25" s="20" t="n"/>
      <c r="G25" s="21" t="n"/>
      <c r="H25" s="22" t="n"/>
      <c r="I25" s="20" t="n"/>
      <c r="J25" s="23">
        <f>IF(AND(B25="",C25="",N(H25)=0),"",IF(B25="","Enter the party name",IF(COUNTIF($B$13:$B$112,B25)&gt;1,"This name is used twice: enter each party once",IF(C25="","Pick Debtor or Creditor",IF(AND(N(H25)&gt;0,I25=""),"Pick Dr or Cr for the opening balance",IF(AND(L25=1,N(G25)&gt;45),"Over 45 days: the MSMED Act caps a written term at 45, so the book uses 45",IF(AND(L25=1,F25=""),"Ask for the Udyam Registration Number",IF(LEFT(E25,6)="Trader","Traders are MSMEs for bank lending only: ask your accountant before using the 45-day rule",IF(AND(C25="Creditor",LEFT(E25,6)="Medium"),"Medium enterprise: the MSMED payment rules do not apply",IF(AND(C25="Creditor",E25=""),"Ask the supplier whether they are a micro or small enterprise","OK"))))))))))</f>
        <v/>
      </c>
      <c r="L25">
        <f>IF(E25="",0,IFERROR(VLOOKUP(E25,Lists!$H$2:$I$6,2,FALSE),0))</f>
        <v/>
      </c>
      <c r="M25">
        <f>IF(N(H25)=0,0,IF(I25="Cr",-N(H25),N(H25)))</f>
        <v/>
      </c>
      <c r="N25">
        <f>IF(C25="Debtor",MAX(0,M25),IF(C25="Creditor",MAX(0,-M25),0))</f>
        <v/>
      </c>
      <c r="O25">
        <f>IF(C25="Debtor",MAX(0,-M25),IF(C25="Creditor",MAX(0,M25),0))</f>
        <v/>
      </c>
      <c r="P25">
        <f>IF(OR(AND(C25="Creditor",L25=1),AND(C25="Debtor",$E$9="Yes")),1,0)</f>
        <v/>
      </c>
      <c r="Q25">
        <f>IF(P25=1,IF(G25="",15,MIN(N(G25),45)),IF(G25="","",N(G25)))</f>
        <v/>
      </c>
    </row>
    <row r="26">
      <c r="B26" s="14" t="n"/>
      <c r="C26" s="20" t="n"/>
      <c r="D26" s="20" t="n"/>
      <c r="E26" s="14" t="n"/>
      <c r="F26" s="20" t="n"/>
      <c r="G26" s="21" t="n"/>
      <c r="H26" s="22" t="n"/>
      <c r="I26" s="20" t="n"/>
      <c r="J26" s="23">
        <f>IF(AND(B26="",C26="",N(H26)=0),"",IF(B26="","Enter the party name",IF(COUNTIF($B$13:$B$112,B26)&gt;1,"This name is used twice: enter each party once",IF(C26="","Pick Debtor or Creditor",IF(AND(N(H26)&gt;0,I26=""),"Pick Dr or Cr for the opening balance",IF(AND(L26=1,N(G26)&gt;45),"Over 45 days: the MSMED Act caps a written term at 45, so the book uses 45",IF(AND(L26=1,F26=""),"Ask for the Udyam Registration Number",IF(LEFT(E26,6)="Trader","Traders are MSMEs for bank lending only: ask your accountant before using the 45-day rule",IF(AND(C26="Creditor",LEFT(E26,6)="Medium"),"Medium enterprise: the MSMED payment rules do not apply",IF(AND(C26="Creditor",E26=""),"Ask the supplier whether they are a micro or small enterprise","OK"))))))))))</f>
        <v/>
      </c>
      <c r="L26">
        <f>IF(E26="",0,IFERROR(VLOOKUP(E26,Lists!$H$2:$I$6,2,FALSE),0))</f>
        <v/>
      </c>
      <c r="M26">
        <f>IF(N(H26)=0,0,IF(I26="Cr",-N(H26),N(H26)))</f>
        <v/>
      </c>
      <c r="N26">
        <f>IF(C26="Debtor",MAX(0,M26),IF(C26="Creditor",MAX(0,-M26),0))</f>
        <v/>
      </c>
      <c r="O26">
        <f>IF(C26="Debtor",MAX(0,-M26),IF(C26="Creditor",MAX(0,M26),0))</f>
        <v/>
      </c>
      <c r="P26">
        <f>IF(OR(AND(C26="Creditor",L26=1),AND(C26="Debtor",$E$9="Yes")),1,0)</f>
        <v/>
      </c>
      <c r="Q26">
        <f>IF(P26=1,IF(G26="",15,MIN(N(G26),45)),IF(G26="","",N(G26)))</f>
        <v/>
      </c>
    </row>
    <row r="27">
      <c r="B27" s="14" t="n"/>
      <c r="C27" s="20" t="n"/>
      <c r="D27" s="20" t="n"/>
      <c r="E27" s="14" t="n"/>
      <c r="F27" s="20" t="n"/>
      <c r="G27" s="21" t="n"/>
      <c r="H27" s="22" t="n"/>
      <c r="I27" s="20" t="n"/>
      <c r="J27" s="23">
        <f>IF(AND(B27="",C27="",N(H27)=0),"",IF(B27="","Enter the party name",IF(COUNTIF($B$13:$B$112,B27)&gt;1,"This name is used twice: enter each party once",IF(C27="","Pick Debtor or Creditor",IF(AND(N(H27)&gt;0,I27=""),"Pick Dr or Cr for the opening balance",IF(AND(L27=1,N(G27)&gt;45),"Over 45 days: the MSMED Act caps a written term at 45, so the book uses 45",IF(AND(L27=1,F27=""),"Ask for the Udyam Registration Number",IF(LEFT(E27,6)="Trader","Traders are MSMEs for bank lending only: ask your accountant before using the 45-day rule",IF(AND(C27="Creditor",LEFT(E27,6)="Medium"),"Medium enterprise: the MSMED payment rules do not apply",IF(AND(C27="Creditor",E27=""),"Ask the supplier whether they are a micro or small enterprise","OK"))))))))))</f>
        <v/>
      </c>
      <c r="L27">
        <f>IF(E27="",0,IFERROR(VLOOKUP(E27,Lists!$H$2:$I$6,2,FALSE),0))</f>
        <v/>
      </c>
      <c r="M27">
        <f>IF(N(H27)=0,0,IF(I27="Cr",-N(H27),N(H27)))</f>
        <v/>
      </c>
      <c r="N27">
        <f>IF(C27="Debtor",MAX(0,M27),IF(C27="Creditor",MAX(0,-M27),0))</f>
        <v/>
      </c>
      <c r="O27">
        <f>IF(C27="Debtor",MAX(0,-M27),IF(C27="Creditor",MAX(0,M27),0))</f>
        <v/>
      </c>
      <c r="P27">
        <f>IF(OR(AND(C27="Creditor",L27=1),AND(C27="Debtor",$E$9="Yes")),1,0)</f>
        <v/>
      </c>
      <c r="Q27">
        <f>IF(P27=1,IF(G27="",15,MIN(N(G27),45)),IF(G27="","",N(G27)))</f>
        <v/>
      </c>
    </row>
    <row r="28">
      <c r="B28" s="14" t="n"/>
      <c r="C28" s="20" t="n"/>
      <c r="D28" s="20" t="n"/>
      <c r="E28" s="14" t="n"/>
      <c r="F28" s="20" t="n"/>
      <c r="G28" s="21" t="n"/>
      <c r="H28" s="22" t="n"/>
      <c r="I28" s="20" t="n"/>
      <c r="J28" s="23">
        <f>IF(AND(B28="",C28="",N(H28)=0),"",IF(B28="","Enter the party name",IF(COUNTIF($B$13:$B$112,B28)&gt;1,"This name is used twice: enter each party once",IF(C28="","Pick Debtor or Creditor",IF(AND(N(H28)&gt;0,I28=""),"Pick Dr or Cr for the opening balance",IF(AND(L28=1,N(G28)&gt;45),"Over 45 days: the MSMED Act caps a written term at 45, so the book uses 45",IF(AND(L28=1,F28=""),"Ask for the Udyam Registration Number",IF(LEFT(E28,6)="Trader","Traders are MSMEs for bank lending only: ask your accountant before using the 45-day rule",IF(AND(C28="Creditor",LEFT(E28,6)="Medium"),"Medium enterprise: the MSMED payment rules do not apply",IF(AND(C28="Creditor",E28=""),"Ask the supplier whether they are a micro or small enterprise","OK"))))))))))</f>
        <v/>
      </c>
      <c r="L28">
        <f>IF(E28="",0,IFERROR(VLOOKUP(E28,Lists!$H$2:$I$6,2,FALSE),0))</f>
        <v/>
      </c>
      <c r="M28">
        <f>IF(N(H28)=0,0,IF(I28="Cr",-N(H28),N(H28)))</f>
        <v/>
      </c>
      <c r="N28">
        <f>IF(C28="Debtor",MAX(0,M28),IF(C28="Creditor",MAX(0,-M28),0))</f>
        <v/>
      </c>
      <c r="O28">
        <f>IF(C28="Debtor",MAX(0,-M28),IF(C28="Creditor",MAX(0,M28),0))</f>
        <v/>
      </c>
      <c r="P28">
        <f>IF(OR(AND(C28="Creditor",L28=1),AND(C28="Debtor",$E$9="Yes")),1,0)</f>
        <v/>
      </c>
      <c r="Q28">
        <f>IF(P28=1,IF(G28="",15,MIN(N(G28),45)),IF(G28="","",N(G28)))</f>
        <v/>
      </c>
    </row>
    <row r="29">
      <c r="B29" s="14" t="n"/>
      <c r="C29" s="20" t="n"/>
      <c r="D29" s="20" t="n"/>
      <c r="E29" s="14" t="n"/>
      <c r="F29" s="20" t="n"/>
      <c r="G29" s="21" t="n"/>
      <c r="H29" s="22" t="n"/>
      <c r="I29" s="20" t="n"/>
      <c r="J29" s="23">
        <f>IF(AND(B29="",C29="",N(H29)=0),"",IF(B29="","Enter the party name",IF(COUNTIF($B$13:$B$112,B29)&gt;1,"This name is used twice: enter each party once",IF(C29="","Pick Debtor or Creditor",IF(AND(N(H29)&gt;0,I29=""),"Pick Dr or Cr for the opening balance",IF(AND(L29=1,N(G29)&gt;45),"Over 45 days: the MSMED Act caps a written term at 45, so the book uses 45",IF(AND(L29=1,F29=""),"Ask for the Udyam Registration Number",IF(LEFT(E29,6)="Trader","Traders are MSMEs for bank lending only: ask your accountant before using the 45-day rule",IF(AND(C29="Creditor",LEFT(E29,6)="Medium"),"Medium enterprise: the MSMED payment rules do not apply",IF(AND(C29="Creditor",E29=""),"Ask the supplier whether they are a micro or small enterprise","OK"))))))))))</f>
        <v/>
      </c>
      <c r="L29">
        <f>IF(E29="",0,IFERROR(VLOOKUP(E29,Lists!$H$2:$I$6,2,FALSE),0))</f>
        <v/>
      </c>
      <c r="M29">
        <f>IF(N(H29)=0,0,IF(I29="Cr",-N(H29),N(H29)))</f>
        <v/>
      </c>
      <c r="N29">
        <f>IF(C29="Debtor",MAX(0,M29),IF(C29="Creditor",MAX(0,-M29),0))</f>
        <v/>
      </c>
      <c r="O29">
        <f>IF(C29="Debtor",MAX(0,-M29),IF(C29="Creditor",MAX(0,M29),0))</f>
        <v/>
      </c>
      <c r="P29">
        <f>IF(OR(AND(C29="Creditor",L29=1),AND(C29="Debtor",$E$9="Yes")),1,0)</f>
        <v/>
      </c>
      <c r="Q29">
        <f>IF(P29=1,IF(G29="",15,MIN(N(G29),45)),IF(G29="","",N(G29)))</f>
        <v/>
      </c>
    </row>
    <row r="30">
      <c r="B30" s="14" t="n"/>
      <c r="C30" s="20" t="n"/>
      <c r="D30" s="20" t="n"/>
      <c r="E30" s="14" t="n"/>
      <c r="F30" s="20" t="n"/>
      <c r="G30" s="21" t="n"/>
      <c r="H30" s="22" t="n"/>
      <c r="I30" s="20" t="n"/>
      <c r="J30" s="23">
        <f>IF(AND(B30="",C30="",N(H30)=0),"",IF(B30="","Enter the party name",IF(COUNTIF($B$13:$B$112,B30)&gt;1,"This name is used twice: enter each party once",IF(C30="","Pick Debtor or Creditor",IF(AND(N(H30)&gt;0,I30=""),"Pick Dr or Cr for the opening balance",IF(AND(L30=1,N(G30)&gt;45),"Over 45 days: the MSMED Act caps a written term at 45, so the book uses 45",IF(AND(L30=1,F30=""),"Ask for the Udyam Registration Number",IF(LEFT(E30,6)="Trader","Traders are MSMEs for bank lending only: ask your accountant before using the 45-day rule",IF(AND(C30="Creditor",LEFT(E30,6)="Medium"),"Medium enterprise: the MSMED payment rules do not apply",IF(AND(C30="Creditor",E30=""),"Ask the supplier whether they are a micro or small enterprise","OK"))))))))))</f>
        <v/>
      </c>
      <c r="L30">
        <f>IF(E30="",0,IFERROR(VLOOKUP(E30,Lists!$H$2:$I$6,2,FALSE),0))</f>
        <v/>
      </c>
      <c r="M30">
        <f>IF(N(H30)=0,0,IF(I30="Cr",-N(H30),N(H30)))</f>
        <v/>
      </c>
      <c r="N30">
        <f>IF(C30="Debtor",MAX(0,M30),IF(C30="Creditor",MAX(0,-M30),0))</f>
        <v/>
      </c>
      <c r="O30">
        <f>IF(C30="Debtor",MAX(0,-M30),IF(C30="Creditor",MAX(0,M30),0))</f>
        <v/>
      </c>
      <c r="P30">
        <f>IF(OR(AND(C30="Creditor",L30=1),AND(C30="Debtor",$E$9="Yes")),1,0)</f>
        <v/>
      </c>
      <c r="Q30">
        <f>IF(P30=1,IF(G30="",15,MIN(N(G30),45)),IF(G30="","",N(G30)))</f>
        <v/>
      </c>
    </row>
    <row r="31">
      <c r="B31" s="14" t="n"/>
      <c r="C31" s="20" t="n"/>
      <c r="D31" s="20" t="n"/>
      <c r="E31" s="14" t="n"/>
      <c r="F31" s="20" t="n"/>
      <c r="G31" s="21" t="n"/>
      <c r="H31" s="22" t="n"/>
      <c r="I31" s="20" t="n"/>
      <c r="J31" s="23">
        <f>IF(AND(B31="",C31="",N(H31)=0),"",IF(B31="","Enter the party name",IF(COUNTIF($B$13:$B$112,B31)&gt;1,"This name is used twice: enter each party once",IF(C31="","Pick Debtor or Creditor",IF(AND(N(H31)&gt;0,I31=""),"Pick Dr or Cr for the opening balance",IF(AND(L31=1,N(G31)&gt;45),"Over 45 days: the MSMED Act caps a written term at 45, so the book uses 45",IF(AND(L31=1,F31=""),"Ask for the Udyam Registration Number",IF(LEFT(E31,6)="Trader","Traders are MSMEs for bank lending only: ask your accountant before using the 45-day rule",IF(AND(C31="Creditor",LEFT(E31,6)="Medium"),"Medium enterprise: the MSMED payment rules do not apply",IF(AND(C31="Creditor",E31=""),"Ask the supplier whether they are a micro or small enterprise","OK"))))))))))</f>
        <v/>
      </c>
      <c r="L31">
        <f>IF(E31="",0,IFERROR(VLOOKUP(E31,Lists!$H$2:$I$6,2,FALSE),0))</f>
        <v/>
      </c>
      <c r="M31">
        <f>IF(N(H31)=0,0,IF(I31="Cr",-N(H31),N(H31)))</f>
        <v/>
      </c>
      <c r="N31">
        <f>IF(C31="Debtor",MAX(0,M31),IF(C31="Creditor",MAX(0,-M31),0))</f>
        <v/>
      </c>
      <c r="O31">
        <f>IF(C31="Debtor",MAX(0,-M31),IF(C31="Creditor",MAX(0,M31),0))</f>
        <v/>
      </c>
      <c r="P31">
        <f>IF(OR(AND(C31="Creditor",L31=1),AND(C31="Debtor",$E$9="Yes")),1,0)</f>
        <v/>
      </c>
      <c r="Q31">
        <f>IF(P31=1,IF(G31="",15,MIN(N(G31),45)),IF(G31="","",N(G31)))</f>
        <v/>
      </c>
    </row>
    <row r="32">
      <c r="B32" s="14" t="n"/>
      <c r="C32" s="20" t="n"/>
      <c r="D32" s="20" t="n"/>
      <c r="E32" s="14" t="n"/>
      <c r="F32" s="20" t="n"/>
      <c r="G32" s="21" t="n"/>
      <c r="H32" s="22" t="n"/>
      <c r="I32" s="20" t="n"/>
      <c r="J32" s="23">
        <f>IF(AND(B32="",C32="",N(H32)=0),"",IF(B32="","Enter the party name",IF(COUNTIF($B$13:$B$112,B32)&gt;1,"This name is used twice: enter each party once",IF(C32="","Pick Debtor or Creditor",IF(AND(N(H32)&gt;0,I32=""),"Pick Dr or Cr for the opening balance",IF(AND(L32=1,N(G32)&gt;45),"Over 45 days: the MSMED Act caps a written term at 45, so the book uses 45",IF(AND(L32=1,F32=""),"Ask for the Udyam Registration Number",IF(LEFT(E32,6)="Trader","Traders are MSMEs for bank lending only: ask your accountant before using the 45-day rule",IF(AND(C32="Creditor",LEFT(E32,6)="Medium"),"Medium enterprise: the MSMED payment rules do not apply",IF(AND(C32="Creditor",E32=""),"Ask the supplier whether they are a micro or small enterprise","OK"))))))))))</f>
        <v/>
      </c>
      <c r="L32">
        <f>IF(E32="",0,IFERROR(VLOOKUP(E32,Lists!$H$2:$I$6,2,FALSE),0))</f>
        <v/>
      </c>
      <c r="M32">
        <f>IF(N(H32)=0,0,IF(I32="Cr",-N(H32),N(H32)))</f>
        <v/>
      </c>
      <c r="N32">
        <f>IF(C32="Debtor",MAX(0,M32),IF(C32="Creditor",MAX(0,-M32),0))</f>
        <v/>
      </c>
      <c r="O32">
        <f>IF(C32="Debtor",MAX(0,-M32),IF(C32="Creditor",MAX(0,M32),0))</f>
        <v/>
      </c>
      <c r="P32">
        <f>IF(OR(AND(C32="Creditor",L32=1),AND(C32="Debtor",$E$9="Yes")),1,0)</f>
        <v/>
      </c>
      <c r="Q32">
        <f>IF(P32=1,IF(G32="",15,MIN(N(G32),45)),IF(G32="","",N(G32)))</f>
        <v/>
      </c>
    </row>
    <row r="33">
      <c r="B33" s="14" t="n"/>
      <c r="C33" s="20" t="n"/>
      <c r="D33" s="20" t="n"/>
      <c r="E33" s="14" t="n"/>
      <c r="F33" s="20" t="n"/>
      <c r="G33" s="21" t="n"/>
      <c r="H33" s="22" t="n"/>
      <c r="I33" s="20" t="n"/>
      <c r="J33" s="23">
        <f>IF(AND(B33="",C33="",N(H33)=0),"",IF(B33="","Enter the party name",IF(COUNTIF($B$13:$B$112,B33)&gt;1,"This name is used twice: enter each party once",IF(C33="","Pick Debtor or Creditor",IF(AND(N(H33)&gt;0,I33=""),"Pick Dr or Cr for the opening balance",IF(AND(L33=1,N(G33)&gt;45),"Over 45 days: the MSMED Act caps a written term at 45, so the book uses 45",IF(AND(L33=1,F33=""),"Ask for the Udyam Registration Number",IF(LEFT(E33,6)="Trader","Traders are MSMEs for bank lending only: ask your accountant before using the 45-day rule",IF(AND(C33="Creditor",LEFT(E33,6)="Medium"),"Medium enterprise: the MSMED payment rules do not apply",IF(AND(C33="Creditor",E33=""),"Ask the supplier whether they are a micro or small enterprise","OK"))))))))))</f>
        <v/>
      </c>
      <c r="L33">
        <f>IF(E33="",0,IFERROR(VLOOKUP(E33,Lists!$H$2:$I$6,2,FALSE),0))</f>
        <v/>
      </c>
      <c r="M33">
        <f>IF(N(H33)=0,0,IF(I33="Cr",-N(H33),N(H33)))</f>
        <v/>
      </c>
      <c r="N33">
        <f>IF(C33="Debtor",MAX(0,M33),IF(C33="Creditor",MAX(0,-M33),0))</f>
        <v/>
      </c>
      <c r="O33">
        <f>IF(C33="Debtor",MAX(0,-M33),IF(C33="Creditor",MAX(0,M33),0))</f>
        <v/>
      </c>
      <c r="P33">
        <f>IF(OR(AND(C33="Creditor",L33=1),AND(C33="Debtor",$E$9="Yes")),1,0)</f>
        <v/>
      </c>
      <c r="Q33">
        <f>IF(P33=1,IF(G33="",15,MIN(N(G33),45)),IF(G33="","",N(G33)))</f>
        <v/>
      </c>
    </row>
    <row r="34">
      <c r="B34" s="14" t="n"/>
      <c r="C34" s="20" t="n"/>
      <c r="D34" s="20" t="n"/>
      <c r="E34" s="14" t="n"/>
      <c r="F34" s="20" t="n"/>
      <c r="G34" s="21" t="n"/>
      <c r="H34" s="22" t="n"/>
      <c r="I34" s="20" t="n"/>
      <c r="J34" s="23">
        <f>IF(AND(B34="",C34="",N(H34)=0),"",IF(B34="","Enter the party name",IF(COUNTIF($B$13:$B$112,B34)&gt;1,"This name is used twice: enter each party once",IF(C34="","Pick Debtor or Creditor",IF(AND(N(H34)&gt;0,I34=""),"Pick Dr or Cr for the opening balance",IF(AND(L34=1,N(G34)&gt;45),"Over 45 days: the MSMED Act caps a written term at 45, so the book uses 45",IF(AND(L34=1,F34=""),"Ask for the Udyam Registration Number",IF(LEFT(E34,6)="Trader","Traders are MSMEs for bank lending only: ask your accountant before using the 45-day rule",IF(AND(C34="Creditor",LEFT(E34,6)="Medium"),"Medium enterprise: the MSMED payment rules do not apply",IF(AND(C34="Creditor",E34=""),"Ask the supplier whether they are a micro or small enterprise","OK"))))))))))</f>
        <v/>
      </c>
      <c r="L34">
        <f>IF(E34="",0,IFERROR(VLOOKUP(E34,Lists!$H$2:$I$6,2,FALSE),0))</f>
        <v/>
      </c>
      <c r="M34">
        <f>IF(N(H34)=0,0,IF(I34="Cr",-N(H34),N(H34)))</f>
        <v/>
      </c>
      <c r="N34">
        <f>IF(C34="Debtor",MAX(0,M34),IF(C34="Creditor",MAX(0,-M34),0))</f>
        <v/>
      </c>
      <c r="O34">
        <f>IF(C34="Debtor",MAX(0,-M34),IF(C34="Creditor",MAX(0,M34),0))</f>
        <v/>
      </c>
      <c r="P34">
        <f>IF(OR(AND(C34="Creditor",L34=1),AND(C34="Debtor",$E$9="Yes")),1,0)</f>
        <v/>
      </c>
      <c r="Q34">
        <f>IF(P34=1,IF(G34="",15,MIN(N(G34),45)),IF(G34="","",N(G34)))</f>
        <v/>
      </c>
    </row>
    <row r="35">
      <c r="B35" s="14" t="n"/>
      <c r="C35" s="20" t="n"/>
      <c r="D35" s="20" t="n"/>
      <c r="E35" s="14" t="n"/>
      <c r="F35" s="20" t="n"/>
      <c r="G35" s="21" t="n"/>
      <c r="H35" s="22" t="n"/>
      <c r="I35" s="20" t="n"/>
      <c r="J35" s="23">
        <f>IF(AND(B35="",C35="",N(H35)=0),"",IF(B35="","Enter the party name",IF(COUNTIF($B$13:$B$112,B35)&gt;1,"This name is used twice: enter each party once",IF(C35="","Pick Debtor or Creditor",IF(AND(N(H35)&gt;0,I35=""),"Pick Dr or Cr for the opening balance",IF(AND(L35=1,N(G35)&gt;45),"Over 45 days: the MSMED Act caps a written term at 45, so the book uses 45",IF(AND(L35=1,F35=""),"Ask for the Udyam Registration Number",IF(LEFT(E35,6)="Trader","Traders are MSMEs for bank lending only: ask your accountant before using the 45-day rule",IF(AND(C35="Creditor",LEFT(E35,6)="Medium"),"Medium enterprise: the MSMED payment rules do not apply",IF(AND(C35="Creditor",E35=""),"Ask the supplier whether they are a micro or small enterprise","OK"))))))))))</f>
        <v/>
      </c>
      <c r="L35">
        <f>IF(E35="",0,IFERROR(VLOOKUP(E35,Lists!$H$2:$I$6,2,FALSE),0))</f>
        <v/>
      </c>
      <c r="M35">
        <f>IF(N(H35)=0,0,IF(I35="Cr",-N(H35),N(H35)))</f>
        <v/>
      </c>
      <c r="N35">
        <f>IF(C35="Debtor",MAX(0,M35),IF(C35="Creditor",MAX(0,-M35),0))</f>
        <v/>
      </c>
      <c r="O35">
        <f>IF(C35="Debtor",MAX(0,-M35),IF(C35="Creditor",MAX(0,M35),0))</f>
        <v/>
      </c>
      <c r="P35">
        <f>IF(OR(AND(C35="Creditor",L35=1),AND(C35="Debtor",$E$9="Yes")),1,0)</f>
        <v/>
      </c>
      <c r="Q35">
        <f>IF(P35=1,IF(G35="",15,MIN(N(G35),45)),IF(G35="","",N(G35)))</f>
        <v/>
      </c>
    </row>
    <row r="36">
      <c r="B36" s="14" t="n"/>
      <c r="C36" s="20" t="n"/>
      <c r="D36" s="20" t="n"/>
      <c r="E36" s="14" t="n"/>
      <c r="F36" s="20" t="n"/>
      <c r="G36" s="21" t="n"/>
      <c r="H36" s="22" t="n"/>
      <c r="I36" s="20" t="n"/>
      <c r="J36" s="23">
        <f>IF(AND(B36="",C36="",N(H36)=0),"",IF(B36="","Enter the party name",IF(COUNTIF($B$13:$B$112,B36)&gt;1,"This name is used twice: enter each party once",IF(C36="","Pick Debtor or Creditor",IF(AND(N(H36)&gt;0,I36=""),"Pick Dr or Cr for the opening balance",IF(AND(L36=1,N(G36)&gt;45),"Over 45 days: the MSMED Act caps a written term at 45, so the book uses 45",IF(AND(L36=1,F36=""),"Ask for the Udyam Registration Number",IF(LEFT(E36,6)="Trader","Traders are MSMEs for bank lending only: ask your accountant before using the 45-day rule",IF(AND(C36="Creditor",LEFT(E36,6)="Medium"),"Medium enterprise: the MSMED payment rules do not apply",IF(AND(C36="Creditor",E36=""),"Ask the supplier whether they are a micro or small enterprise","OK"))))))))))</f>
        <v/>
      </c>
      <c r="L36">
        <f>IF(E36="",0,IFERROR(VLOOKUP(E36,Lists!$H$2:$I$6,2,FALSE),0))</f>
        <v/>
      </c>
      <c r="M36">
        <f>IF(N(H36)=0,0,IF(I36="Cr",-N(H36),N(H36)))</f>
        <v/>
      </c>
      <c r="N36">
        <f>IF(C36="Debtor",MAX(0,M36),IF(C36="Creditor",MAX(0,-M36),0))</f>
        <v/>
      </c>
      <c r="O36">
        <f>IF(C36="Debtor",MAX(0,-M36),IF(C36="Creditor",MAX(0,M36),0))</f>
        <v/>
      </c>
      <c r="P36">
        <f>IF(OR(AND(C36="Creditor",L36=1),AND(C36="Debtor",$E$9="Yes")),1,0)</f>
        <v/>
      </c>
      <c r="Q36">
        <f>IF(P36=1,IF(G36="",15,MIN(N(G36),45)),IF(G36="","",N(G36)))</f>
        <v/>
      </c>
    </row>
    <row r="37">
      <c r="B37" s="14" t="n"/>
      <c r="C37" s="20" t="n"/>
      <c r="D37" s="20" t="n"/>
      <c r="E37" s="14" t="n"/>
      <c r="F37" s="20" t="n"/>
      <c r="G37" s="21" t="n"/>
      <c r="H37" s="22" t="n"/>
      <c r="I37" s="20" t="n"/>
      <c r="J37" s="23">
        <f>IF(AND(B37="",C37="",N(H37)=0),"",IF(B37="","Enter the party name",IF(COUNTIF($B$13:$B$112,B37)&gt;1,"This name is used twice: enter each party once",IF(C37="","Pick Debtor or Creditor",IF(AND(N(H37)&gt;0,I37=""),"Pick Dr or Cr for the opening balance",IF(AND(L37=1,N(G37)&gt;45),"Over 45 days: the MSMED Act caps a written term at 45, so the book uses 45",IF(AND(L37=1,F37=""),"Ask for the Udyam Registration Number",IF(LEFT(E37,6)="Trader","Traders are MSMEs for bank lending only: ask your accountant before using the 45-day rule",IF(AND(C37="Creditor",LEFT(E37,6)="Medium"),"Medium enterprise: the MSMED payment rules do not apply",IF(AND(C37="Creditor",E37=""),"Ask the supplier whether they are a micro or small enterprise","OK"))))))))))</f>
        <v/>
      </c>
      <c r="L37">
        <f>IF(E37="",0,IFERROR(VLOOKUP(E37,Lists!$H$2:$I$6,2,FALSE),0))</f>
        <v/>
      </c>
      <c r="M37">
        <f>IF(N(H37)=0,0,IF(I37="Cr",-N(H37),N(H37)))</f>
        <v/>
      </c>
      <c r="N37">
        <f>IF(C37="Debtor",MAX(0,M37),IF(C37="Creditor",MAX(0,-M37),0))</f>
        <v/>
      </c>
      <c r="O37">
        <f>IF(C37="Debtor",MAX(0,-M37),IF(C37="Creditor",MAX(0,M37),0))</f>
        <v/>
      </c>
      <c r="P37">
        <f>IF(OR(AND(C37="Creditor",L37=1),AND(C37="Debtor",$E$9="Yes")),1,0)</f>
        <v/>
      </c>
      <c r="Q37">
        <f>IF(P37=1,IF(G37="",15,MIN(N(G37),45)),IF(G37="","",N(G37)))</f>
        <v/>
      </c>
    </row>
    <row r="38">
      <c r="B38" s="14" t="n"/>
      <c r="C38" s="20" t="n"/>
      <c r="D38" s="20" t="n"/>
      <c r="E38" s="14" t="n"/>
      <c r="F38" s="20" t="n"/>
      <c r="G38" s="21" t="n"/>
      <c r="H38" s="22" t="n"/>
      <c r="I38" s="20" t="n"/>
      <c r="J38" s="23">
        <f>IF(AND(B38="",C38="",N(H38)=0),"",IF(B38="","Enter the party name",IF(COUNTIF($B$13:$B$112,B38)&gt;1,"This name is used twice: enter each party once",IF(C38="","Pick Debtor or Creditor",IF(AND(N(H38)&gt;0,I38=""),"Pick Dr or Cr for the opening balance",IF(AND(L38=1,N(G38)&gt;45),"Over 45 days: the MSMED Act caps a written term at 45, so the book uses 45",IF(AND(L38=1,F38=""),"Ask for the Udyam Registration Number",IF(LEFT(E38,6)="Trader","Traders are MSMEs for bank lending only: ask your accountant before using the 45-day rule",IF(AND(C38="Creditor",LEFT(E38,6)="Medium"),"Medium enterprise: the MSMED payment rules do not apply",IF(AND(C38="Creditor",E38=""),"Ask the supplier whether they are a micro or small enterprise","OK"))))))))))</f>
        <v/>
      </c>
      <c r="L38">
        <f>IF(E38="",0,IFERROR(VLOOKUP(E38,Lists!$H$2:$I$6,2,FALSE),0))</f>
        <v/>
      </c>
      <c r="M38">
        <f>IF(N(H38)=0,0,IF(I38="Cr",-N(H38),N(H38)))</f>
        <v/>
      </c>
      <c r="N38">
        <f>IF(C38="Debtor",MAX(0,M38),IF(C38="Creditor",MAX(0,-M38),0))</f>
        <v/>
      </c>
      <c r="O38">
        <f>IF(C38="Debtor",MAX(0,-M38),IF(C38="Creditor",MAX(0,M38),0))</f>
        <v/>
      </c>
      <c r="P38">
        <f>IF(OR(AND(C38="Creditor",L38=1),AND(C38="Debtor",$E$9="Yes")),1,0)</f>
        <v/>
      </c>
      <c r="Q38">
        <f>IF(P38=1,IF(G38="",15,MIN(N(G38),45)),IF(G38="","",N(G38)))</f>
        <v/>
      </c>
    </row>
    <row r="39">
      <c r="B39" s="14" t="n"/>
      <c r="C39" s="20" t="n"/>
      <c r="D39" s="20" t="n"/>
      <c r="E39" s="14" t="n"/>
      <c r="F39" s="20" t="n"/>
      <c r="G39" s="21" t="n"/>
      <c r="H39" s="22" t="n"/>
      <c r="I39" s="20" t="n"/>
      <c r="J39" s="23">
        <f>IF(AND(B39="",C39="",N(H39)=0),"",IF(B39="","Enter the party name",IF(COUNTIF($B$13:$B$112,B39)&gt;1,"This name is used twice: enter each party once",IF(C39="","Pick Debtor or Creditor",IF(AND(N(H39)&gt;0,I39=""),"Pick Dr or Cr for the opening balance",IF(AND(L39=1,N(G39)&gt;45),"Over 45 days: the MSMED Act caps a written term at 45, so the book uses 45",IF(AND(L39=1,F39=""),"Ask for the Udyam Registration Number",IF(LEFT(E39,6)="Trader","Traders are MSMEs for bank lending only: ask your accountant before using the 45-day rule",IF(AND(C39="Creditor",LEFT(E39,6)="Medium"),"Medium enterprise: the MSMED payment rules do not apply",IF(AND(C39="Creditor",E39=""),"Ask the supplier whether they are a micro or small enterprise","OK"))))))))))</f>
        <v/>
      </c>
      <c r="L39">
        <f>IF(E39="",0,IFERROR(VLOOKUP(E39,Lists!$H$2:$I$6,2,FALSE),0))</f>
        <v/>
      </c>
      <c r="M39">
        <f>IF(N(H39)=0,0,IF(I39="Cr",-N(H39),N(H39)))</f>
        <v/>
      </c>
      <c r="N39">
        <f>IF(C39="Debtor",MAX(0,M39),IF(C39="Creditor",MAX(0,-M39),0))</f>
        <v/>
      </c>
      <c r="O39">
        <f>IF(C39="Debtor",MAX(0,-M39),IF(C39="Creditor",MAX(0,M39),0))</f>
        <v/>
      </c>
      <c r="P39">
        <f>IF(OR(AND(C39="Creditor",L39=1),AND(C39="Debtor",$E$9="Yes")),1,0)</f>
        <v/>
      </c>
      <c r="Q39">
        <f>IF(P39=1,IF(G39="",15,MIN(N(G39),45)),IF(G39="","",N(G39)))</f>
        <v/>
      </c>
    </row>
    <row r="40">
      <c r="B40" s="14" t="n"/>
      <c r="C40" s="20" t="n"/>
      <c r="D40" s="20" t="n"/>
      <c r="E40" s="14" t="n"/>
      <c r="F40" s="20" t="n"/>
      <c r="G40" s="21" t="n"/>
      <c r="H40" s="22" t="n"/>
      <c r="I40" s="20" t="n"/>
      <c r="J40" s="23">
        <f>IF(AND(B40="",C40="",N(H40)=0),"",IF(B40="","Enter the party name",IF(COUNTIF($B$13:$B$112,B40)&gt;1,"This name is used twice: enter each party once",IF(C40="","Pick Debtor or Creditor",IF(AND(N(H40)&gt;0,I40=""),"Pick Dr or Cr for the opening balance",IF(AND(L40=1,N(G40)&gt;45),"Over 45 days: the MSMED Act caps a written term at 45, so the book uses 45",IF(AND(L40=1,F40=""),"Ask for the Udyam Registration Number",IF(LEFT(E40,6)="Trader","Traders are MSMEs for bank lending only: ask your accountant before using the 45-day rule",IF(AND(C40="Creditor",LEFT(E40,6)="Medium"),"Medium enterprise: the MSMED payment rules do not apply",IF(AND(C40="Creditor",E40=""),"Ask the supplier whether they are a micro or small enterprise","OK"))))))))))</f>
        <v/>
      </c>
      <c r="L40">
        <f>IF(E40="",0,IFERROR(VLOOKUP(E40,Lists!$H$2:$I$6,2,FALSE),0))</f>
        <v/>
      </c>
      <c r="M40">
        <f>IF(N(H40)=0,0,IF(I40="Cr",-N(H40),N(H40)))</f>
        <v/>
      </c>
      <c r="N40">
        <f>IF(C40="Debtor",MAX(0,M40),IF(C40="Creditor",MAX(0,-M40),0))</f>
        <v/>
      </c>
      <c r="O40">
        <f>IF(C40="Debtor",MAX(0,-M40),IF(C40="Creditor",MAX(0,M40),0))</f>
        <v/>
      </c>
      <c r="P40">
        <f>IF(OR(AND(C40="Creditor",L40=1),AND(C40="Debtor",$E$9="Yes")),1,0)</f>
        <v/>
      </c>
      <c r="Q40">
        <f>IF(P40=1,IF(G40="",15,MIN(N(G40),45)),IF(G40="","",N(G40)))</f>
        <v/>
      </c>
    </row>
    <row r="41">
      <c r="B41" s="14" t="n"/>
      <c r="C41" s="20" t="n"/>
      <c r="D41" s="20" t="n"/>
      <c r="E41" s="14" t="n"/>
      <c r="F41" s="20" t="n"/>
      <c r="G41" s="21" t="n"/>
      <c r="H41" s="22" t="n"/>
      <c r="I41" s="20" t="n"/>
      <c r="J41" s="23">
        <f>IF(AND(B41="",C41="",N(H41)=0),"",IF(B41="","Enter the party name",IF(COUNTIF($B$13:$B$112,B41)&gt;1,"This name is used twice: enter each party once",IF(C41="","Pick Debtor or Creditor",IF(AND(N(H41)&gt;0,I41=""),"Pick Dr or Cr for the opening balance",IF(AND(L41=1,N(G41)&gt;45),"Over 45 days: the MSMED Act caps a written term at 45, so the book uses 45",IF(AND(L41=1,F41=""),"Ask for the Udyam Registration Number",IF(LEFT(E41,6)="Trader","Traders are MSMEs for bank lending only: ask your accountant before using the 45-day rule",IF(AND(C41="Creditor",LEFT(E41,6)="Medium"),"Medium enterprise: the MSMED payment rules do not apply",IF(AND(C41="Creditor",E41=""),"Ask the supplier whether they are a micro or small enterprise","OK"))))))))))</f>
        <v/>
      </c>
      <c r="L41">
        <f>IF(E41="",0,IFERROR(VLOOKUP(E41,Lists!$H$2:$I$6,2,FALSE),0))</f>
        <v/>
      </c>
      <c r="M41">
        <f>IF(N(H41)=0,0,IF(I41="Cr",-N(H41),N(H41)))</f>
        <v/>
      </c>
      <c r="N41">
        <f>IF(C41="Debtor",MAX(0,M41),IF(C41="Creditor",MAX(0,-M41),0))</f>
        <v/>
      </c>
      <c r="O41">
        <f>IF(C41="Debtor",MAX(0,-M41),IF(C41="Creditor",MAX(0,M41),0))</f>
        <v/>
      </c>
      <c r="P41">
        <f>IF(OR(AND(C41="Creditor",L41=1),AND(C41="Debtor",$E$9="Yes")),1,0)</f>
        <v/>
      </c>
      <c r="Q41">
        <f>IF(P41=1,IF(G41="",15,MIN(N(G41),45)),IF(G41="","",N(G41)))</f>
        <v/>
      </c>
    </row>
    <row r="42">
      <c r="B42" s="14" t="n"/>
      <c r="C42" s="20" t="n"/>
      <c r="D42" s="20" t="n"/>
      <c r="E42" s="14" t="n"/>
      <c r="F42" s="20" t="n"/>
      <c r="G42" s="21" t="n"/>
      <c r="H42" s="22" t="n"/>
      <c r="I42" s="20" t="n"/>
      <c r="J42" s="23">
        <f>IF(AND(B42="",C42="",N(H42)=0),"",IF(B42="","Enter the party name",IF(COUNTIF($B$13:$B$112,B42)&gt;1,"This name is used twice: enter each party once",IF(C42="","Pick Debtor or Creditor",IF(AND(N(H42)&gt;0,I42=""),"Pick Dr or Cr for the opening balance",IF(AND(L42=1,N(G42)&gt;45),"Over 45 days: the MSMED Act caps a written term at 45, so the book uses 45",IF(AND(L42=1,F42=""),"Ask for the Udyam Registration Number",IF(LEFT(E42,6)="Trader","Traders are MSMEs for bank lending only: ask your accountant before using the 45-day rule",IF(AND(C42="Creditor",LEFT(E42,6)="Medium"),"Medium enterprise: the MSMED payment rules do not apply",IF(AND(C42="Creditor",E42=""),"Ask the supplier whether they are a micro or small enterprise","OK"))))))))))</f>
        <v/>
      </c>
      <c r="L42">
        <f>IF(E42="",0,IFERROR(VLOOKUP(E42,Lists!$H$2:$I$6,2,FALSE),0))</f>
        <v/>
      </c>
      <c r="M42">
        <f>IF(N(H42)=0,0,IF(I42="Cr",-N(H42),N(H42)))</f>
        <v/>
      </c>
      <c r="N42">
        <f>IF(C42="Debtor",MAX(0,M42),IF(C42="Creditor",MAX(0,-M42),0))</f>
        <v/>
      </c>
      <c r="O42">
        <f>IF(C42="Debtor",MAX(0,-M42),IF(C42="Creditor",MAX(0,M42),0))</f>
        <v/>
      </c>
      <c r="P42">
        <f>IF(OR(AND(C42="Creditor",L42=1),AND(C42="Debtor",$E$9="Yes")),1,0)</f>
        <v/>
      </c>
      <c r="Q42">
        <f>IF(P42=1,IF(G42="",15,MIN(N(G42),45)),IF(G42="","",N(G42)))</f>
        <v/>
      </c>
    </row>
    <row r="43">
      <c r="B43" s="14" t="n"/>
      <c r="C43" s="20" t="n"/>
      <c r="D43" s="20" t="n"/>
      <c r="E43" s="14" t="n"/>
      <c r="F43" s="20" t="n"/>
      <c r="G43" s="21" t="n"/>
      <c r="H43" s="22" t="n"/>
      <c r="I43" s="20" t="n"/>
      <c r="J43" s="23">
        <f>IF(AND(B43="",C43="",N(H43)=0),"",IF(B43="","Enter the party name",IF(COUNTIF($B$13:$B$112,B43)&gt;1,"This name is used twice: enter each party once",IF(C43="","Pick Debtor or Creditor",IF(AND(N(H43)&gt;0,I43=""),"Pick Dr or Cr for the opening balance",IF(AND(L43=1,N(G43)&gt;45),"Over 45 days: the MSMED Act caps a written term at 45, so the book uses 45",IF(AND(L43=1,F43=""),"Ask for the Udyam Registration Number",IF(LEFT(E43,6)="Trader","Traders are MSMEs for bank lending only: ask your accountant before using the 45-day rule",IF(AND(C43="Creditor",LEFT(E43,6)="Medium"),"Medium enterprise: the MSMED payment rules do not apply",IF(AND(C43="Creditor",E43=""),"Ask the supplier whether they are a micro or small enterprise","OK"))))))))))</f>
        <v/>
      </c>
      <c r="L43">
        <f>IF(E43="",0,IFERROR(VLOOKUP(E43,Lists!$H$2:$I$6,2,FALSE),0))</f>
        <v/>
      </c>
      <c r="M43">
        <f>IF(N(H43)=0,0,IF(I43="Cr",-N(H43),N(H43)))</f>
        <v/>
      </c>
      <c r="N43">
        <f>IF(C43="Debtor",MAX(0,M43),IF(C43="Creditor",MAX(0,-M43),0))</f>
        <v/>
      </c>
      <c r="O43">
        <f>IF(C43="Debtor",MAX(0,-M43),IF(C43="Creditor",MAX(0,M43),0))</f>
        <v/>
      </c>
      <c r="P43">
        <f>IF(OR(AND(C43="Creditor",L43=1),AND(C43="Debtor",$E$9="Yes")),1,0)</f>
        <v/>
      </c>
      <c r="Q43">
        <f>IF(P43=1,IF(G43="",15,MIN(N(G43),45)),IF(G43="","",N(G43)))</f>
        <v/>
      </c>
    </row>
    <row r="44">
      <c r="B44" s="14" t="n"/>
      <c r="C44" s="20" t="n"/>
      <c r="D44" s="20" t="n"/>
      <c r="E44" s="14" t="n"/>
      <c r="F44" s="20" t="n"/>
      <c r="G44" s="21" t="n"/>
      <c r="H44" s="22" t="n"/>
      <c r="I44" s="20" t="n"/>
      <c r="J44" s="23">
        <f>IF(AND(B44="",C44="",N(H44)=0),"",IF(B44="","Enter the party name",IF(COUNTIF($B$13:$B$112,B44)&gt;1,"This name is used twice: enter each party once",IF(C44="","Pick Debtor or Creditor",IF(AND(N(H44)&gt;0,I44=""),"Pick Dr or Cr for the opening balance",IF(AND(L44=1,N(G44)&gt;45),"Over 45 days: the MSMED Act caps a written term at 45, so the book uses 45",IF(AND(L44=1,F44=""),"Ask for the Udyam Registration Number",IF(LEFT(E44,6)="Trader","Traders are MSMEs for bank lending only: ask your accountant before using the 45-day rule",IF(AND(C44="Creditor",LEFT(E44,6)="Medium"),"Medium enterprise: the MSMED payment rules do not apply",IF(AND(C44="Creditor",E44=""),"Ask the supplier whether they are a micro or small enterprise","OK"))))))))))</f>
        <v/>
      </c>
      <c r="L44">
        <f>IF(E44="",0,IFERROR(VLOOKUP(E44,Lists!$H$2:$I$6,2,FALSE),0))</f>
        <v/>
      </c>
      <c r="M44">
        <f>IF(N(H44)=0,0,IF(I44="Cr",-N(H44),N(H44)))</f>
        <v/>
      </c>
      <c r="N44">
        <f>IF(C44="Debtor",MAX(0,M44),IF(C44="Creditor",MAX(0,-M44),0))</f>
        <v/>
      </c>
      <c r="O44">
        <f>IF(C44="Debtor",MAX(0,-M44),IF(C44="Creditor",MAX(0,M44),0))</f>
        <v/>
      </c>
      <c r="P44">
        <f>IF(OR(AND(C44="Creditor",L44=1),AND(C44="Debtor",$E$9="Yes")),1,0)</f>
        <v/>
      </c>
      <c r="Q44">
        <f>IF(P44=1,IF(G44="",15,MIN(N(G44),45)),IF(G44="","",N(G44)))</f>
        <v/>
      </c>
    </row>
    <row r="45">
      <c r="B45" s="14" t="n"/>
      <c r="C45" s="20" t="n"/>
      <c r="D45" s="20" t="n"/>
      <c r="E45" s="14" t="n"/>
      <c r="F45" s="20" t="n"/>
      <c r="G45" s="21" t="n"/>
      <c r="H45" s="22" t="n"/>
      <c r="I45" s="20" t="n"/>
      <c r="J45" s="23">
        <f>IF(AND(B45="",C45="",N(H45)=0),"",IF(B45="","Enter the party name",IF(COUNTIF($B$13:$B$112,B45)&gt;1,"This name is used twice: enter each party once",IF(C45="","Pick Debtor or Creditor",IF(AND(N(H45)&gt;0,I45=""),"Pick Dr or Cr for the opening balance",IF(AND(L45=1,N(G45)&gt;45),"Over 45 days: the MSMED Act caps a written term at 45, so the book uses 45",IF(AND(L45=1,F45=""),"Ask for the Udyam Registration Number",IF(LEFT(E45,6)="Trader","Traders are MSMEs for bank lending only: ask your accountant before using the 45-day rule",IF(AND(C45="Creditor",LEFT(E45,6)="Medium"),"Medium enterprise: the MSMED payment rules do not apply",IF(AND(C45="Creditor",E45=""),"Ask the supplier whether they are a micro or small enterprise","OK"))))))))))</f>
        <v/>
      </c>
      <c r="L45">
        <f>IF(E45="",0,IFERROR(VLOOKUP(E45,Lists!$H$2:$I$6,2,FALSE),0))</f>
        <v/>
      </c>
      <c r="M45">
        <f>IF(N(H45)=0,0,IF(I45="Cr",-N(H45),N(H45)))</f>
        <v/>
      </c>
      <c r="N45">
        <f>IF(C45="Debtor",MAX(0,M45),IF(C45="Creditor",MAX(0,-M45),0))</f>
        <v/>
      </c>
      <c r="O45">
        <f>IF(C45="Debtor",MAX(0,-M45),IF(C45="Creditor",MAX(0,M45),0))</f>
        <v/>
      </c>
      <c r="P45">
        <f>IF(OR(AND(C45="Creditor",L45=1),AND(C45="Debtor",$E$9="Yes")),1,0)</f>
        <v/>
      </c>
      <c r="Q45">
        <f>IF(P45=1,IF(G45="",15,MIN(N(G45),45)),IF(G45="","",N(G45)))</f>
        <v/>
      </c>
    </row>
    <row r="46">
      <c r="B46" s="14" t="n"/>
      <c r="C46" s="20" t="n"/>
      <c r="D46" s="20" t="n"/>
      <c r="E46" s="14" t="n"/>
      <c r="F46" s="20" t="n"/>
      <c r="G46" s="21" t="n"/>
      <c r="H46" s="22" t="n"/>
      <c r="I46" s="20" t="n"/>
      <c r="J46" s="23">
        <f>IF(AND(B46="",C46="",N(H46)=0),"",IF(B46="","Enter the party name",IF(COUNTIF($B$13:$B$112,B46)&gt;1,"This name is used twice: enter each party once",IF(C46="","Pick Debtor or Creditor",IF(AND(N(H46)&gt;0,I46=""),"Pick Dr or Cr for the opening balance",IF(AND(L46=1,N(G46)&gt;45),"Over 45 days: the MSMED Act caps a written term at 45, so the book uses 45",IF(AND(L46=1,F46=""),"Ask for the Udyam Registration Number",IF(LEFT(E46,6)="Trader","Traders are MSMEs for bank lending only: ask your accountant before using the 45-day rule",IF(AND(C46="Creditor",LEFT(E46,6)="Medium"),"Medium enterprise: the MSMED payment rules do not apply",IF(AND(C46="Creditor",E46=""),"Ask the supplier whether they are a micro or small enterprise","OK"))))))))))</f>
        <v/>
      </c>
      <c r="L46">
        <f>IF(E46="",0,IFERROR(VLOOKUP(E46,Lists!$H$2:$I$6,2,FALSE),0))</f>
        <v/>
      </c>
      <c r="M46">
        <f>IF(N(H46)=0,0,IF(I46="Cr",-N(H46),N(H46)))</f>
        <v/>
      </c>
      <c r="N46">
        <f>IF(C46="Debtor",MAX(0,M46),IF(C46="Creditor",MAX(0,-M46),0))</f>
        <v/>
      </c>
      <c r="O46">
        <f>IF(C46="Debtor",MAX(0,-M46),IF(C46="Creditor",MAX(0,M46),0))</f>
        <v/>
      </c>
      <c r="P46">
        <f>IF(OR(AND(C46="Creditor",L46=1),AND(C46="Debtor",$E$9="Yes")),1,0)</f>
        <v/>
      </c>
      <c r="Q46">
        <f>IF(P46=1,IF(G46="",15,MIN(N(G46),45)),IF(G46="","",N(G46)))</f>
        <v/>
      </c>
    </row>
    <row r="47">
      <c r="B47" s="14" t="n"/>
      <c r="C47" s="20" t="n"/>
      <c r="D47" s="20" t="n"/>
      <c r="E47" s="14" t="n"/>
      <c r="F47" s="20" t="n"/>
      <c r="G47" s="21" t="n"/>
      <c r="H47" s="22" t="n"/>
      <c r="I47" s="20" t="n"/>
      <c r="J47" s="23">
        <f>IF(AND(B47="",C47="",N(H47)=0),"",IF(B47="","Enter the party name",IF(COUNTIF($B$13:$B$112,B47)&gt;1,"This name is used twice: enter each party once",IF(C47="","Pick Debtor or Creditor",IF(AND(N(H47)&gt;0,I47=""),"Pick Dr or Cr for the opening balance",IF(AND(L47=1,N(G47)&gt;45),"Over 45 days: the MSMED Act caps a written term at 45, so the book uses 45",IF(AND(L47=1,F47=""),"Ask for the Udyam Registration Number",IF(LEFT(E47,6)="Trader","Traders are MSMEs for bank lending only: ask your accountant before using the 45-day rule",IF(AND(C47="Creditor",LEFT(E47,6)="Medium"),"Medium enterprise: the MSMED payment rules do not apply",IF(AND(C47="Creditor",E47=""),"Ask the supplier whether they are a micro or small enterprise","OK"))))))))))</f>
        <v/>
      </c>
      <c r="L47">
        <f>IF(E47="",0,IFERROR(VLOOKUP(E47,Lists!$H$2:$I$6,2,FALSE),0))</f>
        <v/>
      </c>
      <c r="M47">
        <f>IF(N(H47)=0,0,IF(I47="Cr",-N(H47),N(H47)))</f>
        <v/>
      </c>
      <c r="N47">
        <f>IF(C47="Debtor",MAX(0,M47),IF(C47="Creditor",MAX(0,-M47),0))</f>
        <v/>
      </c>
      <c r="O47">
        <f>IF(C47="Debtor",MAX(0,-M47),IF(C47="Creditor",MAX(0,M47),0))</f>
        <v/>
      </c>
      <c r="P47">
        <f>IF(OR(AND(C47="Creditor",L47=1),AND(C47="Debtor",$E$9="Yes")),1,0)</f>
        <v/>
      </c>
      <c r="Q47">
        <f>IF(P47=1,IF(G47="",15,MIN(N(G47),45)),IF(G47="","",N(G47)))</f>
        <v/>
      </c>
    </row>
    <row r="48">
      <c r="B48" s="14" t="n"/>
      <c r="C48" s="20" t="n"/>
      <c r="D48" s="20" t="n"/>
      <c r="E48" s="14" t="n"/>
      <c r="F48" s="20" t="n"/>
      <c r="G48" s="21" t="n"/>
      <c r="H48" s="22" t="n"/>
      <c r="I48" s="20" t="n"/>
      <c r="J48" s="23">
        <f>IF(AND(B48="",C48="",N(H48)=0),"",IF(B48="","Enter the party name",IF(COUNTIF($B$13:$B$112,B48)&gt;1,"This name is used twice: enter each party once",IF(C48="","Pick Debtor or Creditor",IF(AND(N(H48)&gt;0,I48=""),"Pick Dr or Cr for the opening balance",IF(AND(L48=1,N(G48)&gt;45),"Over 45 days: the MSMED Act caps a written term at 45, so the book uses 45",IF(AND(L48=1,F48=""),"Ask for the Udyam Registration Number",IF(LEFT(E48,6)="Trader","Traders are MSMEs for bank lending only: ask your accountant before using the 45-day rule",IF(AND(C48="Creditor",LEFT(E48,6)="Medium"),"Medium enterprise: the MSMED payment rules do not apply",IF(AND(C48="Creditor",E48=""),"Ask the supplier whether they are a micro or small enterprise","OK"))))))))))</f>
        <v/>
      </c>
      <c r="L48">
        <f>IF(E48="",0,IFERROR(VLOOKUP(E48,Lists!$H$2:$I$6,2,FALSE),0))</f>
        <v/>
      </c>
      <c r="M48">
        <f>IF(N(H48)=0,0,IF(I48="Cr",-N(H48),N(H48)))</f>
        <v/>
      </c>
      <c r="N48">
        <f>IF(C48="Debtor",MAX(0,M48),IF(C48="Creditor",MAX(0,-M48),0))</f>
        <v/>
      </c>
      <c r="O48">
        <f>IF(C48="Debtor",MAX(0,-M48),IF(C48="Creditor",MAX(0,M48),0))</f>
        <v/>
      </c>
      <c r="P48">
        <f>IF(OR(AND(C48="Creditor",L48=1),AND(C48="Debtor",$E$9="Yes")),1,0)</f>
        <v/>
      </c>
      <c r="Q48">
        <f>IF(P48=1,IF(G48="",15,MIN(N(G48),45)),IF(G48="","",N(G48)))</f>
        <v/>
      </c>
    </row>
    <row r="49">
      <c r="B49" s="14" t="n"/>
      <c r="C49" s="20" t="n"/>
      <c r="D49" s="20" t="n"/>
      <c r="E49" s="14" t="n"/>
      <c r="F49" s="20" t="n"/>
      <c r="G49" s="21" t="n"/>
      <c r="H49" s="22" t="n"/>
      <c r="I49" s="20" t="n"/>
      <c r="J49" s="23">
        <f>IF(AND(B49="",C49="",N(H49)=0),"",IF(B49="","Enter the party name",IF(COUNTIF($B$13:$B$112,B49)&gt;1,"This name is used twice: enter each party once",IF(C49="","Pick Debtor or Creditor",IF(AND(N(H49)&gt;0,I49=""),"Pick Dr or Cr for the opening balance",IF(AND(L49=1,N(G49)&gt;45),"Over 45 days: the MSMED Act caps a written term at 45, so the book uses 45",IF(AND(L49=1,F49=""),"Ask for the Udyam Registration Number",IF(LEFT(E49,6)="Trader","Traders are MSMEs for bank lending only: ask your accountant before using the 45-day rule",IF(AND(C49="Creditor",LEFT(E49,6)="Medium"),"Medium enterprise: the MSMED payment rules do not apply",IF(AND(C49="Creditor",E49=""),"Ask the supplier whether they are a micro or small enterprise","OK"))))))))))</f>
        <v/>
      </c>
      <c r="L49">
        <f>IF(E49="",0,IFERROR(VLOOKUP(E49,Lists!$H$2:$I$6,2,FALSE),0))</f>
        <v/>
      </c>
      <c r="M49">
        <f>IF(N(H49)=0,0,IF(I49="Cr",-N(H49),N(H49)))</f>
        <v/>
      </c>
      <c r="N49">
        <f>IF(C49="Debtor",MAX(0,M49),IF(C49="Creditor",MAX(0,-M49),0))</f>
        <v/>
      </c>
      <c r="O49">
        <f>IF(C49="Debtor",MAX(0,-M49),IF(C49="Creditor",MAX(0,M49),0))</f>
        <v/>
      </c>
      <c r="P49">
        <f>IF(OR(AND(C49="Creditor",L49=1),AND(C49="Debtor",$E$9="Yes")),1,0)</f>
        <v/>
      </c>
      <c r="Q49">
        <f>IF(P49=1,IF(G49="",15,MIN(N(G49),45)),IF(G49="","",N(G49)))</f>
        <v/>
      </c>
    </row>
    <row r="50">
      <c r="B50" s="14" t="n"/>
      <c r="C50" s="20" t="n"/>
      <c r="D50" s="20" t="n"/>
      <c r="E50" s="14" t="n"/>
      <c r="F50" s="20" t="n"/>
      <c r="G50" s="21" t="n"/>
      <c r="H50" s="22" t="n"/>
      <c r="I50" s="20" t="n"/>
      <c r="J50" s="23">
        <f>IF(AND(B50="",C50="",N(H50)=0),"",IF(B50="","Enter the party name",IF(COUNTIF($B$13:$B$112,B50)&gt;1,"This name is used twice: enter each party once",IF(C50="","Pick Debtor or Creditor",IF(AND(N(H50)&gt;0,I50=""),"Pick Dr or Cr for the opening balance",IF(AND(L50=1,N(G50)&gt;45),"Over 45 days: the MSMED Act caps a written term at 45, so the book uses 45",IF(AND(L50=1,F50=""),"Ask for the Udyam Registration Number",IF(LEFT(E50,6)="Trader","Traders are MSMEs for bank lending only: ask your accountant before using the 45-day rule",IF(AND(C50="Creditor",LEFT(E50,6)="Medium"),"Medium enterprise: the MSMED payment rules do not apply",IF(AND(C50="Creditor",E50=""),"Ask the supplier whether they are a micro or small enterprise","OK"))))))))))</f>
        <v/>
      </c>
      <c r="L50">
        <f>IF(E50="",0,IFERROR(VLOOKUP(E50,Lists!$H$2:$I$6,2,FALSE),0))</f>
        <v/>
      </c>
      <c r="M50">
        <f>IF(N(H50)=0,0,IF(I50="Cr",-N(H50),N(H50)))</f>
        <v/>
      </c>
      <c r="N50">
        <f>IF(C50="Debtor",MAX(0,M50),IF(C50="Creditor",MAX(0,-M50),0))</f>
        <v/>
      </c>
      <c r="O50">
        <f>IF(C50="Debtor",MAX(0,-M50),IF(C50="Creditor",MAX(0,M50),0))</f>
        <v/>
      </c>
      <c r="P50">
        <f>IF(OR(AND(C50="Creditor",L50=1),AND(C50="Debtor",$E$9="Yes")),1,0)</f>
        <v/>
      </c>
      <c r="Q50">
        <f>IF(P50=1,IF(G50="",15,MIN(N(G50),45)),IF(G50="","",N(G50)))</f>
        <v/>
      </c>
    </row>
    <row r="51">
      <c r="B51" s="14" t="n"/>
      <c r="C51" s="20" t="n"/>
      <c r="D51" s="20" t="n"/>
      <c r="E51" s="14" t="n"/>
      <c r="F51" s="20" t="n"/>
      <c r="G51" s="21" t="n"/>
      <c r="H51" s="22" t="n"/>
      <c r="I51" s="20" t="n"/>
      <c r="J51" s="23">
        <f>IF(AND(B51="",C51="",N(H51)=0),"",IF(B51="","Enter the party name",IF(COUNTIF($B$13:$B$112,B51)&gt;1,"This name is used twice: enter each party once",IF(C51="","Pick Debtor or Creditor",IF(AND(N(H51)&gt;0,I51=""),"Pick Dr or Cr for the opening balance",IF(AND(L51=1,N(G51)&gt;45),"Over 45 days: the MSMED Act caps a written term at 45, so the book uses 45",IF(AND(L51=1,F51=""),"Ask for the Udyam Registration Number",IF(LEFT(E51,6)="Trader","Traders are MSMEs for bank lending only: ask your accountant before using the 45-day rule",IF(AND(C51="Creditor",LEFT(E51,6)="Medium"),"Medium enterprise: the MSMED payment rules do not apply",IF(AND(C51="Creditor",E51=""),"Ask the supplier whether they are a micro or small enterprise","OK"))))))))))</f>
        <v/>
      </c>
      <c r="L51">
        <f>IF(E51="",0,IFERROR(VLOOKUP(E51,Lists!$H$2:$I$6,2,FALSE),0))</f>
        <v/>
      </c>
      <c r="M51">
        <f>IF(N(H51)=0,0,IF(I51="Cr",-N(H51),N(H51)))</f>
        <v/>
      </c>
      <c r="N51">
        <f>IF(C51="Debtor",MAX(0,M51),IF(C51="Creditor",MAX(0,-M51),0))</f>
        <v/>
      </c>
      <c r="O51">
        <f>IF(C51="Debtor",MAX(0,-M51),IF(C51="Creditor",MAX(0,M51),0))</f>
        <v/>
      </c>
      <c r="P51">
        <f>IF(OR(AND(C51="Creditor",L51=1),AND(C51="Debtor",$E$9="Yes")),1,0)</f>
        <v/>
      </c>
      <c r="Q51">
        <f>IF(P51=1,IF(G51="",15,MIN(N(G51),45)),IF(G51="","",N(G51)))</f>
        <v/>
      </c>
    </row>
    <row r="52">
      <c r="B52" s="14" t="n"/>
      <c r="C52" s="20" t="n"/>
      <c r="D52" s="20" t="n"/>
      <c r="E52" s="14" t="n"/>
      <c r="F52" s="20" t="n"/>
      <c r="G52" s="21" t="n"/>
      <c r="H52" s="22" t="n"/>
      <c r="I52" s="20" t="n"/>
      <c r="J52" s="23">
        <f>IF(AND(B52="",C52="",N(H52)=0),"",IF(B52="","Enter the party name",IF(COUNTIF($B$13:$B$112,B52)&gt;1,"This name is used twice: enter each party once",IF(C52="","Pick Debtor or Creditor",IF(AND(N(H52)&gt;0,I52=""),"Pick Dr or Cr for the opening balance",IF(AND(L52=1,N(G52)&gt;45),"Over 45 days: the MSMED Act caps a written term at 45, so the book uses 45",IF(AND(L52=1,F52=""),"Ask for the Udyam Registration Number",IF(LEFT(E52,6)="Trader","Traders are MSMEs for bank lending only: ask your accountant before using the 45-day rule",IF(AND(C52="Creditor",LEFT(E52,6)="Medium"),"Medium enterprise: the MSMED payment rules do not apply",IF(AND(C52="Creditor",E52=""),"Ask the supplier whether they are a micro or small enterprise","OK"))))))))))</f>
        <v/>
      </c>
      <c r="L52">
        <f>IF(E52="",0,IFERROR(VLOOKUP(E52,Lists!$H$2:$I$6,2,FALSE),0))</f>
        <v/>
      </c>
      <c r="M52">
        <f>IF(N(H52)=0,0,IF(I52="Cr",-N(H52),N(H52)))</f>
        <v/>
      </c>
      <c r="N52">
        <f>IF(C52="Debtor",MAX(0,M52),IF(C52="Creditor",MAX(0,-M52),0))</f>
        <v/>
      </c>
      <c r="O52">
        <f>IF(C52="Debtor",MAX(0,-M52),IF(C52="Creditor",MAX(0,M52),0))</f>
        <v/>
      </c>
      <c r="P52">
        <f>IF(OR(AND(C52="Creditor",L52=1),AND(C52="Debtor",$E$9="Yes")),1,0)</f>
        <v/>
      </c>
      <c r="Q52">
        <f>IF(P52=1,IF(G52="",15,MIN(N(G52),45)),IF(G52="","",N(G52)))</f>
        <v/>
      </c>
    </row>
    <row r="53">
      <c r="B53" s="14" t="n"/>
      <c r="C53" s="20" t="n"/>
      <c r="D53" s="20" t="n"/>
      <c r="E53" s="14" t="n"/>
      <c r="F53" s="20" t="n"/>
      <c r="G53" s="21" t="n"/>
      <c r="H53" s="22" t="n"/>
      <c r="I53" s="20" t="n"/>
      <c r="J53" s="23">
        <f>IF(AND(B53="",C53="",N(H53)=0),"",IF(B53="","Enter the party name",IF(COUNTIF($B$13:$B$112,B53)&gt;1,"This name is used twice: enter each party once",IF(C53="","Pick Debtor or Creditor",IF(AND(N(H53)&gt;0,I53=""),"Pick Dr or Cr for the opening balance",IF(AND(L53=1,N(G53)&gt;45),"Over 45 days: the MSMED Act caps a written term at 45, so the book uses 45",IF(AND(L53=1,F53=""),"Ask for the Udyam Registration Number",IF(LEFT(E53,6)="Trader","Traders are MSMEs for bank lending only: ask your accountant before using the 45-day rule",IF(AND(C53="Creditor",LEFT(E53,6)="Medium"),"Medium enterprise: the MSMED payment rules do not apply",IF(AND(C53="Creditor",E53=""),"Ask the supplier whether they are a micro or small enterprise","OK"))))))))))</f>
        <v/>
      </c>
      <c r="L53">
        <f>IF(E53="",0,IFERROR(VLOOKUP(E53,Lists!$H$2:$I$6,2,FALSE),0))</f>
        <v/>
      </c>
      <c r="M53">
        <f>IF(N(H53)=0,0,IF(I53="Cr",-N(H53),N(H53)))</f>
        <v/>
      </c>
      <c r="N53">
        <f>IF(C53="Debtor",MAX(0,M53),IF(C53="Creditor",MAX(0,-M53),0))</f>
        <v/>
      </c>
      <c r="O53">
        <f>IF(C53="Debtor",MAX(0,-M53),IF(C53="Creditor",MAX(0,M53),0))</f>
        <v/>
      </c>
      <c r="P53">
        <f>IF(OR(AND(C53="Creditor",L53=1),AND(C53="Debtor",$E$9="Yes")),1,0)</f>
        <v/>
      </c>
      <c r="Q53">
        <f>IF(P53=1,IF(G53="",15,MIN(N(G53),45)),IF(G53="","",N(G53)))</f>
        <v/>
      </c>
    </row>
    <row r="54">
      <c r="B54" s="14" t="n"/>
      <c r="C54" s="20" t="n"/>
      <c r="D54" s="20" t="n"/>
      <c r="E54" s="14" t="n"/>
      <c r="F54" s="20" t="n"/>
      <c r="G54" s="21" t="n"/>
      <c r="H54" s="22" t="n"/>
      <c r="I54" s="20" t="n"/>
      <c r="J54" s="23">
        <f>IF(AND(B54="",C54="",N(H54)=0),"",IF(B54="","Enter the party name",IF(COUNTIF($B$13:$B$112,B54)&gt;1,"This name is used twice: enter each party once",IF(C54="","Pick Debtor or Creditor",IF(AND(N(H54)&gt;0,I54=""),"Pick Dr or Cr for the opening balance",IF(AND(L54=1,N(G54)&gt;45),"Over 45 days: the MSMED Act caps a written term at 45, so the book uses 45",IF(AND(L54=1,F54=""),"Ask for the Udyam Registration Number",IF(LEFT(E54,6)="Trader","Traders are MSMEs for bank lending only: ask your accountant before using the 45-day rule",IF(AND(C54="Creditor",LEFT(E54,6)="Medium"),"Medium enterprise: the MSMED payment rules do not apply",IF(AND(C54="Creditor",E54=""),"Ask the supplier whether they are a micro or small enterprise","OK"))))))))))</f>
        <v/>
      </c>
      <c r="L54">
        <f>IF(E54="",0,IFERROR(VLOOKUP(E54,Lists!$H$2:$I$6,2,FALSE),0))</f>
        <v/>
      </c>
      <c r="M54">
        <f>IF(N(H54)=0,0,IF(I54="Cr",-N(H54),N(H54)))</f>
        <v/>
      </c>
      <c r="N54">
        <f>IF(C54="Debtor",MAX(0,M54),IF(C54="Creditor",MAX(0,-M54),0))</f>
        <v/>
      </c>
      <c r="O54">
        <f>IF(C54="Debtor",MAX(0,-M54),IF(C54="Creditor",MAX(0,M54),0))</f>
        <v/>
      </c>
      <c r="P54">
        <f>IF(OR(AND(C54="Creditor",L54=1),AND(C54="Debtor",$E$9="Yes")),1,0)</f>
        <v/>
      </c>
      <c r="Q54">
        <f>IF(P54=1,IF(G54="",15,MIN(N(G54),45)),IF(G54="","",N(G54)))</f>
        <v/>
      </c>
    </row>
    <row r="55">
      <c r="B55" s="14" t="n"/>
      <c r="C55" s="20" t="n"/>
      <c r="D55" s="20" t="n"/>
      <c r="E55" s="14" t="n"/>
      <c r="F55" s="20" t="n"/>
      <c r="G55" s="21" t="n"/>
      <c r="H55" s="22" t="n"/>
      <c r="I55" s="20" t="n"/>
      <c r="J55" s="23">
        <f>IF(AND(B55="",C55="",N(H55)=0),"",IF(B55="","Enter the party name",IF(COUNTIF($B$13:$B$112,B55)&gt;1,"This name is used twice: enter each party once",IF(C55="","Pick Debtor or Creditor",IF(AND(N(H55)&gt;0,I55=""),"Pick Dr or Cr for the opening balance",IF(AND(L55=1,N(G55)&gt;45),"Over 45 days: the MSMED Act caps a written term at 45, so the book uses 45",IF(AND(L55=1,F55=""),"Ask for the Udyam Registration Number",IF(LEFT(E55,6)="Trader","Traders are MSMEs for bank lending only: ask your accountant before using the 45-day rule",IF(AND(C55="Creditor",LEFT(E55,6)="Medium"),"Medium enterprise: the MSMED payment rules do not apply",IF(AND(C55="Creditor",E55=""),"Ask the supplier whether they are a micro or small enterprise","OK"))))))))))</f>
        <v/>
      </c>
      <c r="L55">
        <f>IF(E55="",0,IFERROR(VLOOKUP(E55,Lists!$H$2:$I$6,2,FALSE),0))</f>
        <v/>
      </c>
      <c r="M55">
        <f>IF(N(H55)=0,0,IF(I55="Cr",-N(H55),N(H55)))</f>
        <v/>
      </c>
      <c r="N55">
        <f>IF(C55="Debtor",MAX(0,M55),IF(C55="Creditor",MAX(0,-M55),0))</f>
        <v/>
      </c>
      <c r="O55">
        <f>IF(C55="Debtor",MAX(0,-M55),IF(C55="Creditor",MAX(0,M55),0))</f>
        <v/>
      </c>
      <c r="P55">
        <f>IF(OR(AND(C55="Creditor",L55=1),AND(C55="Debtor",$E$9="Yes")),1,0)</f>
        <v/>
      </c>
      <c r="Q55">
        <f>IF(P55=1,IF(G55="",15,MIN(N(G55),45)),IF(G55="","",N(G55)))</f>
        <v/>
      </c>
    </row>
    <row r="56">
      <c r="B56" s="14" t="n"/>
      <c r="C56" s="20" t="n"/>
      <c r="D56" s="20" t="n"/>
      <c r="E56" s="14" t="n"/>
      <c r="F56" s="20" t="n"/>
      <c r="G56" s="21" t="n"/>
      <c r="H56" s="22" t="n"/>
      <c r="I56" s="20" t="n"/>
      <c r="J56" s="23">
        <f>IF(AND(B56="",C56="",N(H56)=0),"",IF(B56="","Enter the party name",IF(COUNTIF($B$13:$B$112,B56)&gt;1,"This name is used twice: enter each party once",IF(C56="","Pick Debtor or Creditor",IF(AND(N(H56)&gt;0,I56=""),"Pick Dr or Cr for the opening balance",IF(AND(L56=1,N(G56)&gt;45),"Over 45 days: the MSMED Act caps a written term at 45, so the book uses 45",IF(AND(L56=1,F56=""),"Ask for the Udyam Registration Number",IF(LEFT(E56,6)="Trader","Traders are MSMEs for bank lending only: ask your accountant before using the 45-day rule",IF(AND(C56="Creditor",LEFT(E56,6)="Medium"),"Medium enterprise: the MSMED payment rules do not apply",IF(AND(C56="Creditor",E56=""),"Ask the supplier whether they are a micro or small enterprise","OK"))))))))))</f>
        <v/>
      </c>
      <c r="L56">
        <f>IF(E56="",0,IFERROR(VLOOKUP(E56,Lists!$H$2:$I$6,2,FALSE),0))</f>
        <v/>
      </c>
      <c r="M56">
        <f>IF(N(H56)=0,0,IF(I56="Cr",-N(H56),N(H56)))</f>
        <v/>
      </c>
      <c r="N56">
        <f>IF(C56="Debtor",MAX(0,M56),IF(C56="Creditor",MAX(0,-M56),0))</f>
        <v/>
      </c>
      <c r="O56">
        <f>IF(C56="Debtor",MAX(0,-M56),IF(C56="Creditor",MAX(0,M56),0))</f>
        <v/>
      </c>
      <c r="P56">
        <f>IF(OR(AND(C56="Creditor",L56=1),AND(C56="Debtor",$E$9="Yes")),1,0)</f>
        <v/>
      </c>
      <c r="Q56">
        <f>IF(P56=1,IF(G56="",15,MIN(N(G56),45)),IF(G56="","",N(G56)))</f>
        <v/>
      </c>
    </row>
    <row r="57">
      <c r="B57" s="14" t="n"/>
      <c r="C57" s="20" t="n"/>
      <c r="D57" s="20" t="n"/>
      <c r="E57" s="14" t="n"/>
      <c r="F57" s="20" t="n"/>
      <c r="G57" s="21" t="n"/>
      <c r="H57" s="22" t="n"/>
      <c r="I57" s="20" t="n"/>
      <c r="J57" s="23">
        <f>IF(AND(B57="",C57="",N(H57)=0),"",IF(B57="","Enter the party name",IF(COUNTIF($B$13:$B$112,B57)&gt;1,"This name is used twice: enter each party once",IF(C57="","Pick Debtor or Creditor",IF(AND(N(H57)&gt;0,I57=""),"Pick Dr or Cr for the opening balance",IF(AND(L57=1,N(G57)&gt;45),"Over 45 days: the MSMED Act caps a written term at 45, so the book uses 45",IF(AND(L57=1,F57=""),"Ask for the Udyam Registration Number",IF(LEFT(E57,6)="Trader","Traders are MSMEs for bank lending only: ask your accountant before using the 45-day rule",IF(AND(C57="Creditor",LEFT(E57,6)="Medium"),"Medium enterprise: the MSMED payment rules do not apply",IF(AND(C57="Creditor",E57=""),"Ask the supplier whether they are a micro or small enterprise","OK"))))))))))</f>
        <v/>
      </c>
      <c r="L57">
        <f>IF(E57="",0,IFERROR(VLOOKUP(E57,Lists!$H$2:$I$6,2,FALSE),0))</f>
        <v/>
      </c>
      <c r="M57">
        <f>IF(N(H57)=0,0,IF(I57="Cr",-N(H57),N(H57)))</f>
        <v/>
      </c>
      <c r="N57">
        <f>IF(C57="Debtor",MAX(0,M57),IF(C57="Creditor",MAX(0,-M57),0))</f>
        <v/>
      </c>
      <c r="O57">
        <f>IF(C57="Debtor",MAX(0,-M57),IF(C57="Creditor",MAX(0,M57),0))</f>
        <v/>
      </c>
      <c r="P57">
        <f>IF(OR(AND(C57="Creditor",L57=1),AND(C57="Debtor",$E$9="Yes")),1,0)</f>
        <v/>
      </c>
      <c r="Q57">
        <f>IF(P57=1,IF(G57="",15,MIN(N(G57),45)),IF(G57="","",N(G57)))</f>
        <v/>
      </c>
    </row>
    <row r="58">
      <c r="B58" s="14" t="n"/>
      <c r="C58" s="20" t="n"/>
      <c r="D58" s="20" t="n"/>
      <c r="E58" s="14" t="n"/>
      <c r="F58" s="20" t="n"/>
      <c r="G58" s="21" t="n"/>
      <c r="H58" s="22" t="n"/>
      <c r="I58" s="20" t="n"/>
      <c r="J58" s="23">
        <f>IF(AND(B58="",C58="",N(H58)=0),"",IF(B58="","Enter the party name",IF(COUNTIF($B$13:$B$112,B58)&gt;1,"This name is used twice: enter each party once",IF(C58="","Pick Debtor or Creditor",IF(AND(N(H58)&gt;0,I58=""),"Pick Dr or Cr for the opening balance",IF(AND(L58=1,N(G58)&gt;45),"Over 45 days: the MSMED Act caps a written term at 45, so the book uses 45",IF(AND(L58=1,F58=""),"Ask for the Udyam Registration Number",IF(LEFT(E58,6)="Trader","Traders are MSMEs for bank lending only: ask your accountant before using the 45-day rule",IF(AND(C58="Creditor",LEFT(E58,6)="Medium"),"Medium enterprise: the MSMED payment rules do not apply",IF(AND(C58="Creditor",E58=""),"Ask the supplier whether they are a micro or small enterprise","OK"))))))))))</f>
        <v/>
      </c>
      <c r="L58">
        <f>IF(E58="",0,IFERROR(VLOOKUP(E58,Lists!$H$2:$I$6,2,FALSE),0))</f>
        <v/>
      </c>
      <c r="M58">
        <f>IF(N(H58)=0,0,IF(I58="Cr",-N(H58),N(H58)))</f>
        <v/>
      </c>
      <c r="N58">
        <f>IF(C58="Debtor",MAX(0,M58),IF(C58="Creditor",MAX(0,-M58),0))</f>
        <v/>
      </c>
      <c r="O58">
        <f>IF(C58="Debtor",MAX(0,-M58),IF(C58="Creditor",MAX(0,M58),0))</f>
        <v/>
      </c>
      <c r="P58">
        <f>IF(OR(AND(C58="Creditor",L58=1),AND(C58="Debtor",$E$9="Yes")),1,0)</f>
        <v/>
      </c>
      <c r="Q58">
        <f>IF(P58=1,IF(G58="",15,MIN(N(G58),45)),IF(G58="","",N(G58)))</f>
        <v/>
      </c>
    </row>
    <row r="59">
      <c r="B59" s="14" t="n"/>
      <c r="C59" s="20" t="n"/>
      <c r="D59" s="20" t="n"/>
      <c r="E59" s="14" t="n"/>
      <c r="F59" s="20" t="n"/>
      <c r="G59" s="21" t="n"/>
      <c r="H59" s="22" t="n"/>
      <c r="I59" s="20" t="n"/>
      <c r="J59" s="23">
        <f>IF(AND(B59="",C59="",N(H59)=0),"",IF(B59="","Enter the party name",IF(COUNTIF($B$13:$B$112,B59)&gt;1,"This name is used twice: enter each party once",IF(C59="","Pick Debtor or Creditor",IF(AND(N(H59)&gt;0,I59=""),"Pick Dr or Cr for the opening balance",IF(AND(L59=1,N(G59)&gt;45),"Over 45 days: the MSMED Act caps a written term at 45, so the book uses 45",IF(AND(L59=1,F59=""),"Ask for the Udyam Registration Number",IF(LEFT(E59,6)="Trader","Traders are MSMEs for bank lending only: ask your accountant before using the 45-day rule",IF(AND(C59="Creditor",LEFT(E59,6)="Medium"),"Medium enterprise: the MSMED payment rules do not apply",IF(AND(C59="Creditor",E59=""),"Ask the supplier whether they are a micro or small enterprise","OK"))))))))))</f>
        <v/>
      </c>
      <c r="L59">
        <f>IF(E59="",0,IFERROR(VLOOKUP(E59,Lists!$H$2:$I$6,2,FALSE),0))</f>
        <v/>
      </c>
      <c r="M59">
        <f>IF(N(H59)=0,0,IF(I59="Cr",-N(H59),N(H59)))</f>
        <v/>
      </c>
      <c r="N59">
        <f>IF(C59="Debtor",MAX(0,M59),IF(C59="Creditor",MAX(0,-M59),0))</f>
        <v/>
      </c>
      <c r="O59">
        <f>IF(C59="Debtor",MAX(0,-M59),IF(C59="Creditor",MAX(0,M59),0))</f>
        <v/>
      </c>
      <c r="P59">
        <f>IF(OR(AND(C59="Creditor",L59=1),AND(C59="Debtor",$E$9="Yes")),1,0)</f>
        <v/>
      </c>
      <c r="Q59">
        <f>IF(P59=1,IF(G59="",15,MIN(N(G59),45)),IF(G59="","",N(G59)))</f>
        <v/>
      </c>
    </row>
    <row r="60">
      <c r="B60" s="14" t="n"/>
      <c r="C60" s="20" t="n"/>
      <c r="D60" s="20" t="n"/>
      <c r="E60" s="14" t="n"/>
      <c r="F60" s="20" t="n"/>
      <c r="G60" s="21" t="n"/>
      <c r="H60" s="22" t="n"/>
      <c r="I60" s="20" t="n"/>
      <c r="J60" s="23">
        <f>IF(AND(B60="",C60="",N(H60)=0),"",IF(B60="","Enter the party name",IF(COUNTIF($B$13:$B$112,B60)&gt;1,"This name is used twice: enter each party once",IF(C60="","Pick Debtor or Creditor",IF(AND(N(H60)&gt;0,I60=""),"Pick Dr or Cr for the opening balance",IF(AND(L60=1,N(G60)&gt;45),"Over 45 days: the MSMED Act caps a written term at 45, so the book uses 45",IF(AND(L60=1,F60=""),"Ask for the Udyam Registration Number",IF(LEFT(E60,6)="Trader","Traders are MSMEs for bank lending only: ask your accountant before using the 45-day rule",IF(AND(C60="Creditor",LEFT(E60,6)="Medium"),"Medium enterprise: the MSMED payment rules do not apply",IF(AND(C60="Creditor",E60=""),"Ask the supplier whether they are a micro or small enterprise","OK"))))))))))</f>
        <v/>
      </c>
      <c r="L60">
        <f>IF(E60="",0,IFERROR(VLOOKUP(E60,Lists!$H$2:$I$6,2,FALSE),0))</f>
        <v/>
      </c>
      <c r="M60">
        <f>IF(N(H60)=0,0,IF(I60="Cr",-N(H60),N(H60)))</f>
        <v/>
      </c>
      <c r="N60">
        <f>IF(C60="Debtor",MAX(0,M60),IF(C60="Creditor",MAX(0,-M60),0))</f>
        <v/>
      </c>
      <c r="O60">
        <f>IF(C60="Debtor",MAX(0,-M60),IF(C60="Creditor",MAX(0,M60),0))</f>
        <v/>
      </c>
      <c r="P60">
        <f>IF(OR(AND(C60="Creditor",L60=1),AND(C60="Debtor",$E$9="Yes")),1,0)</f>
        <v/>
      </c>
      <c r="Q60">
        <f>IF(P60=1,IF(G60="",15,MIN(N(G60),45)),IF(G60="","",N(G60)))</f>
        <v/>
      </c>
    </row>
    <row r="61">
      <c r="B61" s="14" t="n"/>
      <c r="C61" s="20" t="n"/>
      <c r="D61" s="20" t="n"/>
      <c r="E61" s="14" t="n"/>
      <c r="F61" s="20" t="n"/>
      <c r="G61" s="21" t="n"/>
      <c r="H61" s="22" t="n"/>
      <c r="I61" s="20" t="n"/>
      <c r="J61" s="23">
        <f>IF(AND(B61="",C61="",N(H61)=0),"",IF(B61="","Enter the party name",IF(COUNTIF($B$13:$B$112,B61)&gt;1,"This name is used twice: enter each party once",IF(C61="","Pick Debtor or Creditor",IF(AND(N(H61)&gt;0,I61=""),"Pick Dr or Cr for the opening balance",IF(AND(L61=1,N(G61)&gt;45),"Over 45 days: the MSMED Act caps a written term at 45, so the book uses 45",IF(AND(L61=1,F61=""),"Ask for the Udyam Registration Number",IF(LEFT(E61,6)="Trader","Traders are MSMEs for bank lending only: ask your accountant before using the 45-day rule",IF(AND(C61="Creditor",LEFT(E61,6)="Medium"),"Medium enterprise: the MSMED payment rules do not apply",IF(AND(C61="Creditor",E61=""),"Ask the supplier whether they are a micro or small enterprise","OK"))))))))))</f>
        <v/>
      </c>
      <c r="L61">
        <f>IF(E61="",0,IFERROR(VLOOKUP(E61,Lists!$H$2:$I$6,2,FALSE),0))</f>
        <v/>
      </c>
      <c r="M61">
        <f>IF(N(H61)=0,0,IF(I61="Cr",-N(H61),N(H61)))</f>
        <v/>
      </c>
      <c r="N61">
        <f>IF(C61="Debtor",MAX(0,M61),IF(C61="Creditor",MAX(0,-M61),0))</f>
        <v/>
      </c>
      <c r="O61">
        <f>IF(C61="Debtor",MAX(0,-M61),IF(C61="Creditor",MAX(0,M61),0))</f>
        <v/>
      </c>
      <c r="P61">
        <f>IF(OR(AND(C61="Creditor",L61=1),AND(C61="Debtor",$E$9="Yes")),1,0)</f>
        <v/>
      </c>
      <c r="Q61">
        <f>IF(P61=1,IF(G61="",15,MIN(N(G61),45)),IF(G61="","",N(G61)))</f>
        <v/>
      </c>
    </row>
    <row r="62">
      <c r="B62" s="14" t="n"/>
      <c r="C62" s="20" t="n"/>
      <c r="D62" s="20" t="n"/>
      <c r="E62" s="14" t="n"/>
      <c r="F62" s="20" t="n"/>
      <c r="G62" s="21" t="n"/>
      <c r="H62" s="22" t="n"/>
      <c r="I62" s="20" t="n"/>
      <c r="J62" s="23">
        <f>IF(AND(B62="",C62="",N(H62)=0),"",IF(B62="","Enter the party name",IF(COUNTIF($B$13:$B$112,B62)&gt;1,"This name is used twice: enter each party once",IF(C62="","Pick Debtor or Creditor",IF(AND(N(H62)&gt;0,I62=""),"Pick Dr or Cr for the opening balance",IF(AND(L62=1,N(G62)&gt;45),"Over 45 days: the MSMED Act caps a written term at 45, so the book uses 45",IF(AND(L62=1,F62=""),"Ask for the Udyam Registration Number",IF(LEFT(E62,6)="Trader","Traders are MSMEs for bank lending only: ask your accountant before using the 45-day rule",IF(AND(C62="Creditor",LEFT(E62,6)="Medium"),"Medium enterprise: the MSMED payment rules do not apply",IF(AND(C62="Creditor",E62=""),"Ask the supplier whether they are a micro or small enterprise","OK"))))))))))</f>
        <v/>
      </c>
      <c r="L62">
        <f>IF(E62="",0,IFERROR(VLOOKUP(E62,Lists!$H$2:$I$6,2,FALSE),0))</f>
        <v/>
      </c>
      <c r="M62">
        <f>IF(N(H62)=0,0,IF(I62="Cr",-N(H62),N(H62)))</f>
        <v/>
      </c>
      <c r="N62">
        <f>IF(C62="Debtor",MAX(0,M62),IF(C62="Creditor",MAX(0,-M62),0))</f>
        <v/>
      </c>
      <c r="O62">
        <f>IF(C62="Debtor",MAX(0,-M62),IF(C62="Creditor",MAX(0,M62),0))</f>
        <v/>
      </c>
      <c r="P62">
        <f>IF(OR(AND(C62="Creditor",L62=1),AND(C62="Debtor",$E$9="Yes")),1,0)</f>
        <v/>
      </c>
      <c r="Q62">
        <f>IF(P62=1,IF(G62="",15,MIN(N(G62),45)),IF(G62="","",N(G62)))</f>
        <v/>
      </c>
    </row>
    <row r="63">
      <c r="B63" s="14" t="n"/>
      <c r="C63" s="20" t="n"/>
      <c r="D63" s="20" t="n"/>
      <c r="E63" s="14" t="n"/>
      <c r="F63" s="20" t="n"/>
      <c r="G63" s="21" t="n"/>
      <c r="H63" s="22" t="n"/>
      <c r="I63" s="20" t="n"/>
      <c r="J63" s="23">
        <f>IF(AND(B63="",C63="",N(H63)=0),"",IF(B63="","Enter the party name",IF(COUNTIF($B$13:$B$112,B63)&gt;1,"This name is used twice: enter each party once",IF(C63="","Pick Debtor or Creditor",IF(AND(N(H63)&gt;0,I63=""),"Pick Dr or Cr for the opening balance",IF(AND(L63=1,N(G63)&gt;45),"Over 45 days: the MSMED Act caps a written term at 45, so the book uses 45",IF(AND(L63=1,F63=""),"Ask for the Udyam Registration Number",IF(LEFT(E63,6)="Trader","Traders are MSMEs for bank lending only: ask your accountant before using the 45-day rule",IF(AND(C63="Creditor",LEFT(E63,6)="Medium"),"Medium enterprise: the MSMED payment rules do not apply",IF(AND(C63="Creditor",E63=""),"Ask the supplier whether they are a micro or small enterprise","OK"))))))))))</f>
        <v/>
      </c>
      <c r="L63">
        <f>IF(E63="",0,IFERROR(VLOOKUP(E63,Lists!$H$2:$I$6,2,FALSE),0))</f>
        <v/>
      </c>
      <c r="M63">
        <f>IF(N(H63)=0,0,IF(I63="Cr",-N(H63),N(H63)))</f>
        <v/>
      </c>
      <c r="N63">
        <f>IF(C63="Debtor",MAX(0,M63),IF(C63="Creditor",MAX(0,-M63),0))</f>
        <v/>
      </c>
      <c r="O63">
        <f>IF(C63="Debtor",MAX(0,-M63),IF(C63="Creditor",MAX(0,M63),0))</f>
        <v/>
      </c>
      <c r="P63">
        <f>IF(OR(AND(C63="Creditor",L63=1),AND(C63="Debtor",$E$9="Yes")),1,0)</f>
        <v/>
      </c>
      <c r="Q63">
        <f>IF(P63=1,IF(G63="",15,MIN(N(G63),45)),IF(G63="","",N(G63)))</f>
        <v/>
      </c>
    </row>
    <row r="64">
      <c r="B64" s="14" t="n"/>
      <c r="C64" s="20" t="n"/>
      <c r="D64" s="20" t="n"/>
      <c r="E64" s="14" t="n"/>
      <c r="F64" s="20" t="n"/>
      <c r="G64" s="21" t="n"/>
      <c r="H64" s="22" t="n"/>
      <c r="I64" s="20" t="n"/>
      <c r="J64" s="23">
        <f>IF(AND(B64="",C64="",N(H64)=0),"",IF(B64="","Enter the party name",IF(COUNTIF($B$13:$B$112,B64)&gt;1,"This name is used twice: enter each party once",IF(C64="","Pick Debtor or Creditor",IF(AND(N(H64)&gt;0,I64=""),"Pick Dr or Cr for the opening balance",IF(AND(L64=1,N(G64)&gt;45),"Over 45 days: the MSMED Act caps a written term at 45, so the book uses 45",IF(AND(L64=1,F64=""),"Ask for the Udyam Registration Number",IF(LEFT(E64,6)="Trader","Traders are MSMEs for bank lending only: ask your accountant before using the 45-day rule",IF(AND(C64="Creditor",LEFT(E64,6)="Medium"),"Medium enterprise: the MSMED payment rules do not apply",IF(AND(C64="Creditor",E64=""),"Ask the supplier whether they are a micro or small enterprise","OK"))))))))))</f>
        <v/>
      </c>
      <c r="L64">
        <f>IF(E64="",0,IFERROR(VLOOKUP(E64,Lists!$H$2:$I$6,2,FALSE),0))</f>
        <v/>
      </c>
      <c r="M64">
        <f>IF(N(H64)=0,0,IF(I64="Cr",-N(H64),N(H64)))</f>
        <v/>
      </c>
      <c r="N64">
        <f>IF(C64="Debtor",MAX(0,M64),IF(C64="Creditor",MAX(0,-M64),0))</f>
        <v/>
      </c>
      <c r="O64">
        <f>IF(C64="Debtor",MAX(0,-M64),IF(C64="Creditor",MAX(0,M64),0))</f>
        <v/>
      </c>
      <c r="P64">
        <f>IF(OR(AND(C64="Creditor",L64=1),AND(C64="Debtor",$E$9="Yes")),1,0)</f>
        <v/>
      </c>
      <c r="Q64">
        <f>IF(P64=1,IF(G64="",15,MIN(N(G64),45)),IF(G64="","",N(G64)))</f>
        <v/>
      </c>
    </row>
    <row r="65">
      <c r="B65" s="14" t="n"/>
      <c r="C65" s="20" t="n"/>
      <c r="D65" s="20" t="n"/>
      <c r="E65" s="14" t="n"/>
      <c r="F65" s="20" t="n"/>
      <c r="G65" s="21" t="n"/>
      <c r="H65" s="22" t="n"/>
      <c r="I65" s="20" t="n"/>
      <c r="J65" s="23">
        <f>IF(AND(B65="",C65="",N(H65)=0),"",IF(B65="","Enter the party name",IF(COUNTIF($B$13:$B$112,B65)&gt;1,"This name is used twice: enter each party once",IF(C65="","Pick Debtor or Creditor",IF(AND(N(H65)&gt;0,I65=""),"Pick Dr or Cr for the opening balance",IF(AND(L65=1,N(G65)&gt;45),"Over 45 days: the MSMED Act caps a written term at 45, so the book uses 45",IF(AND(L65=1,F65=""),"Ask for the Udyam Registration Number",IF(LEFT(E65,6)="Trader","Traders are MSMEs for bank lending only: ask your accountant before using the 45-day rule",IF(AND(C65="Creditor",LEFT(E65,6)="Medium"),"Medium enterprise: the MSMED payment rules do not apply",IF(AND(C65="Creditor",E65=""),"Ask the supplier whether they are a micro or small enterprise","OK"))))))))))</f>
        <v/>
      </c>
      <c r="L65">
        <f>IF(E65="",0,IFERROR(VLOOKUP(E65,Lists!$H$2:$I$6,2,FALSE),0))</f>
        <v/>
      </c>
      <c r="M65">
        <f>IF(N(H65)=0,0,IF(I65="Cr",-N(H65),N(H65)))</f>
        <v/>
      </c>
      <c r="N65">
        <f>IF(C65="Debtor",MAX(0,M65),IF(C65="Creditor",MAX(0,-M65),0))</f>
        <v/>
      </c>
      <c r="O65">
        <f>IF(C65="Debtor",MAX(0,-M65),IF(C65="Creditor",MAX(0,M65),0))</f>
        <v/>
      </c>
      <c r="P65">
        <f>IF(OR(AND(C65="Creditor",L65=1),AND(C65="Debtor",$E$9="Yes")),1,0)</f>
        <v/>
      </c>
      <c r="Q65">
        <f>IF(P65=1,IF(G65="",15,MIN(N(G65),45)),IF(G65="","",N(G65)))</f>
        <v/>
      </c>
    </row>
    <row r="66">
      <c r="B66" s="14" t="n"/>
      <c r="C66" s="20" t="n"/>
      <c r="D66" s="20" t="n"/>
      <c r="E66" s="14" t="n"/>
      <c r="F66" s="20" t="n"/>
      <c r="G66" s="21" t="n"/>
      <c r="H66" s="22" t="n"/>
      <c r="I66" s="20" t="n"/>
      <c r="J66" s="23">
        <f>IF(AND(B66="",C66="",N(H66)=0),"",IF(B66="","Enter the party name",IF(COUNTIF($B$13:$B$112,B66)&gt;1,"This name is used twice: enter each party once",IF(C66="","Pick Debtor or Creditor",IF(AND(N(H66)&gt;0,I66=""),"Pick Dr or Cr for the opening balance",IF(AND(L66=1,N(G66)&gt;45),"Over 45 days: the MSMED Act caps a written term at 45, so the book uses 45",IF(AND(L66=1,F66=""),"Ask for the Udyam Registration Number",IF(LEFT(E66,6)="Trader","Traders are MSMEs for bank lending only: ask your accountant before using the 45-day rule",IF(AND(C66="Creditor",LEFT(E66,6)="Medium"),"Medium enterprise: the MSMED payment rules do not apply",IF(AND(C66="Creditor",E66=""),"Ask the supplier whether they are a micro or small enterprise","OK"))))))))))</f>
        <v/>
      </c>
      <c r="L66">
        <f>IF(E66="",0,IFERROR(VLOOKUP(E66,Lists!$H$2:$I$6,2,FALSE),0))</f>
        <v/>
      </c>
      <c r="M66">
        <f>IF(N(H66)=0,0,IF(I66="Cr",-N(H66),N(H66)))</f>
        <v/>
      </c>
      <c r="N66">
        <f>IF(C66="Debtor",MAX(0,M66),IF(C66="Creditor",MAX(0,-M66),0))</f>
        <v/>
      </c>
      <c r="O66">
        <f>IF(C66="Debtor",MAX(0,-M66),IF(C66="Creditor",MAX(0,M66),0))</f>
        <v/>
      </c>
      <c r="P66">
        <f>IF(OR(AND(C66="Creditor",L66=1),AND(C66="Debtor",$E$9="Yes")),1,0)</f>
        <v/>
      </c>
      <c r="Q66">
        <f>IF(P66=1,IF(G66="",15,MIN(N(G66),45)),IF(G66="","",N(G66)))</f>
        <v/>
      </c>
    </row>
    <row r="67">
      <c r="B67" s="14" t="n"/>
      <c r="C67" s="20" t="n"/>
      <c r="D67" s="20" t="n"/>
      <c r="E67" s="14" t="n"/>
      <c r="F67" s="20" t="n"/>
      <c r="G67" s="21" t="n"/>
      <c r="H67" s="22" t="n"/>
      <c r="I67" s="20" t="n"/>
      <c r="J67" s="23">
        <f>IF(AND(B67="",C67="",N(H67)=0),"",IF(B67="","Enter the party name",IF(COUNTIF($B$13:$B$112,B67)&gt;1,"This name is used twice: enter each party once",IF(C67="","Pick Debtor or Creditor",IF(AND(N(H67)&gt;0,I67=""),"Pick Dr or Cr for the opening balance",IF(AND(L67=1,N(G67)&gt;45),"Over 45 days: the MSMED Act caps a written term at 45, so the book uses 45",IF(AND(L67=1,F67=""),"Ask for the Udyam Registration Number",IF(LEFT(E67,6)="Trader","Traders are MSMEs for bank lending only: ask your accountant before using the 45-day rule",IF(AND(C67="Creditor",LEFT(E67,6)="Medium"),"Medium enterprise: the MSMED payment rules do not apply",IF(AND(C67="Creditor",E67=""),"Ask the supplier whether they are a micro or small enterprise","OK"))))))))))</f>
        <v/>
      </c>
      <c r="L67">
        <f>IF(E67="",0,IFERROR(VLOOKUP(E67,Lists!$H$2:$I$6,2,FALSE),0))</f>
        <v/>
      </c>
      <c r="M67">
        <f>IF(N(H67)=0,0,IF(I67="Cr",-N(H67),N(H67)))</f>
        <v/>
      </c>
      <c r="N67">
        <f>IF(C67="Debtor",MAX(0,M67),IF(C67="Creditor",MAX(0,-M67),0))</f>
        <v/>
      </c>
      <c r="O67">
        <f>IF(C67="Debtor",MAX(0,-M67),IF(C67="Creditor",MAX(0,M67),0))</f>
        <v/>
      </c>
      <c r="P67">
        <f>IF(OR(AND(C67="Creditor",L67=1),AND(C67="Debtor",$E$9="Yes")),1,0)</f>
        <v/>
      </c>
      <c r="Q67">
        <f>IF(P67=1,IF(G67="",15,MIN(N(G67),45)),IF(G67="","",N(G67)))</f>
        <v/>
      </c>
    </row>
    <row r="68">
      <c r="B68" s="14" t="n"/>
      <c r="C68" s="20" t="n"/>
      <c r="D68" s="20" t="n"/>
      <c r="E68" s="14" t="n"/>
      <c r="F68" s="20" t="n"/>
      <c r="G68" s="21" t="n"/>
      <c r="H68" s="22" t="n"/>
      <c r="I68" s="20" t="n"/>
      <c r="J68" s="23">
        <f>IF(AND(B68="",C68="",N(H68)=0),"",IF(B68="","Enter the party name",IF(COUNTIF($B$13:$B$112,B68)&gt;1,"This name is used twice: enter each party once",IF(C68="","Pick Debtor or Creditor",IF(AND(N(H68)&gt;0,I68=""),"Pick Dr or Cr for the opening balance",IF(AND(L68=1,N(G68)&gt;45),"Over 45 days: the MSMED Act caps a written term at 45, so the book uses 45",IF(AND(L68=1,F68=""),"Ask for the Udyam Registration Number",IF(LEFT(E68,6)="Trader","Traders are MSMEs for bank lending only: ask your accountant before using the 45-day rule",IF(AND(C68="Creditor",LEFT(E68,6)="Medium"),"Medium enterprise: the MSMED payment rules do not apply",IF(AND(C68="Creditor",E68=""),"Ask the supplier whether they are a micro or small enterprise","OK"))))))))))</f>
        <v/>
      </c>
      <c r="L68">
        <f>IF(E68="",0,IFERROR(VLOOKUP(E68,Lists!$H$2:$I$6,2,FALSE),0))</f>
        <v/>
      </c>
      <c r="M68">
        <f>IF(N(H68)=0,0,IF(I68="Cr",-N(H68),N(H68)))</f>
        <v/>
      </c>
      <c r="N68">
        <f>IF(C68="Debtor",MAX(0,M68),IF(C68="Creditor",MAX(0,-M68),0))</f>
        <v/>
      </c>
      <c r="O68">
        <f>IF(C68="Debtor",MAX(0,-M68),IF(C68="Creditor",MAX(0,M68),0))</f>
        <v/>
      </c>
      <c r="P68">
        <f>IF(OR(AND(C68="Creditor",L68=1),AND(C68="Debtor",$E$9="Yes")),1,0)</f>
        <v/>
      </c>
      <c r="Q68">
        <f>IF(P68=1,IF(G68="",15,MIN(N(G68),45)),IF(G68="","",N(G68)))</f>
        <v/>
      </c>
    </row>
    <row r="69">
      <c r="B69" s="14" t="n"/>
      <c r="C69" s="20" t="n"/>
      <c r="D69" s="20" t="n"/>
      <c r="E69" s="14" t="n"/>
      <c r="F69" s="20" t="n"/>
      <c r="G69" s="21" t="n"/>
      <c r="H69" s="22" t="n"/>
      <c r="I69" s="20" t="n"/>
      <c r="J69" s="23">
        <f>IF(AND(B69="",C69="",N(H69)=0),"",IF(B69="","Enter the party name",IF(COUNTIF($B$13:$B$112,B69)&gt;1,"This name is used twice: enter each party once",IF(C69="","Pick Debtor or Creditor",IF(AND(N(H69)&gt;0,I69=""),"Pick Dr or Cr for the opening balance",IF(AND(L69=1,N(G69)&gt;45),"Over 45 days: the MSMED Act caps a written term at 45, so the book uses 45",IF(AND(L69=1,F69=""),"Ask for the Udyam Registration Number",IF(LEFT(E69,6)="Trader","Traders are MSMEs for bank lending only: ask your accountant before using the 45-day rule",IF(AND(C69="Creditor",LEFT(E69,6)="Medium"),"Medium enterprise: the MSMED payment rules do not apply",IF(AND(C69="Creditor",E69=""),"Ask the supplier whether they are a micro or small enterprise","OK"))))))))))</f>
        <v/>
      </c>
      <c r="L69">
        <f>IF(E69="",0,IFERROR(VLOOKUP(E69,Lists!$H$2:$I$6,2,FALSE),0))</f>
        <v/>
      </c>
      <c r="M69">
        <f>IF(N(H69)=0,0,IF(I69="Cr",-N(H69),N(H69)))</f>
        <v/>
      </c>
      <c r="N69">
        <f>IF(C69="Debtor",MAX(0,M69),IF(C69="Creditor",MAX(0,-M69),0))</f>
        <v/>
      </c>
      <c r="O69">
        <f>IF(C69="Debtor",MAX(0,-M69),IF(C69="Creditor",MAX(0,M69),0))</f>
        <v/>
      </c>
      <c r="P69">
        <f>IF(OR(AND(C69="Creditor",L69=1),AND(C69="Debtor",$E$9="Yes")),1,0)</f>
        <v/>
      </c>
      <c r="Q69">
        <f>IF(P69=1,IF(G69="",15,MIN(N(G69),45)),IF(G69="","",N(G69)))</f>
        <v/>
      </c>
    </row>
    <row r="70">
      <c r="B70" s="14" t="n"/>
      <c r="C70" s="20" t="n"/>
      <c r="D70" s="20" t="n"/>
      <c r="E70" s="14" t="n"/>
      <c r="F70" s="20" t="n"/>
      <c r="G70" s="21" t="n"/>
      <c r="H70" s="22" t="n"/>
      <c r="I70" s="20" t="n"/>
      <c r="J70" s="23">
        <f>IF(AND(B70="",C70="",N(H70)=0),"",IF(B70="","Enter the party name",IF(COUNTIF($B$13:$B$112,B70)&gt;1,"This name is used twice: enter each party once",IF(C70="","Pick Debtor or Creditor",IF(AND(N(H70)&gt;0,I70=""),"Pick Dr or Cr for the opening balance",IF(AND(L70=1,N(G70)&gt;45),"Over 45 days: the MSMED Act caps a written term at 45, so the book uses 45",IF(AND(L70=1,F70=""),"Ask for the Udyam Registration Number",IF(LEFT(E70,6)="Trader","Traders are MSMEs for bank lending only: ask your accountant before using the 45-day rule",IF(AND(C70="Creditor",LEFT(E70,6)="Medium"),"Medium enterprise: the MSMED payment rules do not apply",IF(AND(C70="Creditor",E70=""),"Ask the supplier whether they are a micro or small enterprise","OK"))))))))))</f>
        <v/>
      </c>
      <c r="L70">
        <f>IF(E70="",0,IFERROR(VLOOKUP(E70,Lists!$H$2:$I$6,2,FALSE),0))</f>
        <v/>
      </c>
      <c r="M70">
        <f>IF(N(H70)=0,0,IF(I70="Cr",-N(H70),N(H70)))</f>
        <v/>
      </c>
      <c r="N70">
        <f>IF(C70="Debtor",MAX(0,M70),IF(C70="Creditor",MAX(0,-M70),0))</f>
        <v/>
      </c>
      <c r="O70">
        <f>IF(C70="Debtor",MAX(0,-M70),IF(C70="Creditor",MAX(0,M70),0))</f>
        <v/>
      </c>
      <c r="P70">
        <f>IF(OR(AND(C70="Creditor",L70=1),AND(C70="Debtor",$E$9="Yes")),1,0)</f>
        <v/>
      </c>
      <c r="Q70">
        <f>IF(P70=1,IF(G70="",15,MIN(N(G70),45)),IF(G70="","",N(G70)))</f>
        <v/>
      </c>
    </row>
    <row r="71">
      <c r="B71" s="14" t="n"/>
      <c r="C71" s="20" t="n"/>
      <c r="D71" s="20" t="n"/>
      <c r="E71" s="14" t="n"/>
      <c r="F71" s="20" t="n"/>
      <c r="G71" s="21" t="n"/>
      <c r="H71" s="22" t="n"/>
      <c r="I71" s="20" t="n"/>
      <c r="J71" s="23">
        <f>IF(AND(B71="",C71="",N(H71)=0),"",IF(B71="","Enter the party name",IF(COUNTIF($B$13:$B$112,B71)&gt;1,"This name is used twice: enter each party once",IF(C71="","Pick Debtor or Creditor",IF(AND(N(H71)&gt;0,I71=""),"Pick Dr or Cr for the opening balance",IF(AND(L71=1,N(G71)&gt;45),"Over 45 days: the MSMED Act caps a written term at 45, so the book uses 45",IF(AND(L71=1,F71=""),"Ask for the Udyam Registration Number",IF(LEFT(E71,6)="Trader","Traders are MSMEs for bank lending only: ask your accountant before using the 45-day rule",IF(AND(C71="Creditor",LEFT(E71,6)="Medium"),"Medium enterprise: the MSMED payment rules do not apply",IF(AND(C71="Creditor",E71=""),"Ask the supplier whether they are a micro or small enterprise","OK"))))))))))</f>
        <v/>
      </c>
      <c r="L71">
        <f>IF(E71="",0,IFERROR(VLOOKUP(E71,Lists!$H$2:$I$6,2,FALSE),0))</f>
        <v/>
      </c>
      <c r="M71">
        <f>IF(N(H71)=0,0,IF(I71="Cr",-N(H71),N(H71)))</f>
        <v/>
      </c>
      <c r="N71">
        <f>IF(C71="Debtor",MAX(0,M71),IF(C71="Creditor",MAX(0,-M71),0))</f>
        <v/>
      </c>
      <c r="O71">
        <f>IF(C71="Debtor",MAX(0,-M71),IF(C71="Creditor",MAX(0,M71),0))</f>
        <v/>
      </c>
      <c r="P71">
        <f>IF(OR(AND(C71="Creditor",L71=1),AND(C71="Debtor",$E$9="Yes")),1,0)</f>
        <v/>
      </c>
      <c r="Q71">
        <f>IF(P71=1,IF(G71="",15,MIN(N(G71),45)),IF(G71="","",N(G71)))</f>
        <v/>
      </c>
    </row>
    <row r="72">
      <c r="B72" s="14" t="n"/>
      <c r="C72" s="20" t="n"/>
      <c r="D72" s="20" t="n"/>
      <c r="E72" s="14" t="n"/>
      <c r="F72" s="20" t="n"/>
      <c r="G72" s="21" t="n"/>
      <c r="H72" s="22" t="n"/>
      <c r="I72" s="20" t="n"/>
      <c r="J72" s="23">
        <f>IF(AND(B72="",C72="",N(H72)=0),"",IF(B72="","Enter the party name",IF(COUNTIF($B$13:$B$112,B72)&gt;1,"This name is used twice: enter each party once",IF(C72="","Pick Debtor or Creditor",IF(AND(N(H72)&gt;0,I72=""),"Pick Dr or Cr for the opening balance",IF(AND(L72=1,N(G72)&gt;45),"Over 45 days: the MSMED Act caps a written term at 45, so the book uses 45",IF(AND(L72=1,F72=""),"Ask for the Udyam Registration Number",IF(LEFT(E72,6)="Trader","Traders are MSMEs for bank lending only: ask your accountant before using the 45-day rule",IF(AND(C72="Creditor",LEFT(E72,6)="Medium"),"Medium enterprise: the MSMED payment rules do not apply",IF(AND(C72="Creditor",E72=""),"Ask the supplier whether they are a micro or small enterprise","OK"))))))))))</f>
        <v/>
      </c>
      <c r="L72">
        <f>IF(E72="",0,IFERROR(VLOOKUP(E72,Lists!$H$2:$I$6,2,FALSE),0))</f>
        <v/>
      </c>
      <c r="M72">
        <f>IF(N(H72)=0,0,IF(I72="Cr",-N(H72),N(H72)))</f>
        <v/>
      </c>
      <c r="N72">
        <f>IF(C72="Debtor",MAX(0,M72),IF(C72="Creditor",MAX(0,-M72),0))</f>
        <v/>
      </c>
      <c r="O72">
        <f>IF(C72="Debtor",MAX(0,-M72),IF(C72="Creditor",MAX(0,M72),0))</f>
        <v/>
      </c>
      <c r="P72">
        <f>IF(OR(AND(C72="Creditor",L72=1),AND(C72="Debtor",$E$9="Yes")),1,0)</f>
        <v/>
      </c>
      <c r="Q72">
        <f>IF(P72=1,IF(G72="",15,MIN(N(G72),45)),IF(G72="","",N(G72)))</f>
        <v/>
      </c>
    </row>
    <row r="73">
      <c r="B73" s="14" t="n"/>
      <c r="C73" s="20" t="n"/>
      <c r="D73" s="20" t="n"/>
      <c r="E73" s="14" t="n"/>
      <c r="F73" s="20" t="n"/>
      <c r="G73" s="21" t="n"/>
      <c r="H73" s="22" t="n"/>
      <c r="I73" s="20" t="n"/>
      <c r="J73" s="23">
        <f>IF(AND(B73="",C73="",N(H73)=0),"",IF(B73="","Enter the party name",IF(COUNTIF($B$13:$B$112,B73)&gt;1,"This name is used twice: enter each party once",IF(C73="","Pick Debtor or Creditor",IF(AND(N(H73)&gt;0,I73=""),"Pick Dr or Cr for the opening balance",IF(AND(L73=1,N(G73)&gt;45),"Over 45 days: the MSMED Act caps a written term at 45, so the book uses 45",IF(AND(L73=1,F73=""),"Ask for the Udyam Registration Number",IF(LEFT(E73,6)="Trader","Traders are MSMEs for bank lending only: ask your accountant before using the 45-day rule",IF(AND(C73="Creditor",LEFT(E73,6)="Medium"),"Medium enterprise: the MSMED payment rules do not apply",IF(AND(C73="Creditor",E73=""),"Ask the supplier whether they are a micro or small enterprise","OK"))))))))))</f>
        <v/>
      </c>
      <c r="L73">
        <f>IF(E73="",0,IFERROR(VLOOKUP(E73,Lists!$H$2:$I$6,2,FALSE),0))</f>
        <v/>
      </c>
      <c r="M73">
        <f>IF(N(H73)=0,0,IF(I73="Cr",-N(H73),N(H73)))</f>
        <v/>
      </c>
      <c r="N73">
        <f>IF(C73="Debtor",MAX(0,M73),IF(C73="Creditor",MAX(0,-M73),0))</f>
        <v/>
      </c>
      <c r="O73">
        <f>IF(C73="Debtor",MAX(0,-M73),IF(C73="Creditor",MAX(0,M73),0))</f>
        <v/>
      </c>
      <c r="P73">
        <f>IF(OR(AND(C73="Creditor",L73=1),AND(C73="Debtor",$E$9="Yes")),1,0)</f>
        <v/>
      </c>
      <c r="Q73">
        <f>IF(P73=1,IF(G73="",15,MIN(N(G73),45)),IF(G73="","",N(G73)))</f>
        <v/>
      </c>
    </row>
    <row r="74">
      <c r="B74" s="14" t="n"/>
      <c r="C74" s="20" t="n"/>
      <c r="D74" s="20" t="n"/>
      <c r="E74" s="14" t="n"/>
      <c r="F74" s="20" t="n"/>
      <c r="G74" s="21" t="n"/>
      <c r="H74" s="22" t="n"/>
      <c r="I74" s="20" t="n"/>
      <c r="J74" s="23">
        <f>IF(AND(B74="",C74="",N(H74)=0),"",IF(B74="","Enter the party name",IF(COUNTIF($B$13:$B$112,B74)&gt;1,"This name is used twice: enter each party once",IF(C74="","Pick Debtor or Creditor",IF(AND(N(H74)&gt;0,I74=""),"Pick Dr or Cr for the opening balance",IF(AND(L74=1,N(G74)&gt;45),"Over 45 days: the MSMED Act caps a written term at 45, so the book uses 45",IF(AND(L74=1,F74=""),"Ask for the Udyam Registration Number",IF(LEFT(E74,6)="Trader","Traders are MSMEs for bank lending only: ask your accountant before using the 45-day rule",IF(AND(C74="Creditor",LEFT(E74,6)="Medium"),"Medium enterprise: the MSMED payment rules do not apply",IF(AND(C74="Creditor",E74=""),"Ask the supplier whether they are a micro or small enterprise","OK"))))))))))</f>
        <v/>
      </c>
      <c r="L74">
        <f>IF(E74="",0,IFERROR(VLOOKUP(E74,Lists!$H$2:$I$6,2,FALSE),0))</f>
        <v/>
      </c>
      <c r="M74">
        <f>IF(N(H74)=0,0,IF(I74="Cr",-N(H74),N(H74)))</f>
        <v/>
      </c>
      <c r="N74">
        <f>IF(C74="Debtor",MAX(0,M74),IF(C74="Creditor",MAX(0,-M74),0))</f>
        <v/>
      </c>
      <c r="O74">
        <f>IF(C74="Debtor",MAX(0,-M74),IF(C74="Creditor",MAX(0,M74),0))</f>
        <v/>
      </c>
      <c r="P74">
        <f>IF(OR(AND(C74="Creditor",L74=1),AND(C74="Debtor",$E$9="Yes")),1,0)</f>
        <v/>
      </c>
      <c r="Q74">
        <f>IF(P74=1,IF(G74="",15,MIN(N(G74),45)),IF(G74="","",N(G74)))</f>
        <v/>
      </c>
    </row>
    <row r="75">
      <c r="B75" s="14" t="n"/>
      <c r="C75" s="20" t="n"/>
      <c r="D75" s="20" t="n"/>
      <c r="E75" s="14" t="n"/>
      <c r="F75" s="20" t="n"/>
      <c r="G75" s="21" t="n"/>
      <c r="H75" s="22" t="n"/>
      <c r="I75" s="20" t="n"/>
      <c r="J75" s="23">
        <f>IF(AND(B75="",C75="",N(H75)=0),"",IF(B75="","Enter the party name",IF(COUNTIF($B$13:$B$112,B75)&gt;1,"This name is used twice: enter each party once",IF(C75="","Pick Debtor or Creditor",IF(AND(N(H75)&gt;0,I75=""),"Pick Dr or Cr for the opening balance",IF(AND(L75=1,N(G75)&gt;45),"Over 45 days: the MSMED Act caps a written term at 45, so the book uses 45",IF(AND(L75=1,F75=""),"Ask for the Udyam Registration Number",IF(LEFT(E75,6)="Trader","Traders are MSMEs for bank lending only: ask your accountant before using the 45-day rule",IF(AND(C75="Creditor",LEFT(E75,6)="Medium"),"Medium enterprise: the MSMED payment rules do not apply",IF(AND(C75="Creditor",E75=""),"Ask the supplier whether they are a micro or small enterprise","OK"))))))))))</f>
        <v/>
      </c>
      <c r="L75">
        <f>IF(E75="",0,IFERROR(VLOOKUP(E75,Lists!$H$2:$I$6,2,FALSE),0))</f>
        <v/>
      </c>
      <c r="M75">
        <f>IF(N(H75)=0,0,IF(I75="Cr",-N(H75),N(H75)))</f>
        <v/>
      </c>
      <c r="N75">
        <f>IF(C75="Debtor",MAX(0,M75),IF(C75="Creditor",MAX(0,-M75),0))</f>
        <v/>
      </c>
      <c r="O75">
        <f>IF(C75="Debtor",MAX(0,-M75),IF(C75="Creditor",MAX(0,M75),0))</f>
        <v/>
      </c>
      <c r="P75">
        <f>IF(OR(AND(C75="Creditor",L75=1),AND(C75="Debtor",$E$9="Yes")),1,0)</f>
        <v/>
      </c>
      <c r="Q75">
        <f>IF(P75=1,IF(G75="",15,MIN(N(G75),45)),IF(G75="","",N(G75)))</f>
        <v/>
      </c>
    </row>
    <row r="76">
      <c r="B76" s="14" t="n"/>
      <c r="C76" s="20" t="n"/>
      <c r="D76" s="20" t="n"/>
      <c r="E76" s="14" t="n"/>
      <c r="F76" s="20" t="n"/>
      <c r="G76" s="21" t="n"/>
      <c r="H76" s="22" t="n"/>
      <c r="I76" s="20" t="n"/>
      <c r="J76" s="23">
        <f>IF(AND(B76="",C76="",N(H76)=0),"",IF(B76="","Enter the party name",IF(COUNTIF($B$13:$B$112,B76)&gt;1,"This name is used twice: enter each party once",IF(C76="","Pick Debtor or Creditor",IF(AND(N(H76)&gt;0,I76=""),"Pick Dr or Cr for the opening balance",IF(AND(L76=1,N(G76)&gt;45),"Over 45 days: the MSMED Act caps a written term at 45, so the book uses 45",IF(AND(L76=1,F76=""),"Ask for the Udyam Registration Number",IF(LEFT(E76,6)="Trader","Traders are MSMEs for bank lending only: ask your accountant before using the 45-day rule",IF(AND(C76="Creditor",LEFT(E76,6)="Medium"),"Medium enterprise: the MSMED payment rules do not apply",IF(AND(C76="Creditor",E76=""),"Ask the supplier whether they are a micro or small enterprise","OK"))))))))))</f>
        <v/>
      </c>
      <c r="L76">
        <f>IF(E76="",0,IFERROR(VLOOKUP(E76,Lists!$H$2:$I$6,2,FALSE),0))</f>
        <v/>
      </c>
      <c r="M76">
        <f>IF(N(H76)=0,0,IF(I76="Cr",-N(H76),N(H76)))</f>
        <v/>
      </c>
      <c r="N76">
        <f>IF(C76="Debtor",MAX(0,M76),IF(C76="Creditor",MAX(0,-M76),0))</f>
        <v/>
      </c>
      <c r="O76">
        <f>IF(C76="Debtor",MAX(0,-M76),IF(C76="Creditor",MAX(0,M76),0))</f>
        <v/>
      </c>
      <c r="P76">
        <f>IF(OR(AND(C76="Creditor",L76=1),AND(C76="Debtor",$E$9="Yes")),1,0)</f>
        <v/>
      </c>
      <c r="Q76">
        <f>IF(P76=1,IF(G76="",15,MIN(N(G76),45)),IF(G76="","",N(G76)))</f>
        <v/>
      </c>
    </row>
    <row r="77">
      <c r="B77" s="14" t="n"/>
      <c r="C77" s="20" t="n"/>
      <c r="D77" s="20" t="n"/>
      <c r="E77" s="14" t="n"/>
      <c r="F77" s="20" t="n"/>
      <c r="G77" s="21" t="n"/>
      <c r="H77" s="22" t="n"/>
      <c r="I77" s="20" t="n"/>
      <c r="J77" s="23">
        <f>IF(AND(B77="",C77="",N(H77)=0),"",IF(B77="","Enter the party name",IF(COUNTIF($B$13:$B$112,B77)&gt;1,"This name is used twice: enter each party once",IF(C77="","Pick Debtor or Creditor",IF(AND(N(H77)&gt;0,I77=""),"Pick Dr or Cr for the opening balance",IF(AND(L77=1,N(G77)&gt;45),"Over 45 days: the MSMED Act caps a written term at 45, so the book uses 45",IF(AND(L77=1,F77=""),"Ask for the Udyam Registration Number",IF(LEFT(E77,6)="Trader","Traders are MSMEs for bank lending only: ask your accountant before using the 45-day rule",IF(AND(C77="Creditor",LEFT(E77,6)="Medium"),"Medium enterprise: the MSMED payment rules do not apply",IF(AND(C77="Creditor",E77=""),"Ask the supplier whether they are a micro or small enterprise","OK"))))))))))</f>
        <v/>
      </c>
      <c r="L77">
        <f>IF(E77="",0,IFERROR(VLOOKUP(E77,Lists!$H$2:$I$6,2,FALSE),0))</f>
        <v/>
      </c>
      <c r="M77">
        <f>IF(N(H77)=0,0,IF(I77="Cr",-N(H77),N(H77)))</f>
        <v/>
      </c>
      <c r="N77">
        <f>IF(C77="Debtor",MAX(0,M77),IF(C77="Creditor",MAX(0,-M77),0))</f>
        <v/>
      </c>
      <c r="O77">
        <f>IF(C77="Debtor",MAX(0,-M77),IF(C77="Creditor",MAX(0,M77),0))</f>
        <v/>
      </c>
      <c r="P77">
        <f>IF(OR(AND(C77="Creditor",L77=1),AND(C77="Debtor",$E$9="Yes")),1,0)</f>
        <v/>
      </c>
      <c r="Q77">
        <f>IF(P77=1,IF(G77="",15,MIN(N(G77),45)),IF(G77="","",N(G77)))</f>
        <v/>
      </c>
    </row>
    <row r="78">
      <c r="B78" s="14" t="n"/>
      <c r="C78" s="20" t="n"/>
      <c r="D78" s="20" t="n"/>
      <c r="E78" s="14" t="n"/>
      <c r="F78" s="20" t="n"/>
      <c r="G78" s="21" t="n"/>
      <c r="H78" s="22" t="n"/>
      <c r="I78" s="20" t="n"/>
      <c r="J78" s="23">
        <f>IF(AND(B78="",C78="",N(H78)=0),"",IF(B78="","Enter the party name",IF(COUNTIF($B$13:$B$112,B78)&gt;1,"This name is used twice: enter each party once",IF(C78="","Pick Debtor or Creditor",IF(AND(N(H78)&gt;0,I78=""),"Pick Dr or Cr for the opening balance",IF(AND(L78=1,N(G78)&gt;45),"Over 45 days: the MSMED Act caps a written term at 45, so the book uses 45",IF(AND(L78=1,F78=""),"Ask for the Udyam Registration Number",IF(LEFT(E78,6)="Trader","Traders are MSMEs for bank lending only: ask your accountant before using the 45-day rule",IF(AND(C78="Creditor",LEFT(E78,6)="Medium"),"Medium enterprise: the MSMED payment rules do not apply",IF(AND(C78="Creditor",E78=""),"Ask the supplier whether they are a micro or small enterprise","OK"))))))))))</f>
        <v/>
      </c>
      <c r="L78">
        <f>IF(E78="",0,IFERROR(VLOOKUP(E78,Lists!$H$2:$I$6,2,FALSE),0))</f>
        <v/>
      </c>
      <c r="M78">
        <f>IF(N(H78)=0,0,IF(I78="Cr",-N(H78),N(H78)))</f>
        <v/>
      </c>
      <c r="N78">
        <f>IF(C78="Debtor",MAX(0,M78),IF(C78="Creditor",MAX(0,-M78),0))</f>
        <v/>
      </c>
      <c r="O78">
        <f>IF(C78="Debtor",MAX(0,-M78),IF(C78="Creditor",MAX(0,M78),0))</f>
        <v/>
      </c>
      <c r="P78">
        <f>IF(OR(AND(C78="Creditor",L78=1),AND(C78="Debtor",$E$9="Yes")),1,0)</f>
        <v/>
      </c>
      <c r="Q78">
        <f>IF(P78=1,IF(G78="",15,MIN(N(G78),45)),IF(G78="","",N(G78)))</f>
        <v/>
      </c>
    </row>
    <row r="79">
      <c r="B79" s="14" t="n"/>
      <c r="C79" s="20" t="n"/>
      <c r="D79" s="20" t="n"/>
      <c r="E79" s="14" t="n"/>
      <c r="F79" s="20" t="n"/>
      <c r="G79" s="21" t="n"/>
      <c r="H79" s="22" t="n"/>
      <c r="I79" s="20" t="n"/>
      <c r="J79" s="23">
        <f>IF(AND(B79="",C79="",N(H79)=0),"",IF(B79="","Enter the party name",IF(COUNTIF($B$13:$B$112,B79)&gt;1,"This name is used twice: enter each party once",IF(C79="","Pick Debtor or Creditor",IF(AND(N(H79)&gt;0,I79=""),"Pick Dr or Cr for the opening balance",IF(AND(L79=1,N(G79)&gt;45),"Over 45 days: the MSMED Act caps a written term at 45, so the book uses 45",IF(AND(L79=1,F79=""),"Ask for the Udyam Registration Number",IF(LEFT(E79,6)="Trader","Traders are MSMEs for bank lending only: ask your accountant before using the 45-day rule",IF(AND(C79="Creditor",LEFT(E79,6)="Medium"),"Medium enterprise: the MSMED payment rules do not apply",IF(AND(C79="Creditor",E79=""),"Ask the supplier whether they are a micro or small enterprise","OK"))))))))))</f>
        <v/>
      </c>
      <c r="L79">
        <f>IF(E79="",0,IFERROR(VLOOKUP(E79,Lists!$H$2:$I$6,2,FALSE),0))</f>
        <v/>
      </c>
      <c r="M79">
        <f>IF(N(H79)=0,0,IF(I79="Cr",-N(H79),N(H79)))</f>
        <v/>
      </c>
      <c r="N79">
        <f>IF(C79="Debtor",MAX(0,M79),IF(C79="Creditor",MAX(0,-M79),0))</f>
        <v/>
      </c>
      <c r="O79">
        <f>IF(C79="Debtor",MAX(0,-M79),IF(C79="Creditor",MAX(0,M79),0))</f>
        <v/>
      </c>
      <c r="P79">
        <f>IF(OR(AND(C79="Creditor",L79=1),AND(C79="Debtor",$E$9="Yes")),1,0)</f>
        <v/>
      </c>
      <c r="Q79">
        <f>IF(P79=1,IF(G79="",15,MIN(N(G79),45)),IF(G79="","",N(G79)))</f>
        <v/>
      </c>
    </row>
    <row r="80">
      <c r="B80" s="14" t="n"/>
      <c r="C80" s="20" t="n"/>
      <c r="D80" s="20" t="n"/>
      <c r="E80" s="14" t="n"/>
      <c r="F80" s="20" t="n"/>
      <c r="G80" s="21" t="n"/>
      <c r="H80" s="22" t="n"/>
      <c r="I80" s="20" t="n"/>
      <c r="J80" s="23">
        <f>IF(AND(B80="",C80="",N(H80)=0),"",IF(B80="","Enter the party name",IF(COUNTIF($B$13:$B$112,B80)&gt;1,"This name is used twice: enter each party once",IF(C80="","Pick Debtor or Creditor",IF(AND(N(H80)&gt;0,I80=""),"Pick Dr or Cr for the opening balance",IF(AND(L80=1,N(G80)&gt;45),"Over 45 days: the MSMED Act caps a written term at 45, so the book uses 45",IF(AND(L80=1,F80=""),"Ask for the Udyam Registration Number",IF(LEFT(E80,6)="Trader","Traders are MSMEs for bank lending only: ask your accountant before using the 45-day rule",IF(AND(C80="Creditor",LEFT(E80,6)="Medium"),"Medium enterprise: the MSMED payment rules do not apply",IF(AND(C80="Creditor",E80=""),"Ask the supplier whether they are a micro or small enterprise","OK"))))))))))</f>
        <v/>
      </c>
      <c r="L80">
        <f>IF(E80="",0,IFERROR(VLOOKUP(E80,Lists!$H$2:$I$6,2,FALSE),0))</f>
        <v/>
      </c>
      <c r="M80">
        <f>IF(N(H80)=0,0,IF(I80="Cr",-N(H80),N(H80)))</f>
        <v/>
      </c>
      <c r="N80">
        <f>IF(C80="Debtor",MAX(0,M80),IF(C80="Creditor",MAX(0,-M80),0))</f>
        <v/>
      </c>
      <c r="O80">
        <f>IF(C80="Debtor",MAX(0,-M80),IF(C80="Creditor",MAX(0,M80),0))</f>
        <v/>
      </c>
      <c r="P80">
        <f>IF(OR(AND(C80="Creditor",L80=1),AND(C80="Debtor",$E$9="Yes")),1,0)</f>
        <v/>
      </c>
      <c r="Q80">
        <f>IF(P80=1,IF(G80="",15,MIN(N(G80),45)),IF(G80="","",N(G80)))</f>
        <v/>
      </c>
    </row>
    <row r="81">
      <c r="B81" s="14" t="n"/>
      <c r="C81" s="20" t="n"/>
      <c r="D81" s="20" t="n"/>
      <c r="E81" s="14" t="n"/>
      <c r="F81" s="20" t="n"/>
      <c r="G81" s="21" t="n"/>
      <c r="H81" s="22" t="n"/>
      <c r="I81" s="20" t="n"/>
      <c r="J81" s="23">
        <f>IF(AND(B81="",C81="",N(H81)=0),"",IF(B81="","Enter the party name",IF(COUNTIF($B$13:$B$112,B81)&gt;1,"This name is used twice: enter each party once",IF(C81="","Pick Debtor or Creditor",IF(AND(N(H81)&gt;0,I81=""),"Pick Dr or Cr for the opening balance",IF(AND(L81=1,N(G81)&gt;45),"Over 45 days: the MSMED Act caps a written term at 45, so the book uses 45",IF(AND(L81=1,F81=""),"Ask for the Udyam Registration Number",IF(LEFT(E81,6)="Trader","Traders are MSMEs for bank lending only: ask your accountant before using the 45-day rule",IF(AND(C81="Creditor",LEFT(E81,6)="Medium"),"Medium enterprise: the MSMED payment rules do not apply",IF(AND(C81="Creditor",E81=""),"Ask the supplier whether they are a micro or small enterprise","OK"))))))))))</f>
        <v/>
      </c>
      <c r="L81">
        <f>IF(E81="",0,IFERROR(VLOOKUP(E81,Lists!$H$2:$I$6,2,FALSE),0))</f>
        <v/>
      </c>
      <c r="M81">
        <f>IF(N(H81)=0,0,IF(I81="Cr",-N(H81),N(H81)))</f>
        <v/>
      </c>
      <c r="N81">
        <f>IF(C81="Debtor",MAX(0,M81),IF(C81="Creditor",MAX(0,-M81),0))</f>
        <v/>
      </c>
      <c r="O81">
        <f>IF(C81="Debtor",MAX(0,-M81),IF(C81="Creditor",MAX(0,M81),0))</f>
        <v/>
      </c>
      <c r="P81">
        <f>IF(OR(AND(C81="Creditor",L81=1),AND(C81="Debtor",$E$9="Yes")),1,0)</f>
        <v/>
      </c>
      <c r="Q81">
        <f>IF(P81=1,IF(G81="",15,MIN(N(G81),45)),IF(G81="","",N(G81)))</f>
        <v/>
      </c>
    </row>
    <row r="82">
      <c r="B82" s="14" t="n"/>
      <c r="C82" s="20" t="n"/>
      <c r="D82" s="20" t="n"/>
      <c r="E82" s="14" t="n"/>
      <c r="F82" s="20" t="n"/>
      <c r="G82" s="21" t="n"/>
      <c r="H82" s="22" t="n"/>
      <c r="I82" s="20" t="n"/>
      <c r="J82" s="23">
        <f>IF(AND(B82="",C82="",N(H82)=0),"",IF(B82="","Enter the party name",IF(COUNTIF($B$13:$B$112,B82)&gt;1,"This name is used twice: enter each party once",IF(C82="","Pick Debtor or Creditor",IF(AND(N(H82)&gt;0,I82=""),"Pick Dr or Cr for the opening balance",IF(AND(L82=1,N(G82)&gt;45),"Over 45 days: the MSMED Act caps a written term at 45, so the book uses 45",IF(AND(L82=1,F82=""),"Ask for the Udyam Registration Number",IF(LEFT(E82,6)="Trader","Traders are MSMEs for bank lending only: ask your accountant before using the 45-day rule",IF(AND(C82="Creditor",LEFT(E82,6)="Medium"),"Medium enterprise: the MSMED payment rules do not apply",IF(AND(C82="Creditor",E82=""),"Ask the supplier whether they are a micro or small enterprise","OK"))))))))))</f>
        <v/>
      </c>
      <c r="L82">
        <f>IF(E82="",0,IFERROR(VLOOKUP(E82,Lists!$H$2:$I$6,2,FALSE),0))</f>
        <v/>
      </c>
      <c r="M82">
        <f>IF(N(H82)=0,0,IF(I82="Cr",-N(H82),N(H82)))</f>
        <v/>
      </c>
      <c r="N82">
        <f>IF(C82="Debtor",MAX(0,M82),IF(C82="Creditor",MAX(0,-M82),0))</f>
        <v/>
      </c>
      <c r="O82">
        <f>IF(C82="Debtor",MAX(0,-M82),IF(C82="Creditor",MAX(0,M82),0))</f>
        <v/>
      </c>
      <c r="P82">
        <f>IF(OR(AND(C82="Creditor",L82=1),AND(C82="Debtor",$E$9="Yes")),1,0)</f>
        <v/>
      </c>
      <c r="Q82">
        <f>IF(P82=1,IF(G82="",15,MIN(N(G82),45)),IF(G82="","",N(G82)))</f>
        <v/>
      </c>
    </row>
    <row r="83">
      <c r="B83" s="14" t="n"/>
      <c r="C83" s="20" t="n"/>
      <c r="D83" s="20" t="n"/>
      <c r="E83" s="14" t="n"/>
      <c r="F83" s="20" t="n"/>
      <c r="G83" s="21" t="n"/>
      <c r="H83" s="22" t="n"/>
      <c r="I83" s="20" t="n"/>
      <c r="J83" s="23">
        <f>IF(AND(B83="",C83="",N(H83)=0),"",IF(B83="","Enter the party name",IF(COUNTIF($B$13:$B$112,B83)&gt;1,"This name is used twice: enter each party once",IF(C83="","Pick Debtor or Creditor",IF(AND(N(H83)&gt;0,I83=""),"Pick Dr or Cr for the opening balance",IF(AND(L83=1,N(G83)&gt;45),"Over 45 days: the MSMED Act caps a written term at 45, so the book uses 45",IF(AND(L83=1,F83=""),"Ask for the Udyam Registration Number",IF(LEFT(E83,6)="Trader","Traders are MSMEs for bank lending only: ask your accountant before using the 45-day rule",IF(AND(C83="Creditor",LEFT(E83,6)="Medium"),"Medium enterprise: the MSMED payment rules do not apply",IF(AND(C83="Creditor",E83=""),"Ask the supplier whether they are a micro or small enterprise","OK"))))))))))</f>
        <v/>
      </c>
      <c r="L83">
        <f>IF(E83="",0,IFERROR(VLOOKUP(E83,Lists!$H$2:$I$6,2,FALSE),0))</f>
        <v/>
      </c>
      <c r="M83">
        <f>IF(N(H83)=0,0,IF(I83="Cr",-N(H83),N(H83)))</f>
        <v/>
      </c>
      <c r="N83">
        <f>IF(C83="Debtor",MAX(0,M83),IF(C83="Creditor",MAX(0,-M83),0))</f>
        <v/>
      </c>
      <c r="O83">
        <f>IF(C83="Debtor",MAX(0,-M83),IF(C83="Creditor",MAX(0,M83),0))</f>
        <v/>
      </c>
      <c r="P83">
        <f>IF(OR(AND(C83="Creditor",L83=1),AND(C83="Debtor",$E$9="Yes")),1,0)</f>
        <v/>
      </c>
      <c r="Q83">
        <f>IF(P83=1,IF(G83="",15,MIN(N(G83),45)),IF(G83="","",N(G83)))</f>
        <v/>
      </c>
    </row>
    <row r="84">
      <c r="B84" s="14" t="n"/>
      <c r="C84" s="20" t="n"/>
      <c r="D84" s="20" t="n"/>
      <c r="E84" s="14" t="n"/>
      <c r="F84" s="20" t="n"/>
      <c r="G84" s="21" t="n"/>
      <c r="H84" s="22" t="n"/>
      <c r="I84" s="20" t="n"/>
      <c r="J84" s="23">
        <f>IF(AND(B84="",C84="",N(H84)=0),"",IF(B84="","Enter the party name",IF(COUNTIF($B$13:$B$112,B84)&gt;1,"This name is used twice: enter each party once",IF(C84="","Pick Debtor or Creditor",IF(AND(N(H84)&gt;0,I84=""),"Pick Dr or Cr for the opening balance",IF(AND(L84=1,N(G84)&gt;45),"Over 45 days: the MSMED Act caps a written term at 45, so the book uses 45",IF(AND(L84=1,F84=""),"Ask for the Udyam Registration Number",IF(LEFT(E84,6)="Trader","Traders are MSMEs for bank lending only: ask your accountant before using the 45-day rule",IF(AND(C84="Creditor",LEFT(E84,6)="Medium"),"Medium enterprise: the MSMED payment rules do not apply",IF(AND(C84="Creditor",E84=""),"Ask the supplier whether they are a micro or small enterprise","OK"))))))))))</f>
        <v/>
      </c>
      <c r="L84">
        <f>IF(E84="",0,IFERROR(VLOOKUP(E84,Lists!$H$2:$I$6,2,FALSE),0))</f>
        <v/>
      </c>
      <c r="M84">
        <f>IF(N(H84)=0,0,IF(I84="Cr",-N(H84),N(H84)))</f>
        <v/>
      </c>
      <c r="N84">
        <f>IF(C84="Debtor",MAX(0,M84),IF(C84="Creditor",MAX(0,-M84),0))</f>
        <v/>
      </c>
      <c r="O84">
        <f>IF(C84="Debtor",MAX(0,-M84),IF(C84="Creditor",MAX(0,M84),0))</f>
        <v/>
      </c>
      <c r="P84">
        <f>IF(OR(AND(C84="Creditor",L84=1),AND(C84="Debtor",$E$9="Yes")),1,0)</f>
        <v/>
      </c>
      <c r="Q84">
        <f>IF(P84=1,IF(G84="",15,MIN(N(G84),45)),IF(G84="","",N(G84)))</f>
        <v/>
      </c>
    </row>
    <row r="85">
      <c r="B85" s="14" t="n"/>
      <c r="C85" s="20" t="n"/>
      <c r="D85" s="20" t="n"/>
      <c r="E85" s="14" t="n"/>
      <c r="F85" s="20" t="n"/>
      <c r="G85" s="21" t="n"/>
      <c r="H85" s="22" t="n"/>
      <c r="I85" s="20" t="n"/>
      <c r="J85" s="23">
        <f>IF(AND(B85="",C85="",N(H85)=0),"",IF(B85="","Enter the party name",IF(COUNTIF($B$13:$B$112,B85)&gt;1,"This name is used twice: enter each party once",IF(C85="","Pick Debtor or Creditor",IF(AND(N(H85)&gt;0,I85=""),"Pick Dr or Cr for the opening balance",IF(AND(L85=1,N(G85)&gt;45),"Over 45 days: the MSMED Act caps a written term at 45, so the book uses 45",IF(AND(L85=1,F85=""),"Ask for the Udyam Registration Number",IF(LEFT(E85,6)="Trader","Traders are MSMEs for bank lending only: ask your accountant before using the 45-day rule",IF(AND(C85="Creditor",LEFT(E85,6)="Medium"),"Medium enterprise: the MSMED payment rules do not apply",IF(AND(C85="Creditor",E85=""),"Ask the supplier whether they are a micro or small enterprise","OK"))))))))))</f>
        <v/>
      </c>
      <c r="L85">
        <f>IF(E85="",0,IFERROR(VLOOKUP(E85,Lists!$H$2:$I$6,2,FALSE),0))</f>
        <v/>
      </c>
      <c r="M85">
        <f>IF(N(H85)=0,0,IF(I85="Cr",-N(H85),N(H85)))</f>
        <v/>
      </c>
      <c r="N85">
        <f>IF(C85="Debtor",MAX(0,M85),IF(C85="Creditor",MAX(0,-M85),0))</f>
        <v/>
      </c>
      <c r="O85">
        <f>IF(C85="Debtor",MAX(0,-M85),IF(C85="Creditor",MAX(0,M85),0))</f>
        <v/>
      </c>
      <c r="P85">
        <f>IF(OR(AND(C85="Creditor",L85=1),AND(C85="Debtor",$E$9="Yes")),1,0)</f>
        <v/>
      </c>
      <c r="Q85">
        <f>IF(P85=1,IF(G85="",15,MIN(N(G85),45)),IF(G85="","",N(G85)))</f>
        <v/>
      </c>
    </row>
    <row r="86">
      <c r="B86" s="14" t="n"/>
      <c r="C86" s="20" t="n"/>
      <c r="D86" s="20" t="n"/>
      <c r="E86" s="14" t="n"/>
      <c r="F86" s="20" t="n"/>
      <c r="G86" s="21" t="n"/>
      <c r="H86" s="22" t="n"/>
      <c r="I86" s="20" t="n"/>
      <c r="J86" s="23">
        <f>IF(AND(B86="",C86="",N(H86)=0),"",IF(B86="","Enter the party name",IF(COUNTIF($B$13:$B$112,B86)&gt;1,"This name is used twice: enter each party once",IF(C86="","Pick Debtor or Creditor",IF(AND(N(H86)&gt;0,I86=""),"Pick Dr or Cr for the opening balance",IF(AND(L86=1,N(G86)&gt;45),"Over 45 days: the MSMED Act caps a written term at 45, so the book uses 45",IF(AND(L86=1,F86=""),"Ask for the Udyam Registration Number",IF(LEFT(E86,6)="Trader","Traders are MSMEs for bank lending only: ask your accountant before using the 45-day rule",IF(AND(C86="Creditor",LEFT(E86,6)="Medium"),"Medium enterprise: the MSMED payment rules do not apply",IF(AND(C86="Creditor",E86=""),"Ask the supplier whether they are a micro or small enterprise","OK"))))))))))</f>
        <v/>
      </c>
      <c r="L86">
        <f>IF(E86="",0,IFERROR(VLOOKUP(E86,Lists!$H$2:$I$6,2,FALSE),0))</f>
        <v/>
      </c>
      <c r="M86">
        <f>IF(N(H86)=0,0,IF(I86="Cr",-N(H86),N(H86)))</f>
        <v/>
      </c>
      <c r="N86">
        <f>IF(C86="Debtor",MAX(0,M86),IF(C86="Creditor",MAX(0,-M86),0))</f>
        <v/>
      </c>
      <c r="O86">
        <f>IF(C86="Debtor",MAX(0,-M86),IF(C86="Creditor",MAX(0,M86),0))</f>
        <v/>
      </c>
      <c r="P86">
        <f>IF(OR(AND(C86="Creditor",L86=1),AND(C86="Debtor",$E$9="Yes")),1,0)</f>
        <v/>
      </c>
      <c r="Q86">
        <f>IF(P86=1,IF(G86="",15,MIN(N(G86),45)),IF(G86="","",N(G86)))</f>
        <v/>
      </c>
    </row>
    <row r="87">
      <c r="B87" s="14" t="n"/>
      <c r="C87" s="20" t="n"/>
      <c r="D87" s="20" t="n"/>
      <c r="E87" s="14" t="n"/>
      <c r="F87" s="20" t="n"/>
      <c r="G87" s="21" t="n"/>
      <c r="H87" s="22" t="n"/>
      <c r="I87" s="20" t="n"/>
      <c r="J87" s="23">
        <f>IF(AND(B87="",C87="",N(H87)=0),"",IF(B87="","Enter the party name",IF(COUNTIF($B$13:$B$112,B87)&gt;1,"This name is used twice: enter each party once",IF(C87="","Pick Debtor or Creditor",IF(AND(N(H87)&gt;0,I87=""),"Pick Dr or Cr for the opening balance",IF(AND(L87=1,N(G87)&gt;45),"Over 45 days: the MSMED Act caps a written term at 45, so the book uses 45",IF(AND(L87=1,F87=""),"Ask for the Udyam Registration Number",IF(LEFT(E87,6)="Trader","Traders are MSMEs for bank lending only: ask your accountant before using the 45-day rule",IF(AND(C87="Creditor",LEFT(E87,6)="Medium"),"Medium enterprise: the MSMED payment rules do not apply",IF(AND(C87="Creditor",E87=""),"Ask the supplier whether they are a micro or small enterprise","OK"))))))))))</f>
        <v/>
      </c>
      <c r="L87">
        <f>IF(E87="",0,IFERROR(VLOOKUP(E87,Lists!$H$2:$I$6,2,FALSE),0))</f>
        <v/>
      </c>
      <c r="M87">
        <f>IF(N(H87)=0,0,IF(I87="Cr",-N(H87),N(H87)))</f>
        <v/>
      </c>
      <c r="N87">
        <f>IF(C87="Debtor",MAX(0,M87),IF(C87="Creditor",MAX(0,-M87),0))</f>
        <v/>
      </c>
      <c r="O87">
        <f>IF(C87="Debtor",MAX(0,-M87),IF(C87="Creditor",MAX(0,M87),0))</f>
        <v/>
      </c>
      <c r="P87">
        <f>IF(OR(AND(C87="Creditor",L87=1),AND(C87="Debtor",$E$9="Yes")),1,0)</f>
        <v/>
      </c>
      <c r="Q87">
        <f>IF(P87=1,IF(G87="",15,MIN(N(G87),45)),IF(G87="","",N(G87)))</f>
        <v/>
      </c>
    </row>
    <row r="88">
      <c r="B88" s="14" t="n"/>
      <c r="C88" s="20" t="n"/>
      <c r="D88" s="20" t="n"/>
      <c r="E88" s="14" t="n"/>
      <c r="F88" s="20" t="n"/>
      <c r="G88" s="21" t="n"/>
      <c r="H88" s="22" t="n"/>
      <c r="I88" s="20" t="n"/>
      <c r="J88" s="23">
        <f>IF(AND(B88="",C88="",N(H88)=0),"",IF(B88="","Enter the party name",IF(COUNTIF($B$13:$B$112,B88)&gt;1,"This name is used twice: enter each party once",IF(C88="","Pick Debtor or Creditor",IF(AND(N(H88)&gt;0,I88=""),"Pick Dr or Cr for the opening balance",IF(AND(L88=1,N(G88)&gt;45),"Over 45 days: the MSMED Act caps a written term at 45, so the book uses 45",IF(AND(L88=1,F88=""),"Ask for the Udyam Registration Number",IF(LEFT(E88,6)="Trader","Traders are MSMEs for bank lending only: ask your accountant before using the 45-day rule",IF(AND(C88="Creditor",LEFT(E88,6)="Medium"),"Medium enterprise: the MSMED payment rules do not apply",IF(AND(C88="Creditor",E88=""),"Ask the supplier whether they are a micro or small enterprise","OK"))))))))))</f>
        <v/>
      </c>
      <c r="L88">
        <f>IF(E88="",0,IFERROR(VLOOKUP(E88,Lists!$H$2:$I$6,2,FALSE),0))</f>
        <v/>
      </c>
      <c r="M88">
        <f>IF(N(H88)=0,0,IF(I88="Cr",-N(H88),N(H88)))</f>
        <v/>
      </c>
      <c r="N88">
        <f>IF(C88="Debtor",MAX(0,M88),IF(C88="Creditor",MAX(0,-M88),0))</f>
        <v/>
      </c>
      <c r="O88">
        <f>IF(C88="Debtor",MAX(0,-M88),IF(C88="Creditor",MAX(0,M88),0))</f>
        <v/>
      </c>
      <c r="P88">
        <f>IF(OR(AND(C88="Creditor",L88=1),AND(C88="Debtor",$E$9="Yes")),1,0)</f>
        <v/>
      </c>
      <c r="Q88">
        <f>IF(P88=1,IF(G88="",15,MIN(N(G88),45)),IF(G88="","",N(G88)))</f>
        <v/>
      </c>
    </row>
    <row r="89">
      <c r="B89" s="14" t="n"/>
      <c r="C89" s="20" t="n"/>
      <c r="D89" s="20" t="n"/>
      <c r="E89" s="14" t="n"/>
      <c r="F89" s="20" t="n"/>
      <c r="G89" s="21" t="n"/>
      <c r="H89" s="22" t="n"/>
      <c r="I89" s="20" t="n"/>
      <c r="J89" s="23">
        <f>IF(AND(B89="",C89="",N(H89)=0),"",IF(B89="","Enter the party name",IF(COUNTIF($B$13:$B$112,B89)&gt;1,"This name is used twice: enter each party once",IF(C89="","Pick Debtor or Creditor",IF(AND(N(H89)&gt;0,I89=""),"Pick Dr or Cr for the opening balance",IF(AND(L89=1,N(G89)&gt;45),"Over 45 days: the MSMED Act caps a written term at 45, so the book uses 45",IF(AND(L89=1,F89=""),"Ask for the Udyam Registration Number",IF(LEFT(E89,6)="Trader","Traders are MSMEs for bank lending only: ask your accountant before using the 45-day rule",IF(AND(C89="Creditor",LEFT(E89,6)="Medium"),"Medium enterprise: the MSMED payment rules do not apply",IF(AND(C89="Creditor",E89=""),"Ask the supplier whether they are a micro or small enterprise","OK"))))))))))</f>
        <v/>
      </c>
      <c r="L89">
        <f>IF(E89="",0,IFERROR(VLOOKUP(E89,Lists!$H$2:$I$6,2,FALSE),0))</f>
        <v/>
      </c>
      <c r="M89">
        <f>IF(N(H89)=0,0,IF(I89="Cr",-N(H89),N(H89)))</f>
        <v/>
      </c>
      <c r="N89">
        <f>IF(C89="Debtor",MAX(0,M89),IF(C89="Creditor",MAX(0,-M89),0))</f>
        <v/>
      </c>
      <c r="O89">
        <f>IF(C89="Debtor",MAX(0,-M89),IF(C89="Creditor",MAX(0,M89),0))</f>
        <v/>
      </c>
      <c r="P89">
        <f>IF(OR(AND(C89="Creditor",L89=1),AND(C89="Debtor",$E$9="Yes")),1,0)</f>
        <v/>
      </c>
      <c r="Q89">
        <f>IF(P89=1,IF(G89="",15,MIN(N(G89),45)),IF(G89="","",N(G89)))</f>
        <v/>
      </c>
    </row>
    <row r="90">
      <c r="B90" s="14" t="n"/>
      <c r="C90" s="20" t="n"/>
      <c r="D90" s="20" t="n"/>
      <c r="E90" s="14" t="n"/>
      <c r="F90" s="20" t="n"/>
      <c r="G90" s="21" t="n"/>
      <c r="H90" s="22" t="n"/>
      <c r="I90" s="20" t="n"/>
      <c r="J90" s="23">
        <f>IF(AND(B90="",C90="",N(H90)=0),"",IF(B90="","Enter the party name",IF(COUNTIF($B$13:$B$112,B90)&gt;1,"This name is used twice: enter each party once",IF(C90="","Pick Debtor or Creditor",IF(AND(N(H90)&gt;0,I90=""),"Pick Dr or Cr for the opening balance",IF(AND(L90=1,N(G90)&gt;45),"Over 45 days: the MSMED Act caps a written term at 45, so the book uses 45",IF(AND(L90=1,F90=""),"Ask for the Udyam Registration Number",IF(LEFT(E90,6)="Trader","Traders are MSMEs for bank lending only: ask your accountant before using the 45-day rule",IF(AND(C90="Creditor",LEFT(E90,6)="Medium"),"Medium enterprise: the MSMED payment rules do not apply",IF(AND(C90="Creditor",E90=""),"Ask the supplier whether they are a micro or small enterprise","OK"))))))))))</f>
        <v/>
      </c>
      <c r="L90">
        <f>IF(E90="",0,IFERROR(VLOOKUP(E90,Lists!$H$2:$I$6,2,FALSE),0))</f>
        <v/>
      </c>
      <c r="M90">
        <f>IF(N(H90)=0,0,IF(I90="Cr",-N(H90),N(H90)))</f>
        <v/>
      </c>
      <c r="N90">
        <f>IF(C90="Debtor",MAX(0,M90),IF(C90="Creditor",MAX(0,-M90),0))</f>
        <v/>
      </c>
      <c r="O90">
        <f>IF(C90="Debtor",MAX(0,-M90),IF(C90="Creditor",MAX(0,M90),0))</f>
        <v/>
      </c>
      <c r="P90">
        <f>IF(OR(AND(C90="Creditor",L90=1),AND(C90="Debtor",$E$9="Yes")),1,0)</f>
        <v/>
      </c>
      <c r="Q90">
        <f>IF(P90=1,IF(G90="",15,MIN(N(G90),45)),IF(G90="","",N(G90)))</f>
        <v/>
      </c>
    </row>
    <row r="91">
      <c r="B91" s="14" t="n"/>
      <c r="C91" s="20" t="n"/>
      <c r="D91" s="20" t="n"/>
      <c r="E91" s="14" t="n"/>
      <c r="F91" s="20" t="n"/>
      <c r="G91" s="21" t="n"/>
      <c r="H91" s="22" t="n"/>
      <c r="I91" s="20" t="n"/>
      <c r="J91" s="23">
        <f>IF(AND(B91="",C91="",N(H91)=0),"",IF(B91="","Enter the party name",IF(COUNTIF($B$13:$B$112,B91)&gt;1,"This name is used twice: enter each party once",IF(C91="","Pick Debtor or Creditor",IF(AND(N(H91)&gt;0,I91=""),"Pick Dr or Cr for the opening balance",IF(AND(L91=1,N(G91)&gt;45),"Over 45 days: the MSMED Act caps a written term at 45, so the book uses 45",IF(AND(L91=1,F91=""),"Ask for the Udyam Registration Number",IF(LEFT(E91,6)="Trader","Traders are MSMEs for bank lending only: ask your accountant before using the 45-day rule",IF(AND(C91="Creditor",LEFT(E91,6)="Medium"),"Medium enterprise: the MSMED payment rules do not apply",IF(AND(C91="Creditor",E91=""),"Ask the supplier whether they are a micro or small enterprise","OK"))))))))))</f>
        <v/>
      </c>
      <c r="L91">
        <f>IF(E91="",0,IFERROR(VLOOKUP(E91,Lists!$H$2:$I$6,2,FALSE),0))</f>
        <v/>
      </c>
      <c r="M91">
        <f>IF(N(H91)=0,0,IF(I91="Cr",-N(H91),N(H91)))</f>
        <v/>
      </c>
      <c r="N91">
        <f>IF(C91="Debtor",MAX(0,M91),IF(C91="Creditor",MAX(0,-M91),0))</f>
        <v/>
      </c>
      <c r="O91">
        <f>IF(C91="Debtor",MAX(0,-M91),IF(C91="Creditor",MAX(0,M91),0))</f>
        <v/>
      </c>
      <c r="P91">
        <f>IF(OR(AND(C91="Creditor",L91=1),AND(C91="Debtor",$E$9="Yes")),1,0)</f>
        <v/>
      </c>
      <c r="Q91">
        <f>IF(P91=1,IF(G91="",15,MIN(N(G91),45)),IF(G91="","",N(G91)))</f>
        <v/>
      </c>
    </row>
    <row r="92">
      <c r="B92" s="14" t="n"/>
      <c r="C92" s="20" t="n"/>
      <c r="D92" s="20" t="n"/>
      <c r="E92" s="14" t="n"/>
      <c r="F92" s="20" t="n"/>
      <c r="G92" s="21" t="n"/>
      <c r="H92" s="22" t="n"/>
      <c r="I92" s="20" t="n"/>
      <c r="J92" s="23">
        <f>IF(AND(B92="",C92="",N(H92)=0),"",IF(B92="","Enter the party name",IF(COUNTIF($B$13:$B$112,B92)&gt;1,"This name is used twice: enter each party once",IF(C92="","Pick Debtor or Creditor",IF(AND(N(H92)&gt;0,I92=""),"Pick Dr or Cr for the opening balance",IF(AND(L92=1,N(G92)&gt;45),"Over 45 days: the MSMED Act caps a written term at 45, so the book uses 45",IF(AND(L92=1,F92=""),"Ask for the Udyam Registration Number",IF(LEFT(E92,6)="Trader","Traders are MSMEs for bank lending only: ask your accountant before using the 45-day rule",IF(AND(C92="Creditor",LEFT(E92,6)="Medium"),"Medium enterprise: the MSMED payment rules do not apply",IF(AND(C92="Creditor",E92=""),"Ask the supplier whether they are a micro or small enterprise","OK"))))))))))</f>
        <v/>
      </c>
      <c r="L92">
        <f>IF(E92="",0,IFERROR(VLOOKUP(E92,Lists!$H$2:$I$6,2,FALSE),0))</f>
        <v/>
      </c>
      <c r="M92">
        <f>IF(N(H92)=0,0,IF(I92="Cr",-N(H92),N(H92)))</f>
        <v/>
      </c>
      <c r="N92">
        <f>IF(C92="Debtor",MAX(0,M92),IF(C92="Creditor",MAX(0,-M92),0))</f>
        <v/>
      </c>
      <c r="O92">
        <f>IF(C92="Debtor",MAX(0,-M92),IF(C92="Creditor",MAX(0,M92),0))</f>
        <v/>
      </c>
      <c r="P92">
        <f>IF(OR(AND(C92="Creditor",L92=1),AND(C92="Debtor",$E$9="Yes")),1,0)</f>
        <v/>
      </c>
      <c r="Q92">
        <f>IF(P92=1,IF(G92="",15,MIN(N(G92),45)),IF(G92="","",N(G92)))</f>
        <v/>
      </c>
    </row>
    <row r="93">
      <c r="B93" s="14" t="n"/>
      <c r="C93" s="20" t="n"/>
      <c r="D93" s="20" t="n"/>
      <c r="E93" s="14" t="n"/>
      <c r="F93" s="20" t="n"/>
      <c r="G93" s="21" t="n"/>
      <c r="H93" s="22" t="n"/>
      <c r="I93" s="20" t="n"/>
      <c r="J93" s="23">
        <f>IF(AND(B93="",C93="",N(H93)=0),"",IF(B93="","Enter the party name",IF(COUNTIF($B$13:$B$112,B93)&gt;1,"This name is used twice: enter each party once",IF(C93="","Pick Debtor or Creditor",IF(AND(N(H93)&gt;0,I93=""),"Pick Dr or Cr for the opening balance",IF(AND(L93=1,N(G93)&gt;45),"Over 45 days: the MSMED Act caps a written term at 45, so the book uses 45",IF(AND(L93=1,F93=""),"Ask for the Udyam Registration Number",IF(LEFT(E93,6)="Trader","Traders are MSMEs for bank lending only: ask your accountant before using the 45-day rule",IF(AND(C93="Creditor",LEFT(E93,6)="Medium"),"Medium enterprise: the MSMED payment rules do not apply",IF(AND(C93="Creditor",E93=""),"Ask the supplier whether they are a micro or small enterprise","OK"))))))))))</f>
        <v/>
      </c>
      <c r="L93">
        <f>IF(E93="",0,IFERROR(VLOOKUP(E93,Lists!$H$2:$I$6,2,FALSE),0))</f>
        <v/>
      </c>
      <c r="M93">
        <f>IF(N(H93)=0,0,IF(I93="Cr",-N(H93),N(H93)))</f>
        <v/>
      </c>
      <c r="N93">
        <f>IF(C93="Debtor",MAX(0,M93),IF(C93="Creditor",MAX(0,-M93),0))</f>
        <v/>
      </c>
      <c r="O93">
        <f>IF(C93="Debtor",MAX(0,-M93),IF(C93="Creditor",MAX(0,M93),0))</f>
        <v/>
      </c>
      <c r="P93">
        <f>IF(OR(AND(C93="Creditor",L93=1),AND(C93="Debtor",$E$9="Yes")),1,0)</f>
        <v/>
      </c>
      <c r="Q93">
        <f>IF(P93=1,IF(G93="",15,MIN(N(G93),45)),IF(G93="","",N(G93)))</f>
        <v/>
      </c>
    </row>
    <row r="94">
      <c r="B94" s="14" t="n"/>
      <c r="C94" s="20" t="n"/>
      <c r="D94" s="20" t="n"/>
      <c r="E94" s="14" t="n"/>
      <c r="F94" s="20" t="n"/>
      <c r="G94" s="21" t="n"/>
      <c r="H94" s="22" t="n"/>
      <c r="I94" s="20" t="n"/>
      <c r="J94" s="23">
        <f>IF(AND(B94="",C94="",N(H94)=0),"",IF(B94="","Enter the party name",IF(COUNTIF($B$13:$B$112,B94)&gt;1,"This name is used twice: enter each party once",IF(C94="","Pick Debtor or Creditor",IF(AND(N(H94)&gt;0,I94=""),"Pick Dr or Cr for the opening balance",IF(AND(L94=1,N(G94)&gt;45),"Over 45 days: the MSMED Act caps a written term at 45, so the book uses 45",IF(AND(L94=1,F94=""),"Ask for the Udyam Registration Number",IF(LEFT(E94,6)="Trader","Traders are MSMEs for bank lending only: ask your accountant before using the 45-day rule",IF(AND(C94="Creditor",LEFT(E94,6)="Medium"),"Medium enterprise: the MSMED payment rules do not apply",IF(AND(C94="Creditor",E94=""),"Ask the supplier whether they are a micro or small enterprise","OK"))))))))))</f>
        <v/>
      </c>
      <c r="L94">
        <f>IF(E94="",0,IFERROR(VLOOKUP(E94,Lists!$H$2:$I$6,2,FALSE),0))</f>
        <v/>
      </c>
      <c r="M94">
        <f>IF(N(H94)=0,0,IF(I94="Cr",-N(H94),N(H94)))</f>
        <v/>
      </c>
      <c r="N94">
        <f>IF(C94="Debtor",MAX(0,M94),IF(C94="Creditor",MAX(0,-M94),0))</f>
        <v/>
      </c>
      <c r="O94">
        <f>IF(C94="Debtor",MAX(0,-M94),IF(C94="Creditor",MAX(0,M94),0))</f>
        <v/>
      </c>
      <c r="P94">
        <f>IF(OR(AND(C94="Creditor",L94=1),AND(C94="Debtor",$E$9="Yes")),1,0)</f>
        <v/>
      </c>
      <c r="Q94">
        <f>IF(P94=1,IF(G94="",15,MIN(N(G94),45)),IF(G94="","",N(G94)))</f>
        <v/>
      </c>
    </row>
    <row r="95">
      <c r="B95" s="14" t="n"/>
      <c r="C95" s="20" t="n"/>
      <c r="D95" s="20" t="n"/>
      <c r="E95" s="14" t="n"/>
      <c r="F95" s="20" t="n"/>
      <c r="G95" s="21" t="n"/>
      <c r="H95" s="22" t="n"/>
      <c r="I95" s="20" t="n"/>
      <c r="J95" s="23">
        <f>IF(AND(B95="",C95="",N(H95)=0),"",IF(B95="","Enter the party name",IF(COUNTIF($B$13:$B$112,B95)&gt;1,"This name is used twice: enter each party once",IF(C95="","Pick Debtor or Creditor",IF(AND(N(H95)&gt;0,I95=""),"Pick Dr or Cr for the opening balance",IF(AND(L95=1,N(G95)&gt;45),"Over 45 days: the MSMED Act caps a written term at 45, so the book uses 45",IF(AND(L95=1,F95=""),"Ask for the Udyam Registration Number",IF(LEFT(E95,6)="Trader","Traders are MSMEs for bank lending only: ask your accountant before using the 45-day rule",IF(AND(C95="Creditor",LEFT(E95,6)="Medium"),"Medium enterprise: the MSMED payment rules do not apply",IF(AND(C95="Creditor",E95=""),"Ask the supplier whether they are a micro or small enterprise","OK"))))))))))</f>
        <v/>
      </c>
      <c r="L95">
        <f>IF(E95="",0,IFERROR(VLOOKUP(E95,Lists!$H$2:$I$6,2,FALSE),0))</f>
        <v/>
      </c>
      <c r="M95">
        <f>IF(N(H95)=0,0,IF(I95="Cr",-N(H95),N(H95)))</f>
        <v/>
      </c>
      <c r="N95">
        <f>IF(C95="Debtor",MAX(0,M95),IF(C95="Creditor",MAX(0,-M95),0))</f>
        <v/>
      </c>
      <c r="O95">
        <f>IF(C95="Debtor",MAX(0,-M95),IF(C95="Creditor",MAX(0,M95),0))</f>
        <v/>
      </c>
      <c r="P95">
        <f>IF(OR(AND(C95="Creditor",L95=1),AND(C95="Debtor",$E$9="Yes")),1,0)</f>
        <v/>
      </c>
      <c r="Q95">
        <f>IF(P95=1,IF(G95="",15,MIN(N(G95),45)),IF(G95="","",N(G95)))</f>
        <v/>
      </c>
    </row>
    <row r="96">
      <c r="B96" s="14" t="n"/>
      <c r="C96" s="20" t="n"/>
      <c r="D96" s="20" t="n"/>
      <c r="E96" s="14" t="n"/>
      <c r="F96" s="20" t="n"/>
      <c r="G96" s="21" t="n"/>
      <c r="H96" s="22" t="n"/>
      <c r="I96" s="20" t="n"/>
      <c r="J96" s="23">
        <f>IF(AND(B96="",C96="",N(H96)=0),"",IF(B96="","Enter the party name",IF(COUNTIF($B$13:$B$112,B96)&gt;1,"This name is used twice: enter each party once",IF(C96="","Pick Debtor or Creditor",IF(AND(N(H96)&gt;0,I96=""),"Pick Dr or Cr for the opening balance",IF(AND(L96=1,N(G96)&gt;45),"Over 45 days: the MSMED Act caps a written term at 45, so the book uses 45",IF(AND(L96=1,F96=""),"Ask for the Udyam Registration Number",IF(LEFT(E96,6)="Trader","Traders are MSMEs for bank lending only: ask your accountant before using the 45-day rule",IF(AND(C96="Creditor",LEFT(E96,6)="Medium"),"Medium enterprise: the MSMED payment rules do not apply",IF(AND(C96="Creditor",E96=""),"Ask the supplier whether they are a micro or small enterprise","OK"))))))))))</f>
        <v/>
      </c>
      <c r="L96">
        <f>IF(E96="",0,IFERROR(VLOOKUP(E96,Lists!$H$2:$I$6,2,FALSE),0))</f>
        <v/>
      </c>
      <c r="M96">
        <f>IF(N(H96)=0,0,IF(I96="Cr",-N(H96),N(H96)))</f>
        <v/>
      </c>
      <c r="N96">
        <f>IF(C96="Debtor",MAX(0,M96),IF(C96="Creditor",MAX(0,-M96),0))</f>
        <v/>
      </c>
      <c r="O96">
        <f>IF(C96="Debtor",MAX(0,-M96),IF(C96="Creditor",MAX(0,M96),0))</f>
        <v/>
      </c>
      <c r="P96">
        <f>IF(OR(AND(C96="Creditor",L96=1),AND(C96="Debtor",$E$9="Yes")),1,0)</f>
        <v/>
      </c>
      <c r="Q96">
        <f>IF(P96=1,IF(G96="",15,MIN(N(G96),45)),IF(G96="","",N(G96)))</f>
        <v/>
      </c>
    </row>
    <row r="97">
      <c r="B97" s="14" t="n"/>
      <c r="C97" s="20" t="n"/>
      <c r="D97" s="20" t="n"/>
      <c r="E97" s="14" t="n"/>
      <c r="F97" s="20" t="n"/>
      <c r="G97" s="21" t="n"/>
      <c r="H97" s="22" t="n"/>
      <c r="I97" s="20" t="n"/>
      <c r="J97" s="23">
        <f>IF(AND(B97="",C97="",N(H97)=0),"",IF(B97="","Enter the party name",IF(COUNTIF($B$13:$B$112,B97)&gt;1,"This name is used twice: enter each party once",IF(C97="","Pick Debtor or Creditor",IF(AND(N(H97)&gt;0,I97=""),"Pick Dr or Cr for the opening balance",IF(AND(L97=1,N(G97)&gt;45),"Over 45 days: the MSMED Act caps a written term at 45, so the book uses 45",IF(AND(L97=1,F97=""),"Ask for the Udyam Registration Number",IF(LEFT(E97,6)="Trader","Traders are MSMEs for bank lending only: ask your accountant before using the 45-day rule",IF(AND(C97="Creditor",LEFT(E97,6)="Medium"),"Medium enterprise: the MSMED payment rules do not apply",IF(AND(C97="Creditor",E97=""),"Ask the supplier whether they are a micro or small enterprise","OK"))))))))))</f>
        <v/>
      </c>
      <c r="L97">
        <f>IF(E97="",0,IFERROR(VLOOKUP(E97,Lists!$H$2:$I$6,2,FALSE),0))</f>
        <v/>
      </c>
      <c r="M97">
        <f>IF(N(H97)=0,0,IF(I97="Cr",-N(H97),N(H97)))</f>
        <v/>
      </c>
      <c r="N97">
        <f>IF(C97="Debtor",MAX(0,M97),IF(C97="Creditor",MAX(0,-M97),0))</f>
        <v/>
      </c>
      <c r="O97">
        <f>IF(C97="Debtor",MAX(0,-M97),IF(C97="Creditor",MAX(0,M97),0))</f>
        <v/>
      </c>
      <c r="P97">
        <f>IF(OR(AND(C97="Creditor",L97=1),AND(C97="Debtor",$E$9="Yes")),1,0)</f>
        <v/>
      </c>
      <c r="Q97">
        <f>IF(P97=1,IF(G97="",15,MIN(N(G97),45)),IF(G97="","",N(G97)))</f>
        <v/>
      </c>
    </row>
    <row r="98">
      <c r="B98" s="14" t="n"/>
      <c r="C98" s="20" t="n"/>
      <c r="D98" s="20" t="n"/>
      <c r="E98" s="14" t="n"/>
      <c r="F98" s="20" t="n"/>
      <c r="G98" s="21" t="n"/>
      <c r="H98" s="22" t="n"/>
      <c r="I98" s="20" t="n"/>
      <c r="J98" s="23">
        <f>IF(AND(B98="",C98="",N(H98)=0),"",IF(B98="","Enter the party name",IF(COUNTIF($B$13:$B$112,B98)&gt;1,"This name is used twice: enter each party once",IF(C98="","Pick Debtor or Creditor",IF(AND(N(H98)&gt;0,I98=""),"Pick Dr or Cr for the opening balance",IF(AND(L98=1,N(G98)&gt;45),"Over 45 days: the MSMED Act caps a written term at 45, so the book uses 45",IF(AND(L98=1,F98=""),"Ask for the Udyam Registration Number",IF(LEFT(E98,6)="Trader","Traders are MSMEs for bank lending only: ask your accountant before using the 45-day rule",IF(AND(C98="Creditor",LEFT(E98,6)="Medium"),"Medium enterprise: the MSMED payment rules do not apply",IF(AND(C98="Creditor",E98=""),"Ask the supplier whether they are a micro or small enterprise","OK"))))))))))</f>
        <v/>
      </c>
      <c r="L98">
        <f>IF(E98="",0,IFERROR(VLOOKUP(E98,Lists!$H$2:$I$6,2,FALSE),0))</f>
        <v/>
      </c>
      <c r="M98">
        <f>IF(N(H98)=0,0,IF(I98="Cr",-N(H98),N(H98)))</f>
        <v/>
      </c>
      <c r="N98">
        <f>IF(C98="Debtor",MAX(0,M98),IF(C98="Creditor",MAX(0,-M98),0))</f>
        <v/>
      </c>
      <c r="O98">
        <f>IF(C98="Debtor",MAX(0,-M98),IF(C98="Creditor",MAX(0,M98),0))</f>
        <v/>
      </c>
      <c r="P98">
        <f>IF(OR(AND(C98="Creditor",L98=1),AND(C98="Debtor",$E$9="Yes")),1,0)</f>
        <v/>
      </c>
      <c r="Q98">
        <f>IF(P98=1,IF(G98="",15,MIN(N(G98),45)),IF(G98="","",N(G98)))</f>
        <v/>
      </c>
    </row>
    <row r="99">
      <c r="B99" s="14" t="n"/>
      <c r="C99" s="20" t="n"/>
      <c r="D99" s="20" t="n"/>
      <c r="E99" s="14" t="n"/>
      <c r="F99" s="20" t="n"/>
      <c r="G99" s="21" t="n"/>
      <c r="H99" s="22" t="n"/>
      <c r="I99" s="20" t="n"/>
      <c r="J99" s="23">
        <f>IF(AND(B99="",C99="",N(H99)=0),"",IF(B99="","Enter the party name",IF(COUNTIF($B$13:$B$112,B99)&gt;1,"This name is used twice: enter each party once",IF(C99="","Pick Debtor or Creditor",IF(AND(N(H99)&gt;0,I99=""),"Pick Dr or Cr for the opening balance",IF(AND(L99=1,N(G99)&gt;45),"Over 45 days: the MSMED Act caps a written term at 45, so the book uses 45",IF(AND(L99=1,F99=""),"Ask for the Udyam Registration Number",IF(LEFT(E99,6)="Trader","Traders are MSMEs for bank lending only: ask your accountant before using the 45-day rule",IF(AND(C99="Creditor",LEFT(E99,6)="Medium"),"Medium enterprise: the MSMED payment rules do not apply",IF(AND(C99="Creditor",E99=""),"Ask the supplier whether they are a micro or small enterprise","OK"))))))))))</f>
        <v/>
      </c>
      <c r="L99">
        <f>IF(E99="",0,IFERROR(VLOOKUP(E99,Lists!$H$2:$I$6,2,FALSE),0))</f>
        <v/>
      </c>
      <c r="M99">
        <f>IF(N(H99)=0,0,IF(I99="Cr",-N(H99),N(H99)))</f>
        <v/>
      </c>
      <c r="N99">
        <f>IF(C99="Debtor",MAX(0,M99),IF(C99="Creditor",MAX(0,-M99),0))</f>
        <v/>
      </c>
      <c r="O99">
        <f>IF(C99="Debtor",MAX(0,-M99),IF(C99="Creditor",MAX(0,M99),0))</f>
        <v/>
      </c>
      <c r="P99">
        <f>IF(OR(AND(C99="Creditor",L99=1),AND(C99="Debtor",$E$9="Yes")),1,0)</f>
        <v/>
      </c>
      <c r="Q99">
        <f>IF(P99=1,IF(G99="",15,MIN(N(G99),45)),IF(G99="","",N(G99)))</f>
        <v/>
      </c>
    </row>
    <row r="100">
      <c r="B100" s="14" t="n"/>
      <c r="C100" s="20" t="n"/>
      <c r="D100" s="20" t="n"/>
      <c r="E100" s="14" t="n"/>
      <c r="F100" s="20" t="n"/>
      <c r="G100" s="21" t="n"/>
      <c r="H100" s="22" t="n"/>
      <c r="I100" s="20" t="n"/>
      <c r="J100" s="23">
        <f>IF(AND(B100="",C100="",N(H100)=0),"",IF(B100="","Enter the party name",IF(COUNTIF($B$13:$B$112,B100)&gt;1,"This name is used twice: enter each party once",IF(C100="","Pick Debtor or Creditor",IF(AND(N(H100)&gt;0,I100=""),"Pick Dr or Cr for the opening balance",IF(AND(L100=1,N(G100)&gt;45),"Over 45 days: the MSMED Act caps a written term at 45, so the book uses 45",IF(AND(L100=1,F100=""),"Ask for the Udyam Registration Number",IF(LEFT(E100,6)="Trader","Traders are MSMEs for bank lending only: ask your accountant before using the 45-day rule",IF(AND(C100="Creditor",LEFT(E100,6)="Medium"),"Medium enterprise: the MSMED payment rules do not apply",IF(AND(C100="Creditor",E100=""),"Ask the supplier whether they are a micro or small enterprise","OK"))))))))))</f>
        <v/>
      </c>
      <c r="L100">
        <f>IF(E100="",0,IFERROR(VLOOKUP(E100,Lists!$H$2:$I$6,2,FALSE),0))</f>
        <v/>
      </c>
      <c r="M100">
        <f>IF(N(H100)=0,0,IF(I100="Cr",-N(H100),N(H100)))</f>
        <v/>
      </c>
      <c r="N100">
        <f>IF(C100="Debtor",MAX(0,M100),IF(C100="Creditor",MAX(0,-M100),0))</f>
        <v/>
      </c>
      <c r="O100">
        <f>IF(C100="Debtor",MAX(0,-M100),IF(C100="Creditor",MAX(0,M100),0))</f>
        <v/>
      </c>
      <c r="P100">
        <f>IF(OR(AND(C100="Creditor",L100=1),AND(C100="Debtor",$E$9="Yes")),1,0)</f>
        <v/>
      </c>
      <c r="Q100">
        <f>IF(P100=1,IF(G100="",15,MIN(N(G100),45)),IF(G100="","",N(G100)))</f>
        <v/>
      </c>
    </row>
    <row r="101">
      <c r="B101" s="14" t="n"/>
      <c r="C101" s="20" t="n"/>
      <c r="D101" s="20" t="n"/>
      <c r="E101" s="14" t="n"/>
      <c r="F101" s="20" t="n"/>
      <c r="G101" s="21" t="n"/>
      <c r="H101" s="22" t="n"/>
      <c r="I101" s="20" t="n"/>
      <c r="J101" s="23">
        <f>IF(AND(B101="",C101="",N(H101)=0),"",IF(B101="","Enter the party name",IF(COUNTIF($B$13:$B$112,B101)&gt;1,"This name is used twice: enter each party once",IF(C101="","Pick Debtor or Creditor",IF(AND(N(H101)&gt;0,I101=""),"Pick Dr or Cr for the opening balance",IF(AND(L101=1,N(G101)&gt;45),"Over 45 days: the MSMED Act caps a written term at 45, so the book uses 45",IF(AND(L101=1,F101=""),"Ask for the Udyam Registration Number",IF(LEFT(E101,6)="Trader","Traders are MSMEs for bank lending only: ask your accountant before using the 45-day rule",IF(AND(C101="Creditor",LEFT(E101,6)="Medium"),"Medium enterprise: the MSMED payment rules do not apply",IF(AND(C101="Creditor",E101=""),"Ask the supplier whether they are a micro or small enterprise","OK"))))))))))</f>
        <v/>
      </c>
      <c r="L101">
        <f>IF(E101="",0,IFERROR(VLOOKUP(E101,Lists!$H$2:$I$6,2,FALSE),0))</f>
        <v/>
      </c>
      <c r="M101">
        <f>IF(N(H101)=0,0,IF(I101="Cr",-N(H101),N(H101)))</f>
        <v/>
      </c>
      <c r="N101">
        <f>IF(C101="Debtor",MAX(0,M101),IF(C101="Creditor",MAX(0,-M101),0))</f>
        <v/>
      </c>
      <c r="O101">
        <f>IF(C101="Debtor",MAX(0,-M101),IF(C101="Creditor",MAX(0,M101),0))</f>
        <v/>
      </c>
      <c r="P101">
        <f>IF(OR(AND(C101="Creditor",L101=1),AND(C101="Debtor",$E$9="Yes")),1,0)</f>
        <v/>
      </c>
      <c r="Q101">
        <f>IF(P101=1,IF(G101="",15,MIN(N(G101),45)),IF(G101="","",N(G101)))</f>
        <v/>
      </c>
    </row>
    <row r="102">
      <c r="B102" s="14" t="n"/>
      <c r="C102" s="20" t="n"/>
      <c r="D102" s="20" t="n"/>
      <c r="E102" s="14" t="n"/>
      <c r="F102" s="20" t="n"/>
      <c r="G102" s="21" t="n"/>
      <c r="H102" s="22" t="n"/>
      <c r="I102" s="20" t="n"/>
      <c r="J102" s="23">
        <f>IF(AND(B102="",C102="",N(H102)=0),"",IF(B102="","Enter the party name",IF(COUNTIF($B$13:$B$112,B102)&gt;1,"This name is used twice: enter each party once",IF(C102="","Pick Debtor or Creditor",IF(AND(N(H102)&gt;0,I102=""),"Pick Dr or Cr for the opening balance",IF(AND(L102=1,N(G102)&gt;45),"Over 45 days: the MSMED Act caps a written term at 45, so the book uses 45",IF(AND(L102=1,F102=""),"Ask for the Udyam Registration Number",IF(LEFT(E102,6)="Trader","Traders are MSMEs for bank lending only: ask your accountant before using the 45-day rule",IF(AND(C102="Creditor",LEFT(E102,6)="Medium"),"Medium enterprise: the MSMED payment rules do not apply",IF(AND(C102="Creditor",E102=""),"Ask the supplier whether they are a micro or small enterprise","OK"))))))))))</f>
        <v/>
      </c>
      <c r="L102">
        <f>IF(E102="",0,IFERROR(VLOOKUP(E102,Lists!$H$2:$I$6,2,FALSE),0))</f>
        <v/>
      </c>
      <c r="M102">
        <f>IF(N(H102)=0,0,IF(I102="Cr",-N(H102),N(H102)))</f>
        <v/>
      </c>
      <c r="N102">
        <f>IF(C102="Debtor",MAX(0,M102),IF(C102="Creditor",MAX(0,-M102),0))</f>
        <v/>
      </c>
      <c r="O102">
        <f>IF(C102="Debtor",MAX(0,-M102),IF(C102="Creditor",MAX(0,M102),0))</f>
        <v/>
      </c>
      <c r="P102">
        <f>IF(OR(AND(C102="Creditor",L102=1),AND(C102="Debtor",$E$9="Yes")),1,0)</f>
        <v/>
      </c>
      <c r="Q102">
        <f>IF(P102=1,IF(G102="",15,MIN(N(G102),45)),IF(G102="","",N(G102)))</f>
        <v/>
      </c>
    </row>
    <row r="103">
      <c r="B103" s="14" t="n"/>
      <c r="C103" s="20" t="n"/>
      <c r="D103" s="20" t="n"/>
      <c r="E103" s="14" t="n"/>
      <c r="F103" s="20" t="n"/>
      <c r="G103" s="21" t="n"/>
      <c r="H103" s="22" t="n"/>
      <c r="I103" s="20" t="n"/>
      <c r="J103" s="23">
        <f>IF(AND(B103="",C103="",N(H103)=0),"",IF(B103="","Enter the party name",IF(COUNTIF($B$13:$B$112,B103)&gt;1,"This name is used twice: enter each party once",IF(C103="","Pick Debtor or Creditor",IF(AND(N(H103)&gt;0,I103=""),"Pick Dr or Cr for the opening balance",IF(AND(L103=1,N(G103)&gt;45),"Over 45 days: the MSMED Act caps a written term at 45, so the book uses 45",IF(AND(L103=1,F103=""),"Ask for the Udyam Registration Number",IF(LEFT(E103,6)="Trader","Traders are MSMEs for bank lending only: ask your accountant before using the 45-day rule",IF(AND(C103="Creditor",LEFT(E103,6)="Medium"),"Medium enterprise: the MSMED payment rules do not apply",IF(AND(C103="Creditor",E103=""),"Ask the supplier whether they are a micro or small enterprise","OK"))))))))))</f>
        <v/>
      </c>
      <c r="L103">
        <f>IF(E103="",0,IFERROR(VLOOKUP(E103,Lists!$H$2:$I$6,2,FALSE),0))</f>
        <v/>
      </c>
      <c r="M103">
        <f>IF(N(H103)=0,0,IF(I103="Cr",-N(H103),N(H103)))</f>
        <v/>
      </c>
      <c r="N103">
        <f>IF(C103="Debtor",MAX(0,M103),IF(C103="Creditor",MAX(0,-M103),0))</f>
        <v/>
      </c>
      <c r="O103">
        <f>IF(C103="Debtor",MAX(0,-M103),IF(C103="Creditor",MAX(0,M103),0))</f>
        <v/>
      </c>
      <c r="P103">
        <f>IF(OR(AND(C103="Creditor",L103=1),AND(C103="Debtor",$E$9="Yes")),1,0)</f>
        <v/>
      </c>
      <c r="Q103">
        <f>IF(P103=1,IF(G103="",15,MIN(N(G103),45)),IF(G103="","",N(G103)))</f>
        <v/>
      </c>
    </row>
    <row r="104">
      <c r="B104" s="14" t="n"/>
      <c r="C104" s="20" t="n"/>
      <c r="D104" s="20" t="n"/>
      <c r="E104" s="14" t="n"/>
      <c r="F104" s="20" t="n"/>
      <c r="G104" s="21" t="n"/>
      <c r="H104" s="22" t="n"/>
      <c r="I104" s="20" t="n"/>
      <c r="J104" s="23">
        <f>IF(AND(B104="",C104="",N(H104)=0),"",IF(B104="","Enter the party name",IF(COUNTIF($B$13:$B$112,B104)&gt;1,"This name is used twice: enter each party once",IF(C104="","Pick Debtor or Creditor",IF(AND(N(H104)&gt;0,I104=""),"Pick Dr or Cr for the opening balance",IF(AND(L104=1,N(G104)&gt;45),"Over 45 days: the MSMED Act caps a written term at 45, so the book uses 45",IF(AND(L104=1,F104=""),"Ask for the Udyam Registration Number",IF(LEFT(E104,6)="Trader","Traders are MSMEs for bank lending only: ask your accountant before using the 45-day rule",IF(AND(C104="Creditor",LEFT(E104,6)="Medium"),"Medium enterprise: the MSMED payment rules do not apply",IF(AND(C104="Creditor",E104=""),"Ask the supplier whether they are a micro or small enterprise","OK"))))))))))</f>
        <v/>
      </c>
      <c r="L104">
        <f>IF(E104="",0,IFERROR(VLOOKUP(E104,Lists!$H$2:$I$6,2,FALSE),0))</f>
        <v/>
      </c>
      <c r="M104">
        <f>IF(N(H104)=0,0,IF(I104="Cr",-N(H104),N(H104)))</f>
        <v/>
      </c>
      <c r="N104">
        <f>IF(C104="Debtor",MAX(0,M104),IF(C104="Creditor",MAX(0,-M104),0))</f>
        <v/>
      </c>
      <c r="O104">
        <f>IF(C104="Debtor",MAX(0,-M104),IF(C104="Creditor",MAX(0,M104),0))</f>
        <v/>
      </c>
      <c r="P104">
        <f>IF(OR(AND(C104="Creditor",L104=1),AND(C104="Debtor",$E$9="Yes")),1,0)</f>
        <v/>
      </c>
      <c r="Q104">
        <f>IF(P104=1,IF(G104="",15,MIN(N(G104),45)),IF(G104="","",N(G104)))</f>
        <v/>
      </c>
    </row>
    <row r="105">
      <c r="B105" s="14" t="n"/>
      <c r="C105" s="20" t="n"/>
      <c r="D105" s="20" t="n"/>
      <c r="E105" s="14" t="n"/>
      <c r="F105" s="20" t="n"/>
      <c r="G105" s="21" t="n"/>
      <c r="H105" s="22" t="n"/>
      <c r="I105" s="20" t="n"/>
      <c r="J105" s="23">
        <f>IF(AND(B105="",C105="",N(H105)=0),"",IF(B105="","Enter the party name",IF(COUNTIF($B$13:$B$112,B105)&gt;1,"This name is used twice: enter each party once",IF(C105="","Pick Debtor or Creditor",IF(AND(N(H105)&gt;0,I105=""),"Pick Dr or Cr for the opening balance",IF(AND(L105=1,N(G105)&gt;45),"Over 45 days: the MSMED Act caps a written term at 45, so the book uses 45",IF(AND(L105=1,F105=""),"Ask for the Udyam Registration Number",IF(LEFT(E105,6)="Trader","Traders are MSMEs for bank lending only: ask your accountant before using the 45-day rule",IF(AND(C105="Creditor",LEFT(E105,6)="Medium"),"Medium enterprise: the MSMED payment rules do not apply",IF(AND(C105="Creditor",E105=""),"Ask the supplier whether they are a micro or small enterprise","OK"))))))))))</f>
        <v/>
      </c>
      <c r="L105">
        <f>IF(E105="",0,IFERROR(VLOOKUP(E105,Lists!$H$2:$I$6,2,FALSE),0))</f>
        <v/>
      </c>
      <c r="M105">
        <f>IF(N(H105)=0,0,IF(I105="Cr",-N(H105),N(H105)))</f>
        <v/>
      </c>
      <c r="N105">
        <f>IF(C105="Debtor",MAX(0,M105),IF(C105="Creditor",MAX(0,-M105),0))</f>
        <v/>
      </c>
      <c r="O105">
        <f>IF(C105="Debtor",MAX(0,-M105),IF(C105="Creditor",MAX(0,M105),0))</f>
        <v/>
      </c>
      <c r="P105">
        <f>IF(OR(AND(C105="Creditor",L105=1),AND(C105="Debtor",$E$9="Yes")),1,0)</f>
        <v/>
      </c>
      <c r="Q105">
        <f>IF(P105=1,IF(G105="",15,MIN(N(G105),45)),IF(G105="","",N(G105)))</f>
        <v/>
      </c>
    </row>
    <row r="106">
      <c r="B106" s="14" t="n"/>
      <c r="C106" s="20" t="n"/>
      <c r="D106" s="20" t="n"/>
      <c r="E106" s="14" t="n"/>
      <c r="F106" s="20" t="n"/>
      <c r="G106" s="21" t="n"/>
      <c r="H106" s="22" t="n"/>
      <c r="I106" s="20" t="n"/>
      <c r="J106" s="23">
        <f>IF(AND(B106="",C106="",N(H106)=0),"",IF(B106="","Enter the party name",IF(COUNTIF($B$13:$B$112,B106)&gt;1,"This name is used twice: enter each party once",IF(C106="","Pick Debtor or Creditor",IF(AND(N(H106)&gt;0,I106=""),"Pick Dr or Cr for the opening balance",IF(AND(L106=1,N(G106)&gt;45),"Over 45 days: the MSMED Act caps a written term at 45, so the book uses 45",IF(AND(L106=1,F106=""),"Ask for the Udyam Registration Number",IF(LEFT(E106,6)="Trader","Traders are MSMEs for bank lending only: ask your accountant before using the 45-day rule",IF(AND(C106="Creditor",LEFT(E106,6)="Medium"),"Medium enterprise: the MSMED payment rules do not apply",IF(AND(C106="Creditor",E106=""),"Ask the supplier whether they are a micro or small enterprise","OK"))))))))))</f>
        <v/>
      </c>
      <c r="L106">
        <f>IF(E106="",0,IFERROR(VLOOKUP(E106,Lists!$H$2:$I$6,2,FALSE),0))</f>
        <v/>
      </c>
      <c r="M106">
        <f>IF(N(H106)=0,0,IF(I106="Cr",-N(H106),N(H106)))</f>
        <v/>
      </c>
      <c r="N106">
        <f>IF(C106="Debtor",MAX(0,M106),IF(C106="Creditor",MAX(0,-M106),0))</f>
        <v/>
      </c>
      <c r="O106">
        <f>IF(C106="Debtor",MAX(0,-M106),IF(C106="Creditor",MAX(0,M106),0))</f>
        <v/>
      </c>
      <c r="P106">
        <f>IF(OR(AND(C106="Creditor",L106=1),AND(C106="Debtor",$E$9="Yes")),1,0)</f>
        <v/>
      </c>
      <c r="Q106">
        <f>IF(P106=1,IF(G106="",15,MIN(N(G106),45)),IF(G106="","",N(G106)))</f>
        <v/>
      </c>
    </row>
    <row r="107">
      <c r="B107" s="14" t="n"/>
      <c r="C107" s="20" t="n"/>
      <c r="D107" s="20" t="n"/>
      <c r="E107" s="14" t="n"/>
      <c r="F107" s="20" t="n"/>
      <c r="G107" s="21" t="n"/>
      <c r="H107" s="22" t="n"/>
      <c r="I107" s="20" t="n"/>
      <c r="J107" s="23">
        <f>IF(AND(B107="",C107="",N(H107)=0),"",IF(B107="","Enter the party name",IF(COUNTIF($B$13:$B$112,B107)&gt;1,"This name is used twice: enter each party once",IF(C107="","Pick Debtor or Creditor",IF(AND(N(H107)&gt;0,I107=""),"Pick Dr or Cr for the opening balance",IF(AND(L107=1,N(G107)&gt;45),"Over 45 days: the MSMED Act caps a written term at 45, so the book uses 45",IF(AND(L107=1,F107=""),"Ask for the Udyam Registration Number",IF(LEFT(E107,6)="Trader","Traders are MSMEs for bank lending only: ask your accountant before using the 45-day rule",IF(AND(C107="Creditor",LEFT(E107,6)="Medium"),"Medium enterprise: the MSMED payment rules do not apply",IF(AND(C107="Creditor",E107=""),"Ask the supplier whether they are a micro or small enterprise","OK"))))))))))</f>
        <v/>
      </c>
      <c r="L107">
        <f>IF(E107="",0,IFERROR(VLOOKUP(E107,Lists!$H$2:$I$6,2,FALSE),0))</f>
        <v/>
      </c>
      <c r="M107">
        <f>IF(N(H107)=0,0,IF(I107="Cr",-N(H107),N(H107)))</f>
        <v/>
      </c>
      <c r="N107">
        <f>IF(C107="Debtor",MAX(0,M107),IF(C107="Creditor",MAX(0,-M107),0))</f>
        <v/>
      </c>
      <c r="O107">
        <f>IF(C107="Debtor",MAX(0,-M107),IF(C107="Creditor",MAX(0,M107),0))</f>
        <v/>
      </c>
      <c r="P107">
        <f>IF(OR(AND(C107="Creditor",L107=1),AND(C107="Debtor",$E$9="Yes")),1,0)</f>
        <v/>
      </c>
      <c r="Q107">
        <f>IF(P107=1,IF(G107="",15,MIN(N(G107),45)),IF(G107="","",N(G107)))</f>
        <v/>
      </c>
    </row>
    <row r="108">
      <c r="B108" s="14" t="n"/>
      <c r="C108" s="20" t="n"/>
      <c r="D108" s="20" t="n"/>
      <c r="E108" s="14" t="n"/>
      <c r="F108" s="20" t="n"/>
      <c r="G108" s="21" t="n"/>
      <c r="H108" s="22" t="n"/>
      <c r="I108" s="20" t="n"/>
      <c r="J108" s="23">
        <f>IF(AND(B108="",C108="",N(H108)=0),"",IF(B108="","Enter the party name",IF(COUNTIF($B$13:$B$112,B108)&gt;1,"This name is used twice: enter each party once",IF(C108="","Pick Debtor or Creditor",IF(AND(N(H108)&gt;0,I108=""),"Pick Dr or Cr for the opening balance",IF(AND(L108=1,N(G108)&gt;45),"Over 45 days: the MSMED Act caps a written term at 45, so the book uses 45",IF(AND(L108=1,F108=""),"Ask for the Udyam Registration Number",IF(LEFT(E108,6)="Trader","Traders are MSMEs for bank lending only: ask your accountant before using the 45-day rule",IF(AND(C108="Creditor",LEFT(E108,6)="Medium"),"Medium enterprise: the MSMED payment rules do not apply",IF(AND(C108="Creditor",E108=""),"Ask the supplier whether they are a micro or small enterprise","OK"))))))))))</f>
        <v/>
      </c>
      <c r="L108">
        <f>IF(E108="",0,IFERROR(VLOOKUP(E108,Lists!$H$2:$I$6,2,FALSE),0))</f>
        <v/>
      </c>
      <c r="M108">
        <f>IF(N(H108)=0,0,IF(I108="Cr",-N(H108),N(H108)))</f>
        <v/>
      </c>
      <c r="N108">
        <f>IF(C108="Debtor",MAX(0,M108),IF(C108="Creditor",MAX(0,-M108),0))</f>
        <v/>
      </c>
      <c r="O108">
        <f>IF(C108="Debtor",MAX(0,-M108),IF(C108="Creditor",MAX(0,M108),0))</f>
        <v/>
      </c>
      <c r="P108">
        <f>IF(OR(AND(C108="Creditor",L108=1),AND(C108="Debtor",$E$9="Yes")),1,0)</f>
        <v/>
      </c>
      <c r="Q108">
        <f>IF(P108=1,IF(G108="",15,MIN(N(G108),45)),IF(G108="","",N(G108)))</f>
        <v/>
      </c>
    </row>
    <row r="109">
      <c r="B109" s="14" t="n"/>
      <c r="C109" s="20" t="n"/>
      <c r="D109" s="20" t="n"/>
      <c r="E109" s="14" t="n"/>
      <c r="F109" s="20" t="n"/>
      <c r="G109" s="21" t="n"/>
      <c r="H109" s="22" t="n"/>
      <c r="I109" s="20" t="n"/>
      <c r="J109" s="23">
        <f>IF(AND(B109="",C109="",N(H109)=0),"",IF(B109="","Enter the party name",IF(COUNTIF($B$13:$B$112,B109)&gt;1,"This name is used twice: enter each party once",IF(C109="","Pick Debtor or Creditor",IF(AND(N(H109)&gt;0,I109=""),"Pick Dr or Cr for the opening balance",IF(AND(L109=1,N(G109)&gt;45),"Over 45 days: the MSMED Act caps a written term at 45, so the book uses 45",IF(AND(L109=1,F109=""),"Ask for the Udyam Registration Number",IF(LEFT(E109,6)="Trader","Traders are MSMEs for bank lending only: ask your accountant before using the 45-day rule",IF(AND(C109="Creditor",LEFT(E109,6)="Medium"),"Medium enterprise: the MSMED payment rules do not apply",IF(AND(C109="Creditor",E109=""),"Ask the supplier whether they are a micro or small enterprise","OK"))))))))))</f>
        <v/>
      </c>
      <c r="L109">
        <f>IF(E109="",0,IFERROR(VLOOKUP(E109,Lists!$H$2:$I$6,2,FALSE),0))</f>
        <v/>
      </c>
      <c r="M109">
        <f>IF(N(H109)=0,0,IF(I109="Cr",-N(H109),N(H109)))</f>
        <v/>
      </c>
      <c r="N109">
        <f>IF(C109="Debtor",MAX(0,M109),IF(C109="Creditor",MAX(0,-M109),0))</f>
        <v/>
      </c>
      <c r="O109">
        <f>IF(C109="Debtor",MAX(0,-M109),IF(C109="Creditor",MAX(0,M109),0))</f>
        <v/>
      </c>
      <c r="P109">
        <f>IF(OR(AND(C109="Creditor",L109=1),AND(C109="Debtor",$E$9="Yes")),1,0)</f>
        <v/>
      </c>
      <c r="Q109">
        <f>IF(P109=1,IF(G109="",15,MIN(N(G109),45)),IF(G109="","",N(G109)))</f>
        <v/>
      </c>
    </row>
    <row r="110">
      <c r="B110" s="14" t="n"/>
      <c r="C110" s="20" t="n"/>
      <c r="D110" s="20" t="n"/>
      <c r="E110" s="14" t="n"/>
      <c r="F110" s="20" t="n"/>
      <c r="G110" s="21" t="n"/>
      <c r="H110" s="22" t="n"/>
      <c r="I110" s="20" t="n"/>
      <c r="J110" s="23">
        <f>IF(AND(B110="",C110="",N(H110)=0),"",IF(B110="","Enter the party name",IF(COUNTIF($B$13:$B$112,B110)&gt;1,"This name is used twice: enter each party once",IF(C110="","Pick Debtor or Creditor",IF(AND(N(H110)&gt;0,I110=""),"Pick Dr or Cr for the opening balance",IF(AND(L110=1,N(G110)&gt;45),"Over 45 days: the MSMED Act caps a written term at 45, so the book uses 45",IF(AND(L110=1,F110=""),"Ask for the Udyam Registration Number",IF(LEFT(E110,6)="Trader","Traders are MSMEs for bank lending only: ask your accountant before using the 45-day rule",IF(AND(C110="Creditor",LEFT(E110,6)="Medium"),"Medium enterprise: the MSMED payment rules do not apply",IF(AND(C110="Creditor",E110=""),"Ask the supplier whether they are a micro or small enterprise","OK"))))))))))</f>
        <v/>
      </c>
      <c r="L110">
        <f>IF(E110="",0,IFERROR(VLOOKUP(E110,Lists!$H$2:$I$6,2,FALSE),0))</f>
        <v/>
      </c>
      <c r="M110">
        <f>IF(N(H110)=0,0,IF(I110="Cr",-N(H110),N(H110)))</f>
        <v/>
      </c>
      <c r="N110">
        <f>IF(C110="Debtor",MAX(0,M110),IF(C110="Creditor",MAX(0,-M110),0))</f>
        <v/>
      </c>
      <c r="O110">
        <f>IF(C110="Debtor",MAX(0,-M110),IF(C110="Creditor",MAX(0,M110),0))</f>
        <v/>
      </c>
      <c r="P110">
        <f>IF(OR(AND(C110="Creditor",L110=1),AND(C110="Debtor",$E$9="Yes")),1,0)</f>
        <v/>
      </c>
      <c r="Q110">
        <f>IF(P110=1,IF(G110="",15,MIN(N(G110),45)),IF(G110="","",N(G110)))</f>
        <v/>
      </c>
    </row>
    <row r="111">
      <c r="B111" s="14" t="n"/>
      <c r="C111" s="20" t="n"/>
      <c r="D111" s="20" t="n"/>
      <c r="E111" s="14" t="n"/>
      <c r="F111" s="20" t="n"/>
      <c r="G111" s="21" t="n"/>
      <c r="H111" s="22" t="n"/>
      <c r="I111" s="20" t="n"/>
      <c r="J111" s="23">
        <f>IF(AND(B111="",C111="",N(H111)=0),"",IF(B111="","Enter the party name",IF(COUNTIF($B$13:$B$112,B111)&gt;1,"This name is used twice: enter each party once",IF(C111="","Pick Debtor or Creditor",IF(AND(N(H111)&gt;0,I111=""),"Pick Dr or Cr for the opening balance",IF(AND(L111=1,N(G111)&gt;45),"Over 45 days: the MSMED Act caps a written term at 45, so the book uses 45",IF(AND(L111=1,F111=""),"Ask for the Udyam Registration Number",IF(LEFT(E111,6)="Trader","Traders are MSMEs for bank lending only: ask your accountant before using the 45-day rule",IF(AND(C111="Creditor",LEFT(E111,6)="Medium"),"Medium enterprise: the MSMED payment rules do not apply",IF(AND(C111="Creditor",E111=""),"Ask the supplier whether they are a micro or small enterprise","OK"))))))))))</f>
        <v/>
      </c>
      <c r="L111">
        <f>IF(E111="",0,IFERROR(VLOOKUP(E111,Lists!$H$2:$I$6,2,FALSE),0))</f>
        <v/>
      </c>
      <c r="M111">
        <f>IF(N(H111)=0,0,IF(I111="Cr",-N(H111),N(H111)))</f>
        <v/>
      </c>
      <c r="N111">
        <f>IF(C111="Debtor",MAX(0,M111),IF(C111="Creditor",MAX(0,-M111),0))</f>
        <v/>
      </c>
      <c r="O111">
        <f>IF(C111="Debtor",MAX(0,-M111),IF(C111="Creditor",MAX(0,M111),0))</f>
        <v/>
      </c>
      <c r="P111">
        <f>IF(OR(AND(C111="Creditor",L111=1),AND(C111="Debtor",$E$9="Yes")),1,0)</f>
        <v/>
      </c>
      <c r="Q111">
        <f>IF(P111=1,IF(G111="",15,MIN(N(G111),45)),IF(G111="","",N(G111)))</f>
        <v/>
      </c>
    </row>
    <row r="112">
      <c r="B112" s="14" t="n"/>
      <c r="C112" s="20" t="n"/>
      <c r="D112" s="20" t="n"/>
      <c r="E112" s="14" t="n"/>
      <c r="F112" s="20" t="n"/>
      <c r="G112" s="21" t="n"/>
      <c r="H112" s="22" t="n"/>
      <c r="I112" s="20" t="n"/>
      <c r="J112" s="23">
        <f>IF(AND(B112="",C112="",N(H112)=0),"",IF(B112="","Enter the party name",IF(COUNTIF($B$13:$B$112,B112)&gt;1,"This name is used twice: enter each party once",IF(C112="","Pick Debtor or Creditor",IF(AND(N(H112)&gt;0,I112=""),"Pick Dr or Cr for the opening balance",IF(AND(L112=1,N(G112)&gt;45),"Over 45 days: the MSMED Act caps a written term at 45, so the book uses 45",IF(AND(L112=1,F112=""),"Ask for the Udyam Registration Number",IF(LEFT(E112,6)="Trader","Traders are MSMEs for bank lending only: ask your accountant before using the 45-day rule",IF(AND(C112="Creditor",LEFT(E112,6)="Medium"),"Medium enterprise: the MSMED payment rules do not apply",IF(AND(C112="Creditor",E112=""),"Ask the supplier whether they are a micro or small enterprise","OK"))))))))))</f>
        <v/>
      </c>
      <c r="L112">
        <f>IF(E112="",0,IFERROR(VLOOKUP(E112,Lists!$H$2:$I$6,2,FALSE),0))</f>
        <v/>
      </c>
      <c r="M112">
        <f>IF(N(H112)=0,0,IF(I112="Cr",-N(H112),N(H112)))</f>
        <v/>
      </c>
      <c r="N112">
        <f>IF(C112="Debtor",MAX(0,M112),IF(C112="Creditor",MAX(0,-M112),0))</f>
        <v/>
      </c>
      <c r="O112">
        <f>IF(C112="Debtor",MAX(0,-M112),IF(C112="Creditor",MAX(0,M112),0))</f>
        <v/>
      </c>
      <c r="P112">
        <f>IF(OR(AND(C112="Creditor",L112=1),AND(C112="Debtor",$E$9="Yes")),1,0)</f>
        <v/>
      </c>
      <c r="Q112">
        <f>IF(P112=1,IF(G112="",15,MIN(N(G112),45)),IF(G112="","",N(G112)))</f>
        <v/>
      </c>
    </row>
    <row r="113"/>
    <row r="114" ht="28" customHeight="1">
      <c r="B114" s="8" t="inlineStr">
        <is>
          <t>Only a micro or small enterprise with Udyam registration is covered by the MSMED Act payment rules. A medium enterprise is not, and traders registered on Udyam are MSMEs for bank lending only. General guidance, not legal or tax advice.</t>
        </is>
      </c>
      <c r="C114" s="9" t="n"/>
      <c r="D114" s="9" t="n"/>
      <c r="E114" s="9" t="n"/>
      <c r="F114" s="9" t="n"/>
      <c r="G114" s="9" t="n"/>
      <c r="H114" s="9" t="n"/>
      <c r="I114" s="9" t="n"/>
      <c r="J114" s="9" t="n"/>
    </row>
    <row r="115"/>
    <row r="116" ht="16" customHeight="1">
      <c r="B116"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6">
    <mergeCell ref="B10:D10"/>
    <mergeCell ref="G10:J10"/>
    <mergeCell ref="B3:J3"/>
    <mergeCell ref="B5:J5"/>
    <mergeCell ref="E6:F6"/>
    <mergeCell ref="B114:J114"/>
    <mergeCell ref="E7:F7"/>
    <mergeCell ref="E10:F10"/>
    <mergeCell ref="B8:D8"/>
    <mergeCell ref="B9:D9"/>
    <mergeCell ref="B7:D7"/>
    <mergeCell ref="E9:F9"/>
    <mergeCell ref="B6:D6"/>
    <mergeCell ref="E8:F8"/>
    <mergeCell ref="B2:J2"/>
    <mergeCell ref="B116:J116"/>
  </mergeCells>
  <dataValidations count="8">
    <dataValidation sqref="E7" showDropDown="0" showInputMessage="0" showErrorMessage="1" allowBlank="1" errorTitle="Enter a date" error="Enter a date, for example 01-Apr-2026." type="date" operator="between">
      <formula1>DATE(2000,1,1)</formula1>
      <formula2>DATE(2100,12,31)</formula2>
    </dataValidation>
    <dataValidation sqref="E9" showDropDown="0" showInputMessage="0" showErrorMessage="1" allowBlank="1" errorTitle="Pick from the list" error="Pick an option from the drop-down list." type="list">
      <formula1>=Lists!$K$2:$K$3</formula1>
    </dataValidation>
    <dataValidation sqref="E10" showDropDown="0" showInputMessage="0" showErrorMessage="1" allowBlank="1" errorTitle="Enter a rate" error="Enter the rate as a percentage, for example 5.75%." type="decimal" operator="between">
      <formula1>0</formula1>
      <formula2>0.5</formula2>
    </dataValidation>
    <dataValidation sqref="C13:C112" showDropDown="0" showInputMessage="0" showErrorMessage="1" allowBlank="1" errorTitle="Pick from the list" error="Pick an option from the drop-down list." type="list">
      <formula1>=Lists!$F$2:$F$3</formula1>
    </dataValidation>
    <dataValidation sqref="E13:E112" showDropDown="0" showInputMessage="0" showErrorMessage="1" allowBlank="1" errorTitle="Pick from the list" error="Pick an option from the drop-down list." type="list">
      <formula1>=Lists!$H$2:$H$6</formula1>
    </dataValidation>
    <dataValidation sqref="I13:I112" showDropDown="0" showInputMessage="0" showErrorMessage="1" allowBlank="1" errorTitle="Pick from the list" error="Pick an option from the drop-down list." type="list">
      <formula1>=Lists!$K$4:$K$5</formula1>
    </dataValidation>
    <dataValidation sqref="H13:H112" showDropDown="0" showInputMessage="0" showErrorMessage="1" allowBlank="1" errorTitle="Enter an amount" error="Enter the amount in rupees as a number, with no minus sign." type="decimal" operator="greaterThanOrEqual">
      <formula1>0</formula1>
    </dataValidation>
    <dataValidation sqref="G13:G112" showDropDown="0" showInputMessage="0" showErrorMessage="1" allowBlank="1" errorTitle="Enter days" error="Enter the number of days, such as 30." type="whole" operator="between">
      <formula1>0</formula1>
      <formula2>365</formula2>
    </dataValidation>
  </dataValidations>
  <pageMargins left="0.3" right="0.3" top="0.4" bottom="0.4"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AK511"/>
  <sheetViews>
    <sheetView workbookViewId="0">
      <pane xSplit="3" ySplit="6" topLeftCell="D7" activePane="bottomRight" state="frozen"/>
      <selection pane="topRight"/>
      <selection pane="bottomLeft"/>
      <selection pane="bottomRight" activeCell="A1" sqref="A1"/>
    </sheetView>
  </sheetViews>
  <sheetFormatPr baseColWidth="8" defaultRowHeight="15"/>
  <cols>
    <col width="2" customWidth="1" min="1" max="1"/>
    <col width="13" customWidth="1" min="2" max="2"/>
    <col width="26" customWidth="1" min="3" max="3"/>
    <col width="24" customWidth="1" min="4" max="4"/>
    <col width="14" customWidth="1" min="5" max="5"/>
    <col width="14" customWidth="1" min="6" max="6"/>
    <col width="30" customWidth="1" min="7" max="7"/>
    <col width="13" customWidth="1" min="8" max="8"/>
    <col width="13" customWidth="1" min="9" max="9"/>
    <col width="13" customWidth="1" min="10" max="10"/>
    <col width="13" customWidth="1" min="11" max="11"/>
    <col width="13" customWidth="1" min="12" max="12"/>
    <col width="10" customWidth="1" min="13" max="13"/>
    <col width="54" customWidth="1" min="14" max="14"/>
    <col width="2"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s>
  <sheetData>
    <row r="1"/>
    <row r="2" ht="26" customHeight="1">
      <c r="B2" s="1" t="inlineStr">
        <is>
          <t>ENTRIES  (every bill, receipt, payment and note, by date)</t>
        </is>
      </c>
    </row>
    <row r="3" ht="16" customHeight="1">
      <c r="B3" s="11" t="inlineStr">
        <is>
          <t>EXAMPLE: seven months at the same distributor. Two supplier bills are past due on purpose; read the Check column and the Outstanding sheet.</t>
        </is>
      </c>
    </row>
    <row r="4">
      <c r="B4" s="11">
        <f>"Unpaid and days overdue are as at "&amp;IF('Example Outstanding'!$E$5="","the date on the Outstanding sheet",TEXT('Example Outstanding'!$E$5,"DD-MMM-YYYY"))&amp;". Change that date on the Outstanding sheet."</f>
        <v/>
      </c>
    </row>
    <row r="5"/>
    <row r="6" ht="77" customHeight="1">
      <c r="B6" s="19" t="inlineStr">
        <is>
          <t>Date</t>
        </is>
      </c>
      <c r="C6" s="19" t="inlineStr">
        <is>
          <t>Party</t>
        </is>
      </c>
      <c r="D6" s="19" t="inlineStr">
        <is>
          <t>Entry type</t>
        </is>
      </c>
      <c r="E6" s="19" t="inlineStr">
        <is>
          <t>Bill or voucher no.</t>
        </is>
      </c>
      <c r="F6" s="19" t="inlineStr">
        <is>
          <t>Goods or services received on (purchase bills)</t>
        </is>
      </c>
      <c r="G6" s="19" t="inlineStr">
        <is>
          <t>Narration</t>
        </is>
      </c>
      <c r="H6" s="19" t="inlineStr">
        <is>
          <t>Amount</t>
        </is>
      </c>
      <c r="I6" s="19" t="inlineStr">
        <is>
          <t>Debit</t>
        </is>
      </c>
      <c r="J6" s="19" t="inlineStr">
        <is>
          <t>Credit</t>
        </is>
      </c>
      <c r="K6" s="19" t="inlineStr">
        <is>
          <t>Due date</t>
        </is>
      </c>
      <c r="L6" s="19" t="inlineStr">
        <is>
          <t>Unpaid on the as-at date</t>
        </is>
      </c>
      <c r="M6" s="19" t="inlineStr">
        <is>
          <t>Days overdue</t>
        </is>
      </c>
      <c r="N6" s="19" t="inlineStr">
        <is>
          <t>Check</t>
        </is>
      </c>
    </row>
    <row r="7" ht="18" customHeight="1">
      <c r="B7" s="24" t="n">
        <v>46114</v>
      </c>
      <c r="C7" s="14" t="inlineStr">
        <is>
          <t>Retailer A</t>
        </is>
      </c>
      <c r="D7" s="14" t="inlineStr">
        <is>
          <t>Receipt from customer</t>
        </is>
      </c>
      <c r="E7" s="20" t="inlineStr">
        <is>
          <t>RC-01</t>
        </is>
      </c>
      <c r="F7" s="24" t="n"/>
      <c r="G7" s="14" t="inlineStr">
        <is>
          <t>Opening balance received</t>
        </is>
      </c>
      <c r="H7" s="22" t="n">
        <v>12000</v>
      </c>
      <c r="I7" s="25">
        <f>IF(Q7="D",N(H7),0)</f>
        <v/>
      </c>
      <c r="J7" s="25">
        <f>IF(Q7="C",N(H7),0)</f>
        <v/>
      </c>
      <c r="K7" s="26">
        <f>IF(Z7="","",Z7)</f>
        <v/>
      </c>
      <c r="L7" s="27">
        <f>W7</f>
        <v/>
      </c>
      <c r="M7" s="28">
        <f>AA7</f>
        <v/>
      </c>
      <c r="N7" s="23">
        <f>IF(AND(B7="",C7="",D7="",N(H7)=0),"",IF(B7="","Enter the date",IF(C7="","Pick the party",IF(P7="?","Add this party on the Parties sheet first",IF(D7="","Pick the entry type",IF(Q7="?","Pick the entry type from the list",IF(N(H7)=0,"Enter the amount",IF(AND(R7&lt;&gt;"Any",R7&lt;&gt;P7),"Sales, receipts and credit notes are for debtors; purchases, payments and debit notes for creditors",IF(AND(F7&lt;&gt;"",D7&lt;&gt;"Purchase bill"),"The received-on date is only for purchase bills",IF(AND(P7="Creditor",X7=1,AA7&gt;0),"Past due to a micro or small supplier: interest runs under MSMED s.16, and if unpaid at year end it is not deductible that year, s.37(2)(g)",IF(AND(P7="Debtor",X7=1,AA7&gt;0),"Past due to you: as a micro or small supplier you can claim interest under MSMED s.16","OK")))))))))))</f>
        <v/>
      </c>
      <c r="P7">
        <f>IF(C7="","",IFERROR(VLOOKUP(C7,'Example Parties'!$B$13:$Q$112,2,FALSE),"?"))</f>
        <v/>
      </c>
      <c r="Q7">
        <f>IF(D7="","",IFERROR(VLOOKUP(D7,Lists!$A$2:$D$9,3,FALSE),"?"))</f>
        <v/>
      </c>
      <c r="R7">
        <f>IF(D7="","",IFERROR(VLOOKUP(D7,Lists!$A$2:$D$9,4,FALSE),"?"))</f>
        <v/>
      </c>
      <c r="S7">
        <f>IF(P7="Debtor",I7,IF(P7="Creditor",J7,0))</f>
        <v/>
      </c>
      <c r="T7">
        <f>IF(P7="Debtor",J7,IF(P7="Creditor",I7,0))</f>
        <v/>
      </c>
      <c r="U7">
        <f>IF(OR(S7=0,B7=""),0,IFERROR(VLOOKUP(C7,'Example Parties'!$B$13:$Q$112,13,FALSE),0)+SUMIFS($S$7:$S$506,$C$7:$C$506,C7,$B$7:$B$506,"&lt;"&amp;B7)+SUMIFS(S$7:S7,C$7:C7,C7,B$7:B7,B7))</f>
        <v/>
      </c>
      <c r="V7">
        <f>IF(S7=0,0,IFERROR(VLOOKUP(C7,'Example Parties'!$B$13:$Q$112,14,FALSE),0)+SUMIFS($T$7:$T$506,$C$7:$C$506,C7,$B$7:$B$506,"&lt;="&amp;'Example Outstanding'!$E$5))</f>
        <v/>
      </c>
      <c r="W7">
        <f>IF(OR('Example Outstanding'!$E$5="",S7=0,B7="",B7&gt;'Example Outstanding'!$E$5),0,MAX(0,MIN(S7,U7-V7)))</f>
        <v/>
      </c>
      <c r="X7">
        <f>IF(C7="",0,IFERROR(VLOOKUP(C7,'Example Parties'!$B$13:$Q$112,15,FALSE),0))</f>
        <v/>
      </c>
      <c r="Y7">
        <f>IF(C7="","",IFERROR(VLOOKUP(C7,'Example Parties'!$B$13:$Q$112,16,FALSE),0))</f>
        <v/>
      </c>
      <c r="Z7">
        <f>IF(OR(S7=0,B7="",Y7=""),"",IF(AND(F7&lt;&gt;"",D7="Purchase bill"),F7,B7)+Y7)</f>
        <v/>
      </c>
      <c r="AA7">
        <f>IF(OR(W7=0,Z7=""),0,MAX(0,'Example Outstanding'!$E$5-Z7))</f>
        <v/>
      </c>
      <c r="AB7">
        <f>IF(AND(X7=1,AA7&gt;0),W7*((1+3*N('Example Parties'!$E$10)/12)^(AA7*12/365)-1),0)</f>
        <v/>
      </c>
      <c r="AC7">
        <f>IF(W7=0,"",'Example Outstanding'!$E$5-B7)</f>
        <v/>
      </c>
      <c r="AD7">
        <f>IF(S7=0,0,IFERROR(VLOOKUP(C7,'Example Parties'!$B$13:$Q$112,14,FALSE),0)+SUMIFS($T$7:$T$506,$C$7:$C$506,C7,$B$7:$B$506,"&lt;="&amp;'Example Parties'!$E$8))</f>
        <v/>
      </c>
      <c r="AE7">
        <f>IF(OR('Example Parties'!$E$8="",S7=0,B7="",B7&gt;'Example Parties'!$E$8),0,MAX(0,MIN(S7,U7-AD7)))</f>
        <v/>
      </c>
      <c r="AF7">
        <f>IF(AND(P7="Creditor",X7=1,AE7&gt;0,Z7&lt;&gt;""),IF(Z7&lt;='Example Parties'!$E$8,AE7,0),0)</f>
        <v/>
      </c>
      <c r="AG7">
        <f>IF(OR(AE7=0,Z7=""),0,MAX(0,'Example Parties'!$E$8-Z7))</f>
        <v/>
      </c>
      <c r="AH7">
        <f>IF(AND(P7="Creditor",X7=1,AG7&gt;0),AE7*((1+3*N('Example Parties'!$E$10)/12)^(AG7*12/365)-1),0)</f>
        <v/>
      </c>
      <c r="AI7">
        <f>IF(AND(C7&lt;&gt;"",C7='Example Ledger'!$D$4,B7&lt;&gt;"",B7&gt;='Example Ledger'!$D$5,B7&lt;='Example Ledger'!$D$6),1,0)</f>
        <v/>
      </c>
      <c r="AJ7">
        <f>IF(AI7=1,SUM(AI$7:AI7),"")</f>
        <v/>
      </c>
      <c r="AK7">
        <f>IF(OR(N7="",N7="OK"),0,1)</f>
        <v/>
      </c>
    </row>
    <row r="8" ht="18" customHeight="1">
      <c r="B8" s="24" t="n">
        <v>46117</v>
      </c>
      <c r="C8" s="14" t="inlineStr">
        <is>
          <t>Packaging supplier</t>
        </is>
      </c>
      <c r="D8" s="14" t="inlineStr">
        <is>
          <t>Payment to supplier</t>
        </is>
      </c>
      <c r="E8" s="20" t="inlineStr">
        <is>
          <t>PY-01</t>
        </is>
      </c>
      <c r="F8" s="24" t="n"/>
      <c r="G8" s="14" t="inlineStr">
        <is>
          <t>Opening balance paid</t>
        </is>
      </c>
      <c r="H8" s="22" t="n">
        <v>18000</v>
      </c>
      <c r="I8" s="25">
        <f>IF(Q8="D",N(H8),0)</f>
        <v/>
      </c>
      <c r="J8" s="25">
        <f>IF(Q8="C",N(H8),0)</f>
        <v/>
      </c>
      <c r="K8" s="26">
        <f>IF(Z8="","",Z8)</f>
        <v/>
      </c>
      <c r="L8" s="27">
        <f>W8</f>
        <v/>
      </c>
      <c r="M8" s="28">
        <f>AA8</f>
        <v/>
      </c>
      <c r="N8" s="23">
        <f>IF(AND(B8="",C8="",D8="",N(H8)=0),"",IF(B8="","Enter the date",IF(C8="","Pick the party",IF(P8="?","Add this party on the Parties sheet first",IF(D8="","Pick the entry type",IF(Q8="?","Pick the entry type from the list",IF(N(H8)=0,"Enter the amount",IF(AND(R8&lt;&gt;"Any",R8&lt;&gt;P8),"Sales, receipts and credit notes are for debtors; purchases, payments and debit notes for creditors",IF(AND(F8&lt;&gt;"",D8&lt;&gt;"Purchase bill"),"The received-on date is only for purchase bills",IF(AND(P8="Creditor",X8=1,AA8&gt;0),"Past due to a micro or small supplier: interest runs under MSMED s.16, and if unpaid at year end it is not deductible that year, s.37(2)(g)",IF(AND(P8="Debtor",X8=1,AA8&gt;0),"Past due to you: as a micro or small supplier you can claim interest under MSMED s.16","OK")))))))))))</f>
        <v/>
      </c>
      <c r="P8">
        <f>IF(C8="","",IFERROR(VLOOKUP(C8,'Example Parties'!$B$13:$Q$112,2,FALSE),"?"))</f>
        <v/>
      </c>
      <c r="Q8">
        <f>IF(D8="","",IFERROR(VLOOKUP(D8,Lists!$A$2:$D$9,3,FALSE),"?"))</f>
        <v/>
      </c>
      <c r="R8">
        <f>IF(D8="","",IFERROR(VLOOKUP(D8,Lists!$A$2:$D$9,4,FALSE),"?"))</f>
        <v/>
      </c>
      <c r="S8">
        <f>IF(P8="Debtor",I8,IF(P8="Creditor",J8,0))</f>
        <v/>
      </c>
      <c r="T8">
        <f>IF(P8="Debtor",J8,IF(P8="Creditor",I8,0))</f>
        <v/>
      </c>
      <c r="U8">
        <f>IF(OR(S8=0,B8=""),0,IFERROR(VLOOKUP(C8,'Example Parties'!$B$13:$Q$112,13,FALSE),0)+SUMIFS($S$7:$S$506,$C$7:$C$506,C8,$B$7:$B$506,"&lt;"&amp;B8)+SUMIFS(S$7:S8,C$7:C8,C8,B$7:B8,B8))</f>
        <v/>
      </c>
      <c r="V8">
        <f>IF(S8=0,0,IFERROR(VLOOKUP(C8,'Example Parties'!$B$13:$Q$112,14,FALSE),0)+SUMIFS($T$7:$T$506,$C$7:$C$506,C8,$B$7:$B$506,"&lt;="&amp;'Example Outstanding'!$E$5))</f>
        <v/>
      </c>
      <c r="W8">
        <f>IF(OR('Example Outstanding'!$E$5="",S8=0,B8="",B8&gt;'Example Outstanding'!$E$5),0,MAX(0,MIN(S8,U8-V8)))</f>
        <v/>
      </c>
      <c r="X8">
        <f>IF(C8="",0,IFERROR(VLOOKUP(C8,'Example Parties'!$B$13:$Q$112,15,FALSE),0))</f>
        <v/>
      </c>
      <c r="Y8">
        <f>IF(C8="","",IFERROR(VLOOKUP(C8,'Example Parties'!$B$13:$Q$112,16,FALSE),0))</f>
        <v/>
      </c>
      <c r="Z8">
        <f>IF(OR(S8=0,B8="",Y8=""),"",IF(AND(F8&lt;&gt;"",D8="Purchase bill"),F8,B8)+Y8)</f>
        <v/>
      </c>
      <c r="AA8">
        <f>IF(OR(W8=0,Z8=""),0,MAX(0,'Example Outstanding'!$E$5-Z8))</f>
        <v/>
      </c>
      <c r="AB8">
        <f>IF(AND(X8=1,AA8&gt;0),W8*((1+3*N('Example Parties'!$E$10)/12)^(AA8*12/365)-1),0)</f>
        <v/>
      </c>
      <c r="AC8">
        <f>IF(W8=0,"",'Example Outstanding'!$E$5-B8)</f>
        <v/>
      </c>
      <c r="AD8">
        <f>IF(S8=0,0,IFERROR(VLOOKUP(C8,'Example Parties'!$B$13:$Q$112,14,FALSE),0)+SUMIFS($T$7:$T$506,$C$7:$C$506,C8,$B$7:$B$506,"&lt;="&amp;'Example Parties'!$E$8))</f>
        <v/>
      </c>
      <c r="AE8">
        <f>IF(OR('Example Parties'!$E$8="",S8=0,B8="",B8&gt;'Example Parties'!$E$8),0,MAX(0,MIN(S8,U8-AD8)))</f>
        <v/>
      </c>
      <c r="AF8">
        <f>IF(AND(P8="Creditor",X8=1,AE8&gt;0,Z8&lt;&gt;""),IF(Z8&lt;='Example Parties'!$E$8,AE8,0),0)</f>
        <v/>
      </c>
      <c r="AG8">
        <f>IF(OR(AE8=0,Z8=""),0,MAX(0,'Example Parties'!$E$8-Z8))</f>
        <v/>
      </c>
      <c r="AH8">
        <f>IF(AND(P8="Creditor",X8=1,AG8&gt;0),AE8*((1+3*N('Example Parties'!$E$10)/12)^(AG8*12/365)-1),0)</f>
        <v/>
      </c>
      <c r="AI8">
        <f>IF(AND(C8&lt;&gt;"",C8='Example Ledger'!$D$4,B8&lt;&gt;"",B8&gt;='Example Ledger'!$D$5,B8&lt;='Example Ledger'!$D$6),1,0)</f>
        <v/>
      </c>
      <c r="AJ8">
        <f>IF(AI8=1,SUM(AI$7:AI8),"")</f>
        <v/>
      </c>
      <c r="AK8">
        <f>IF(OR(N8="",N8="OK"),0,1)</f>
        <v/>
      </c>
    </row>
    <row r="9" ht="18" customHeight="1">
      <c r="B9" s="24" t="n">
        <v>46122</v>
      </c>
      <c r="C9" s="14" t="inlineStr">
        <is>
          <t>Retailer A</t>
        </is>
      </c>
      <c r="D9" s="14" t="inlineStr">
        <is>
          <t>Sale invoice</t>
        </is>
      </c>
      <c r="E9" s="20" t="inlineStr">
        <is>
          <t>INV-101</t>
        </is>
      </c>
      <c r="F9" s="24" t="n"/>
      <c r="G9" s="14" t="n"/>
      <c r="H9" s="22" t="n">
        <v>24000</v>
      </c>
      <c r="I9" s="25">
        <f>IF(Q9="D",N(H9),0)</f>
        <v/>
      </c>
      <c r="J9" s="25">
        <f>IF(Q9="C",N(H9),0)</f>
        <v/>
      </c>
      <c r="K9" s="26">
        <f>IF(Z9="","",Z9)</f>
        <v/>
      </c>
      <c r="L9" s="27">
        <f>W9</f>
        <v/>
      </c>
      <c r="M9" s="28">
        <f>AA9</f>
        <v/>
      </c>
      <c r="N9" s="23">
        <f>IF(AND(B9="",C9="",D9="",N(H9)=0),"",IF(B9="","Enter the date",IF(C9="","Pick the party",IF(P9="?","Add this party on the Parties sheet first",IF(D9="","Pick the entry type",IF(Q9="?","Pick the entry type from the list",IF(N(H9)=0,"Enter the amount",IF(AND(R9&lt;&gt;"Any",R9&lt;&gt;P9),"Sales, receipts and credit notes are for debtors; purchases, payments and debit notes for creditors",IF(AND(F9&lt;&gt;"",D9&lt;&gt;"Purchase bill"),"The received-on date is only for purchase bills",IF(AND(P9="Creditor",X9=1,AA9&gt;0),"Past due to a micro or small supplier: interest runs under MSMED s.16, and if unpaid at year end it is not deductible that year, s.37(2)(g)",IF(AND(P9="Debtor",X9=1,AA9&gt;0),"Past due to you: as a micro or small supplier you can claim interest under MSMED s.16","OK")))))))))))</f>
        <v/>
      </c>
      <c r="P9">
        <f>IF(C9="","",IFERROR(VLOOKUP(C9,'Example Parties'!$B$13:$Q$112,2,FALSE),"?"))</f>
        <v/>
      </c>
      <c r="Q9">
        <f>IF(D9="","",IFERROR(VLOOKUP(D9,Lists!$A$2:$D$9,3,FALSE),"?"))</f>
        <v/>
      </c>
      <c r="R9">
        <f>IF(D9="","",IFERROR(VLOOKUP(D9,Lists!$A$2:$D$9,4,FALSE),"?"))</f>
        <v/>
      </c>
      <c r="S9">
        <f>IF(P9="Debtor",I9,IF(P9="Creditor",J9,0))</f>
        <v/>
      </c>
      <c r="T9">
        <f>IF(P9="Debtor",J9,IF(P9="Creditor",I9,0))</f>
        <v/>
      </c>
      <c r="U9">
        <f>IF(OR(S9=0,B9=""),0,IFERROR(VLOOKUP(C9,'Example Parties'!$B$13:$Q$112,13,FALSE),0)+SUMIFS($S$7:$S$506,$C$7:$C$506,C9,$B$7:$B$506,"&lt;"&amp;B9)+SUMIFS(S$7:S9,C$7:C9,C9,B$7:B9,B9))</f>
        <v/>
      </c>
      <c r="V9">
        <f>IF(S9=0,0,IFERROR(VLOOKUP(C9,'Example Parties'!$B$13:$Q$112,14,FALSE),0)+SUMIFS($T$7:$T$506,$C$7:$C$506,C9,$B$7:$B$506,"&lt;="&amp;'Example Outstanding'!$E$5))</f>
        <v/>
      </c>
      <c r="W9">
        <f>IF(OR('Example Outstanding'!$E$5="",S9=0,B9="",B9&gt;'Example Outstanding'!$E$5),0,MAX(0,MIN(S9,U9-V9)))</f>
        <v/>
      </c>
      <c r="X9">
        <f>IF(C9="",0,IFERROR(VLOOKUP(C9,'Example Parties'!$B$13:$Q$112,15,FALSE),0))</f>
        <v/>
      </c>
      <c r="Y9">
        <f>IF(C9="","",IFERROR(VLOOKUP(C9,'Example Parties'!$B$13:$Q$112,16,FALSE),0))</f>
        <v/>
      </c>
      <c r="Z9">
        <f>IF(OR(S9=0,B9="",Y9=""),"",IF(AND(F9&lt;&gt;"",D9="Purchase bill"),F9,B9)+Y9)</f>
        <v/>
      </c>
      <c r="AA9">
        <f>IF(OR(W9=0,Z9=""),0,MAX(0,'Example Outstanding'!$E$5-Z9))</f>
        <v/>
      </c>
      <c r="AB9">
        <f>IF(AND(X9=1,AA9&gt;0),W9*((1+3*N('Example Parties'!$E$10)/12)^(AA9*12/365)-1),0)</f>
        <v/>
      </c>
      <c r="AC9">
        <f>IF(W9=0,"",'Example Outstanding'!$E$5-B9)</f>
        <v/>
      </c>
      <c r="AD9">
        <f>IF(S9=0,0,IFERROR(VLOOKUP(C9,'Example Parties'!$B$13:$Q$112,14,FALSE),0)+SUMIFS($T$7:$T$506,$C$7:$C$506,C9,$B$7:$B$506,"&lt;="&amp;'Example Parties'!$E$8))</f>
        <v/>
      </c>
      <c r="AE9">
        <f>IF(OR('Example Parties'!$E$8="",S9=0,B9="",B9&gt;'Example Parties'!$E$8),0,MAX(0,MIN(S9,U9-AD9)))</f>
        <v/>
      </c>
      <c r="AF9">
        <f>IF(AND(P9="Creditor",X9=1,AE9&gt;0,Z9&lt;&gt;""),IF(Z9&lt;='Example Parties'!$E$8,AE9,0),0)</f>
        <v/>
      </c>
      <c r="AG9">
        <f>IF(OR(AE9=0,Z9=""),0,MAX(0,'Example Parties'!$E$8-Z9))</f>
        <v/>
      </c>
      <c r="AH9">
        <f>IF(AND(P9="Creditor",X9=1,AG9&gt;0),AE9*((1+3*N('Example Parties'!$E$10)/12)^(AG9*12/365)-1),0)</f>
        <v/>
      </c>
      <c r="AI9">
        <f>IF(AND(C9&lt;&gt;"",C9='Example Ledger'!$D$4,B9&lt;&gt;"",B9&gt;='Example Ledger'!$D$5,B9&lt;='Example Ledger'!$D$6),1,0)</f>
        <v/>
      </c>
      <c r="AJ9">
        <f>IF(AI9=1,SUM(AI$7:AI9),"")</f>
        <v/>
      </c>
      <c r="AK9">
        <f>IF(OR(N9="",N9="OK"),0,1)</f>
        <v/>
      </c>
    </row>
    <row r="10" ht="18" customHeight="1">
      <c r="B10" s="24" t="n">
        <v>46132</v>
      </c>
      <c r="C10" s="14" t="inlineStr">
        <is>
          <t>Packaging supplier</t>
        </is>
      </c>
      <c r="D10" s="14" t="inlineStr">
        <is>
          <t>Purchase bill</t>
        </is>
      </c>
      <c r="E10" s="20" t="inlineStr">
        <is>
          <t>PK-551</t>
        </is>
      </c>
      <c r="F10" s="24" t="n">
        <v>46134</v>
      </c>
      <c r="G10" s="14" t="inlineStr">
        <is>
          <t>Cartons, delivered 22-Apr</t>
        </is>
      </c>
      <c r="H10" s="22" t="n">
        <v>36000</v>
      </c>
      <c r="I10" s="25">
        <f>IF(Q10="D",N(H10),0)</f>
        <v/>
      </c>
      <c r="J10" s="25">
        <f>IF(Q10="C",N(H10),0)</f>
        <v/>
      </c>
      <c r="K10" s="26">
        <f>IF(Z10="","",Z10)</f>
        <v/>
      </c>
      <c r="L10" s="27">
        <f>W10</f>
        <v/>
      </c>
      <c r="M10" s="28">
        <f>AA10</f>
        <v/>
      </c>
      <c r="N10" s="23">
        <f>IF(AND(B10="",C10="",D10="",N(H10)=0),"",IF(B10="","Enter the date",IF(C10="","Pick the party",IF(P10="?","Add this party on the Parties sheet first",IF(D10="","Pick the entry type",IF(Q10="?","Pick the entry type from the list",IF(N(H10)=0,"Enter the amount",IF(AND(R10&lt;&gt;"Any",R10&lt;&gt;P10),"Sales, receipts and credit notes are for debtors; purchases, payments and debit notes for creditors",IF(AND(F10&lt;&gt;"",D10&lt;&gt;"Purchase bill"),"The received-on date is only for purchase bills",IF(AND(P10="Creditor",X10=1,AA10&gt;0),"Past due to a micro or small supplier: interest runs under MSMED s.16, and if unpaid at year end it is not deductible that year, s.37(2)(g)",IF(AND(P10="Debtor",X10=1,AA10&gt;0),"Past due to you: as a micro or small supplier you can claim interest under MSMED s.16","OK")))))))))))</f>
        <v/>
      </c>
      <c r="P10">
        <f>IF(C10="","",IFERROR(VLOOKUP(C10,'Example Parties'!$B$13:$Q$112,2,FALSE),"?"))</f>
        <v/>
      </c>
      <c r="Q10">
        <f>IF(D10="","",IFERROR(VLOOKUP(D10,Lists!$A$2:$D$9,3,FALSE),"?"))</f>
        <v/>
      </c>
      <c r="R10">
        <f>IF(D10="","",IFERROR(VLOOKUP(D10,Lists!$A$2:$D$9,4,FALSE),"?"))</f>
        <v/>
      </c>
      <c r="S10">
        <f>IF(P10="Debtor",I10,IF(P10="Creditor",J10,0))</f>
        <v/>
      </c>
      <c r="T10">
        <f>IF(P10="Debtor",J10,IF(P10="Creditor",I10,0))</f>
        <v/>
      </c>
      <c r="U10">
        <f>IF(OR(S10=0,B10=""),0,IFERROR(VLOOKUP(C10,'Example Parties'!$B$13:$Q$112,13,FALSE),0)+SUMIFS($S$7:$S$506,$C$7:$C$506,C10,$B$7:$B$506,"&lt;"&amp;B10)+SUMIFS(S$7:S10,C$7:C10,C10,B$7:B10,B10))</f>
        <v/>
      </c>
      <c r="V10">
        <f>IF(S10=0,0,IFERROR(VLOOKUP(C10,'Example Parties'!$B$13:$Q$112,14,FALSE),0)+SUMIFS($T$7:$T$506,$C$7:$C$506,C10,$B$7:$B$506,"&lt;="&amp;'Example Outstanding'!$E$5))</f>
        <v/>
      </c>
      <c r="W10">
        <f>IF(OR('Example Outstanding'!$E$5="",S10=0,B10="",B10&gt;'Example Outstanding'!$E$5),0,MAX(0,MIN(S10,U10-V10)))</f>
        <v/>
      </c>
      <c r="X10">
        <f>IF(C10="",0,IFERROR(VLOOKUP(C10,'Example Parties'!$B$13:$Q$112,15,FALSE),0))</f>
        <v/>
      </c>
      <c r="Y10">
        <f>IF(C10="","",IFERROR(VLOOKUP(C10,'Example Parties'!$B$13:$Q$112,16,FALSE),0))</f>
        <v/>
      </c>
      <c r="Z10">
        <f>IF(OR(S10=0,B10="",Y10=""),"",IF(AND(F10&lt;&gt;"",D10="Purchase bill"),F10,B10)+Y10)</f>
        <v/>
      </c>
      <c r="AA10">
        <f>IF(OR(W10=0,Z10=""),0,MAX(0,'Example Outstanding'!$E$5-Z10))</f>
        <v/>
      </c>
      <c r="AB10">
        <f>IF(AND(X10=1,AA10&gt;0),W10*((1+3*N('Example Parties'!$E$10)/12)^(AA10*12/365)-1),0)</f>
        <v/>
      </c>
      <c r="AC10">
        <f>IF(W10=0,"",'Example Outstanding'!$E$5-B10)</f>
        <v/>
      </c>
      <c r="AD10">
        <f>IF(S10=0,0,IFERROR(VLOOKUP(C10,'Example Parties'!$B$13:$Q$112,14,FALSE),0)+SUMIFS($T$7:$T$506,$C$7:$C$506,C10,$B$7:$B$506,"&lt;="&amp;'Example Parties'!$E$8))</f>
        <v/>
      </c>
      <c r="AE10">
        <f>IF(OR('Example Parties'!$E$8="",S10=0,B10="",B10&gt;'Example Parties'!$E$8),0,MAX(0,MIN(S10,U10-AD10)))</f>
        <v/>
      </c>
      <c r="AF10">
        <f>IF(AND(P10="Creditor",X10=1,AE10&gt;0,Z10&lt;&gt;""),IF(Z10&lt;='Example Parties'!$E$8,AE10,0),0)</f>
        <v/>
      </c>
      <c r="AG10">
        <f>IF(OR(AE10=0,Z10=""),0,MAX(0,'Example Parties'!$E$8-Z10))</f>
        <v/>
      </c>
      <c r="AH10">
        <f>IF(AND(P10="Creditor",X10=1,AG10&gt;0),AE10*((1+3*N('Example Parties'!$E$10)/12)^(AG10*12/365)-1),0)</f>
        <v/>
      </c>
      <c r="AI10">
        <f>IF(AND(C10&lt;&gt;"",C10='Example Ledger'!$D$4,B10&lt;&gt;"",B10&gt;='Example Ledger'!$D$5,B10&lt;='Example Ledger'!$D$6),1,0)</f>
        <v/>
      </c>
      <c r="AJ10">
        <f>IF(AI10=1,SUM(AI$7:AI10),"")</f>
        <v/>
      </c>
      <c r="AK10">
        <f>IF(OR(N10="",N10="OK"),0,1)</f>
        <v/>
      </c>
    </row>
    <row r="11" ht="18" customHeight="1">
      <c r="B11" s="24" t="n">
        <v>46150</v>
      </c>
      <c r="C11" s="14" t="inlineStr">
        <is>
          <t>Retailer A</t>
        </is>
      </c>
      <c r="D11" s="14" t="inlineStr">
        <is>
          <t>Receipt from customer</t>
        </is>
      </c>
      <c r="E11" s="20" t="inlineStr">
        <is>
          <t>RC-02</t>
        </is>
      </c>
      <c r="F11" s="24" t="n"/>
      <c r="G11" s="14" t="n"/>
      <c r="H11" s="22" t="n">
        <v>24000</v>
      </c>
      <c r="I11" s="25">
        <f>IF(Q11="D",N(H11),0)</f>
        <v/>
      </c>
      <c r="J11" s="25">
        <f>IF(Q11="C",N(H11),0)</f>
        <v/>
      </c>
      <c r="K11" s="26">
        <f>IF(Z11="","",Z11)</f>
        <v/>
      </c>
      <c r="L11" s="27">
        <f>W11</f>
        <v/>
      </c>
      <c r="M11" s="28">
        <f>AA11</f>
        <v/>
      </c>
      <c r="N11" s="23">
        <f>IF(AND(B11="",C11="",D11="",N(H11)=0),"",IF(B11="","Enter the date",IF(C11="","Pick the party",IF(P11="?","Add this party on the Parties sheet first",IF(D11="","Pick the entry type",IF(Q11="?","Pick the entry type from the list",IF(N(H11)=0,"Enter the amount",IF(AND(R11&lt;&gt;"Any",R11&lt;&gt;P11),"Sales, receipts and credit notes are for debtors; purchases, payments and debit notes for creditors",IF(AND(F11&lt;&gt;"",D11&lt;&gt;"Purchase bill"),"The received-on date is only for purchase bills",IF(AND(P11="Creditor",X11=1,AA11&gt;0),"Past due to a micro or small supplier: interest runs under MSMED s.16, and if unpaid at year end it is not deductible that year, s.37(2)(g)",IF(AND(P11="Debtor",X11=1,AA11&gt;0),"Past due to you: as a micro or small supplier you can claim interest under MSMED s.16","OK")))))))))))</f>
        <v/>
      </c>
      <c r="P11">
        <f>IF(C11="","",IFERROR(VLOOKUP(C11,'Example Parties'!$B$13:$Q$112,2,FALSE),"?"))</f>
        <v/>
      </c>
      <c r="Q11">
        <f>IF(D11="","",IFERROR(VLOOKUP(D11,Lists!$A$2:$D$9,3,FALSE),"?"))</f>
        <v/>
      </c>
      <c r="R11">
        <f>IF(D11="","",IFERROR(VLOOKUP(D11,Lists!$A$2:$D$9,4,FALSE),"?"))</f>
        <v/>
      </c>
      <c r="S11">
        <f>IF(P11="Debtor",I11,IF(P11="Creditor",J11,0))</f>
        <v/>
      </c>
      <c r="T11">
        <f>IF(P11="Debtor",J11,IF(P11="Creditor",I11,0))</f>
        <v/>
      </c>
      <c r="U11">
        <f>IF(OR(S11=0,B11=""),0,IFERROR(VLOOKUP(C11,'Example Parties'!$B$13:$Q$112,13,FALSE),0)+SUMIFS($S$7:$S$506,$C$7:$C$506,C11,$B$7:$B$506,"&lt;"&amp;B11)+SUMIFS(S$7:S11,C$7:C11,C11,B$7:B11,B11))</f>
        <v/>
      </c>
      <c r="V11">
        <f>IF(S11=0,0,IFERROR(VLOOKUP(C11,'Example Parties'!$B$13:$Q$112,14,FALSE),0)+SUMIFS($T$7:$T$506,$C$7:$C$506,C11,$B$7:$B$506,"&lt;="&amp;'Example Outstanding'!$E$5))</f>
        <v/>
      </c>
      <c r="W11">
        <f>IF(OR('Example Outstanding'!$E$5="",S11=0,B11="",B11&gt;'Example Outstanding'!$E$5),0,MAX(0,MIN(S11,U11-V11)))</f>
        <v/>
      </c>
      <c r="X11">
        <f>IF(C11="",0,IFERROR(VLOOKUP(C11,'Example Parties'!$B$13:$Q$112,15,FALSE),0))</f>
        <v/>
      </c>
      <c r="Y11">
        <f>IF(C11="","",IFERROR(VLOOKUP(C11,'Example Parties'!$B$13:$Q$112,16,FALSE),0))</f>
        <v/>
      </c>
      <c r="Z11">
        <f>IF(OR(S11=0,B11="",Y11=""),"",IF(AND(F11&lt;&gt;"",D11="Purchase bill"),F11,B11)+Y11)</f>
        <v/>
      </c>
      <c r="AA11">
        <f>IF(OR(W11=0,Z11=""),0,MAX(0,'Example Outstanding'!$E$5-Z11))</f>
        <v/>
      </c>
      <c r="AB11">
        <f>IF(AND(X11=1,AA11&gt;0),W11*((1+3*N('Example Parties'!$E$10)/12)^(AA11*12/365)-1),0)</f>
        <v/>
      </c>
      <c r="AC11">
        <f>IF(W11=0,"",'Example Outstanding'!$E$5-B11)</f>
        <v/>
      </c>
      <c r="AD11">
        <f>IF(S11=0,0,IFERROR(VLOOKUP(C11,'Example Parties'!$B$13:$Q$112,14,FALSE),0)+SUMIFS($T$7:$T$506,$C$7:$C$506,C11,$B$7:$B$506,"&lt;="&amp;'Example Parties'!$E$8))</f>
        <v/>
      </c>
      <c r="AE11">
        <f>IF(OR('Example Parties'!$E$8="",S11=0,B11="",B11&gt;'Example Parties'!$E$8),0,MAX(0,MIN(S11,U11-AD11)))</f>
        <v/>
      </c>
      <c r="AF11">
        <f>IF(AND(P11="Creditor",X11=1,AE11&gt;0,Z11&lt;&gt;""),IF(Z11&lt;='Example Parties'!$E$8,AE11,0),0)</f>
        <v/>
      </c>
      <c r="AG11">
        <f>IF(OR(AE11=0,Z11=""),0,MAX(0,'Example Parties'!$E$8-Z11))</f>
        <v/>
      </c>
      <c r="AH11">
        <f>IF(AND(P11="Creditor",X11=1,AG11&gt;0),AE11*((1+3*N('Example Parties'!$E$10)/12)^(AG11*12/365)-1),0)</f>
        <v/>
      </c>
      <c r="AI11">
        <f>IF(AND(C11&lt;&gt;"",C11='Example Ledger'!$D$4,B11&lt;&gt;"",B11&gt;='Example Ledger'!$D$5,B11&lt;='Example Ledger'!$D$6),1,0)</f>
        <v/>
      </c>
      <c r="AJ11">
        <f>IF(AI11=1,SUM(AI$7:AI11),"")</f>
        <v/>
      </c>
      <c r="AK11">
        <f>IF(OR(N11="",N11="OK"),0,1)</f>
        <v/>
      </c>
    </row>
    <row r="12" ht="18" customHeight="1">
      <c r="B12" s="24" t="n">
        <v>46157</v>
      </c>
      <c r="C12" s="14" t="inlineStr">
        <is>
          <t>Packaging supplier</t>
        </is>
      </c>
      <c r="D12" s="14" t="inlineStr">
        <is>
          <t>Payment to supplier</t>
        </is>
      </c>
      <c r="E12" s="20" t="inlineStr">
        <is>
          <t>PY-02</t>
        </is>
      </c>
      <c r="F12" s="24" t="n"/>
      <c r="G12" s="14" t="inlineStr">
        <is>
          <t>Against PK-551</t>
        </is>
      </c>
      <c r="H12" s="22" t="n">
        <v>36000</v>
      </c>
      <c r="I12" s="25">
        <f>IF(Q12="D",N(H12),0)</f>
        <v/>
      </c>
      <c r="J12" s="25">
        <f>IF(Q12="C",N(H12),0)</f>
        <v/>
      </c>
      <c r="K12" s="26">
        <f>IF(Z12="","",Z12)</f>
        <v/>
      </c>
      <c r="L12" s="27">
        <f>W12</f>
        <v/>
      </c>
      <c r="M12" s="28">
        <f>AA12</f>
        <v/>
      </c>
      <c r="N12" s="23">
        <f>IF(AND(B12="",C12="",D12="",N(H12)=0),"",IF(B12="","Enter the date",IF(C12="","Pick the party",IF(P12="?","Add this party on the Parties sheet first",IF(D12="","Pick the entry type",IF(Q12="?","Pick the entry type from the list",IF(N(H12)=0,"Enter the amount",IF(AND(R12&lt;&gt;"Any",R12&lt;&gt;P12),"Sales, receipts and credit notes are for debtors; purchases, payments and debit notes for creditors",IF(AND(F12&lt;&gt;"",D12&lt;&gt;"Purchase bill"),"The received-on date is only for purchase bills",IF(AND(P12="Creditor",X12=1,AA12&gt;0),"Past due to a micro or small supplier: interest runs under MSMED s.16, and if unpaid at year end it is not deductible that year, s.37(2)(g)",IF(AND(P12="Debtor",X12=1,AA12&gt;0),"Past due to you: as a micro or small supplier you can claim interest under MSMED s.16","OK")))))))))))</f>
        <v/>
      </c>
      <c r="P12">
        <f>IF(C12="","",IFERROR(VLOOKUP(C12,'Example Parties'!$B$13:$Q$112,2,FALSE),"?"))</f>
        <v/>
      </c>
      <c r="Q12">
        <f>IF(D12="","",IFERROR(VLOOKUP(D12,Lists!$A$2:$D$9,3,FALSE),"?"))</f>
        <v/>
      </c>
      <c r="R12">
        <f>IF(D12="","",IFERROR(VLOOKUP(D12,Lists!$A$2:$D$9,4,FALSE),"?"))</f>
        <v/>
      </c>
      <c r="S12">
        <f>IF(P12="Debtor",I12,IF(P12="Creditor",J12,0))</f>
        <v/>
      </c>
      <c r="T12">
        <f>IF(P12="Debtor",J12,IF(P12="Creditor",I12,0))</f>
        <v/>
      </c>
      <c r="U12">
        <f>IF(OR(S12=0,B12=""),0,IFERROR(VLOOKUP(C12,'Example Parties'!$B$13:$Q$112,13,FALSE),0)+SUMIFS($S$7:$S$506,$C$7:$C$506,C12,$B$7:$B$506,"&lt;"&amp;B12)+SUMIFS(S$7:S12,C$7:C12,C12,B$7:B12,B12))</f>
        <v/>
      </c>
      <c r="V12">
        <f>IF(S12=0,0,IFERROR(VLOOKUP(C12,'Example Parties'!$B$13:$Q$112,14,FALSE),0)+SUMIFS($T$7:$T$506,$C$7:$C$506,C12,$B$7:$B$506,"&lt;="&amp;'Example Outstanding'!$E$5))</f>
        <v/>
      </c>
      <c r="W12">
        <f>IF(OR('Example Outstanding'!$E$5="",S12=0,B12="",B12&gt;'Example Outstanding'!$E$5),0,MAX(0,MIN(S12,U12-V12)))</f>
        <v/>
      </c>
      <c r="X12">
        <f>IF(C12="",0,IFERROR(VLOOKUP(C12,'Example Parties'!$B$13:$Q$112,15,FALSE),0))</f>
        <v/>
      </c>
      <c r="Y12">
        <f>IF(C12="","",IFERROR(VLOOKUP(C12,'Example Parties'!$B$13:$Q$112,16,FALSE),0))</f>
        <v/>
      </c>
      <c r="Z12">
        <f>IF(OR(S12=0,B12="",Y12=""),"",IF(AND(F12&lt;&gt;"",D12="Purchase bill"),F12,B12)+Y12)</f>
        <v/>
      </c>
      <c r="AA12">
        <f>IF(OR(W12=0,Z12=""),0,MAX(0,'Example Outstanding'!$E$5-Z12))</f>
        <v/>
      </c>
      <c r="AB12">
        <f>IF(AND(X12=1,AA12&gt;0),W12*((1+3*N('Example Parties'!$E$10)/12)^(AA12*12/365)-1),0)</f>
        <v/>
      </c>
      <c r="AC12">
        <f>IF(W12=0,"",'Example Outstanding'!$E$5-B12)</f>
        <v/>
      </c>
      <c r="AD12">
        <f>IF(S12=0,0,IFERROR(VLOOKUP(C12,'Example Parties'!$B$13:$Q$112,14,FALSE),0)+SUMIFS($T$7:$T$506,$C$7:$C$506,C12,$B$7:$B$506,"&lt;="&amp;'Example Parties'!$E$8))</f>
        <v/>
      </c>
      <c r="AE12">
        <f>IF(OR('Example Parties'!$E$8="",S12=0,B12="",B12&gt;'Example Parties'!$E$8),0,MAX(0,MIN(S12,U12-AD12)))</f>
        <v/>
      </c>
      <c r="AF12">
        <f>IF(AND(P12="Creditor",X12=1,AE12&gt;0,Z12&lt;&gt;""),IF(Z12&lt;='Example Parties'!$E$8,AE12,0),0)</f>
        <v/>
      </c>
      <c r="AG12">
        <f>IF(OR(AE12=0,Z12=""),0,MAX(0,'Example Parties'!$E$8-Z12))</f>
        <v/>
      </c>
      <c r="AH12">
        <f>IF(AND(P12="Creditor",X12=1,AG12&gt;0),AE12*((1+3*N('Example Parties'!$E$10)/12)^(AG12*12/365)-1),0)</f>
        <v/>
      </c>
      <c r="AI12">
        <f>IF(AND(C12&lt;&gt;"",C12='Example Ledger'!$D$4,B12&lt;&gt;"",B12&gt;='Example Ledger'!$D$5,B12&lt;='Example Ledger'!$D$6),1,0)</f>
        <v/>
      </c>
      <c r="AJ12">
        <f>IF(AI12=1,SUM(AI$7:AI12),"")</f>
        <v/>
      </c>
      <c r="AK12">
        <f>IF(OR(N12="",N12="OK"),0,1)</f>
        <v/>
      </c>
    </row>
    <row r="13" ht="18" customHeight="1">
      <c r="B13" s="24" t="n">
        <v>46176</v>
      </c>
      <c r="C13" s="14" t="inlineStr">
        <is>
          <t>Spice supplier</t>
        </is>
      </c>
      <c r="D13" s="14" t="inlineStr">
        <is>
          <t>Purchase bill</t>
        </is>
      </c>
      <c r="E13" s="20" t="inlineStr">
        <is>
          <t>SP-210</t>
        </is>
      </c>
      <c r="F13" s="24" t="n"/>
      <c r="G13" s="14" t="n"/>
      <c r="H13" s="22" t="n">
        <v>48000</v>
      </c>
      <c r="I13" s="25">
        <f>IF(Q13="D",N(H13),0)</f>
        <v/>
      </c>
      <c r="J13" s="25">
        <f>IF(Q13="C",N(H13),0)</f>
        <v/>
      </c>
      <c r="K13" s="26">
        <f>IF(Z13="","",Z13)</f>
        <v/>
      </c>
      <c r="L13" s="27">
        <f>W13</f>
        <v/>
      </c>
      <c r="M13" s="28">
        <f>AA13</f>
        <v/>
      </c>
      <c r="N13" s="23">
        <f>IF(AND(B13="",C13="",D13="",N(H13)=0),"",IF(B13="","Enter the date",IF(C13="","Pick the party",IF(P13="?","Add this party on the Parties sheet first",IF(D13="","Pick the entry type",IF(Q13="?","Pick the entry type from the list",IF(N(H13)=0,"Enter the amount",IF(AND(R13&lt;&gt;"Any",R13&lt;&gt;P13),"Sales, receipts and credit notes are for debtors; purchases, payments and debit notes for creditors",IF(AND(F13&lt;&gt;"",D13&lt;&gt;"Purchase bill"),"The received-on date is only for purchase bills",IF(AND(P13="Creditor",X13=1,AA13&gt;0),"Past due to a micro or small supplier: interest runs under MSMED s.16, and if unpaid at year end it is not deductible that year, s.37(2)(g)",IF(AND(P13="Debtor",X13=1,AA13&gt;0),"Past due to you: as a micro or small supplier you can claim interest under MSMED s.16","OK")))))))))))</f>
        <v/>
      </c>
      <c r="P13">
        <f>IF(C13="","",IFERROR(VLOOKUP(C13,'Example Parties'!$B$13:$Q$112,2,FALSE),"?"))</f>
        <v/>
      </c>
      <c r="Q13">
        <f>IF(D13="","",IFERROR(VLOOKUP(D13,Lists!$A$2:$D$9,3,FALSE),"?"))</f>
        <v/>
      </c>
      <c r="R13">
        <f>IF(D13="","",IFERROR(VLOOKUP(D13,Lists!$A$2:$D$9,4,FALSE),"?"))</f>
        <v/>
      </c>
      <c r="S13">
        <f>IF(P13="Debtor",I13,IF(P13="Creditor",J13,0))</f>
        <v/>
      </c>
      <c r="T13">
        <f>IF(P13="Debtor",J13,IF(P13="Creditor",I13,0))</f>
        <v/>
      </c>
      <c r="U13">
        <f>IF(OR(S13=0,B13=""),0,IFERROR(VLOOKUP(C13,'Example Parties'!$B$13:$Q$112,13,FALSE),0)+SUMIFS($S$7:$S$506,$C$7:$C$506,C13,$B$7:$B$506,"&lt;"&amp;B13)+SUMIFS(S$7:S13,C$7:C13,C13,B$7:B13,B13))</f>
        <v/>
      </c>
      <c r="V13">
        <f>IF(S13=0,0,IFERROR(VLOOKUP(C13,'Example Parties'!$B$13:$Q$112,14,FALSE),0)+SUMIFS($T$7:$T$506,$C$7:$C$506,C13,$B$7:$B$506,"&lt;="&amp;'Example Outstanding'!$E$5))</f>
        <v/>
      </c>
      <c r="W13">
        <f>IF(OR('Example Outstanding'!$E$5="",S13=0,B13="",B13&gt;'Example Outstanding'!$E$5),0,MAX(0,MIN(S13,U13-V13)))</f>
        <v/>
      </c>
      <c r="X13">
        <f>IF(C13="",0,IFERROR(VLOOKUP(C13,'Example Parties'!$B$13:$Q$112,15,FALSE),0))</f>
        <v/>
      </c>
      <c r="Y13">
        <f>IF(C13="","",IFERROR(VLOOKUP(C13,'Example Parties'!$B$13:$Q$112,16,FALSE),0))</f>
        <v/>
      </c>
      <c r="Z13">
        <f>IF(OR(S13=0,B13="",Y13=""),"",IF(AND(F13&lt;&gt;"",D13="Purchase bill"),F13,B13)+Y13)</f>
        <v/>
      </c>
      <c r="AA13">
        <f>IF(OR(W13=0,Z13=""),0,MAX(0,'Example Outstanding'!$E$5-Z13))</f>
        <v/>
      </c>
      <c r="AB13">
        <f>IF(AND(X13=1,AA13&gt;0),W13*((1+3*N('Example Parties'!$E$10)/12)^(AA13*12/365)-1),0)</f>
        <v/>
      </c>
      <c r="AC13">
        <f>IF(W13=0,"",'Example Outstanding'!$E$5-B13)</f>
        <v/>
      </c>
      <c r="AD13">
        <f>IF(S13=0,0,IFERROR(VLOOKUP(C13,'Example Parties'!$B$13:$Q$112,14,FALSE),0)+SUMIFS($T$7:$T$506,$C$7:$C$506,C13,$B$7:$B$506,"&lt;="&amp;'Example Parties'!$E$8))</f>
        <v/>
      </c>
      <c r="AE13">
        <f>IF(OR('Example Parties'!$E$8="",S13=0,B13="",B13&gt;'Example Parties'!$E$8),0,MAX(0,MIN(S13,U13-AD13)))</f>
        <v/>
      </c>
      <c r="AF13">
        <f>IF(AND(P13="Creditor",X13=1,AE13&gt;0,Z13&lt;&gt;""),IF(Z13&lt;='Example Parties'!$E$8,AE13,0),0)</f>
        <v/>
      </c>
      <c r="AG13">
        <f>IF(OR(AE13=0,Z13=""),0,MAX(0,'Example Parties'!$E$8-Z13))</f>
        <v/>
      </c>
      <c r="AH13">
        <f>IF(AND(P13="Creditor",X13=1,AG13&gt;0),AE13*((1+3*N('Example Parties'!$E$10)/12)^(AG13*12/365)-1),0)</f>
        <v/>
      </c>
      <c r="AI13">
        <f>IF(AND(C13&lt;&gt;"",C13='Example Ledger'!$D$4,B13&lt;&gt;"",B13&gt;='Example Ledger'!$D$5,B13&lt;='Example Ledger'!$D$6),1,0)</f>
        <v/>
      </c>
      <c r="AJ13">
        <f>IF(AI13=1,SUM(AI$7:AI13),"")</f>
        <v/>
      </c>
      <c r="AK13">
        <f>IF(OR(N13="",N13="OK"),0,1)</f>
        <v/>
      </c>
    </row>
    <row r="14" ht="18" customHeight="1">
      <c r="B14" s="24" t="n">
        <v>46188</v>
      </c>
      <c r="C14" s="14" t="inlineStr">
        <is>
          <t>Spice supplier</t>
        </is>
      </c>
      <c r="D14" s="14" t="inlineStr">
        <is>
          <t>Payment to supplier</t>
        </is>
      </c>
      <c r="E14" s="20" t="inlineStr">
        <is>
          <t>PY-03</t>
        </is>
      </c>
      <c r="F14" s="24" t="n"/>
      <c r="G14" s="14" t="inlineStr">
        <is>
          <t>Against SP-210</t>
        </is>
      </c>
      <c r="H14" s="22" t="n">
        <v>48000</v>
      </c>
      <c r="I14" s="25">
        <f>IF(Q14="D",N(H14),0)</f>
        <v/>
      </c>
      <c r="J14" s="25">
        <f>IF(Q14="C",N(H14),0)</f>
        <v/>
      </c>
      <c r="K14" s="26">
        <f>IF(Z14="","",Z14)</f>
        <v/>
      </c>
      <c r="L14" s="27">
        <f>W14</f>
        <v/>
      </c>
      <c r="M14" s="28">
        <f>AA14</f>
        <v/>
      </c>
      <c r="N14" s="23">
        <f>IF(AND(B14="",C14="",D14="",N(H14)=0),"",IF(B14="","Enter the date",IF(C14="","Pick the party",IF(P14="?","Add this party on the Parties sheet first",IF(D14="","Pick the entry type",IF(Q14="?","Pick the entry type from the list",IF(N(H14)=0,"Enter the amount",IF(AND(R14&lt;&gt;"Any",R14&lt;&gt;P14),"Sales, receipts and credit notes are for debtors; purchases, payments and debit notes for creditors",IF(AND(F14&lt;&gt;"",D14&lt;&gt;"Purchase bill"),"The received-on date is only for purchase bills",IF(AND(P14="Creditor",X14=1,AA14&gt;0),"Past due to a micro or small supplier: interest runs under MSMED s.16, and if unpaid at year end it is not deductible that year, s.37(2)(g)",IF(AND(P14="Debtor",X14=1,AA14&gt;0),"Past due to you: as a micro or small supplier you can claim interest under MSMED s.16","OK")))))))))))</f>
        <v/>
      </c>
      <c r="P14">
        <f>IF(C14="","",IFERROR(VLOOKUP(C14,'Example Parties'!$B$13:$Q$112,2,FALSE),"?"))</f>
        <v/>
      </c>
      <c r="Q14">
        <f>IF(D14="","",IFERROR(VLOOKUP(D14,Lists!$A$2:$D$9,3,FALSE),"?"))</f>
        <v/>
      </c>
      <c r="R14">
        <f>IF(D14="","",IFERROR(VLOOKUP(D14,Lists!$A$2:$D$9,4,FALSE),"?"))</f>
        <v/>
      </c>
      <c r="S14">
        <f>IF(P14="Debtor",I14,IF(P14="Creditor",J14,0))</f>
        <v/>
      </c>
      <c r="T14">
        <f>IF(P14="Debtor",J14,IF(P14="Creditor",I14,0))</f>
        <v/>
      </c>
      <c r="U14">
        <f>IF(OR(S14=0,B14=""),0,IFERROR(VLOOKUP(C14,'Example Parties'!$B$13:$Q$112,13,FALSE),0)+SUMIFS($S$7:$S$506,$C$7:$C$506,C14,$B$7:$B$506,"&lt;"&amp;B14)+SUMIFS(S$7:S14,C$7:C14,C14,B$7:B14,B14))</f>
        <v/>
      </c>
      <c r="V14">
        <f>IF(S14=0,0,IFERROR(VLOOKUP(C14,'Example Parties'!$B$13:$Q$112,14,FALSE),0)+SUMIFS($T$7:$T$506,$C$7:$C$506,C14,$B$7:$B$506,"&lt;="&amp;'Example Outstanding'!$E$5))</f>
        <v/>
      </c>
      <c r="W14">
        <f>IF(OR('Example Outstanding'!$E$5="",S14=0,B14="",B14&gt;'Example Outstanding'!$E$5),0,MAX(0,MIN(S14,U14-V14)))</f>
        <v/>
      </c>
      <c r="X14">
        <f>IF(C14="",0,IFERROR(VLOOKUP(C14,'Example Parties'!$B$13:$Q$112,15,FALSE),0))</f>
        <v/>
      </c>
      <c r="Y14">
        <f>IF(C14="","",IFERROR(VLOOKUP(C14,'Example Parties'!$B$13:$Q$112,16,FALSE),0))</f>
        <v/>
      </c>
      <c r="Z14">
        <f>IF(OR(S14=0,B14="",Y14=""),"",IF(AND(F14&lt;&gt;"",D14="Purchase bill"),F14,B14)+Y14)</f>
        <v/>
      </c>
      <c r="AA14">
        <f>IF(OR(W14=0,Z14=""),0,MAX(0,'Example Outstanding'!$E$5-Z14))</f>
        <v/>
      </c>
      <c r="AB14">
        <f>IF(AND(X14=1,AA14&gt;0),W14*((1+3*N('Example Parties'!$E$10)/12)^(AA14*12/365)-1),0)</f>
        <v/>
      </c>
      <c r="AC14">
        <f>IF(W14=0,"",'Example Outstanding'!$E$5-B14)</f>
        <v/>
      </c>
      <c r="AD14">
        <f>IF(S14=0,0,IFERROR(VLOOKUP(C14,'Example Parties'!$B$13:$Q$112,14,FALSE),0)+SUMIFS($T$7:$T$506,$C$7:$C$506,C14,$B$7:$B$506,"&lt;="&amp;'Example Parties'!$E$8))</f>
        <v/>
      </c>
      <c r="AE14">
        <f>IF(OR('Example Parties'!$E$8="",S14=0,B14="",B14&gt;'Example Parties'!$E$8),0,MAX(0,MIN(S14,U14-AD14)))</f>
        <v/>
      </c>
      <c r="AF14">
        <f>IF(AND(P14="Creditor",X14=1,AE14&gt;0,Z14&lt;&gt;""),IF(Z14&lt;='Example Parties'!$E$8,AE14,0),0)</f>
        <v/>
      </c>
      <c r="AG14">
        <f>IF(OR(AE14=0,Z14=""),0,MAX(0,'Example Parties'!$E$8-Z14))</f>
        <v/>
      </c>
      <c r="AH14">
        <f>IF(AND(P14="Creditor",X14=1,AG14&gt;0),AE14*((1+3*N('Example Parties'!$E$10)/12)^(AG14*12/365)-1),0)</f>
        <v/>
      </c>
      <c r="AI14">
        <f>IF(AND(C14&lt;&gt;"",C14='Example Ledger'!$D$4,B14&lt;&gt;"",B14&gt;='Example Ledger'!$D$5,B14&lt;='Example Ledger'!$D$6),1,0)</f>
        <v/>
      </c>
      <c r="AJ14">
        <f>IF(AI14=1,SUM(AI$7:AI14),"")</f>
        <v/>
      </c>
      <c r="AK14">
        <f>IF(OR(N14="",N14="OK"),0,1)</f>
        <v/>
      </c>
    </row>
    <row r="15" ht="18" customHeight="1">
      <c r="B15" s="24" t="n">
        <v>46215</v>
      </c>
      <c r="C15" s="14" t="inlineStr">
        <is>
          <t>Retailer B</t>
        </is>
      </c>
      <c r="D15" s="14" t="inlineStr">
        <is>
          <t>Sale invoice</t>
        </is>
      </c>
      <c r="E15" s="20" t="inlineStr">
        <is>
          <t>INV-140</t>
        </is>
      </c>
      <c r="F15" s="24" t="n"/>
      <c r="G15" s="14" t="n"/>
      <c r="H15" s="22" t="n">
        <v>85000</v>
      </c>
      <c r="I15" s="25">
        <f>IF(Q15="D",N(H15),0)</f>
        <v/>
      </c>
      <c r="J15" s="25">
        <f>IF(Q15="C",N(H15),0)</f>
        <v/>
      </c>
      <c r="K15" s="26">
        <f>IF(Z15="","",Z15)</f>
        <v/>
      </c>
      <c r="L15" s="27">
        <f>W15</f>
        <v/>
      </c>
      <c r="M15" s="28">
        <f>AA15</f>
        <v/>
      </c>
      <c r="N15" s="23">
        <f>IF(AND(B15="",C15="",D15="",N(H15)=0),"",IF(B15="","Enter the date",IF(C15="","Pick the party",IF(P15="?","Add this party on the Parties sheet first",IF(D15="","Pick the entry type",IF(Q15="?","Pick the entry type from the list",IF(N(H15)=0,"Enter the amount",IF(AND(R15&lt;&gt;"Any",R15&lt;&gt;P15),"Sales, receipts and credit notes are for debtors; purchases, payments and debit notes for creditors",IF(AND(F15&lt;&gt;"",D15&lt;&gt;"Purchase bill"),"The received-on date is only for purchase bills",IF(AND(P15="Creditor",X15=1,AA15&gt;0),"Past due to a micro or small supplier: interest runs under MSMED s.16, and if unpaid at year end it is not deductible that year, s.37(2)(g)",IF(AND(P15="Debtor",X15=1,AA15&gt;0),"Past due to you: as a micro or small supplier you can claim interest under MSMED s.16","OK")))))))))))</f>
        <v/>
      </c>
      <c r="P15">
        <f>IF(C15="","",IFERROR(VLOOKUP(C15,'Example Parties'!$B$13:$Q$112,2,FALSE),"?"))</f>
        <v/>
      </c>
      <c r="Q15">
        <f>IF(D15="","",IFERROR(VLOOKUP(D15,Lists!$A$2:$D$9,3,FALSE),"?"))</f>
        <v/>
      </c>
      <c r="R15">
        <f>IF(D15="","",IFERROR(VLOOKUP(D15,Lists!$A$2:$D$9,4,FALSE),"?"))</f>
        <v/>
      </c>
      <c r="S15">
        <f>IF(P15="Debtor",I15,IF(P15="Creditor",J15,0))</f>
        <v/>
      </c>
      <c r="T15">
        <f>IF(P15="Debtor",J15,IF(P15="Creditor",I15,0))</f>
        <v/>
      </c>
      <c r="U15">
        <f>IF(OR(S15=0,B15=""),0,IFERROR(VLOOKUP(C15,'Example Parties'!$B$13:$Q$112,13,FALSE),0)+SUMIFS($S$7:$S$506,$C$7:$C$506,C15,$B$7:$B$506,"&lt;"&amp;B15)+SUMIFS(S$7:S15,C$7:C15,C15,B$7:B15,B15))</f>
        <v/>
      </c>
      <c r="V15">
        <f>IF(S15=0,0,IFERROR(VLOOKUP(C15,'Example Parties'!$B$13:$Q$112,14,FALSE),0)+SUMIFS($T$7:$T$506,$C$7:$C$506,C15,$B$7:$B$506,"&lt;="&amp;'Example Outstanding'!$E$5))</f>
        <v/>
      </c>
      <c r="W15">
        <f>IF(OR('Example Outstanding'!$E$5="",S15=0,B15="",B15&gt;'Example Outstanding'!$E$5),0,MAX(0,MIN(S15,U15-V15)))</f>
        <v/>
      </c>
      <c r="X15">
        <f>IF(C15="",0,IFERROR(VLOOKUP(C15,'Example Parties'!$B$13:$Q$112,15,FALSE),0))</f>
        <v/>
      </c>
      <c r="Y15">
        <f>IF(C15="","",IFERROR(VLOOKUP(C15,'Example Parties'!$B$13:$Q$112,16,FALSE),0))</f>
        <v/>
      </c>
      <c r="Z15">
        <f>IF(OR(S15=0,B15="",Y15=""),"",IF(AND(F15&lt;&gt;"",D15="Purchase bill"),F15,B15)+Y15)</f>
        <v/>
      </c>
      <c r="AA15">
        <f>IF(OR(W15=0,Z15=""),0,MAX(0,'Example Outstanding'!$E$5-Z15))</f>
        <v/>
      </c>
      <c r="AB15">
        <f>IF(AND(X15=1,AA15&gt;0),W15*((1+3*N('Example Parties'!$E$10)/12)^(AA15*12/365)-1),0)</f>
        <v/>
      </c>
      <c r="AC15">
        <f>IF(W15=0,"",'Example Outstanding'!$E$5-B15)</f>
        <v/>
      </c>
      <c r="AD15">
        <f>IF(S15=0,0,IFERROR(VLOOKUP(C15,'Example Parties'!$B$13:$Q$112,14,FALSE),0)+SUMIFS($T$7:$T$506,$C$7:$C$506,C15,$B$7:$B$506,"&lt;="&amp;'Example Parties'!$E$8))</f>
        <v/>
      </c>
      <c r="AE15">
        <f>IF(OR('Example Parties'!$E$8="",S15=0,B15="",B15&gt;'Example Parties'!$E$8),0,MAX(0,MIN(S15,U15-AD15)))</f>
        <v/>
      </c>
      <c r="AF15">
        <f>IF(AND(P15="Creditor",X15=1,AE15&gt;0,Z15&lt;&gt;""),IF(Z15&lt;='Example Parties'!$E$8,AE15,0),0)</f>
        <v/>
      </c>
      <c r="AG15">
        <f>IF(OR(AE15=0,Z15=""),0,MAX(0,'Example Parties'!$E$8-Z15))</f>
        <v/>
      </c>
      <c r="AH15">
        <f>IF(AND(P15="Creditor",X15=1,AG15&gt;0),AE15*((1+3*N('Example Parties'!$E$10)/12)^(AG15*12/365)-1),0)</f>
        <v/>
      </c>
      <c r="AI15">
        <f>IF(AND(C15&lt;&gt;"",C15='Example Ledger'!$D$4,B15&lt;&gt;"",B15&gt;='Example Ledger'!$D$5,B15&lt;='Example Ledger'!$D$6),1,0)</f>
        <v/>
      </c>
      <c r="AJ15">
        <f>IF(AI15=1,SUM(AI$7:AI15),"")</f>
        <v/>
      </c>
      <c r="AK15">
        <f>IF(OR(N15="",N15="OK"),0,1)</f>
        <v/>
      </c>
    </row>
    <row r="16" ht="18" customHeight="1">
      <c r="B16" s="24" t="n">
        <v>46254</v>
      </c>
      <c r="C16" s="14" t="inlineStr">
        <is>
          <t>Retailer B</t>
        </is>
      </c>
      <c r="D16" s="14" t="inlineStr">
        <is>
          <t>Receipt from customer</t>
        </is>
      </c>
      <c r="E16" s="20" t="inlineStr">
        <is>
          <t>RC-03</t>
        </is>
      </c>
      <c r="F16" s="24" t="n"/>
      <c r="G16" s="14" t="inlineStr">
        <is>
          <t>Part payment</t>
        </is>
      </c>
      <c r="H16" s="22" t="n">
        <v>50000</v>
      </c>
      <c r="I16" s="25">
        <f>IF(Q16="D",N(H16),0)</f>
        <v/>
      </c>
      <c r="J16" s="25">
        <f>IF(Q16="C",N(H16),0)</f>
        <v/>
      </c>
      <c r="K16" s="26">
        <f>IF(Z16="","",Z16)</f>
        <v/>
      </c>
      <c r="L16" s="27">
        <f>W16</f>
        <v/>
      </c>
      <c r="M16" s="28">
        <f>AA16</f>
        <v/>
      </c>
      <c r="N16" s="23">
        <f>IF(AND(B16="",C16="",D16="",N(H16)=0),"",IF(B16="","Enter the date",IF(C16="","Pick the party",IF(P16="?","Add this party on the Parties sheet first",IF(D16="","Pick the entry type",IF(Q16="?","Pick the entry type from the list",IF(N(H16)=0,"Enter the amount",IF(AND(R16&lt;&gt;"Any",R16&lt;&gt;P16),"Sales, receipts and credit notes are for debtors; purchases, payments and debit notes for creditors",IF(AND(F16&lt;&gt;"",D16&lt;&gt;"Purchase bill"),"The received-on date is only for purchase bills",IF(AND(P16="Creditor",X16=1,AA16&gt;0),"Past due to a micro or small supplier: interest runs under MSMED s.16, and if unpaid at year end it is not deductible that year, s.37(2)(g)",IF(AND(P16="Debtor",X16=1,AA16&gt;0),"Past due to you: as a micro or small supplier you can claim interest under MSMED s.16","OK")))))))))))</f>
        <v/>
      </c>
      <c r="P16">
        <f>IF(C16="","",IFERROR(VLOOKUP(C16,'Example Parties'!$B$13:$Q$112,2,FALSE),"?"))</f>
        <v/>
      </c>
      <c r="Q16">
        <f>IF(D16="","",IFERROR(VLOOKUP(D16,Lists!$A$2:$D$9,3,FALSE),"?"))</f>
        <v/>
      </c>
      <c r="R16">
        <f>IF(D16="","",IFERROR(VLOOKUP(D16,Lists!$A$2:$D$9,4,FALSE),"?"))</f>
        <v/>
      </c>
      <c r="S16">
        <f>IF(P16="Debtor",I16,IF(P16="Creditor",J16,0))</f>
        <v/>
      </c>
      <c r="T16">
        <f>IF(P16="Debtor",J16,IF(P16="Creditor",I16,0))</f>
        <v/>
      </c>
      <c r="U16">
        <f>IF(OR(S16=0,B16=""),0,IFERROR(VLOOKUP(C16,'Example Parties'!$B$13:$Q$112,13,FALSE),0)+SUMIFS($S$7:$S$506,$C$7:$C$506,C16,$B$7:$B$506,"&lt;"&amp;B16)+SUMIFS(S$7:S16,C$7:C16,C16,B$7:B16,B16))</f>
        <v/>
      </c>
      <c r="V16">
        <f>IF(S16=0,0,IFERROR(VLOOKUP(C16,'Example Parties'!$B$13:$Q$112,14,FALSE),0)+SUMIFS($T$7:$T$506,$C$7:$C$506,C16,$B$7:$B$506,"&lt;="&amp;'Example Outstanding'!$E$5))</f>
        <v/>
      </c>
      <c r="W16">
        <f>IF(OR('Example Outstanding'!$E$5="",S16=0,B16="",B16&gt;'Example Outstanding'!$E$5),0,MAX(0,MIN(S16,U16-V16)))</f>
        <v/>
      </c>
      <c r="X16">
        <f>IF(C16="",0,IFERROR(VLOOKUP(C16,'Example Parties'!$B$13:$Q$112,15,FALSE),0))</f>
        <v/>
      </c>
      <c r="Y16">
        <f>IF(C16="","",IFERROR(VLOOKUP(C16,'Example Parties'!$B$13:$Q$112,16,FALSE),0))</f>
        <v/>
      </c>
      <c r="Z16">
        <f>IF(OR(S16=0,B16="",Y16=""),"",IF(AND(F16&lt;&gt;"",D16="Purchase bill"),F16,B16)+Y16)</f>
        <v/>
      </c>
      <c r="AA16">
        <f>IF(OR(W16=0,Z16=""),0,MAX(0,'Example Outstanding'!$E$5-Z16))</f>
        <v/>
      </c>
      <c r="AB16">
        <f>IF(AND(X16=1,AA16&gt;0),W16*((1+3*N('Example Parties'!$E$10)/12)^(AA16*12/365)-1),0)</f>
        <v/>
      </c>
      <c r="AC16">
        <f>IF(W16=0,"",'Example Outstanding'!$E$5-B16)</f>
        <v/>
      </c>
      <c r="AD16">
        <f>IF(S16=0,0,IFERROR(VLOOKUP(C16,'Example Parties'!$B$13:$Q$112,14,FALSE),0)+SUMIFS($T$7:$T$506,$C$7:$C$506,C16,$B$7:$B$506,"&lt;="&amp;'Example Parties'!$E$8))</f>
        <v/>
      </c>
      <c r="AE16">
        <f>IF(OR('Example Parties'!$E$8="",S16=0,B16="",B16&gt;'Example Parties'!$E$8),0,MAX(0,MIN(S16,U16-AD16)))</f>
        <v/>
      </c>
      <c r="AF16">
        <f>IF(AND(P16="Creditor",X16=1,AE16&gt;0,Z16&lt;&gt;""),IF(Z16&lt;='Example Parties'!$E$8,AE16,0),0)</f>
        <v/>
      </c>
      <c r="AG16">
        <f>IF(OR(AE16=0,Z16=""),0,MAX(0,'Example Parties'!$E$8-Z16))</f>
        <v/>
      </c>
      <c r="AH16">
        <f>IF(AND(P16="Creditor",X16=1,AG16&gt;0),AE16*((1+3*N('Example Parties'!$E$10)/12)^(AG16*12/365)-1),0)</f>
        <v/>
      </c>
      <c r="AI16">
        <f>IF(AND(C16&lt;&gt;"",C16='Example Ledger'!$D$4,B16&lt;&gt;"",B16&gt;='Example Ledger'!$D$5,B16&lt;='Example Ledger'!$D$6),1,0)</f>
        <v/>
      </c>
      <c r="AJ16">
        <f>IF(AI16=1,SUM(AI$7:AI16),"")</f>
        <v/>
      </c>
      <c r="AK16">
        <f>IF(OR(N16="",N16="OK"),0,1)</f>
        <v/>
      </c>
    </row>
    <row r="17" ht="18" customHeight="1">
      <c r="B17" s="24" t="n">
        <v>46259</v>
      </c>
      <c r="C17" s="14" t="inlineStr">
        <is>
          <t>Transporter</t>
        </is>
      </c>
      <c r="D17" s="14" t="inlineStr">
        <is>
          <t>Purchase bill</t>
        </is>
      </c>
      <c r="E17" s="20" t="inlineStr">
        <is>
          <t>TR-77</t>
        </is>
      </c>
      <c r="F17" s="24" t="n"/>
      <c r="G17" s="14" t="inlineStr">
        <is>
          <t>Freight, August</t>
        </is>
      </c>
      <c r="H17" s="22" t="n">
        <v>9500</v>
      </c>
      <c r="I17" s="25">
        <f>IF(Q17="D",N(H17),0)</f>
        <v/>
      </c>
      <c r="J17" s="25">
        <f>IF(Q17="C",N(H17),0)</f>
        <v/>
      </c>
      <c r="K17" s="26">
        <f>IF(Z17="","",Z17)</f>
        <v/>
      </c>
      <c r="L17" s="27">
        <f>W17</f>
        <v/>
      </c>
      <c r="M17" s="28">
        <f>AA17</f>
        <v/>
      </c>
      <c r="N17" s="23">
        <f>IF(AND(B17="",C17="",D17="",N(H17)=0),"",IF(B17="","Enter the date",IF(C17="","Pick the party",IF(P17="?","Add this party on the Parties sheet first",IF(D17="","Pick the entry type",IF(Q17="?","Pick the entry type from the list",IF(N(H17)=0,"Enter the amount",IF(AND(R17&lt;&gt;"Any",R17&lt;&gt;P17),"Sales, receipts and credit notes are for debtors; purchases, payments and debit notes for creditors",IF(AND(F17&lt;&gt;"",D17&lt;&gt;"Purchase bill"),"The received-on date is only for purchase bills",IF(AND(P17="Creditor",X17=1,AA17&gt;0),"Past due to a micro or small supplier: interest runs under MSMED s.16, and if unpaid at year end it is not deductible that year, s.37(2)(g)",IF(AND(P17="Debtor",X17=1,AA17&gt;0),"Past due to you: as a micro or small supplier you can claim interest under MSMED s.16","OK")))))))))))</f>
        <v/>
      </c>
      <c r="P17">
        <f>IF(C17="","",IFERROR(VLOOKUP(C17,'Example Parties'!$B$13:$Q$112,2,FALSE),"?"))</f>
        <v/>
      </c>
      <c r="Q17">
        <f>IF(D17="","",IFERROR(VLOOKUP(D17,Lists!$A$2:$D$9,3,FALSE),"?"))</f>
        <v/>
      </c>
      <c r="R17">
        <f>IF(D17="","",IFERROR(VLOOKUP(D17,Lists!$A$2:$D$9,4,FALSE),"?"))</f>
        <v/>
      </c>
      <c r="S17">
        <f>IF(P17="Debtor",I17,IF(P17="Creditor",J17,0))</f>
        <v/>
      </c>
      <c r="T17">
        <f>IF(P17="Debtor",J17,IF(P17="Creditor",I17,0))</f>
        <v/>
      </c>
      <c r="U17">
        <f>IF(OR(S17=0,B17=""),0,IFERROR(VLOOKUP(C17,'Example Parties'!$B$13:$Q$112,13,FALSE),0)+SUMIFS($S$7:$S$506,$C$7:$C$506,C17,$B$7:$B$506,"&lt;"&amp;B17)+SUMIFS(S$7:S17,C$7:C17,C17,B$7:B17,B17))</f>
        <v/>
      </c>
      <c r="V17">
        <f>IF(S17=0,0,IFERROR(VLOOKUP(C17,'Example Parties'!$B$13:$Q$112,14,FALSE),0)+SUMIFS($T$7:$T$506,$C$7:$C$506,C17,$B$7:$B$506,"&lt;="&amp;'Example Outstanding'!$E$5))</f>
        <v/>
      </c>
      <c r="W17">
        <f>IF(OR('Example Outstanding'!$E$5="",S17=0,B17="",B17&gt;'Example Outstanding'!$E$5),0,MAX(0,MIN(S17,U17-V17)))</f>
        <v/>
      </c>
      <c r="X17">
        <f>IF(C17="",0,IFERROR(VLOOKUP(C17,'Example Parties'!$B$13:$Q$112,15,FALSE),0))</f>
        <v/>
      </c>
      <c r="Y17">
        <f>IF(C17="","",IFERROR(VLOOKUP(C17,'Example Parties'!$B$13:$Q$112,16,FALSE),0))</f>
        <v/>
      </c>
      <c r="Z17">
        <f>IF(OR(S17=0,B17="",Y17=""),"",IF(AND(F17&lt;&gt;"",D17="Purchase bill"),F17,B17)+Y17)</f>
        <v/>
      </c>
      <c r="AA17">
        <f>IF(OR(W17=0,Z17=""),0,MAX(0,'Example Outstanding'!$E$5-Z17))</f>
        <v/>
      </c>
      <c r="AB17">
        <f>IF(AND(X17=1,AA17&gt;0),W17*((1+3*N('Example Parties'!$E$10)/12)^(AA17*12/365)-1),0)</f>
        <v/>
      </c>
      <c r="AC17">
        <f>IF(W17=0,"",'Example Outstanding'!$E$5-B17)</f>
        <v/>
      </c>
      <c r="AD17">
        <f>IF(S17=0,0,IFERROR(VLOOKUP(C17,'Example Parties'!$B$13:$Q$112,14,FALSE),0)+SUMIFS($T$7:$T$506,$C$7:$C$506,C17,$B$7:$B$506,"&lt;="&amp;'Example Parties'!$E$8))</f>
        <v/>
      </c>
      <c r="AE17">
        <f>IF(OR('Example Parties'!$E$8="",S17=0,B17="",B17&gt;'Example Parties'!$E$8),0,MAX(0,MIN(S17,U17-AD17)))</f>
        <v/>
      </c>
      <c r="AF17">
        <f>IF(AND(P17="Creditor",X17=1,AE17&gt;0,Z17&lt;&gt;""),IF(Z17&lt;='Example Parties'!$E$8,AE17,0),0)</f>
        <v/>
      </c>
      <c r="AG17">
        <f>IF(OR(AE17=0,Z17=""),0,MAX(0,'Example Parties'!$E$8-Z17))</f>
        <v/>
      </c>
      <c r="AH17">
        <f>IF(AND(P17="Creditor",X17=1,AG17&gt;0),AE17*((1+3*N('Example Parties'!$E$10)/12)^(AG17*12/365)-1),0)</f>
        <v/>
      </c>
      <c r="AI17">
        <f>IF(AND(C17&lt;&gt;"",C17='Example Ledger'!$D$4,B17&lt;&gt;"",B17&gt;='Example Ledger'!$D$5,B17&lt;='Example Ledger'!$D$6),1,0)</f>
        <v/>
      </c>
      <c r="AJ17">
        <f>IF(AI17=1,SUM(AI$7:AI17),"")</f>
        <v/>
      </c>
      <c r="AK17">
        <f>IF(OR(N17="",N17="OK"),0,1)</f>
        <v/>
      </c>
    </row>
    <row r="18" ht="18" customHeight="1">
      <c r="B18" s="24" t="n">
        <v>46267</v>
      </c>
      <c r="C18" s="14" t="inlineStr">
        <is>
          <t>Transporter</t>
        </is>
      </c>
      <c r="D18" s="14" t="inlineStr">
        <is>
          <t>Payment to supplier</t>
        </is>
      </c>
      <c r="E18" s="20" t="inlineStr">
        <is>
          <t>PY-04</t>
        </is>
      </c>
      <c r="F18" s="24" t="n"/>
      <c r="G18" s="14" t="n"/>
      <c r="H18" s="22" t="n">
        <v>9500</v>
      </c>
      <c r="I18" s="25">
        <f>IF(Q18="D",N(H18),0)</f>
        <v/>
      </c>
      <c r="J18" s="25">
        <f>IF(Q18="C",N(H18),0)</f>
        <v/>
      </c>
      <c r="K18" s="26">
        <f>IF(Z18="","",Z18)</f>
        <v/>
      </c>
      <c r="L18" s="27">
        <f>W18</f>
        <v/>
      </c>
      <c r="M18" s="28">
        <f>AA18</f>
        <v/>
      </c>
      <c r="N18" s="23">
        <f>IF(AND(B18="",C18="",D18="",N(H18)=0),"",IF(B18="","Enter the date",IF(C18="","Pick the party",IF(P18="?","Add this party on the Parties sheet first",IF(D18="","Pick the entry type",IF(Q18="?","Pick the entry type from the list",IF(N(H18)=0,"Enter the amount",IF(AND(R18&lt;&gt;"Any",R18&lt;&gt;P18),"Sales, receipts and credit notes are for debtors; purchases, payments and debit notes for creditors",IF(AND(F18&lt;&gt;"",D18&lt;&gt;"Purchase bill"),"The received-on date is only for purchase bills",IF(AND(P18="Creditor",X18=1,AA18&gt;0),"Past due to a micro or small supplier: interest runs under MSMED s.16, and if unpaid at year end it is not deductible that year, s.37(2)(g)",IF(AND(P18="Debtor",X18=1,AA18&gt;0),"Past due to you: as a micro or small supplier you can claim interest under MSMED s.16","OK")))))))))))</f>
        <v/>
      </c>
      <c r="P18">
        <f>IF(C18="","",IFERROR(VLOOKUP(C18,'Example Parties'!$B$13:$Q$112,2,FALSE),"?"))</f>
        <v/>
      </c>
      <c r="Q18">
        <f>IF(D18="","",IFERROR(VLOOKUP(D18,Lists!$A$2:$D$9,3,FALSE),"?"))</f>
        <v/>
      </c>
      <c r="R18">
        <f>IF(D18="","",IFERROR(VLOOKUP(D18,Lists!$A$2:$D$9,4,FALSE),"?"))</f>
        <v/>
      </c>
      <c r="S18">
        <f>IF(P18="Debtor",I18,IF(P18="Creditor",J18,0))</f>
        <v/>
      </c>
      <c r="T18">
        <f>IF(P18="Debtor",J18,IF(P18="Creditor",I18,0))</f>
        <v/>
      </c>
      <c r="U18">
        <f>IF(OR(S18=0,B18=""),0,IFERROR(VLOOKUP(C18,'Example Parties'!$B$13:$Q$112,13,FALSE),0)+SUMIFS($S$7:$S$506,$C$7:$C$506,C18,$B$7:$B$506,"&lt;"&amp;B18)+SUMIFS(S$7:S18,C$7:C18,C18,B$7:B18,B18))</f>
        <v/>
      </c>
      <c r="V18">
        <f>IF(S18=0,0,IFERROR(VLOOKUP(C18,'Example Parties'!$B$13:$Q$112,14,FALSE),0)+SUMIFS($T$7:$T$506,$C$7:$C$506,C18,$B$7:$B$506,"&lt;="&amp;'Example Outstanding'!$E$5))</f>
        <v/>
      </c>
      <c r="W18">
        <f>IF(OR('Example Outstanding'!$E$5="",S18=0,B18="",B18&gt;'Example Outstanding'!$E$5),0,MAX(0,MIN(S18,U18-V18)))</f>
        <v/>
      </c>
      <c r="X18">
        <f>IF(C18="",0,IFERROR(VLOOKUP(C18,'Example Parties'!$B$13:$Q$112,15,FALSE),0))</f>
        <v/>
      </c>
      <c r="Y18">
        <f>IF(C18="","",IFERROR(VLOOKUP(C18,'Example Parties'!$B$13:$Q$112,16,FALSE),0))</f>
        <v/>
      </c>
      <c r="Z18">
        <f>IF(OR(S18=0,B18="",Y18=""),"",IF(AND(F18&lt;&gt;"",D18="Purchase bill"),F18,B18)+Y18)</f>
        <v/>
      </c>
      <c r="AA18">
        <f>IF(OR(W18=0,Z18=""),0,MAX(0,'Example Outstanding'!$E$5-Z18))</f>
        <v/>
      </c>
      <c r="AB18">
        <f>IF(AND(X18=1,AA18&gt;0),W18*((1+3*N('Example Parties'!$E$10)/12)^(AA18*12/365)-1),0)</f>
        <v/>
      </c>
      <c r="AC18">
        <f>IF(W18=0,"",'Example Outstanding'!$E$5-B18)</f>
        <v/>
      </c>
      <c r="AD18">
        <f>IF(S18=0,0,IFERROR(VLOOKUP(C18,'Example Parties'!$B$13:$Q$112,14,FALSE),0)+SUMIFS($T$7:$T$506,$C$7:$C$506,C18,$B$7:$B$506,"&lt;="&amp;'Example Parties'!$E$8))</f>
        <v/>
      </c>
      <c r="AE18">
        <f>IF(OR('Example Parties'!$E$8="",S18=0,B18="",B18&gt;'Example Parties'!$E$8),0,MAX(0,MIN(S18,U18-AD18)))</f>
        <v/>
      </c>
      <c r="AF18">
        <f>IF(AND(P18="Creditor",X18=1,AE18&gt;0,Z18&lt;&gt;""),IF(Z18&lt;='Example Parties'!$E$8,AE18,0),0)</f>
        <v/>
      </c>
      <c r="AG18">
        <f>IF(OR(AE18=0,Z18=""),0,MAX(0,'Example Parties'!$E$8-Z18))</f>
        <v/>
      </c>
      <c r="AH18">
        <f>IF(AND(P18="Creditor",X18=1,AG18&gt;0),AE18*((1+3*N('Example Parties'!$E$10)/12)^(AG18*12/365)-1),0)</f>
        <v/>
      </c>
      <c r="AI18">
        <f>IF(AND(C18&lt;&gt;"",C18='Example Ledger'!$D$4,B18&lt;&gt;"",B18&gt;='Example Ledger'!$D$5,B18&lt;='Example Ledger'!$D$6),1,0)</f>
        <v/>
      </c>
      <c r="AJ18">
        <f>IF(AI18=1,SUM(AI$7:AI18),"")</f>
        <v/>
      </c>
      <c r="AK18">
        <f>IF(OR(N18="",N18="OK"),0,1)</f>
        <v/>
      </c>
    </row>
    <row r="19" ht="18" customHeight="1">
      <c r="B19" s="24" t="n">
        <v>46270</v>
      </c>
      <c r="C19" s="14" t="inlineStr">
        <is>
          <t>Packaging supplier</t>
        </is>
      </c>
      <c r="D19" s="14" t="inlineStr">
        <is>
          <t>Purchase bill</t>
        </is>
      </c>
      <c r="E19" s="20" t="inlineStr">
        <is>
          <t>PK-602</t>
        </is>
      </c>
      <c r="F19" s="24" t="n">
        <v>46271</v>
      </c>
      <c r="G19" s="14" t="inlineStr">
        <is>
          <t>Cartons, delivered 06-Sep</t>
        </is>
      </c>
      <c r="H19" s="22" t="n">
        <v>42000</v>
      </c>
      <c r="I19" s="25">
        <f>IF(Q19="D",N(H19),0)</f>
        <v/>
      </c>
      <c r="J19" s="25">
        <f>IF(Q19="C",N(H19),0)</f>
        <v/>
      </c>
      <c r="K19" s="26">
        <f>IF(Z19="","",Z19)</f>
        <v/>
      </c>
      <c r="L19" s="27">
        <f>W19</f>
        <v/>
      </c>
      <c r="M19" s="28">
        <f>AA19</f>
        <v/>
      </c>
      <c r="N19" s="23">
        <f>IF(AND(B19="",C19="",D19="",N(H19)=0),"",IF(B19="","Enter the date",IF(C19="","Pick the party",IF(P19="?","Add this party on the Parties sheet first",IF(D19="","Pick the entry type",IF(Q19="?","Pick the entry type from the list",IF(N(H19)=0,"Enter the amount",IF(AND(R19&lt;&gt;"Any",R19&lt;&gt;P19),"Sales, receipts and credit notes are for debtors; purchases, payments and debit notes for creditors",IF(AND(F19&lt;&gt;"",D19&lt;&gt;"Purchase bill"),"The received-on date is only for purchase bills",IF(AND(P19="Creditor",X19=1,AA19&gt;0),"Past due to a micro or small supplier: interest runs under MSMED s.16, and if unpaid at year end it is not deductible that year, s.37(2)(g)",IF(AND(P19="Debtor",X19=1,AA19&gt;0),"Past due to you: as a micro or small supplier you can claim interest under MSMED s.16","OK")))))))))))</f>
        <v/>
      </c>
      <c r="P19">
        <f>IF(C19="","",IFERROR(VLOOKUP(C19,'Example Parties'!$B$13:$Q$112,2,FALSE),"?"))</f>
        <v/>
      </c>
      <c r="Q19">
        <f>IF(D19="","",IFERROR(VLOOKUP(D19,Lists!$A$2:$D$9,3,FALSE),"?"))</f>
        <v/>
      </c>
      <c r="R19">
        <f>IF(D19="","",IFERROR(VLOOKUP(D19,Lists!$A$2:$D$9,4,FALSE),"?"))</f>
        <v/>
      </c>
      <c r="S19">
        <f>IF(P19="Debtor",I19,IF(P19="Creditor",J19,0))</f>
        <v/>
      </c>
      <c r="T19">
        <f>IF(P19="Debtor",J19,IF(P19="Creditor",I19,0))</f>
        <v/>
      </c>
      <c r="U19">
        <f>IF(OR(S19=0,B19=""),0,IFERROR(VLOOKUP(C19,'Example Parties'!$B$13:$Q$112,13,FALSE),0)+SUMIFS($S$7:$S$506,$C$7:$C$506,C19,$B$7:$B$506,"&lt;"&amp;B19)+SUMIFS(S$7:S19,C$7:C19,C19,B$7:B19,B19))</f>
        <v/>
      </c>
      <c r="V19">
        <f>IF(S19=0,0,IFERROR(VLOOKUP(C19,'Example Parties'!$B$13:$Q$112,14,FALSE),0)+SUMIFS($T$7:$T$506,$C$7:$C$506,C19,$B$7:$B$506,"&lt;="&amp;'Example Outstanding'!$E$5))</f>
        <v/>
      </c>
      <c r="W19">
        <f>IF(OR('Example Outstanding'!$E$5="",S19=0,B19="",B19&gt;'Example Outstanding'!$E$5),0,MAX(0,MIN(S19,U19-V19)))</f>
        <v/>
      </c>
      <c r="X19">
        <f>IF(C19="",0,IFERROR(VLOOKUP(C19,'Example Parties'!$B$13:$Q$112,15,FALSE),0))</f>
        <v/>
      </c>
      <c r="Y19">
        <f>IF(C19="","",IFERROR(VLOOKUP(C19,'Example Parties'!$B$13:$Q$112,16,FALSE),0))</f>
        <v/>
      </c>
      <c r="Z19">
        <f>IF(OR(S19=0,B19="",Y19=""),"",IF(AND(F19&lt;&gt;"",D19="Purchase bill"),F19,B19)+Y19)</f>
        <v/>
      </c>
      <c r="AA19">
        <f>IF(OR(W19=0,Z19=""),0,MAX(0,'Example Outstanding'!$E$5-Z19))</f>
        <v/>
      </c>
      <c r="AB19">
        <f>IF(AND(X19=1,AA19&gt;0),W19*((1+3*N('Example Parties'!$E$10)/12)^(AA19*12/365)-1),0)</f>
        <v/>
      </c>
      <c r="AC19">
        <f>IF(W19=0,"",'Example Outstanding'!$E$5-B19)</f>
        <v/>
      </c>
      <c r="AD19">
        <f>IF(S19=0,0,IFERROR(VLOOKUP(C19,'Example Parties'!$B$13:$Q$112,14,FALSE),0)+SUMIFS($T$7:$T$506,$C$7:$C$506,C19,$B$7:$B$506,"&lt;="&amp;'Example Parties'!$E$8))</f>
        <v/>
      </c>
      <c r="AE19">
        <f>IF(OR('Example Parties'!$E$8="",S19=0,B19="",B19&gt;'Example Parties'!$E$8),0,MAX(0,MIN(S19,U19-AD19)))</f>
        <v/>
      </c>
      <c r="AF19">
        <f>IF(AND(P19="Creditor",X19=1,AE19&gt;0,Z19&lt;&gt;""),IF(Z19&lt;='Example Parties'!$E$8,AE19,0),0)</f>
        <v/>
      </c>
      <c r="AG19">
        <f>IF(OR(AE19=0,Z19=""),0,MAX(0,'Example Parties'!$E$8-Z19))</f>
        <v/>
      </c>
      <c r="AH19">
        <f>IF(AND(P19="Creditor",X19=1,AG19&gt;0),AE19*((1+3*N('Example Parties'!$E$10)/12)^(AG19*12/365)-1),0)</f>
        <v/>
      </c>
      <c r="AI19">
        <f>IF(AND(C19&lt;&gt;"",C19='Example Ledger'!$D$4,B19&lt;&gt;"",B19&gt;='Example Ledger'!$D$5,B19&lt;='Example Ledger'!$D$6),1,0)</f>
        <v/>
      </c>
      <c r="AJ19">
        <f>IF(AI19=1,SUM(AI$7:AI19),"")</f>
        <v/>
      </c>
      <c r="AK19">
        <f>IF(OR(N19="",N19="OK"),0,1)</f>
        <v/>
      </c>
    </row>
    <row r="20" ht="18" customHeight="1">
      <c r="B20" s="24" t="n">
        <v>46280</v>
      </c>
      <c r="C20" s="14" t="inlineStr">
        <is>
          <t>Hotel C</t>
        </is>
      </c>
      <c r="D20" s="14" t="inlineStr">
        <is>
          <t>Sale invoice</t>
        </is>
      </c>
      <c r="E20" s="20" t="inlineStr">
        <is>
          <t>INV-161</t>
        </is>
      </c>
      <c r="F20" s="24" t="n"/>
      <c r="G20" s="14" t="n"/>
      <c r="H20" s="22" t="n">
        <v>31000</v>
      </c>
      <c r="I20" s="25">
        <f>IF(Q20="D",N(H20),0)</f>
        <v/>
      </c>
      <c r="J20" s="25">
        <f>IF(Q20="C",N(H20),0)</f>
        <v/>
      </c>
      <c r="K20" s="26">
        <f>IF(Z20="","",Z20)</f>
        <v/>
      </c>
      <c r="L20" s="27">
        <f>W20</f>
        <v/>
      </c>
      <c r="M20" s="28">
        <f>AA20</f>
        <v/>
      </c>
      <c r="N20" s="23">
        <f>IF(AND(B20="",C20="",D20="",N(H20)=0),"",IF(B20="","Enter the date",IF(C20="","Pick the party",IF(P20="?","Add this party on the Parties sheet first",IF(D20="","Pick the entry type",IF(Q20="?","Pick the entry type from the list",IF(N(H20)=0,"Enter the amount",IF(AND(R20&lt;&gt;"Any",R20&lt;&gt;P20),"Sales, receipts and credit notes are for debtors; purchases, payments and debit notes for creditors",IF(AND(F20&lt;&gt;"",D20&lt;&gt;"Purchase bill"),"The received-on date is only for purchase bills",IF(AND(P20="Creditor",X20=1,AA20&gt;0),"Past due to a micro or small supplier: interest runs under MSMED s.16, and if unpaid at year end it is not deductible that year, s.37(2)(g)",IF(AND(P20="Debtor",X20=1,AA20&gt;0),"Past due to you: as a micro or small supplier you can claim interest under MSMED s.16","OK")))))))))))</f>
        <v/>
      </c>
      <c r="P20">
        <f>IF(C20="","",IFERROR(VLOOKUP(C20,'Example Parties'!$B$13:$Q$112,2,FALSE),"?"))</f>
        <v/>
      </c>
      <c r="Q20">
        <f>IF(D20="","",IFERROR(VLOOKUP(D20,Lists!$A$2:$D$9,3,FALSE),"?"))</f>
        <v/>
      </c>
      <c r="R20">
        <f>IF(D20="","",IFERROR(VLOOKUP(D20,Lists!$A$2:$D$9,4,FALSE),"?"))</f>
        <v/>
      </c>
      <c r="S20">
        <f>IF(P20="Debtor",I20,IF(P20="Creditor",J20,0))</f>
        <v/>
      </c>
      <c r="T20">
        <f>IF(P20="Debtor",J20,IF(P20="Creditor",I20,0))</f>
        <v/>
      </c>
      <c r="U20">
        <f>IF(OR(S20=0,B20=""),0,IFERROR(VLOOKUP(C20,'Example Parties'!$B$13:$Q$112,13,FALSE),0)+SUMIFS($S$7:$S$506,$C$7:$C$506,C20,$B$7:$B$506,"&lt;"&amp;B20)+SUMIFS(S$7:S20,C$7:C20,C20,B$7:B20,B20))</f>
        <v/>
      </c>
      <c r="V20">
        <f>IF(S20=0,0,IFERROR(VLOOKUP(C20,'Example Parties'!$B$13:$Q$112,14,FALSE),0)+SUMIFS($T$7:$T$506,$C$7:$C$506,C20,$B$7:$B$506,"&lt;="&amp;'Example Outstanding'!$E$5))</f>
        <v/>
      </c>
      <c r="W20">
        <f>IF(OR('Example Outstanding'!$E$5="",S20=0,B20="",B20&gt;'Example Outstanding'!$E$5),0,MAX(0,MIN(S20,U20-V20)))</f>
        <v/>
      </c>
      <c r="X20">
        <f>IF(C20="",0,IFERROR(VLOOKUP(C20,'Example Parties'!$B$13:$Q$112,15,FALSE),0))</f>
        <v/>
      </c>
      <c r="Y20">
        <f>IF(C20="","",IFERROR(VLOOKUP(C20,'Example Parties'!$B$13:$Q$112,16,FALSE),0))</f>
        <v/>
      </c>
      <c r="Z20">
        <f>IF(OR(S20=0,B20="",Y20=""),"",IF(AND(F20&lt;&gt;"",D20="Purchase bill"),F20,B20)+Y20)</f>
        <v/>
      </c>
      <c r="AA20">
        <f>IF(OR(W20=0,Z20=""),0,MAX(0,'Example Outstanding'!$E$5-Z20))</f>
        <v/>
      </c>
      <c r="AB20">
        <f>IF(AND(X20=1,AA20&gt;0),W20*((1+3*N('Example Parties'!$E$10)/12)^(AA20*12/365)-1),0)</f>
        <v/>
      </c>
      <c r="AC20">
        <f>IF(W20=0,"",'Example Outstanding'!$E$5-B20)</f>
        <v/>
      </c>
      <c r="AD20">
        <f>IF(S20=0,0,IFERROR(VLOOKUP(C20,'Example Parties'!$B$13:$Q$112,14,FALSE),0)+SUMIFS($T$7:$T$506,$C$7:$C$506,C20,$B$7:$B$506,"&lt;="&amp;'Example Parties'!$E$8))</f>
        <v/>
      </c>
      <c r="AE20">
        <f>IF(OR('Example Parties'!$E$8="",S20=0,B20="",B20&gt;'Example Parties'!$E$8),0,MAX(0,MIN(S20,U20-AD20)))</f>
        <v/>
      </c>
      <c r="AF20">
        <f>IF(AND(P20="Creditor",X20=1,AE20&gt;0,Z20&lt;&gt;""),IF(Z20&lt;='Example Parties'!$E$8,AE20,0),0)</f>
        <v/>
      </c>
      <c r="AG20">
        <f>IF(OR(AE20=0,Z20=""),0,MAX(0,'Example Parties'!$E$8-Z20))</f>
        <v/>
      </c>
      <c r="AH20">
        <f>IF(AND(P20="Creditor",X20=1,AG20&gt;0),AE20*((1+3*N('Example Parties'!$E$10)/12)^(AG20*12/365)-1),0)</f>
        <v/>
      </c>
      <c r="AI20">
        <f>IF(AND(C20&lt;&gt;"",C20='Example Ledger'!$D$4,B20&lt;&gt;"",B20&gt;='Example Ledger'!$D$5,B20&lt;='Example Ledger'!$D$6),1,0)</f>
        <v/>
      </c>
      <c r="AJ20">
        <f>IF(AI20=1,SUM(AI$7:AI20),"")</f>
        <v/>
      </c>
      <c r="AK20">
        <f>IF(OR(N20="",N20="OK"),0,1)</f>
        <v/>
      </c>
    </row>
    <row r="21" ht="18" customHeight="1">
      <c r="B21" s="24" t="n">
        <v>46293</v>
      </c>
      <c r="C21" s="14" t="inlineStr">
        <is>
          <t>Spice supplier</t>
        </is>
      </c>
      <c r="D21" s="14" t="inlineStr">
        <is>
          <t>Purchase bill</t>
        </is>
      </c>
      <c r="E21" s="20" t="inlineStr">
        <is>
          <t>SP-244</t>
        </is>
      </c>
      <c r="F21" s="24" t="n"/>
      <c r="G21" s="14" t="n"/>
      <c r="H21" s="22" t="n">
        <v>27500</v>
      </c>
      <c r="I21" s="25">
        <f>IF(Q21="D",N(H21),0)</f>
        <v/>
      </c>
      <c r="J21" s="25">
        <f>IF(Q21="C",N(H21),0)</f>
        <v/>
      </c>
      <c r="K21" s="26">
        <f>IF(Z21="","",Z21)</f>
        <v/>
      </c>
      <c r="L21" s="27">
        <f>W21</f>
        <v/>
      </c>
      <c r="M21" s="28">
        <f>AA21</f>
        <v/>
      </c>
      <c r="N21" s="23">
        <f>IF(AND(B21="",C21="",D21="",N(H21)=0),"",IF(B21="","Enter the date",IF(C21="","Pick the party",IF(P21="?","Add this party on the Parties sheet first",IF(D21="","Pick the entry type",IF(Q21="?","Pick the entry type from the list",IF(N(H21)=0,"Enter the amount",IF(AND(R21&lt;&gt;"Any",R21&lt;&gt;P21),"Sales, receipts and credit notes are for debtors; purchases, payments and debit notes for creditors",IF(AND(F21&lt;&gt;"",D21&lt;&gt;"Purchase bill"),"The received-on date is only for purchase bills",IF(AND(P21="Creditor",X21=1,AA21&gt;0),"Past due to a micro or small supplier: interest runs under MSMED s.16, and if unpaid at year end it is not deductible that year, s.37(2)(g)",IF(AND(P21="Debtor",X21=1,AA21&gt;0),"Past due to you: as a micro or small supplier you can claim interest under MSMED s.16","OK")))))))))))</f>
        <v/>
      </c>
      <c r="P21">
        <f>IF(C21="","",IFERROR(VLOOKUP(C21,'Example Parties'!$B$13:$Q$112,2,FALSE),"?"))</f>
        <v/>
      </c>
      <c r="Q21">
        <f>IF(D21="","",IFERROR(VLOOKUP(D21,Lists!$A$2:$D$9,3,FALSE),"?"))</f>
        <v/>
      </c>
      <c r="R21">
        <f>IF(D21="","",IFERROR(VLOOKUP(D21,Lists!$A$2:$D$9,4,FALSE),"?"))</f>
        <v/>
      </c>
      <c r="S21">
        <f>IF(P21="Debtor",I21,IF(P21="Creditor",J21,0))</f>
        <v/>
      </c>
      <c r="T21">
        <f>IF(P21="Debtor",J21,IF(P21="Creditor",I21,0))</f>
        <v/>
      </c>
      <c r="U21">
        <f>IF(OR(S21=0,B21=""),0,IFERROR(VLOOKUP(C21,'Example Parties'!$B$13:$Q$112,13,FALSE),0)+SUMIFS($S$7:$S$506,$C$7:$C$506,C21,$B$7:$B$506,"&lt;"&amp;B21)+SUMIFS(S$7:S21,C$7:C21,C21,B$7:B21,B21))</f>
        <v/>
      </c>
      <c r="V21">
        <f>IF(S21=0,0,IFERROR(VLOOKUP(C21,'Example Parties'!$B$13:$Q$112,14,FALSE),0)+SUMIFS($T$7:$T$506,$C$7:$C$506,C21,$B$7:$B$506,"&lt;="&amp;'Example Outstanding'!$E$5))</f>
        <v/>
      </c>
      <c r="W21">
        <f>IF(OR('Example Outstanding'!$E$5="",S21=0,B21="",B21&gt;'Example Outstanding'!$E$5),0,MAX(0,MIN(S21,U21-V21)))</f>
        <v/>
      </c>
      <c r="X21">
        <f>IF(C21="",0,IFERROR(VLOOKUP(C21,'Example Parties'!$B$13:$Q$112,15,FALSE),0))</f>
        <v/>
      </c>
      <c r="Y21">
        <f>IF(C21="","",IFERROR(VLOOKUP(C21,'Example Parties'!$B$13:$Q$112,16,FALSE),0))</f>
        <v/>
      </c>
      <c r="Z21">
        <f>IF(OR(S21=0,B21="",Y21=""),"",IF(AND(F21&lt;&gt;"",D21="Purchase bill"),F21,B21)+Y21)</f>
        <v/>
      </c>
      <c r="AA21">
        <f>IF(OR(W21=0,Z21=""),0,MAX(0,'Example Outstanding'!$E$5-Z21))</f>
        <v/>
      </c>
      <c r="AB21">
        <f>IF(AND(X21=1,AA21&gt;0),W21*((1+3*N('Example Parties'!$E$10)/12)^(AA21*12/365)-1),0)</f>
        <v/>
      </c>
      <c r="AC21">
        <f>IF(W21=0,"",'Example Outstanding'!$E$5-B21)</f>
        <v/>
      </c>
      <c r="AD21">
        <f>IF(S21=0,0,IFERROR(VLOOKUP(C21,'Example Parties'!$B$13:$Q$112,14,FALSE),0)+SUMIFS($T$7:$T$506,$C$7:$C$506,C21,$B$7:$B$506,"&lt;="&amp;'Example Parties'!$E$8))</f>
        <v/>
      </c>
      <c r="AE21">
        <f>IF(OR('Example Parties'!$E$8="",S21=0,B21="",B21&gt;'Example Parties'!$E$8),0,MAX(0,MIN(S21,U21-AD21)))</f>
        <v/>
      </c>
      <c r="AF21">
        <f>IF(AND(P21="Creditor",X21=1,AE21&gt;0,Z21&lt;&gt;""),IF(Z21&lt;='Example Parties'!$E$8,AE21,0),0)</f>
        <v/>
      </c>
      <c r="AG21">
        <f>IF(OR(AE21=0,Z21=""),0,MAX(0,'Example Parties'!$E$8-Z21))</f>
        <v/>
      </c>
      <c r="AH21">
        <f>IF(AND(P21="Creditor",X21=1,AG21&gt;0),AE21*((1+3*N('Example Parties'!$E$10)/12)^(AG21*12/365)-1),0)</f>
        <v/>
      </c>
      <c r="AI21">
        <f>IF(AND(C21&lt;&gt;"",C21='Example Ledger'!$D$4,B21&lt;&gt;"",B21&gt;='Example Ledger'!$D$5,B21&lt;='Example Ledger'!$D$6),1,0)</f>
        <v/>
      </c>
      <c r="AJ21">
        <f>IF(AI21=1,SUM(AI$7:AI21),"")</f>
        <v/>
      </c>
      <c r="AK21">
        <f>IF(OR(N21="",N21="OK"),0,1)</f>
        <v/>
      </c>
    </row>
    <row r="22" ht="18" customHeight="1">
      <c r="B22" s="24" t="n">
        <v>46298</v>
      </c>
      <c r="C22" s="14" t="inlineStr">
        <is>
          <t>Retailer A</t>
        </is>
      </c>
      <c r="D22" s="14" t="inlineStr">
        <is>
          <t>Sale invoice</t>
        </is>
      </c>
      <c r="E22" s="20" t="inlineStr">
        <is>
          <t>INV-170</t>
        </is>
      </c>
      <c r="F22" s="24" t="n"/>
      <c r="G22" s="14" t="n"/>
      <c r="H22" s="22" t="n">
        <v>18500</v>
      </c>
      <c r="I22" s="25">
        <f>IF(Q22="D",N(H22),0)</f>
        <v/>
      </c>
      <c r="J22" s="25">
        <f>IF(Q22="C",N(H22),0)</f>
        <v/>
      </c>
      <c r="K22" s="26">
        <f>IF(Z22="","",Z22)</f>
        <v/>
      </c>
      <c r="L22" s="27">
        <f>W22</f>
        <v/>
      </c>
      <c r="M22" s="28">
        <f>AA22</f>
        <v/>
      </c>
      <c r="N22" s="23">
        <f>IF(AND(B22="",C22="",D22="",N(H22)=0),"",IF(B22="","Enter the date",IF(C22="","Pick the party",IF(P22="?","Add this party on the Parties sheet first",IF(D22="","Pick the entry type",IF(Q22="?","Pick the entry type from the list",IF(N(H22)=0,"Enter the amount",IF(AND(R22&lt;&gt;"Any",R22&lt;&gt;P22),"Sales, receipts and credit notes are for debtors; purchases, payments and debit notes for creditors",IF(AND(F22&lt;&gt;"",D22&lt;&gt;"Purchase bill"),"The received-on date is only for purchase bills",IF(AND(P22="Creditor",X22=1,AA22&gt;0),"Past due to a micro or small supplier: interest runs under MSMED s.16, and if unpaid at year end it is not deductible that year, s.37(2)(g)",IF(AND(P22="Debtor",X22=1,AA22&gt;0),"Past due to you: as a micro or small supplier you can claim interest under MSMED s.16","OK")))))))))))</f>
        <v/>
      </c>
      <c r="P22">
        <f>IF(C22="","",IFERROR(VLOOKUP(C22,'Example Parties'!$B$13:$Q$112,2,FALSE),"?"))</f>
        <v/>
      </c>
      <c r="Q22">
        <f>IF(D22="","",IFERROR(VLOOKUP(D22,Lists!$A$2:$D$9,3,FALSE),"?"))</f>
        <v/>
      </c>
      <c r="R22">
        <f>IF(D22="","",IFERROR(VLOOKUP(D22,Lists!$A$2:$D$9,4,FALSE),"?"))</f>
        <v/>
      </c>
      <c r="S22">
        <f>IF(P22="Debtor",I22,IF(P22="Creditor",J22,0))</f>
        <v/>
      </c>
      <c r="T22">
        <f>IF(P22="Debtor",J22,IF(P22="Creditor",I22,0))</f>
        <v/>
      </c>
      <c r="U22">
        <f>IF(OR(S22=0,B22=""),0,IFERROR(VLOOKUP(C22,'Example Parties'!$B$13:$Q$112,13,FALSE),0)+SUMIFS($S$7:$S$506,$C$7:$C$506,C22,$B$7:$B$506,"&lt;"&amp;B22)+SUMIFS(S$7:S22,C$7:C22,C22,B$7:B22,B22))</f>
        <v/>
      </c>
      <c r="V22">
        <f>IF(S22=0,0,IFERROR(VLOOKUP(C22,'Example Parties'!$B$13:$Q$112,14,FALSE),0)+SUMIFS($T$7:$T$506,$C$7:$C$506,C22,$B$7:$B$506,"&lt;="&amp;'Example Outstanding'!$E$5))</f>
        <v/>
      </c>
      <c r="W22">
        <f>IF(OR('Example Outstanding'!$E$5="",S22=0,B22="",B22&gt;'Example Outstanding'!$E$5),0,MAX(0,MIN(S22,U22-V22)))</f>
        <v/>
      </c>
      <c r="X22">
        <f>IF(C22="",0,IFERROR(VLOOKUP(C22,'Example Parties'!$B$13:$Q$112,15,FALSE),0))</f>
        <v/>
      </c>
      <c r="Y22">
        <f>IF(C22="","",IFERROR(VLOOKUP(C22,'Example Parties'!$B$13:$Q$112,16,FALSE),0))</f>
        <v/>
      </c>
      <c r="Z22">
        <f>IF(OR(S22=0,B22="",Y22=""),"",IF(AND(F22&lt;&gt;"",D22="Purchase bill"),F22,B22)+Y22)</f>
        <v/>
      </c>
      <c r="AA22">
        <f>IF(OR(W22=0,Z22=""),0,MAX(0,'Example Outstanding'!$E$5-Z22))</f>
        <v/>
      </c>
      <c r="AB22">
        <f>IF(AND(X22=1,AA22&gt;0),W22*((1+3*N('Example Parties'!$E$10)/12)^(AA22*12/365)-1),0)</f>
        <v/>
      </c>
      <c r="AC22">
        <f>IF(W22=0,"",'Example Outstanding'!$E$5-B22)</f>
        <v/>
      </c>
      <c r="AD22">
        <f>IF(S22=0,0,IFERROR(VLOOKUP(C22,'Example Parties'!$B$13:$Q$112,14,FALSE),0)+SUMIFS($T$7:$T$506,$C$7:$C$506,C22,$B$7:$B$506,"&lt;="&amp;'Example Parties'!$E$8))</f>
        <v/>
      </c>
      <c r="AE22">
        <f>IF(OR('Example Parties'!$E$8="",S22=0,B22="",B22&gt;'Example Parties'!$E$8),0,MAX(0,MIN(S22,U22-AD22)))</f>
        <v/>
      </c>
      <c r="AF22">
        <f>IF(AND(P22="Creditor",X22=1,AE22&gt;0,Z22&lt;&gt;""),IF(Z22&lt;='Example Parties'!$E$8,AE22,0),0)</f>
        <v/>
      </c>
      <c r="AG22">
        <f>IF(OR(AE22=0,Z22=""),0,MAX(0,'Example Parties'!$E$8-Z22))</f>
        <v/>
      </c>
      <c r="AH22">
        <f>IF(AND(P22="Creditor",X22=1,AG22&gt;0),AE22*((1+3*N('Example Parties'!$E$10)/12)^(AG22*12/365)-1),0)</f>
        <v/>
      </c>
      <c r="AI22">
        <f>IF(AND(C22&lt;&gt;"",C22='Example Ledger'!$D$4,B22&lt;&gt;"",B22&gt;='Example Ledger'!$D$5,B22&lt;='Example Ledger'!$D$6),1,0)</f>
        <v/>
      </c>
      <c r="AJ22">
        <f>IF(AI22=1,SUM(AI$7:AI22),"")</f>
        <v/>
      </c>
      <c r="AK22">
        <f>IF(OR(N22="",N22="OK"),0,1)</f>
        <v/>
      </c>
    </row>
    <row r="23" ht="18" customHeight="1">
      <c r="B23" s="24" t="n">
        <v>46301</v>
      </c>
      <c r="C23" s="14" t="inlineStr">
        <is>
          <t>Retailer B</t>
        </is>
      </c>
      <c r="D23" s="14" t="inlineStr">
        <is>
          <t>Credit note to customer</t>
        </is>
      </c>
      <c r="E23" s="20" t="inlineStr">
        <is>
          <t>CN-05</t>
        </is>
      </c>
      <c r="F23" s="24" t="n"/>
      <c r="G23" s="14" t="inlineStr">
        <is>
          <t>Damaged stock returned</t>
        </is>
      </c>
      <c r="H23" s="22" t="n">
        <v>3000</v>
      </c>
      <c r="I23" s="25">
        <f>IF(Q23="D",N(H23),0)</f>
        <v/>
      </c>
      <c r="J23" s="25">
        <f>IF(Q23="C",N(H23),0)</f>
        <v/>
      </c>
      <c r="K23" s="26">
        <f>IF(Z23="","",Z23)</f>
        <v/>
      </c>
      <c r="L23" s="27">
        <f>W23</f>
        <v/>
      </c>
      <c r="M23" s="28">
        <f>AA23</f>
        <v/>
      </c>
      <c r="N23" s="23">
        <f>IF(AND(B23="",C23="",D23="",N(H23)=0),"",IF(B23="","Enter the date",IF(C23="","Pick the party",IF(P23="?","Add this party on the Parties sheet first",IF(D23="","Pick the entry type",IF(Q23="?","Pick the entry type from the list",IF(N(H23)=0,"Enter the amount",IF(AND(R23&lt;&gt;"Any",R23&lt;&gt;P23),"Sales, receipts and credit notes are for debtors; purchases, payments and debit notes for creditors",IF(AND(F23&lt;&gt;"",D23&lt;&gt;"Purchase bill"),"The received-on date is only for purchase bills",IF(AND(P23="Creditor",X23=1,AA23&gt;0),"Past due to a micro or small supplier: interest runs under MSMED s.16, and if unpaid at year end it is not deductible that year, s.37(2)(g)",IF(AND(P23="Debtor",X23=1,AA23&gt;0),"Past due to you: as a micro or small supplier you can claim interest under MSMED s.16","OK")))))))))))</f>
        <v/>
      </c>
      <c r="P23">
        <f>IF(C23="","",IFERROR(VLOOKUP(C23,'Example Parties'!$B$13:$Q$112,2,FALSE),"?"))</f>
        <v/>
      </c>
      <c r="Q23">
        <f>IF(D23="","",IFERROR(VLOOKUP(D23,Lists!$A$2:$D$9,3,FALSE),"?"))</f>
        <v/>
      </c>
      <c r="R23">
        <f>IF(D23="","",IFERROR(VLOOKUP(D23,Lists!$A$2:$D$9,4,FALSE),"?"))</f>
        <v/>
      </c>
      <c r="S23">
        <f>IF(P23="Debtor",I23,IF(P23="Creditor",J23,0))</f>
        <v/>
      </c>
      <c r="T23">
        <f>IF(P23="Debtor",J23,IF(P23="Creditor",I23,0))</f>
        <v/>
      </c>
      <c r="U23">
        <f>IF(OR(S23=0,B23=""),0,IFERROR(VLOOKUP(C23,'Example Parties'!$B$13:$Q$112,13,FALSE),0)+SUMIFS($S$7:$S$506,$C$7:$C$506,C23,$B$7:$B$506,"&lt;"&amp;B23)+SUMIFS(S$7:S23,C$7:C23,C23,B$7:B23,B23))</f>
        <v/>
      </c>
      <c r="V23">
        <f>IF(S23=0,0,IFERROR(VLOOKUP(C23,'Example Parties'!$B$13:$Q$112,14,FALSE),0)+SUMIFS($T$7:$T$506,$C$7:$C$506,C23,$B$7:$B$506,"&lt;="&amp;'Example Outstanding'!$E$5))</f>
        <v/>
      </c>
      <c r="W23">
        <f>IF(OR('Example Outstanding'!$E$5="",S23=0,B23="",B23&gt;'Example Outstanding'!$E$5),0,MAX(0,MIN(S23,U23-V23)))</f>
        <v/>
      </c>
      <c r="X23">
        <f>IF(C23="",0,IFERROR(VLOOKUP(C23,'Example Parties'!$B$13:$Q$112,15,FALSE),0))</f>
        <v/>
      </c>
      <c r="Y23">
        <f>IF(C23="","",IFERROR(VLOOKUP(C23,'Example Parties'!$B$13:$Q$112,16,FALSE),0))</f>
        <v/>
      </c>
      <c r="Z23">
        <f>IF(OR(S23=0,B23="",Y23=""),"",IF(AND(F23&lt;&gt;"",D23="Purchase bill"),F23,B23)+Y23)</f>
        <v/>
      </c>
      <c r="AA23">
        <f>IF(OR(W23=0,Z23=""),0,MAX(0,'Example Outstanding'!$E$5-Z23))</f>
        <v/>
      </c>
      <c r="AB23">
        <f>IF(AND(X23=1,AA23&gt;0),W23*((1+3*N('Example Parties'!$E$10)/12)^(AA23*12/365)-1),0)</f>
        <v/>
      </c>
      <c r="AC23">
        <f>IF(W23=0,"",'Example Outstanding'!$E$5-B23)</f>
        <v/>
      </c>
      <c r="AD23">
        <f>IF(S23=0,0,IFERROR(VLOOKUP(C23,'Example Parties'!$B$13:$Q$112,14,FALSE),0)+SUMIFS($T$7:$T$506,$C$7:$C$506,C23,$B$7:$B$506,"&lt;="&amp;'Example Parties'!$E$8))</f>
        <v/>
      </c>
      <c r="AE23">
        <f>IF(OR('Example Parties'!$E$8="",S23=0,B23="",B23&gt;'Example Parties'!$E$8),0,MAX(0,MIN(S23,U23-AD23)))</f>
        <v/>
      </c>
      <c r="AF23">
        <f>IF(AND(P23="Creditor",X23=1,AE23&gt;0,Z23&lt;&gt;""),IF(Z23&lt;='Example Parties'!$E$8,AE23,0),0)</f>
        <v/>
      </c>
      <c r="AG23">
        <f>IF(OR(AE23=0,Z23=""),0,MAX(0,'Example Parties'!$E$8-Z23))</f>
        <v/>
      </c>
      <c r="AH23">
        <f>IF(AND(P23="Creditor",X23=1,AG23&gt;0),AE23*((1+3*N('Example Parties'!$E$10)/12)^(AG23*12/365)-1),0)</f>
        <v/>
      </c>
      <c r="AI23">
        <f>IF(AND(C23&lt;&gt;"",C23='Example Ledger'!$D$4,B23&lt;&gt;"",B23&gt;='Example Ledger'!$D$5,B23&lt;='Example Ledger'!$D$6),1,0)</f>
        <v/>
      </c>
      <c r="AJ23">
        <f>IF(AI23=1,SUM(AI$7:AI23),"")</f>
        <v/>
      </c>
      <c r="AK23">
        <f>IF(OR(N23="",N23="OK"),0,1)</f>
        <v/>
      </c>
    </row>
    <row r="24" ht="18" customHeight="1">
      <c r="B24" s="24" t="n">
        <v>46305</v>
      </c>
      <c r="C24" s="14" t="inlineStr">
        <is>
          <t>Wholesale trader</t>
        </is>
      </c>
      <c r="D24" s="14" t="inlineStr">
        <is>
          <t>Purchase bill</t>
        </is>
      </c>
      <c r="E24" s="20" t="inlineStr">
        <is>
          <t>WT-90</t>
        </is>
      </c>
      <c r="F24" s="24" t="n"/>
      <c r="G24" s="14" t="n"/>
      <c r="H24" s="22" t="n">
        <v>60000</v>
      </c>
      <c r="I24" s="25">
        <f>IF(Q24="D",N(H24),0)</f>
        <v/>
      </c>
      <c r="J24" s="25">
        <f>IF(Q24="C",N(H24),0)</f>
        <v/>
      </c>
      <c r="K24" s="26">
        <f>IF(Z24="","",Z24)</f>
        <v/>
      </c>
      <c r="L24" s="27">
        <f>W24</f>
        <v/>
      </c>
      <c r="M24" s="28">
        <f>AA24</f>
        <v/>
      </c>
      <c r="N24" s="23">
        <f>IF(AND(B24="",C24="",D24="",N(H24)=0),"",IF(B24="","Enter the date",IF(C24="","Pick the party",IF(P24="?","Add this party on the Parties sheet first",IF(D24="","Pick the entry type",IF(Q24="?","Pick the entry type from the list",IF(N(H24)=0,"Enter the amount",IF(AND(R24&lt;&gt;"Any",R24&lt;&gt;P24),"Sales, receipts and credit notes are for debtors; purchases, payments and debit notes for creditors",IF(AND(F24&lt;&gt;"",D24&lt;&gt;"Purchase bill"),"The received-on date is only for purchase bills",IF(AND(P24="Creditor",X24=1,AA24&gt;0),"Past due to a micro or small supplier: interest runs under MSMED s.16, and if unpaid at year end it is not deductible that year, s.37(2)(g)",IF(AND(P24="Debtor",X24=1,AA24&gt;0),"Past due to you: as a micro or small supplier you can claim interest under MSMED s.16","OK")))))))))))</f>
        <v/>
      </c>
      <c r="P24">
        <f>IF(C24="","",IFERROR(VLOOKUP(C24,'Example Parties'!$B$13:$Q$112,2,FALSE),"?"))</f>
        <v/>
      </c>
      <c r="Q24">
        <f>IF(D24="","",IFERROR(VLOOKUP(D24,Lists!$A$2:$D$9,3,FALSE),"?"))</f>
        <v/>
      </c>
      <c r="R24">
        <f>IF(D24="","",IFERROR(VLOOKUP(D24,Lists!$A$2:$D$9,4,FALSE),"?"))</f>
        <v/>
      </c>
      <c r="S24">
        <f>IF(P24="Debtor",I24,IF(P24="Creditor",J24,0))</f>
        <v/>
      </c>
      <c r="T24">
        <f>IF(P24="Debtor",J24,IF(P24="Creditor",I24,0))</f>
        <v/>
      </c>
      <c r="U24">
        <f>IF(OR(S24=0,B24=""),0,IFERROR(VLOOKUP(C24,'Example Parties'!$B$13:$Q$112,13,FALSE),0)+SUMIFS($S$7:$S$506,$C$7:$C$506,C24,$B$7:$B$506,"&lt;"&amp;B24)+SUMIFS(S$7:S24,C$7:C24,C24,B$7:B24,B24))</f>
        <v/>
      </c>
      <c r="V24">
        <f>IF(S24=0,0,IFERROR(VLOOKUP(C24,'Example Parties'!$B$13:$Q$112,14,FALSE),0)+SUMIFS($T$7:$T$506,$C$7:$C$506,C24,$B$7:$B$506,"&lt;="&amp;'Example Outstanding'!$E$5))</f>
        <v/>
      </c>
      <c r="W24">
        <f>IF(OR('Example Outstanding'!$E$5="",S24=0,B24="",B24&gt;'Example Outstanding'!$E$5),0,MAX(0,MIN(S24,U24-V24)))</f>
        <v/>
      </c>
      <c r="X24">
        <f>IF(C24="",0,IFERROR(VLOOKUP(C24,'Example Parties'!$B$13:$Q$112,15,FALSE),0))</f>
        <v/>
      </c>
      <c r="Y24">
        <f>IF(C24="","",IFERROR(VLOOKUP(C24,'Example Parties'!$B$13:$Q$112,16,FALSE),0))</f>
        <v/>
      </c>
      <c r="Z24">
        <f>IF(OR(S24=0,B24="",Y24=""),"",IF(AND(F24&lt;&gt;"",D24="Purchase bill"),F24,B24)+Y24)</f>
        <v/>
      </c>
      <c r="AA24">
        <f>IF(OR(W24=0,Z24=""),0,MAX(0,'Example Outstanding'!$E$5-Z24))</f>
        <v/>
      </c>
      <c r="AB24">
        <f>IF(AND(X24=1,AA24&gt;0),W24*((1+3*N('Example Parties'!$E$10)/12)^(AA24*12/365)-1),0)</f>
        <v/>
      </c>
      <c r="AC24">
        <f>IF(W24=0,"",'Example Outstanding'!$E$5-B24)</f>
        <v/>
      </c>
      <c r="AD24">
        <f>IF(S24=0,0,IFERROR(VLOOKUP(C24,'Example Parties'!$B$13:$Q$112,14,FALSE),0)+SUMIFS($T$7:$T$506,$C$7:$C$506,C24,$B$7:$B$506,"&lt;="&amp;'Example Parties'!$E$8))</f>
        <v/>
      </c>
      <c r="AE24">
        <f>IF(OR('Example Parties'!$E$8="",S24=0,B24="",B24&gt;'Example Parties'!$E$8),0,MAX(0,MIN(S24,U24-AD24)))</f>
        <v/>
      </c>
      <c r="AF24">
        <f>IF(AND(P24="Creditor",X24=1,AE24&gt;0,Z24&lt;&gt;""),IF(Z24&lt;='Example Parties'!$E$8,AE24,0),0)</f>
        <v/>
      </c>
      <c r="AG24">
        <f>IF(OR(AE24=0,Z24=""),0,MAX(0,'Example Parties'!$E$8-Z24))</f>
        <v/>
      </c>
      <c r="AH24">
        <f>IF(AND(P24="Creditor",X24=1,AG24&gt;0),AE24*((1+3*N('Example Parties'!$E$10)/12)^(AG24*12/365)-1),0)</f>
        <v/>
      </c>
      <c r="AI24">
        <f>IF(AND(C24&lt;&gt;"",C24='Example Ledger'!$D$4,B24&lt;&gt;"",B24&gt;='Example Ledger'!$D$5,B24&lt;='Example Ledger'!$D$6),1,0)</f>
        <v/>
      </c>
      <c r="AJ24">
        <f>IF(AI24=1,SUM(AI$7:AI24),"")</f>
        <v/>
      </c>
      <c r="AK24">
        <f>IF(OR(N24="",N24="OK"),0,1)</f>
        <v/>
      </c>
    </row>
    <row r="25" ht="18" customHeight="1">
      <c r="B25" s="24" t="n">
        <v>46315</v>
      </c>
      <c r="C25" s="14" t="inlineStr">
        <is>
          <t>Packaging supplier</t>
        </is>
      </c>
      <c r="D25" s="14" t="inlineStr">
        <is>
          <t>Debit note to supplier</t>
        </is>
      </c>
      <c r="E25" s="20" t="inlineStr">
        <is>
          <t>DN-02</t>
        </is>
      </c>
      <c r="F25" s="24" t="n"/>
      <c r="G25" s="14" t="inlineStr">
        <is>
          <t>Short supply on PK-602</t>
        </is>
      </c>
      <c r="H25" s="22" t="n">
        <v>2000</v>
      </c>
      <c r="I25" s="25">
        <f>IF(Q25="D",N(H25),0)</f>
        <v/>
      </c>
      <c r="J25" s="25">
        <f>IF(Q25="C",N(H25),0)</f>
        <v/>
      </c>
      <c r="K25" s="26">
        <f>IF(Z25="","",Z25)</f>
        <v/>
      </c>
      <c r="L25" s="27">
        <f>W25</f>
        <v/>
      </c>
      <c r="M25" s="28">
        <f>AA25</f>
        <v/>
      </c>
      <c r="N25" s="23">
        <f>IF(AND(B25="",C25="",D25="",N(H25)=0),"",IF(B25="","Enter the date",IF(C25="","Pick the party",IF(P25="?","Add this party on the Parties sheet first",IF(D25="","Pick the entry type",IF(Q25="?","Pick the entry type from the list",IF(N(H25)=0,"Enter the amount",IF(AND(R25&lt;&gt;"Any",R25&lt;&gt;P25),"Sales, receipts and credit notes are for debtors; purchases, payments and debit notes for creditors",IF(AND(F25&lt;&gt;"",D25&lt;&gt;"Purchase bill"),"The received-on date is only for purchase bills",IF(AND(P25="Creditor",X25=1,AA25&gt;0),"Past due to a micro or small supplier: interest runs under MSMED s.16, and if unpaid at year end it is not deductible that year, s.37(2)(g)",IF(AND(P25="Debtor",X25=1,AA25&gt;0),"Past due to you: as a micro or small supplier you can claim interest under MSMED s.16","OK")))))))))))</f>
        <v/>
      </c>
      <c r="P25">
        <f>IF(C25="","",IFERROR(VLOOKUP(C25,'Example Parties'!$B$13:$Q$112,2,FALSE),"?"))</f>
        <v/>
      </c>
      <c r="Q25">
        <f>IF(D25="","",IFERROR(VLOOKUP(D25,Lists!$A$2:$D$9,3,FALSE),"?"))</f>
        <v/>
      </c>
      <c r="R25">
        <f>IF(D25="","",IFERROR(VLOOKUP(D25,Lists!$A$2:$D$9,4,FALSE),"?"))</f>
        <v/>
      </c>
      <c r="S25">
        <f>IF(P25="Debtor",I25,IF(P25="Creditor",J25,0))</f>
        <v/>
      </c>
      <c r="T25">
        <f>IF(P25="Debtor",J25,IF(P25="Creditor",I25,0))</f>
        <v/>
      </c>
      <c r="U25">
        <f>IF(OR(S25=0,B25=""),0,IFERROR(VLOOKUP(C25,'Example Parties'!$B$13:$Q$112,13,FALSE),0)+SUMIFS($S$7:$S$506,$C$7:$C$506,C25,$B$7:$B$506,"&lt;"&amp;B25)+SUMIFS(S$7:S25,C$7:C25,C25,B$7:B25,B25))</f>
        <v/>
      </c>
      <c r="V25">
        <f>IF(S25=0,0,IFERROR(VLOOKUP(C25,'Example Parties'!$B$13:$Q$112,14,FALSE),0)+SUMIFS($T$7:$T$506,$C$7:$C$506,C25,$B$7:$B$506,"&lt;="&amp;'Example Outstanding'!$E$5))</f>
        <v/>
      </c>
      <c r="W25">
        <f>IF(OR('Example Outstanding'!$E$5="",S25=0,B25="",B25&gt;'Example Outstanding'!$E$5),0,MAX(0,MIN(S25,U25-V25)))</f>
        <v/>
      </c>
      <c r="X25">
        <f>IF(C25="",0,IFERROR(VLOOKUP(C25,'Example Parties'!$B$13:$Q$112,15,FALSE),0))</f>
        <v/>
      </c>
      <c r="Y25">
        <f>IF(C25="","",IFERROR(VLOOKUP(C25,'Example Parties'!$B$13:$Q$112,16,FALSE),0))</f>
        <v/>
      </c>
      <c r="Z25">
        <f>IF(OR(S25=0,B25="",Y25=""),"",IF(AND(F25&lt;&gt;"",D25="Purchase bill"),F25,B25)+Y25)</f>
        <v/>
      </c>
      <c r="AA25">
        <f>IF(OR(W25=0,Z25=""),0,MAX(0,'Example Outstanding'!$E$5-Z25))</f>
        <v/>
      </c>
      <c r="AB25">
        <f>IF(AND(X25=1,AA25&gt;0),W25*((1+3*N('Example Parties'!$E$10)/12)^(AA25*12/365)-1),0)</f>
        <v/>
      </c>
      <c r="AC25">
        <f>IF(W25=0,"",'Example Outstanding'!$E$5-B25)</f>
        <v/>
      </c>
      <c r="AD25">
        <f>IF(S25=0,0,IFERROR(VLOOKUP(C25,'Example Parties'!$B$13:$Q$112,14,FALSE),0)+SUMIFS($T$7:$T$506,$C$7:$C$506,C25,$B$7:$B$506,"&lt;="&amp;'Example Parties'!$E$8))</f>
        <v/>
      </c>
      <c r="AE25">
        <f>IF(OR('Example Parties'!$E$8="",S25=0,B25="",B25&gt;'Example Parties'!$E$8),0,MAX(0,MIN(S25,U25-AD25)))</f>
        <v/>
      </c>
      <c r="AF25">
        <f>IF(AND(P25="Creditor",X25=1,AE25&gt;0,Z25&lt;&gt;""),IF(Z25&lt;='Example Parties'!$E$8,AE25,0),0)</f>
        <v/>
      </c>
      <c r="AG25">
        <f>IF(OR(AE25=0,Z25=""),0,MAX(0,'Example Parties'!$E$8-Z25))</f>
        <v/>
      </c>
      <c r="AH25">
        <f>IF(AND(P25="Creditor",X25=1,AG25&gt;0),AE25*((1+3*N('Example Parties'!$E$10)/12)^(AG25*12/365)-1),0)</f>
        <v/>
      </c>
      <c r="AI25">
        <f>IF(AND(C25&lt;&gt;"",C25='Example Ledger'!$D$4,B25&lt;&gt;"",B25&gt;='Example Ledger'!$D$5,B25&lt;='Example Ledger'!$D$6),1,0)</f>
        <v/>
      </c>
      <c r="AJ25">
        <f>IF(AI25=1,SUM(AI$7:AI25),"")</f>
        <v/>
      </c>
      <c r="AK25">
        <f>IF(OR(N25="",N25="OK"),0,1)</f>
        <v/>
      </c>
    </row>
    <row r="26" ht="18" customHeight="1">
      <c r="B26" s="24" t="n">
        <v>46320</v>
      </c>
      <c r="C26" s="14" t="inlineStr">
        <is>
          <t>Spice supplier</t>
        </is>
      </c>
      <c r="D26" s="14" t="inlineStr">
        <is>
          <t>Payment to supplier</t>
        </is>
      </c>
      <c r="E26" s="20" t="inlineStr">
        <is>
          <t>PY-05</t>
        </is>
      </c>
      <c r="F26" s="24" t="n"/>
      <c r="G26" s="14" t="inlineStr">
        <is>
          <t>Part payment</t>
        </is>
      </c>
      <c r="H26" s="22" t="n">
        <v>10000</v>
      </c>
      <c r="I26" s="25">
        <f>IF(Q26="D",N(H26),0)</f>
        <v/>
      </c>
      <c r="J26" s="25">
        <f>IF(Q26="C",N(H26),0)</f>
        <v/>
      </c>
      <c r="K26" s="26">
        <f>IF(Z26="","",Z26)</f>
        <v/>
      </c>
      <c r="L26" s="27">
        <f>W26</f>
        <v/>
      </c>
      <c r="M26" s="28">
        <f>AA26</f>
        <v/>
      </c>
      <c r="N26" s="23">
        <f>IF(AND(B26="",C26="",D26="",N(H26)=0),"",IF(B26="","Enter the date",IF(C26="","Pick the party",IF(P26="?","Add this party on the Parties sheet first",IF(D26="","Pick the entry type",IF(Q26="?","Pick the entry type from the list",IF(N(H26)=0,"Enter the amount",IF(AND(R26&lt;&gt;"Any",R26&lt;&gt;P26),"Sales, receipts and credit notes are for debtors; purchases, payments and debit notes for creditors",IF(AND(F26&lt;&gt;"",D26&lt;&gt;"Purchase bill"),"The received-on date is only for purchase bills",IF(AND(P26="Creditor",X26=1,AA26&gt;0),"Past due to a micro or small supplier: interest runs under MSMED s.16, and if unpaid at year end it is not deductible that year, s.37(2)(g)",IF(AND(P26="Debtor",X26=1,AA26&gt;0),"Past due to you: as a micro or small supplier you can claim interest under MSMED s.16","OK")))))))))))</f>
        <v/>
      </c>
      <c r="P26">
        <f>IF(C26="","",IFERROR(VLOOKUP(C26,'Example Parties'!$B$13:$Q$112,2,FALSE),"?"))</f>
        <v/>
      </c>
      <c r="Q26">
        <f>IF(D26="","",IFERROR(VLOOKUP(D26,Lists!$A$2:$D$9,3,FALSE),"?"))</f>
        <v/>
      </c>
      <c r="R26">
        <f>IF(D26="","",IFERROR(VLOOKUP(D26,Lists!$A$2:$D$9,4,FALSE),"?"))</f>
        <v/>
      </c>
      <c r="S26">
        <f>IF(P26="Debtor",I26,IF(P26="Creditor",J26,0))</f>
        <v/>
      </c>
      <c r="T26">
        <f>IF(P26="Debtor",J26,IF(P26="Creditor",I26,0))</f>
        <v/>
      </c>
      <c r="U26">
        <f>IF(OR(S26=0,B26=""),0,IFERROR(VLOOKUP(C26,'Example Parties'!$B$13:$Q$112,13,FALSE),0)+SUMIFS($S$7:$S$506,$C$7:$C$506,C26,$B$7:$B$506,"&lt;"&amp;B26)+SUMIFS(S$7:S26,C$7:C26,C26,B$7:B26,B26))</f>
        <v/>
      </c>
      <c r="V26">
        <f>IF(S26=0,0,IFERROR(VLOOKUP(C26,'Example Parties'!$B$13:$Q$112,14,FALSE),0)+SUMIFS($T$7:$T$506,$C$7:$C$506,C26,$B$7:$B$506,"&lt;="&amp;'Example Outstanding'!$E$5))</f>
        <v/>
      </c>
      <c r="W26">
        <f>IF(OR('Example Outstanding'!$E$5="",S26=0,B26="",B26&gt;'Example Outstanding'!$E$5),0,MAX(0,MIN(S26,U26-V26)))</f>
        <v/>
      </c>
      <c r="X26">
        <f>IF(C26="",0,IFERROR(VLOOKUP(C26,'Example Parties'!$B$13:$Q$112,15,FALSE),0))</f>
        <v/>
      </c>
      <c r="Y26">
        <f>IF(C26="","",IFERROR(VLOOKUP(C26,'Example Parties'!$B$13:$Q$112,16,FALSE),0))</f>
        <v/>
      </c>
      <c r="Z26">
        <f>IF(OR(S26=0,B26="",Y26=""),"",IF(AND(F26&lt;&gt;"",D26="Purchase bill"),F26,B26)+Y26)</f>
        <v/>
      </c>
      <c r="AA26">
        <f>IF(OR(W26=0,Z26=""),0,MAX(0,'Example Outstanding'!$E$5-Z26))</f>
        <v/>
      </c>
      <c r="AB26">
        <f>IF(AND(X26=1,AA26&gt;0),W26*((1+3*N('Example Parties'!$E$10)/12)^(AA26*12/365)-1),0)</f>
        <v/>
      </c>
      <c r="AC26">
        <f>IF(W26=0,"",'Example Outstanding'!$E$5-B26)</f>
        <v/>
      </c>
      <c r="AD26">
        <f>IF(S26=0,0,IFERROR(VLOOKUP(C26,'Example Parties'!$B$13:$Q$112,14,FALSE),0)+SUMIFS($T$7:$T$506,$C$7:$C$506,C26,$B$7:$B$506,"&lt;="&amp;'Example Parties'!$E$8))</f>
        <v/>
      </c>
      <c r="AE26">
        <f>IF(OR('Example Parties'!$E$8="",S26=0,B26="",B26&gt;'Example Parties'!$E$8),0,MAX(0,MIN(S26,U26-AD26)))</f>
        <v/>
      </c>
      <c r="AF26">
        <f>IF(AND(P26="Creditor",X26=1,AE26&gt;0,Z26&lt;&gt;""),IF(Z26&lt;='Example Parties'!$E$8,AE26,0),0)</f>
        <v/>
      </c>
      <c r="AG26">
        <f>IF(OR(AE26=0,Z26=""),0,MAX(0,'Example Parties'!$E$8-Z26))</f>
        <v/>
      </c>
      <c r="AH26">
        <f>IF(AND(P26="Creditor",X26=1,AG26&gt;0),AE26*((1+3*N('Example Parties'!$E$10)/12)^(AG26*12/365)-1),0)</f>
        <v/>
      </c>
      <c r="AI26">
        <f>IF(AND(C26&lt;&gt;"",C26='Example Ledger'!$D$4,B26&lt;&gt;"",B26&gt;='Example Ledger'!$D$5,B26&lt;='Example Ledger'!$D$6),1,0)</f>
        <v/>
      </c>
      <c r="AJ26">
        <f>IF(AI26=1,SUM(AI$7:AI26),"")</f>
        <v/>
      </c>
      <c r="AK26">
        <f>IF(OR(N26="",N26="OK"),0,1)</f>
        <v/>
      </c>
    </row>
    <row r="27" ht="18" customHeight="1">
      <c r="B27" s="24" t="n">
        <v>46323</v>
      </c>
      <c r="C27" s="14" t="inlineStr">
        <is>
          <t>Hotel C</t>
        </is>
      </c>
      <c r="D27" s="14" t="inlineStr">
        <is>
          <t>Receipt from customer</t>
        </is>
      </c>
      <c r="E27" s="20" t="inlineStr">
        <is>
          <t>RC-04</t>
        </is>
      </c>
      <c r="F27" s="24" t="n"/>
      <c r="G27" s="14" t="inlineStr">
        <is>
          <t>Part payment</t>
        </is>
      </c>
      <c r="H27" s="22" t="n">
        <v>11000</v>
      </c>
      <c r="I27" s="25">
        <f>IF(Q27="D",N(H27),0)</f>
        <v/>
      </c>
      <c r="J27" s="25">
        <f>IF(Q27="C",N(H27),0)</f>
        <v/>
      </c>
      <c r="K27" s="26">
        <f>IF(Z27="","",Z27)</f>
        <v/>
      </c>
      <c r="L27" s="27">
        <f>W27</f>
        <v/>
      </c>
      <c r="M27" s="28">
        <f>AA27</f>
        <v/>
      </c>
      <c r="N27" s="23">
        <f>IF(AND(B27="",C27="",D27="",N(H27)=0),"",IF(B27="","Enter the date",IF(C27="","Pick the party",IF(P27="?","Add this party on the Parties sheet first",IF(D27="","Pick the entry type",IF(Q27="?","Pick the entry type from the list",IF(N(H27)=0,"Enter the amount",IF(AND(R27&lt;&gt;"Any",R27&lt;&gt;P27),"Sales, receipts and credit notes are for debtors; purchases, payments and debit notes for creditors",IF(AND(F27&lt;&gt;"",D27&lt;&gt;"Purchase bill"),"The received-on date is only for purchase bills",IF(AND(P27="Creditor",X27=1,AA27&gt;0),"Past due to a micro or small supplier: interest runs under MSMED s.16, and if unpaid at year end it is not deductible that year, s.37(2)(g)",IF(AND(P27="Debtor",X27=1,AA27&gt;0),"Past due to you: as a micro or small supplier you can claim interest under MSMED s.16","OK")))))))))))</f>
        <v/>
      </c>
      <c r="P27">
        <f>IF(C27="","",IFERROR(VLOOKUP(C27,'Example Parties'!$B$13:$Q$112,2,FALSE),"?"))</f>
        <v/>
      </c>
      <c r="Q27">
        <f>IF(D27="","",IFERROR(VLOOKUP(D27,Lists!$A$2:$D$9,3,FALSE),"?"))</f>
        <v/>
      </c>
      <c r="R27">
        <f>IF(D27="","",IFERROR(VLOOKUP(D27,Lists!$A$2:$D$9,4,FALSE),"?"))</f>
        <v/>
      </c>
      <c r="S27">
        <f>IF(P27="Debtor",I27,IF(P27="Creditor",J27,0))</f>
        <v/>
      </c>
      <c r="T27">
        <f>IF(P27="Debtor",J27,IF(P27="Creditor",I27,0))</f>
        <v/>
      </c>
      <c r="U27">
        <f>IF(OR(S27=0,B27=""),0,IFERROR(VLOOKUP(C27,'Example Parties'!$B$13:$Q$112,13,FALSE),0)+SUMIFS($S$7:$S$506,$C$7:$C$506,C27,$B$7:$B$506,"&lt;"&amp;B27)+SUMIFS(S$7:S27,C$7:C27,C27,B$7:B27,B27))</f>
        <v/>
      </c>
      <c r="V27">
        <f>IF(S27=0,0,IFERROR(VLOOKUP(C27,'Example Parties'!$B$13:$Q$112,14,FALSE),0)+SUMIFS($T$7:$T$506,$C$7:$C$506,C27,$B$7:$B$506,"&lt;="&amp;'Example Outstanding'!$E$5))</f>
        <v/>
      </c>
      <c r="W27">
        <f>IF(OR('Example Outstanding'!$E$5="",S27=0,B27="",B27&gt;'Example Outstanding'!$E$5),0,MAX(0,MIN(S27,U27-V27)))</f>
        <v/>
      </c>
      <c r="X27">
        <f>IF(C27="",0,IFERROR(VLOOKUP(C27,'Example Parties'!$B$13:$Q$112,15,FALSE),0))</f>
        <v/>
      </c>
      <c r="Y27">
        <f>IF(C27="","",IFERROR(VLOOKUP(C27,'Example Parties'!$B$13:$Q$112,16,FALSE),0))</f>
        <v/>
      </c>
      <c r="Z27">
        <f>IF(OR(S27=0,B27="",Y27=""),"",IF(AND(F27&lt;&gt;"",D27="Purchase bill"),F27,B27)+Y27)</f>
        <v/>
      </c>
      <c r="AA27">
        <f>IF(OR(W27=0,Z27=""),0,MAX(0,'Example Outstanding'!$E$5-Z27))</f>
        <v/>
      </c>
      <c r="AB27">
        <f>IF(AND(X27=1,AA27&gt;0),W27*((1+3*N('Example Parties'!$E$10)/12)^(AA27*12/365)-1),0)</f>
        <v/>
      </c>
      <c r="AC27">
        <f>IF(W27=0,"",'Example Outstanding'!$E$5-B27)</f>
        <v/>
      </c>
      <c r="AD27">
        <f>IF(S27=0,0,IFERROR(VLOOKUP(C27,'Example Parties'!$B$13:$Q$112,14,FALSE),0)+SUMIFS($T$7:$T$506,$C$7:$C$506,C27,$B$7:$B$506,"&lt;="&amp;'Example Parties'!$E$8))</f>
        <v/>
      </c>
      <c r="AE27">
        <f>IF(OR('Example Parties'!$E$8="",S27=0,B27="",B27&gt;'Example Parties'!$E$8),0,MAX(0,MIN(S27,U27-AD27)))</f>
        <v/>
      </c>
      <c r="AF27">
        <f>IF(AND(P27="Creditor",X27=1,AE27&gt;0,Z27&lt;&gt;""),IF(Z27&lt;='Example Parties'!$E$8,AE27,0),0)</f>
        <v/>
      </c>
      <c r="AG27">
        <f>IF(OR(AE27=0,Z27=""),0,MAX(0,'Example Parties'!$E$8-Z27))</f>
        <v/>
      </c>
      <c r="AH27">
        <f>IF(AND(P27="Creditor",X27=1,AG27&gt;0),AE27*((1+3*N('Example Parties'!$E$10)/12)^(AG27*12/365)-1),0)</f>
        <v/>
      </c>
      <c r="AI27">
        <f>IF(AND(C27&lt;&gt;"",C27='Example Ledger'!$D$4,B27&lt;&gt;"",B27&gt;='Example Ledger'!$D$5,B27&lt;='Example Ledger'!$D$6),1,0)</f>
        <v/>
      </c>
      <c r="AJ27">
        <f>IF(AI27=1,SUM(AI$7:AI27),"")</f>
        <v/>
      </c>
      <c r="AK27">
        <f>IF(OR(N27="",N27="OK"),0,1)</f>
        <v/>
      </c>
    </row>
    <row r="28">
      <c r="B28" s="24" t="n"/>
      <c r="C28" s="14" t="n"/>
      <c r="D28" s="14" t="n"/>
      <c r="E28" s="20" t="n"/>
      <c r="F28" s="24" t="n"/>
      <c r="G28" s="14" t="n"/>
      <c r="H28" s="22" t="n"/>
      <c r="I28" s="25">
        <f>IF(Q28="D",N(H28),0)</f>
        <v/>
      </c>
      <c r="J28" s="25">
        <f>IF(Q28="C",N(H28),0)</f>
        <v/>
      </c>
      <c r="K28" s="26">
        <f>IF(Z28="","",Z28)</f>
        <v/>
      </c>
      <c r="L28" s="27">
        <f>W28</f>
        <v/>
      </c>
      <c r="M28" s="28">
        <f>AA28</f>
        <v/>
      </c>
      <c r="N28" s="23">
        <f>IF(AND(B28="",C28="",D28="",N(H28)=0),"",IF(B28="","Enter the date",IF(C28="","Pick the party",IF(P28="?","Add this party on the Parties sheet first",IF(D28="","Pick the entry type",IF(Q28="?","Pick the entry type from the list",IF(N(H28)=0,"Enter the amount",IF(AND(R28&lt;&gt;"Any",R28&lt;&gt;P28),"Sales, receipts and credit notes are for debtors; purchases, payments and debit notes for creditors",IF(AND(F28&lt;&gt;"",D28&lt;&gt;"Purchase bill"),"The received-on date is only for purchase bills",IF(AND(P28="Creditor",X28=1,AA28&gt;0),"Past due to a micro or small supplier: interest runs under MSMED s.16, and if unpaid at year end it is not deductible that year, s.37(2)(g)",IF(AND(P28="Debtor",X28=1,AA28&gt;0),"Past due to you: as a micro or small supplier you can claim interest under MSMED s.16","OK")))))))))))</f>
        <v/>
      </c>
      <c r="P28">
        <f>IF(C28="","",IFERROR(VLOOKUP(C28,'Example Parties'!$B$13:$Q$112,2,FALSE),"?"))</f>
        <v/>
      </c>
      <c r="Q28">
        <f>IF(D28="","",IFERROR(VLOOKUP(D28,Lists!$A$2:$D$9,3,FALSE),"?"))</f>
        <v/>
      </c>
      <c r="R28">
        <f>IF(D28="","",IFERROR(VLOOKUP(D28,Lists!$A$2:$D$9,4,FALSE),"?"))</f>
        <v/>
      </c>
      <c r="S28">
        <f>IF(P28="Debtor",I28,IF(P28="Creditor",J28,0))</f>
        <v/>
      </c>
      <c r="T28">
        <f>IF(P28="Debtor",J28,IF(P28="Creditor",I28,0))</f>
        <v/>
      </c>
      <c r="U28">
        <f>IF(OR(S28=0,B28=""),0,IFERROR(VLOOKUP(C28,'Example Parties'!$B$13:$Q$112,13,FALSE),0)+SUMIFS($S$7:$S$506,$C$7:$C$506,C28,$B$7:$B$506,"&lt;"&amp;B28)+SUMIFS(S$7:S28,C$7:C28,C28,B$7:B28,B28))</f>
        <v/>
      </c>
      <c r="V28">
        <f>IF(S28=0,0,IFERROR(VLOOKUP(C28,'Example Parties'!$B$13:$Q$112,14,FALSE),0)+SUMIFS($T$7:$T$506,$C$7:$C$506,C28,$B$7:$B$506,"&lt;="&amp;'Example Outstanding'!$E$5))</f>
        <v/>
      </c>
      <c r="W28">
        <f>IF(OR('Example Outstanding'!$E$5="",S28=0,B28="",B28&gt;'Example Outstanding'!$E$5),0,MAX(0,MIN(S28,U28-V28)))</f>
        <v/>
      </c>
      <c r="X28">
        <f>IF(C28="",0,IFERROR(VLOOKUP(C28,'Example Parties'!$B$13:$Q$112,15,FALSE),0))</f>
        <v/>
      </c>
      <c r="Y28">
        <f>IF(C28="","",IFERROR(VLOOKUP(C28,'Example Parties'!$B$13:$Q$112,16,FALSE),0))</f>
        <v/>
      </c>
      <c r="Z28">
        <f>IF(OR(S28=0,B28="",Y28=""),"",IF(AND(F28&lt;&gt;"",D28="Purchase bill"),F28,B28)+Y28)</f>
        <v/>
      </c>
      <c r="AA28">
        <f>IF(OR(W28=0,Z28=""),0,MAX(0,'Example Outstanding'!$E$5-Z28))</f>
        <v/>
      </c>
      <c r="AB28">
        <f>IF(AND(X28=1,AA28&gt;0),W28*((1+3*N('Example Parties'!$E$10)/12)^(AA28*12/365)-1),0)</f>
        <v/>
      </c>
      <c r="AC28">
        <f>IF(W28=0,"",'Example Outstanding'!$E$5-B28)</f>
        <v/>
      </c>
      <c r="AD28">
        <f>IF(S28=0,0,IFERROR(VLOOKUP(C28,'Example Parties'!$B$13:$Q$112,14,FALSE),0)+SUMIFS($T$7:$T$506,$C$7:$C$506,C28,$B$7:$B$506,"&lt;="&amp;'Example Parties'!$E$8))</f>
        <v/>
      </c>
      <c r="AE28">
        <f>IF(OR('Example Parties'!$E$8="",S28=0,B28="",B28&gt;'Example Parties'!$E$8),0,MAX(0,MIN(S28,U28-AD28)))</f>
        <v/>
      </c>
      <c r="AF28">
        <f>IF(AND(P28="Creditor",X28=1,AE28&gt;0,Z28&lt;&gt;""),IF(Z28&lt;='Example Parties'!$E$8,AE28,0),0)</f>
        <v/>
      </c>
      <c r="AG28">
        <f>IF(OR(AE28=0,Z28=""),0,MAX(0,'Example Parties'!$E$8-Z28))</f>
        <v/>
      </c>
      <c r="AH28">
        <f>IF(AND(P28="Creditor",X28=1,AG28&gt;0),AE28*((1+3*N('Example Parties'!$E$10)/12)^(AG28*12/365)-1),0)</f>
        <v/>
      </c>
      <c r="AI28">
        <f>IF(AND(C28&lt;&gt;"",C28='Example Ledger'!$D$4,B28&lt;&gt;"",B28&gt;='Example Ledger'!$D$5,B28&lt;='Example Ledger'!$D$6),1,0)</f>
        <v/>
      </c>
      <c r="AJ28">
        <f>IF(AI28=1,SUM(AI$7:AI28),"")</f>
        <v/>
      </c>
      <c r="AK28">
        <f>IF(OR(N28="",N28="OK"),0,1)</f>
        <v/>
      </c>
    </row>
    <row r="29">
      <c r="B29" s="24" t="n"/>
      <c r="C29" s="14" t="n"/>
      <c r="D29" s="14" t="n"/>
      <c r="E29" s="20" t="n"/>
      <c r="F29" s="24" t="n"/>
      <c r="G29" s="14" t="n"/>
      <c r="H29" s="22" t="n"/>
      <c r="I29" s="25">
        <f>IF(Q29="D",N(H29),0)</f>
        <v/>
      </c>
      <c r="J29" s="25">
        <f>IF(Q29="C",N(H29),0)</f>
        <v/>
      </c>
      <c r="K29" s="26">
        <f>IF(Z29="","",Z29)</f>
        <v/>
      </c>
      <c r="L29" s="27">
        <f>W29</f>
        <v/>
      </c>
      <c r="M29" s="28">
        <f>AA29</f>
        <v/>
      </c>
      <c r="N29" s="23">
        <f>IF(AND(B29="",C29="",D29="",N(H29)=0),"",IF(B29="","Enter the date",IF(C29="","Pick the party",IF(P29="?","Add this party on the Parties sheet first",IF(D29="","Pick the entry type",IF(Q29="?","Pick the entry type from the list",IF(N(H29)=0,"Enter the amount",IF(AND(R29&lt;&gt;"Any",R29&lt;&gt;P29),"Sales, receipts and credit notes are for debtors; purchases, payments and debit notes for creditors",IF(AND(F29&lt;&gt;"",D29&lt;&gt;"Purchase bill"),"The received-on date is only for purchase bills",IF(AND(P29="Creditor",X29=1,AA29&gt;0),"Past due to a micro or small supplier: interest runs under MSMED s.16, and if unpaid at year end it is not deductible that year, s.37(2)(g)",IF(AND(P29="Debtor",X29=1,AA29&gt;0),"Past due to you: as a micro or small supplier you can claim interest under MSMED s.16","OK")))))))))))</f>
        <v/>
      </c>
      <c r="P29">
        <f>IF(C29="","",IFERROR(VLOOKUP(C29,'Example Parties'!$B$13:$Q$112,2,FALSE),"?"))</f>
        <v/>
      </c>
      <c r="Q29">
        <f>IF(D29="","",IFERROR(VLOOKUP(D29,Lists!$A$2:$D$9,3,FALSE),"?"))</f>
        <v/>
      </c>
      <c r="R29">
        <f>IF(D29="","",IFERROR(VLOOKUP(D29,Lists!$A$2:$D$9,4,FALSE),"?"))</f>
        <v/>
      </c>
      <c r="S29">
        <f>IF(P29="Debtor",I29,IF(P29="Creditor",J29,0))</f>
        <v/>
      </c>
      <c r="T29">
        <f>IF(P29="Debtor",J29,IF(P29="Creditor",I29,0))</f>
        <v/>
      </c>
      <c r="U29">
        <f>IF(OR(S29=0,B29=""),0,IFERROR(VLOOKUP(C29,'Example Parties'!$B$13:$Q$112,13,FALSE),0)+SUMIFS($S$7:$S$506,$C$7:$C$506,C29,$B$7:$B$506,"&lt;"&amp;B29)+SUMIFS(S$7:S29,C$7:C29,C29,B$7:B29,B29))</f>
        <v/>
      </c>
      <c r="V29">
        <f>IF(S29=0,0,IFERROR(VLOOKUP(C29,'Example Parties'!$B$13:$Q$112,14,FALSE),0)+SUMIFS($T$7:$T$506,$C$7:$C$506,C29,$B$7:$B$506,"&lt;="&amp;'Example Outstanding'!$E$5))</f>
        <v/>
      </c>
      <c r="W29">
        <f>IF(OR('Example Outstanding'!$E$5="",S29=0,B29="",B29&gt;'Example Outstanding'!$E$5),0,MAX(0,MIN(S29,U29-V29)))</f>
        <v/>
      </c>
      <c r="X29">
        <f>IF(C29="",0,IFERROR(VLOOKUP(C29,'Example Parties'!$B$13:$Q$112,15,FALSE),0))</f>
        <v/>
      </c>
      <c r="Y29">
        <f>IF(C29="","",IFERROR(VLOOKUP(C29,'Example Parties'!$B$13:$Q$112,16,FALSE),0))</f>
        <v/>
      </c>
      <c r="Z29">
        <f>IF(OR(S29=0,B29="",Y29=""),"",IF(AND(F29&lt;&gt;"",D29="Purchase bill"),F29,B29)+Y29)</f>
        <v/>
      </c>
      <c r="AA29">
        <f>IF(OR(W29=0,Z29=""),0,MAX(0,'Example Outstanding'!$E$5-Z29))</f>
        <v/>
      </c>
      <c r="AB29">
        <f>IF(AND(X29=1,AA29&gt;0),W29*((1+3*N('Example Parties'!$E$10)/12)^(AA29*12/365)-1),0)</f>
        <v/>
      </c>
      <c r="AC29">
        <f>IF(W29=0,"",'Example Outstanding'!$E$5-B29)</f>
        <v/>
      </c>
      <c r="AD29">
        <f>IF(S29=0,0,IFERROR(VLOOKUP(C29,'Example Parties'!$B$13:$Q$112,14,FALSE),0)+SUMIFS($T$7:$T$506,$C$7:$C$506,C29,$B$7:$B$506,"&lt;="&amp;'Example Parties'!$E$8))</f>
        <v/>
      </c>
      <c r="AE29">
        <f>IF(OR('Example Parties'!$E$8="",S29=0,B29="",B29&gt;'Example Parties'!$E$8),0,MAX(0,MIN(S29,U29-AD29)))</f>
        <v/>
      </c>
      <c r="AF29">
        <f>IF(AND(P29="Creditor",X29=1,AE29&gt;0,Z29&lt;&gt;""),IF(Z29&lt;='Example Parties'!$E$8,AE29,0),0)</f>
        <v/>
      </c>
      <c r="AG29">
        <f>IF(OR(AE29=0,Z29=""),0,MAX(0,'Example Parties'!$E$8-Z29))</f>
        <v/>
      </c>
      <c r="AH29">
        <f>IF(AND(P29="Creditor",X29=1,AG29&gt;0),AE29*((1+3*N('Example Parties'!$E$10)/12)^(AG29*12/365)-1),0)</f>
        <v/>
      </c>
      <c r="AI29">
        <f>IF(AND(C29&lt;&gt;"",C29='Example Ledger'!$D$4,B29&lt;&gt;"",B29&gt;='Example Ledger'!$D$5,B29&lt;='Example Ledger'!$D$6),1,0)</f>
        <v/>
      </c>
      <c r="AJ29">
        <f>IF(AI29=1,SUM(AI$7:AI29),"")</f>
        <v/>
      </c>
      <c r="AK29">
        <f>IF(OR(N29="",N29="OK"),0,1)</f>
        <v/>
      </c>
    </row>
    <row r="30">
      <c r="B30" s="24" t="n"/>
      <c r="C30" s="14" t="n"/>
      <c r="D30" s="14" t="n"/>
      <c r="E30" s="20" t="n"/>
      <c r="F30" s="24" t="n"/>
      <c r="G30" s="14" t="n"/>
      <c r="H30" s="22" t="n"/>
      <c r="I30" s="25">
        <f>IF(Q30="D",N(H30),0)</f>
        <v/>
      </c>
      <c r="J30" s="25">
        <f>IF(Q30="C",N(H30),0)</f>
        <v/>
      </c>
      <c r="K30" s="26">
        <f>IF(Z30="","",Z30)</f>
        <v/>
      </c>
      <c r="L30" s="27">
        <f>W30</f>
        <v/>
      </c>
      <c r="M30" s="28">
        <f>AA30</f>
        <v/>
      </c>
      <c r="N30" s="23">
        <f>IF(AND(B30="",C30="",D30="",N(H30)=0),"",IF(B30="","Enter the date",IF(C30="","Pick the party",IF(P30="?","Add this party on the Parties sheet first",IF(D30="","Pick the entry type",IF(Q30="?","Pick the entry type from the list",IF(N(H30)=0,"Enter the amount",IF(AND(R30&lt;&gt;"Any",R30&lt;&gt;P30),"Sales, receipts and credit notes are for debtors; purchases, payments and debit notes for creditors",IF(AND(F30&lt;&gt;"",D30&lt;&gt;"Purchase bill"),"The received-on date is only for purchase bills",IF(AND(P30="Creditor",X30=1,AA30&gt;0),"Past due to a micro or small supplier: interest runs under MSMED s.16, and if unpaid at year end it is not deductible that year, s.37(2)(g)",IF(AND(P30="Debtor",X30=1,AA30&gt;0),"Past due to you: as a micro or small supplier you can claim interest under MSMED s.16","OK")))))))))))</f>
        <v/>
      </c>
      <c r="P30">
        <f>IF(C30="","",IFERROR(VLOOKUP(C30,'Example Parties'!$B$13:$Q$112,2,FALSE),"?"))</f>
        <v/>
      </c>
      <c r="Q30">
        <f>IF(D30="","",IFERROR(VLOOKUP(D30,Lists!$A$2:$D$9,3,FALSE),"?"))</f>
        <v/>
      </c>
      <c r="R30">
        <f>IF(D30="","",IFERROR(VLOOKUP(D30,Lists!$A$2:$D$9,4,FALSE),"?"))</f>
        <v/>
      </c>
      <c r="S30">
        <f>IF(P30="Debtor",I30,IF(P30="Creditor",J30,0))</f>
        <v/>
      </c>
      <c r="T30">
        <f>IF(P30="Debtor",J30,IF(P30="Creditor",I30,0))</f>
        <v/>
      </c>
      <c r="U30">
        <f>IF(OR(S30=0,B30=""),0,IFERROR(VLOOKUP(C30,'Example Parties'!$B$13:$Q$112,13,FALSE),0)+SUMIFS($S$7:$S$506,$C$7:$C$506,C30,$B$7:$B$506,"&lt;"&amp;B30)+SUMIFS(S$7:S30,C$7:C30,C30,B$7:B30,B30))</f>
        <v/>
      </c>
      <c r="V30">
        <f>IF(S30=0,0,IFERROR(VLOOKUP(C30,'Example Parties'!$B$13:$Q$112,14,FALSE),0)+SUMIFS($T$7:$T$506,$C$7:$C$506,C30,$B$7:$B$506,"&lt;="&amp;'Example Outstanding'!$E$5))</f>
        <v/>
      </c>
      <c r="W30">
        <f>IF(OR('Example Outstanding'!$E$5="",S30=0,B30="",B30&gt;'Example Outstanding'!$E$5),0,MAX(0,MIN(S30,U30-V30)))</f>
        <v/>
      </c>
      <c r="X30">
        <f>IF(C30="",0,IFERROR(VLOOKUP(C30,'Example Parties'!$B$13:$Q$112,15,FALSE),0))</f>
        <v/>
      </c>
      <c r="Y30">
        <f>IF(C30="","",IFERROR(VLOOKUP(C30,'Example Parties'!$B$13:$Q$112,16,FALSE),0))</f>
        <v/>
      </c>
      <c r="Z30">
        <f>IF(OR(S30=0,B30="",Y30=""),"",IF(AND(F30&lt;&gt;"",D30="Purchase bill"),F30,B30)+Y30)</f>
        <v/>
      </c>
      <c r="AA30">
        <f>IF(OR(W30=0,Z30=""),0,MAX(0,'Example Outstanding'!$E$5-Z30))</f>
        <v/>
      </c>
      <c r="AB30">
        <f>IF(AND(X30=1,AA30&gt;0),W30*((1+3*N('Example Parties'!$E$10)/12)^(AA30*12/365)-1),0)</f>
        <v/>
      </c>
      <c r="AC30">
        <f>IF(W30=0,"",'Example Outstanding'!$E$5-B30)</f>
        <v/>
      </c>
      <c r="AD30">
        <f>IF(S30=0,0,IFERROR(VLOOKUP(C30,'Example Parties'!$B$13:$Q$112,14,FALSE),0)+SUMIFS($T$7:$T$506,$C$7:$C$506,C30,$B$7:$B$506,"&lt;="&amp;'Example Parties'!$E$8))</f>
        <v/>
      </c>
      <c r="AE30">
        <f>IF(OR('Example Parties'!$E$8="",S30=0,B30="",B30&gt;'Example Parties'!$E$8),0,MAX(0,MIN(S30,U30-AD30)))</f>
        <v/>
      </c>
      <c r="AF30">
        <f>IF(AND(P30="Creditor",X30=1,AE30&gt;0,Z30&lt;&gt;""),IF(Z30&lt;='Example Parties'!$E$8,AE30,0),0)</f>
        <v/>
      </c>
      <c r="AG30">
        <f>IF(OR(AE30=0,Z30=""),0,MAX(0,'Example Parties'!$E$8-Z30))</f>
        <v/>
      </c>
      <c r="AH30">
        <f>IF(AND(P30="Creditor",X30=1,AG30&gt;0),AE30*((1+3*N('Example Parties'!$E$10)/12)^(AG30*12/365)-1),0)</f>
        <v/>
      </c>
      <c r="AI30">
        <f>IF(AND(C30&lt;&gt;"",C30='Example Ledger'!$D$4,B30&lt;&gt;"",B30&gt;='Example Ledger'!$D$5,B30&lt;='Example Ledger'!$D$6),1,0)</f>
        <v/>
      </c>
      <c r="AJ30">
        <f>IF(AI30=1,SUM(AI$7:AI30),"")</f>
        <v/>
      </c>
      <c r="AK30">
        <f>IF(OR(N30="",N30="OK"),0,1)</f>
        <v/>
      </c>
    </row>
    <row r="31">
      <c r="B31" s="24" t="n"/>
      <c r="C31" s="14" t="n"/>
      <c r="D31" s="14" t="n"/>
      <c r="E31" s="20" t="n"/>
      <c r="F31" s="24" t="n"/>
      <c r="G31" s="14" t="n"/>
      <c r="H31" s="22" t="n"/>
      <c r="I31" s="25">
        <f>IF(Q31="D",N(H31),0)</f>
        <v/>
      </c>
      <c r="J31" s="25">
        <f>IF(Q31="C",N(H31),0)</f>
        <v/>
      </c>
      <c r="K31" s="26">
        <f>IF(Z31="","",Z31)</f>
        <v/>
      </c>
      <c r="L31" s="27">
        <f>W31</f>
        <v/>
      </c>
      <c r="M31" s="28">
        <f>AA31</f>
        <v/>
      </c>
      <c r="N31" s="23">
        <f>IF(AND(B31="",C31="",D31="",N(H31)=0),"",IF(B31="","Enter the date",IF(C31="","Pick the party",IF(P31="?","Add this party on the Parties sheet first",IF(D31="","Pick the entry type",IF(Q31="?","Pick the entry type from the list",IF(N(H31)=0,"Enter the amount",IF(AND(R31&lt;&gt;"Any",R31&lt;&gt;P31),"Sales, receipts and credit notes are for debtors; purchases, payments and debit notes for creditors",IF(AND(F31&lt;&gt;"",D31&lt;&gt;"Purchase bill"),"The received-on date is only for purchase bills",IF(AND(P31="Creditor",X31=1,AA31&gt;0),"Past due to a micro or small supplier: interest runs under MSMED s.16, and if unpaid at year end it is not deductible that year, s.37(2)(g)",IF(AND(P31="Debtor",X31=1,AA31&gt;0),"Past due to you: as a micro or small supplier you can claim interest under MSMED s.16","OK")))))))))))</f>
        <v/>
      </c>
      <c r="P31">
        <f>IF(C31="","",IFERROR(VLOOKUP(C31,'Example Parties'!$B$13:$Q$112,2,FALSE),"?"))</f>
        <v/>
      </c>
      <c r="Q31">
        <f>IF(D31="","",IFERROR(VLOOKUP(D31,Lists!$A$2:$D$9,3,FALSE),"?"))</f>
        <v/>
      </c>
      <c r="R31">
        <f>IF(D31="","",IFERROR(VLOOKUP(D31,Lists!$A$2:$D$9,4,FALSE),"?"))</f>
        <v/>
      </c>
      <c r="S31">
        <f>IF(P31="Debtor",I31,IF(P31="Creditor",J31,0))</f>
        <v/>
      </c>
      <c r="T31">
        <f>IF(P31="Debtor",J31,IF(P31="Creditor",I31,0))</f>
        <v/>
      </c>
      <c r="U31">
        <f>IF(OR(S31=0,B31=""),0,IFERROR(VLOOKUP(C31,'Example Parties'!$B$13:$Q$112,13,FALSE),0)+SUMIFS($S$7:$S$506,$C$7:$C$506,C31,$B$7:$B$506,"&lt;"&amp;B31)+SUMIFS(S$7:S31,C$7:C31,C31,B$7:B31,B31))</f>
        <v/>
      </c>
      <c r="V31">
        <f>IF(S31=0,0,IFERROR(VLOOKUP(C31,'Example Parties'!$B$13:$Q$112,14,FALSE),0)+SUMIFS($T$7:$T$506,$C$7:$C$506,C31,$B$7:$B$506,"&lt;="&amp;'Example Outstanding'!$E$5))</f>
        <v/>
      </c>
      <c r="W31">
        <f>IF(OR('Example Outstanding'!$E$5="",S31=0,B31="",B31&gt;'Example Outstanding'!$E$5),0,MAX(0,MIN(S31,U31-V31)))</f>
        <v/>
      </c>
      <c r="X31">
        <f>IF(C31="",0,IFERROR(VLOOKUP(C31,'Example Parties'!$B$13:$Q$112,15,FALSE),0))</f>
        <v/>
      </c>
      <c r="Y31">
        <f>IF(C31="","",IFERROR(VLOOKUP(C31,'Example Parties'!$B$13:$Q$112,16,FALSE),0))</f>
        <v/>
      </c>
      <c r="Z31">
        <f>IF(OR(S31=0,B31="",Y31=""),"",IF(AND(F31&lt;&gt;"",D31="Purchase bill"),F31,B31)+Y31)</f>
        <v/>
      </c>
      <c r="AA31">
        <f>IF(OR(W31=0,Z31=""),0,MAX(0,'Example Outstanding'!$E$5-Z31))</f>
        <v/>
      </c>
      <c r="AB31">
        <f>IF(AND(X31=1,AA31&gt;0),W31*((1+3*N('Example Parties'!$E$10)/12)^(AA31*12/365)-1),0)</f>
        <v/>
      </c>
      <c r="AC31">
        <f>IF(W31=0,"",'Example Outstanding'!$E$5-B31)</f>
        <v/>
      </c>
      <c r="AD31">
        <f>IF(S31=0,0,IFERROR(VLOOKUP(C31,'Example Parties'!$B$13:$Q$112,14,FALSE),0)+SUMIFS($T$7:$T$506,$C$7:$C$506,C31,$B$7:$B$506,"&lt;="&amp;'Example Parties'!$E$8))</f>
        <v/>
      </c>
      <c r="AE31">
        <f>IF(OR('Example Parties'!$E$8="",S31=0,B31="",B31&gt;'Example Parties'!$E$8),0,MAX(0,MIN(S31,U31-AD31)))</f>
        <v/>
      </c>
      <c r="AF31">
        <f>IF(AND(P31="Creditor",X31=1,AE31&gt;0,Z31&lt;&gt;""),IF(Z31&lt;='Example Parties'!$E$8,AE31,0),0)</f>
        <v/>
      </c>
      <c r="AG31">
        <f>IF(OR(AE31=0,Z31=""),0,MAX(0,'Example Parties'!$E$8-Z31))</f>
        <v/>
      </c>
      <c r="AH31">
        <f>IF(AND(P31="Creditor",X31=1,AG31&gt;0),AE31*((1+3*N('Example Parties'!$E$10)/12)^(AG31*12/365)-1),0)</f>
        <v/>
      </c>
      <c r="AI31">
        <f>IF(AND(C31&lt;&gt;"",C31='Example Ledger'!$D$4,B31&lt;&gt;"",B31&gt;='Example Ledger'!$D$5,B31&lt;='Example Ledger'!$D$6),1,0)</f>
        <v/>
      </c>
      <c r="AJ31">
        <f>IF(AI31=1,SUM(AI$7:AI31),"")</f>
        <v/>
      </c>
      <c r="AK31">
        <f>IF(OR(N31="",N31="OK"),0,1)</f>
        <v/>
      </c>
    </row>
    <row r="32">
      <c r="B32" s="24" t="n"/>
      <c r="C32" s="14" t="n"/>
      <c r="D32" s="14" t="n"/>
      <c r="E32" s="20" t="n"/>
      <c r="F32" s="24" t="n"/>
      <c r="G32" s="14" t="n"/>
      <c r="H32" s="22" t="n"/>
      <c r="I32" s="25">
        <f>IF(Q32="D",N(H32),0)</f>
        <v/>
      </c>
      <c r="J32" s="25">
        <f>IF(Q32="C",N(H32),0)</f>
        <v/>
      </c>
      <c r="K32" s="26">
        <f>IF(Z32="","",Z32)</f>
        <v/>
      </c>
      <c r="L32" s="27">
        <f>W32</f>
        <v/>
      </c>
      <c r="M32" s="28">
        <f>AA32</f>
        <v/>
      </c>
      <c r="N32" s="23">
        <f>IF(AND(B32="",C32="",D32="",N(H32)=0),"",IF(B32="","Enter the date",IF(C32="","Pick the party",IF(P32="?","Add this party on the Parties sheet first",IF(D32="","Pick the entry type",IF(Q32="?","Pick the entry type from the list",IF(N(H32)=0,"Enter the amount",IF(AND(R32&lt;&gt;"Any",R32&lt;&gt;P32),"Sales, receipts and credit notes are for debtors; purchases, payments and debit notes for creditors",IF(AND(F32&lt;&gt;"",D32&lt;&gt;"Purchase bill"),"The received-on date is only for purchase bills",IF(AND(P32="Creditor",X32=1,AA32&gt;0),"Past due to a micro or small supplier: interest runs under MSMED s.16, and if unpaid at year end it is not deductible that year, s.37(2)(g)",IF(AND(P32="Debtor",X32=1,AA32&gt;0),"Past due to you: as a micro or small supplier you can claim interest under MSMED s.16","OK")))))))))))</f>
        <v/>
      </c>
      <c r="P32">
        <f>IF(C32="","",IFERROR(VLOOKUP(C32,'Example Parties'!$B$13:$Q$112,2,FALSE),"?"))</f>
        <v/>
      </c>
      <c r="Q32">
        <f>IF(D32="","",IFERROR(VLOOKUP(D32,Lists!$A$2:$D$9,3,FALSE),"?"))</f>
        <v/>
      </c>
      <c r="R32">
        <f>IF(D32="","",IFERROR(VLOOKUP(D32,Lists!$A$2:$D$9,4,FALSE),"?"))</f>
        <v/>
      </c>
      <c r="S32">
        <f>IF(P32="Debtor",I32,IF(P32="Creditor",J32,0))</f>
        <v/>
      </c>
      <c r="T32">
        <f>IF(P32="Debtor",J32,IF(P32="Creditor",I32,0))</f>
        <v/>
      </c>
      <c r="U32">
        <f>IF(OR(S32=0,B32=""),0,IFERROR(VLOOKUP(C32,'Example Parties'!$B$13:$Q$112,13,FALSE),0)+SUMIFS($S$7:$S$506,$C$7:$C$506,C32,$B$7:$B$506,"&lt;"&amp;B32)+SUMIFS(S$7:S32,C$7:C32,C32,B$7:B32,B32))</f>
        <v/>
      </c>
      <c r="V32">
        <f>IF(S32=0,0,IFERROR(VLOOKUP(C32,'Example Parties'!$B$13:$Q$112,14,FALSE),0)+SUMIFS($T$7:$T$506,$C$7:$C$506,C32,$B$7:$B$506,"&lt;="&amp;'Example Outstanding'!$E$5))</f>
        <v/>
      </c>
      <c r="W32">
        <f>IF(OR('Example Outstanding'!$E$5="",S32=0,B32="",B32&gt;'Example Outstanding'!$E$5),0,MAX(0,MIN(S32,U32-V32)))</f>
        <v/>
      </c>
      <c r="X32">
        <f>IF(C32="",0,IFERROR(VLOOKUP(C32,'Example Parties'!$B$13:$Q$112,15,FALSE),0))</f>
        <v/>
      </c>
      <c r="Y32">
        <f>IF(C32="","",IFERROR(VLOOKUP(C32,'Example Parties'!$B$13:$Q$112,16,FALSE),0))</f>
        <v/>
      </c>
      <c r="Z32">
        <f>IF(OR(S32=0,B32="",Y32=""),"",IF(AND(F32&lt;&gt;"",D32="Purchase bill"),F32,B32)+Y32)</f>
        <v/>
      </c>
      <c r="AA32">
        <f>IF(OR(W32=0,Z32=""),0,MAX(0,'Example Outstanding'!$E$5-Z32))</f>
        <v/>
      </c>
      <c r="AB32">
        <f>IF(AND(X32=1,AA32&gt;0),W32*((1+3*N('Example Parties'!$E$10)/12)^(AA32*12/365)-1),0)</f>
        <v/>
      </c>
      <c r="AC32">
        <f>IF(W32=0,"",'Example Outstanding'!$E$5-B32)</f>
        <v/>
      </c>
      <c r="AD32">
        <f>IF(S32=0,0,IFERROR(VLOOKUP(C32,'Example Parties'!$B$13:$Q$112,14,FALSE),0)+SUMIFS($T$7:$T$506,$C$7:$C$506,C32,$B$7:$B$506,"&lt;="&amp;'Example Parties'!$E$8))</f>
        <v/>
      </c>
      <c r="AE32">
        <f>IF(OR('Example Parties'!$E$8="",S32=0,B32="",B32&gt;'Example Parties'!$E$8),0,MAX(0,MIN(S32,U32-AD32)))</f>
        <v/>
      </c>
      <c r="AF32">
        <f>IF(AND(P32="Creditor",X32=1,AE32&gt;0,Z32&lt;&gt;""),IF(Z32&lt;='Example Parties'!$E$8,AE32,0),0)</f>
        <v/>
      </c>
      <c r="AG32">
        <f>IF(OR(AE32=0,Z32=""),0,MAX(0,'Example Parties'!$E$8-Z32))</f>
        <v/>
      </c>
      <c r="AH32">
        <f>IF(AND(P32="Creditor",X32=1,AG32&gt;0),AE32*((1+3*N('Example Parties'!$E$10)/12)^(AG32*12/365)-1),0)</f>
        <v/>
      </c>
      <c r="AI32">
        <f>IF(AND(C32&lt;&gt;"",C32='Example Ledger'!$D$4,B32&lt;&gt;"",B32&gt;='Example Ledger'!$D$5,B32&lt;='Example Ledger'!$D$6),1,0)</f>
        <v/>
      </c>
      <c r="AJ32">
        <f>IF(AI32=1,SUM(AI$7:AI32),"")</f>
        <v/>
      </c>
      <c r="AK32">
        <f>IF(OR(N32="",N32="OK"),0,1)</f>
        <v/>
      </c>
    </row>
    <row r="33">
      <c r="B33" s="24" t="n"/>
      <c r="C33" s="14" t="n"/>
      <c r="D33" s="14" t="n"/>
      <c r="E33" s="20" t="n"/>
      <c r="F33" s="24" t="n"/>
      <c r="G33" s="14" t="n"/>
      <c r="H33" s="22" t="n"/>
      <c r="I33" s="25">
        <f>IF(Q33="D",N(H33),0)</f>
        <v/>
      </c>
      <c r="J33" s="25">
        <f>IF(Q33="C",N(H33),0)</f>
        <v/>
      </c>
      <c r="K33" s="26">
        <f>IF(Z33="","",Z33)</f>
        <v/>
      </c>
      <c r="L33" s="27">
        <f>W33</f>
        <v/>
      </c>
      <c r="M33" s="28">
        <f>AA33</f>
        <v/>
      </c>
      <c r="N33" s="23">
        <f>IF(AND(B33="",C33="",D33="",N(H33)=0),"",IF(B33="","Enter the date",IF(C33="","Pick the party",IF(P33="?","Add this party on the Parties sheet first",IF(D33="","Pick the entry type",IF(Q33="?","Pick the entry type from the list",IF(N(H33)=0,"Enter the amount",IF(AND(R33&lt;&gt;"Any",R33&lt;&gt;P33),"Sales, receipts and credit notes are for debtors; purchases, payments and debit notes for creditors",IF(AND(F33&lt;&gt;"",D33&lt;&gt;"Purchase bill"),"The received-on date is only for purchase bills",IF(AND(P33="Creditor",X33=1,AA33&gt;0),"Past due to a micro or small supplier: interest runs under MSMED s.16, and if unpaid at year end it is not deductible that year, s.37(2)(g)",IF(AND(P33="Debtor",X33=1,AA33&gt;0),"Past due to you: as a micro or small supplier you can claim interest under MSMED s.16","OK")))))))))))</f>
        <v/>
      </c>
      <c r="P33">
        <f>IF(C33="","",IFERROR(VLOOKUP(C33,'Example Parties'!$B$13:$Q$112,2,FALSE),"?"))</f>
        <v/>
      </c>
      <c r="Q33">
        <f>IF(D33="","",IFERROR(VLOOKUP(D33,Lists!$A$2:$D$9,3,FALSE),"?"))</f>
        <v/>
      </c>
      <c r="R33">
        <f>IF(D33="","",IFERROR(VLOOKUP(D33,Lists!$A$2:$D$9,4,FALSE),"?"))</f>
        <v/>
      </c>
      <c r="S33">
        <f>IF(P33="Debtor",I33,IF(P33="Creditor",J33,0))</f>
        <v/>
      </c>
      <c r="T33">
        <f>IF(P33="Debtor",J33,IF(P33="Creditor",I33,0))</f>
        <v/>
      </c>
      <c r="U33">
        <f>IF(OR(S33=0,B33=""),0,IFERROR(VLOOKUP(C33,'Example Parties'!$B$13:$Q$112,13,FALSE),0)+SUMIFS($S$7:$S$506,$C$7:$C$506,C33,$B$7:$B$506,"&lt;"&amp;B33)+SUMIFS(S$7:S33,C$7:C33,C33,B$7:B33,B33))</f>
        <v/>
      </c>
      <c r="V33">
        <f>IF(S33=0,0,IFERROR(VLOOKUP(C33,'Example Parties'!$B$13:$Q$112,14,FALSE),0)+SUMIFS($T$7:$T$506,$C$7:$C$506,C33,$B$7:$B$506,"&lt;="&amp;'Example Outstanding'!$E$5))</f>
        <v/>
      </c>
      <c r="W33">
        <f>IF(OR('Example Outstanding'!$E$5="",S33=0,B33="",B33&gt;'Example Outstanding'!$E$5),0,MAX(0,MIN(S33,U33-V33)))</f>
        <v/>
      </c>
      <c r="X33">
        <f>IF(C33="",0,IFERROR(VLOOKUP(C33,'Example Parties'!$B$13:$Q$112,15,FALSE),0))</f>
        <v/>
      </c>
      <c r="Y33">
        <f>IF(C33="","",IFERROR(VLOOKUP(C33,'Example Parties'!$B$13:$Q$112,16,FALSE),0))</f>
        <v/>
      </c>
      <c r="Z33">
        <f>IF(OR(S33=0,B33="",Y33=""),"",IF(AND(F33&lt;&gt;"",D33="Purchase bill"),F33,B33)+Y33)</f>
        <v/>
      </c>
      <c r="AA33">
        <f>IF(OR(W33=0,Z33=""),0,MAX(0,'Example Outstanding'!$E$5-Z33))</f>
        <v/>
      </c>
      <c r="AB33">
        <f>IF(AND(X33=1,AA33&gt;0),W33*((1+3*N('Example Parties'!$E$10)/12)^(AA33*12/365)-1),0)</f>
        <v/>
      </c>
      <c r="AC33">
        <f>IF(W33=0,"",'Example Outstanding'!$E$5-B33)</f>
        <v/>
      </c>
      <c r="AD33">
        <f>IF(S33=0,0,IFERROR(VLOOKUP(C33,'Example Parties'!$B$13:$Q$112,14,FALSE),0)+SUMIFS($T$7:$T$506,$C$7:$C$506,C33,$B$7:$B$506,"&lt;="&amp;'Example Parties'!$E$8))</f>
        <v/>
      </c>
      <c r="AE33">
        <f>IF(OR('Example Parties'!$E$8="",S33=0,B33="",B33&gt;'Example Parties'!$E$8),0,MAX(0,MIN(S33,U33-AD33)))</f>
        <v/>
      </c>
      <c r="AF33">
        <f>IF(AND(P33="Creditor",X33=1,AE33&gt;0,Z33&lt;&gt;""),IF(Z33&lt;='Example Parties'!$E$8,AE33,0),0)</f>
        <v/>
      </c>
      <c r="AG33">
        <f>IF(OR(AE33=0,Z33=""),0,MAX(0,'Example Parties'!$E$8-Z33))</f>
        <v/>
      </c>
      <c r="AH33">
        <f>IF(AND(P33="Creditor",X33=1,AG33&gt;0),AE33*((1+3*N('Example Parties'!$E$10)/12)^(AG33*12/365)-1),0)</f>
        <v/>
      </c>
      <c r="AI33">
        <f>IF(AND(C33&lt;&gt;"",C33='Example Ledger'!$D$4,B33&lt;&gt;"",B33&gt;='Example Ledger'!$D$5,B33&lt;='Example Ledger'!$D$6),1,0)</f>
        <v/>
      </c>
      <c r="AJ33">
        <f>IF(AI33=1,SUM(AI$7:AI33),"")</f>
        <v/>
      </c>
      <c r="AK33">
        <f>IF(OR(N33="",N33="OK"),0,1)</f>
        <v/>
      </c>
    </row>
    <row r="34">
      <c r="B34" s="24" t="n"/>
      <c r="C34" s="14" t="n"/>
      <c r="D34" s="14" t="n"/>
      <c r="E34" s="20" t="n"/>
      <c r="F34" s="24" t="n"/>
      <c r="G34" s="14" t="n"/>
      <c r="H34" s="22" t="n"/>
      <c r="I34" s="25">
        <f>IF(Q34="D",N(H34),0)</f>
        <v/>
      </c>
      <c r="J34" s="25">
        <f>IF(Q34="C",N(H34),0)</f>
        <v/>
      </c>
      <c r="K34" s="26">
        <f>IF(Z34="","",Z34)</f>
        <v/>
      </c>
      <c r="L34" s="27">
        <f>W34</f>
        <v/>
      </c>
      <c r="M34" s="28">
        <f>AA34</f>
        <v/>
      </c>
      <c r="N34" s="23">
        <f>IF(AND(B34="",C34="",D34="",N(H34)=0),"",IF(B34="","Enter the date",IF(C34="","Pick the party",IF(P34="?","Add this party on the Parties sheet first",IF(D34="","Pick the entry type",IF(Q34="?","Pick the entry type from the list",IF(N(H34)=0,"Enter the amount",IF(AND(R34&lt;&gt;"Any",R34&lt;&gt;P34),"Sales, receipts and credit notes are for debtors; purchases, payments and debit notes for creditors",IF(AND(F34&lt;&gt;"",D34&lt;&gt;"Purchase bill"),"The received-on date is only for purchase bills",IF(AND(P34="Creditor",X34=1,AA34&gt;0),"Past due to a micro or small supplier: interest runs under MSMED s.16, and if unpaid at year end it is not deductible that year, s.37(2)(g)",IF(AND(P34="Debtor",X34=1,AA34&gt;0),"Past due to you: as a micro or small supplier you can claim interest under MSMED s.16","OK")))))))))))</f>
        <v/>
      </c>
      <c r="P34">
        <f>IF(C34="","",IFERROR(VLOOKUP(C34,'Example Parties'!$B$13:$Q$112,2,FALSE),"?"))</f>
        <v/>
      </c>
      <c r="Q34">
        <f>IF(D34="","",IFERROR(VLOOKUP(D34,Lists!$A$2:$D$9,3,FALSE),"?"))</f>
        <v/>
      </c>
      <c r="R34">
        <f>IF(D34="","",IFERROR(VLOOKUP(D34,Lists!$A$2:$D$9,4,FALSE),"?"))</f>
        <v/>
      </c>
      <c r="S34">
        <f>IF(P34="Debtor",I34,IF(P34="Creditor",J34,0))</f>
        <v/>
      </c>
      <c r="T34">
        <f>IF(P34="Debtor",J34,IF(P34="Creditor",I34,0))</f>
        <v/>
      </c>
      <c r="U34">
        <f>IF(OR(S34=0,B34=""),0,IFERROR(VLOOKUP(C34,'Example Parties'!$B$13:$Q$112,13,FALSE),0)+SUMIFS($S$7:$S$506,$C$7:$C$506,C34,$B$7:$B$506,"&lt;"&amp;B34)+SUMIFS(S$7:S34,C$7:C34,C34,B$7:B34,B34))</f>
        <v/>
      </c>
      <c r="V34">
        <f>IF(S34=0,0,IFERROR(VLOOKUP(C34,'Example Parties'!$B$13:$Q$112,14,FALSE),0)+SUMIFS($T$7:$T$506,$C$7:$C$506,C34,$B$7:$B$506,"&lt;="&amp;'Example Outstanding'!$E$5))</f>
        <v/>
      </c>
      <c r="W34">
        <f>IF(OR('Example Outstanding'!$E$5="",S34=0,B34="",B34&gt;'Example Outstanding'!$E$5),0,MAX(0,MIN(S34,U34-V34)))</f>
        <v/>
      </c>
      <c r="X34">
        <f>IF(C34="",0,IFERROR(VLOOKUP(C34,'Example Parties'!$B$13:$Q$112,15,FALSE),0))</f>
        <v/>
      </c>
      <c r="Y34">
        <f>IF(C34="","",IFERROR(VLOOKUP(C34,'Example Parties'!$B$13:$Q$112,16,FALSE),0))</f>
        <v/>
      </c>
      <c r="Z34">
        <f>IF(OR(S34=0,B34="",Y34=""),"",IF(AND(F34&lt;&gt;"",D34="Purchase bill"),F34,B34)+Y34)</f>
        <v/>
      </c>
      <c r="AA34">
        <f>IF(OR(W34=0,Z34=""),0,MAX(0,'Example Outstanding'!$E$5-Z34))</f>
        <v/>
      </c>
      <c r="AB34">
        <f>IF(AND(X34=1,AA34&gt;0),W34*((1+3*N('Example Parties'!$E$10)/12)^(AA34*12/365)-1),0)</f>
        <v/>
      </c>
      <c r="AC34">
        <f>IF(W34=0,"",'Example Outstanding'!$E$5-B34)</f>
        <v/>
      </c>
      <c r="AD34">
        <f>IF(S34=0,0,IFERROR(VLOOKUP(C34,'Example Parties'!$B$13:$Q$112,14,FALSE),0)+SUMIFS($T$7:$T$506,$C$7:$C$506,C34,$B$7:$B$506,"&lt;="&amp;'Example Parties'!$E$8))</f>
        <v/>
      </c>
      <c r="AE34">
        <f>IF(OR('Example Parties'!$E$8="",S34=0,B34="",B34&gt;'Example Parties'!$E$8),0,MAX(0,MIN(S34,U34-AD34)))</f>
        <v/>
      </c>
      <c r="AF34">
        <f>IF(AND(P34="Creditor",X34=1,AE34&gt;0,Z34&lt;&gt;""),IF(Z34&lt;='Example Parties'!$E$8,AE34,0),0)</f>
        <v/>
      </c>
      <c r="AG34">
        <f>IF(OR(AE34=0,Z34=""),0,MAX(0,'Example Parties'!$E$8-Z34))</f>
        <v/>
      </c>
      <c r="AH34">
        <f>IF(AND(P34="Creditor",X34=1,AG34&gt;0),AE34*((1+3*N('Example Parties'!$E$10)/12)^(AG34*12/365)-1),0)</f>
        <v/>
      </c>
      <c r="AI34">
        <f>IF(AND(C34&lt;&gt;"",C34='Example Ledger'!$D$4,B34&lt;&gt;"",B34&gt;='Example Ledger'!$D$5,B34&lt;='Example Ledger'!$D$6),1,0)</f>
        <v/>
      </c>
      <c r="AJ34">
        <f>IF(AI34=1,SUM(AI$7:AI34),"")</f>
        <v/>
      </c>
      <c r="AK34">
        <f>IF(OR(N34="",N34="OK"),0,1)</f>
        <v/>
      </c>
    </row>
    <row r="35">
      <c r="B35" s="24" t="n"/>
      <c r="C35" s="14" t="n"/>
      <c r="D35" s="14" t="n"/>
      <c r="E35" s="20" t="n"/>
      <c r="F35" s="24" t="n"/>
      <c r="G35" s="14" t="n"/>
      <c r="H35" s="22" t="n"/>
      <c r="I35" s="25">
        <f>IF(Q35="D",N(H35),0)</f>
        <v/>
      </c>
      <c r="J35" s="25">
        <f>IF(Q35="C",N(H35),0)</f>
        <v/>
      </c>
      <c r="K35" s="26">
        <f>IF(Z35="","",Z35)</f>
        <v/>
      </c>
      <c r="L35" s="27">
        <f>W35</f>
        <v/>
      </c>
      <c r="M35" s="28">
        <f>AA35</f>
        <v/>
      </c>
      <c r="N35" s="23">
        <f>IF(AND(B35="",C35="",D35="",N(H35)=0),"",IF(B35="","Enter the date",IF(C35="","Pick the party",IF(P35="?","Add this party on the Parties sheet first",IF(D35="","Pick the entry type",IF(Q35="?","Pick the entry type from the list",IF(N(H35)=0,"Enter the amount",IF(AND(R35&lt;&gt;"Any",R35&lt;&gt;P35),"Sales, receipts and credit notes are for debtors; purchases, payments and debit notes for creditors",IF(AND(F35&lt;&gt;"",D35&lt;&gt;"Purchase bill"),"The received-on date is only for purchase bills",IF(AND(P35="Creditor",X35=1,AA35&gt;0),"Past due to a micro or small supplier: interest runs under MSMED s.16, and if unpaid at year end it is not deductible that year, s.37(2)(g)",IF(AND(P35="Debtor",X35=1,AA35&gt;0),"Past due to you: as a micro or small supplier you can claim interest under MSMED s.16","OK")))))))))))</f>
        <v/>
      </c>
      <c r="P35">
        <f>IF(C35="","",IFERROR(VLOOKUP(C35,'Example Parties'!$B$13:$Q$112,2,FALSE),"?"))</f>
        <v/>
      </c>
      <c r="Q35">
        <f>IF(D35="","",IFERROR(VLOOKUP(D35,Lists!$A$2:$D$9,3,FALSE),"?"))</f>
        <v/>
      </c>
      <c r="R35">
        <f>IF(D35="","",IFERROR(VLOOKUP(D35,Lists!$A$2:$D$9,4,FALSE),"?"))</f>
        <v/>
      </c>
      <c r="S35">
        <f>IF(P35="Debtor",I35,IF(P35="Creditor",J35,0))</f>
        <v/>
      </c>
      <c r="T35">
        <f>IF(P35="Debtor",J35,IF(P35="Creditor",I35,0))</f>
        <v/>
      </c>
      <c r="U35">
        <f>IF(OR(S35=0,B35=""),0,IFERROR(VLOOKUP(C35,'Example Parties'!$B$13:$Q$112,13,FALSE),0)+SUMIFS($S$7:$S$506,$C$7:$C$506,C35,$B$7:$B$506,"&lt;"&amp;B35)+SUMIFS(S$7:S35,C$7:C35,C35,B$7:B35,B35))</f>
        <v/>
      </c>
      <c r="V35">
        <f>IF(S35=0,0,IFERROR(VLOOKUP(C35,'Example Parties'!$B$13:$Q$112,14,FALSE),0)+SUMIFS($T$7:$T$506,$C$7:$C$506,C35,$B$7:$B$506,"&lt;="&amp;'Example Outstanding'!$E$5))</f>
        <v/>
      </c>
      <c r="W35">
        <f>IF(OR('Example Outstanding'!$E$5="",S35=0,B35="",B35&gt;'Example Outstanding'!$E$5),0,MAX(0,MIN(S35,U35-V35)))</f>
        <v/>
      </c>
      <c r="X35">
        <f>IF(C35="",0,IFERROR(VLOOKUP(C35,'Example Parties'!$B$13:$Q$112,15,FALSE),0))</f>
        <v/>
      </c>
      <c r="Y35">
        <f>IF(C35="","",IFERROR(VLOOKUP(C35,'Example Parties'!$B$13:$Q$112,16,FALSE),0))</f>
        <v/>
      </c>
      <c r="Z35">
        <f>IF(OR(S35=0,B35="",Y35=""),"",IF(AND(F35&lt;&gt;"",D35="Purchase bill"),F35,B35)+Y35)</f>
        <v/>
      </c>
      <c r="AA35">
        <f>IF(OR(W35=0,Z35=""),0,MAX(0,'Example Outstanding'!$E$5-Z35))</f>
        <v/>
      </c>
      <c r="AB35">
        <f>IF(AND(X35=1,AA35&gt;0),W35*((1+3*N('Example Parties'!$E$10)/12)^(AA35*12/365)-1),0)</f>
        <v/>
      </c>
      <c r="AC35">
        <f>IF(W35=0,"",'Example Outstanding'!$E$5-B35)</f>
        <v/>
      </c>
      <c r="AD35">
        <f>IF(S35=0,0,IFERROR(VLOOKUP(C35,'Example Parties'!$B$13:$Q$112,14,FALSE),0)+SUMIFS($T$7:$T$506,$C$7:$C$506,C35,$B$7:$B$506,"&lt;="&amp;'Example Parties'!$E$8))</f>
        <v/>
      </c>
      <c r="AE35">
        <f>IF(OR('Example Parties'!$E$8="",S35=0,B35="",B35&gt;'Example Parties'!$E$8),0,MAX(0,MIN(S35,U35-AD35)))</f>
        <v/>
      </c>
      <c r="AF35">
        <f>IF(AND(P35="Creditor",X35=1,AE35&gt;0,Z35&lt;&gt;""),IF(Z35&lt;='Example Parties'!$E$8,AE35,0),0)</f>
        <v/>
      </c>
      <c r="AG35">
        <f>IF(OR(AE35=0,Z35=""),0,MAX(0,'Example Parties'!$E$8-Z35))</f>
        <v/>
      </c>
      <c r="AH35">
        <f>IF(AND(P35="Creditor",X35=1,AG35&gt;0),AE35*((1+3*N('Example Parties'!$E$10)/12)^(AG35*12/365)-1),0)</f>
        <v/>
      </c>
      <c r="AI35">
        <f>IF(AND(C35&lt;&gt;"",C35='Example Ledger'!$D$4,B35&lt;&gt;"",B35&gt;='Example Ledger'!$D$5,B35&lt;='Example Ledger'!$D$6),1,0)</f>
        <v/>
      </c>
      <c r="AJ35">
        <f>IF(AI35=1,SUM(AI$7:AI35),"")</f>
        <v/>
      </c>
      <c r="AK35">
        <f>IF(OR(N35="",N35="OK"),0,1)</f>
        <v/>
      </c>
    </row>
    <row r="36">
      <c r="B36" s="24" t="n"/>
      <c r="C36" s="14" t="n"/>
      <c r="D36" s="14" t="n"/>
      <c r="E36" s="20" t="n"/>
      <c r="F36" s="24" t="n"/>
      <c r="G36" s="14" t="n"/>
      <c r="H36" s="22" t="n"/>
      <c r="I36" s="25">
        <f>IF(Q36="D",N(H36),0)</f>
        <v/>
      </c>
      <c r="J36" s="25">
        <f>IF(Q36="C",N(H36),0)</f>
        <v/>
      </c>
      <c r="K36" s="26">
        <f>IF(Z36="","",Z36)</f>
        <v/>
      </c>
      <c r="L36" s="27">
        <f>W36</f>
        <v/>
      </c>
      <c r="M36" s="28">
        <f>AA36</f>
        <v/>
      </c>
      <c r="N36" s="23">
        <f>IF(AND(B36="",C36="",D36="",N(H36)=0),"",IF(B36="","Enter the date",IF(C36="","Pick the party",IF(P36="?","Add this party on the Parties sheet first",IF(D36="","Pick the entry type",IF(Q36="?","Pick the entry type from the list",IF(N(H36)=0,"Enter the amount",IF(AND(R36&lt;&gt;"Any",R36&lt;&gt;P36),"Sales, receipts and credit notes are for debtors; purchases, payments and debit notes for creditors",IF(AND(F36&lt;&gt;"",D36&lt;&gt;"Purchase bill"),"The received-on date is only for purchase bills",IF(AND(P36="Creditor",X36=1,AA36&gt;0),"Past due to a micro or small supplier: interest runs under MSMED s.16, and if unpaid at year end it is not deductible that year, s.37(2)(g)",IF(AND(P36="Debtor",X36=1,AA36&gt;0),"Past due to you: as a micro or small supplier you can claim interest under MSMED s.16","OK")))))))))))</f>
        <v/>
      </c>
      <c r="P36">
        <f>IF(C36="","",IFERROR(VLOOKUP(C36,'Example Parties'!$B$13:$Q$112,2,FALSE),"?"))</f>
        <v/>
      </c>
      <c r="Q36">
        <f>IF(D36="","",IFERROR(VLOOKUP(D36,Lists!$A$2:$D$9,3,FALSE),"?"))</f>
        <v/>
      </c>
      <c r="R36">
        <f>IF(D36="","",IFERROR(VLOOKUP(D36,Lists!$A$2:$D$9,4,FALSE),"?"))</f>
        <v/>
      </c>
      <c r="S36">
        <f>IF(P36="Debtor",I36,IF(P36="Creditor",J36,0))</f>
        <v/>
      </c>
      <c r="T36">
        <f>IF(P36="Debtor",J36,IF(P36="Creditor",I36,0))</f>
        <v/>
      </c>
      <c r="U36">
        <f>IF(OR(S36=0,B36=""),0,IFERROR(VLOOKUP(C36,'Example Parties'!$B$13:$Q$112,13,FALSE),0)+SUMIFS($S$7:$S$506,$C$7:$C$506,C36,$B$7:$B$506,"&lt;"&amp;B36)+SUMIFS(S$7:S36,C$7:C36,C36,B$7:B36,B36))</f>
        <v/>
      </c>
      <c r="V36">
        <f>IF(S36=0,0,IFERROR(VLOOKUP(C36,'Example Parties'!$B$13:$Q$112,14,FALSE),0)+SUMIFS($T$7:$T$506,$C$7:$C$506,C36,$B$7:$B$506,"&lt;="&amp;'Example Outstanding'!$E$5))</f>
        <v/>
      </c>
      <c r="W36">
        <f>IF(OR('Example Outstanding'!$E$5="",S36=0,B36="",B36&gt;'Example Outstanding'!$E$5),0,MAX(0,MIN(S36,U36-V36)))</f>
        <v/>
      </c>
      <c r="X36">
        <f>IF(C36="",0,IFERROR(VLOOKUP(C36,'Example Parties'!$B$13:$Q$112,15,FALSE),0))</f>
        <v/>
      </c>
      <c r="Y36">
        <f>IF(C36="","",IFERROR(VLOOKUP(C36,'Example Parties'!$B$13:$Q$112,16,FALSE),0))</f>
        <v/>
      </c>
      <c r="Z36">
        <f>IF(OR(S36=0,B36="",Y36=""),"",IF(AND(F36&lt;&gt;"",D36="Purchase bill"),F36,B36)+Y36)</f>
        <v/>
      </c>
      <c r="AA36">
        <f>IF(OR(W36=0,Z36=""),0,MAX(0,'Example Outstanding'!$E$5-Z36))</f>
        <v/>
      </c>
      <c r="AB36">
        <f>IF(AND(X36=1,AA36&gt;0),W36*((1+3*N('Example Parties'!$E$10)/12)^(AA36*12/365)-1),0)</f>
        <v/>
      </c>
      <c r="AC36">
        <f>IF(W36=0,"",'Example Outstanding'!$E$5-B36)</f>
        <v/>
      </c>
      <c r="AD36">
        <f>IF(S36=0,0,IFERROR(VLOOKUP(C36,'Example Parties'!$B$13:$Q$112,14,FALSE),0)+SUMIFS($T$7:$T$506,$C$7:$C$506,C36,$B$7:$B$506,"&lt;="&amp;'Example Parties'!$E$8))</f>
        <v/>
      </c>
      <c r="AE36">
        <f>IF(OR('Example Parties'!$E$8="",S36=0,B36="",B36&gt;'Example Parties'!$E$8),0,MAX(0,MIN(S36,U36-AD36)))</f>
        <v/>
      </c>
      <c r="AF36">
        <f>IF(AND(P36="Creditor",X36=1,AE36&gt;0,Z36&lt;&gt;""),IF(Z36&lt;='Example Parties'!$E$8,AE36,0),0)</f>
        <v/>
      </c>
      <c r="AG36">
        <f>IF(OR(AE36=0,Z36=""),0,MAX(0,'Example Parties'!$E$8-Z36))</f>
        <v/>
      </c>
      <c r="AH36">
        <f>IF(AND(P36="Creditor",X36=1,AG36&gt;0),AE36*((1+3*N('Example Parties'!$E$10)/12)^(AG36*12/365)-1),0)</f>
        <v/>
      </c>
      <c r="AI36">
        <f>IF(AND(C36&lt;&gt;"",C36='Example Ledger'!$D$4,B36&lt;&gt;"",B36&gt;='Example Ledger'!$D$5,B36&lt;='Example Ledger'!$D$6),1,0)</f>
        <v/>
      </c>
      <c r="AJ36">
        <f>IF(AI36=1,SUM(AI$7:AI36),"")</f>
        <v/>
      </c>
      <c r="AK36">
        <f>IF(OR(N36="",N36="OK"),0,1)</f>
        <v/>
      </c>
    </row>
    <row r="37">
      <c r="B37" s="24" t="n"/>
      <c r="C37" s="14" t="n"/>
      <c r="D37" s="14" t="n"/>
      <c r="E37" s="20" t="n"/>
      <c r="F37" s="24" t="n"/>
      <c r="G37" s="14" t="n"/>
      <c r="H37" s="22" t="n"/>
      <c r="I37" s="25">
        <f>IF(Q37="D",N(H37),0)</f>
        <v/>
      </c>
      <c r="J37" s="25">
        <f>IF(Q37="C",N(H37),0)</f>
        <v/>
      </c>
      <c r="K37" s="26">
        <f>IF(Z37="","",Z37)</f>
        <v/>
      </c>
      <c r="L37" s="27">
        <f>W37</f>
        <v/>
      </c>
      <c r="M37" s="28">
        <f>AA37</f>
        <v/>
      </c>
      <c r="N37" s="23">
        <f>IF(AND(B37="",C37="",D37="",N(H37)=0),"",IF(B37="","Enter the date",IF(C37="","Pick the party",IF(P37="?","Add this party on the Parties sheet first",IF(D37="","Pick the entry type",IF(Q37="?","Pick the entry type from the list",IF(N(H37)=0,"Enter the amount",IF(AND(R37&lt;&gt;"Any",R37&lt;&gt;P37),"Sales, receipts and credit notes are for debtors; purchases, payments and debit notes for creditors",IF(AND(F37&lt;&gt;"",D37&lt;&gt;"Purchase bill"),"The received-on date is only for purchase bills",IF(AND(P37="Creditor",X37=1,AA37&gt;0),"Past due to a micro or small supplier: interest runs under MSMED s.16, and if unpaid at year end it is not deductible that year, s.37(2)(g)",IF(AND(P37="Debtor",X37=1,AA37&gt;0),"Past due to you: as a micro or small supplier you can claim interest under MSMED s.16","OK")))))))))))</f>
        <v/>
      </c>
      <c r="P37">
        <f>IF(C37="","",IFERROR(VLOOKUP(C37,'Example Parties'!$B$13:$Q$112,2,FALSE),"?"))</f>
        <v/>
      </c>
      <c r="Q37">
        <f>IF(D37="","",IFERROR(VLOOKUP(D37,Lists!$A$2:$D$9,3,FALSE),"?"))</f>
        <v/>
      </c>
      <c r="R37">
        <f>IF(D37="","",IFERROR(VLOOKUP(D37,Lists!$A$2:$D$9,4,FALSE),"?"))</f>
        <v/>
      </c>
      <c r="S37">
        <f>IF(P37="Debtor",I37,IF(P37="Creditor",J37,0))</f>
        <v/>
      </c>
      <c r="T37">
        <f>IF(P37="Debtor",J37,IF(P37="Creditor",I37,0))</f>
        <v/>
      </c>
      <c r="U37">
        <f>IF(OR(S37=0,B37=""),0,IFERROR(VLOOKUP(C37,'Example Parties'!$B$13:$Q$112,13,FALSE),0)+SUMIFS($S$7:$S$506,$C$7:$C$506,C37,$B$7:$B$506,"&lt;"&amp;B37)+SUMIFS(S$7:S37,C$7:C37,C37,B$7:B37,B37))</f>
        <v/>
      </c>
      <c r="V37">
        <f>IF(S37=0,0,IFERROR(VLOOKUP(C37,'Example Parties'!$B$13:$Q$112,14,FALSE),0)+SUMIFS($T$7:$T$506,$C$7:$C$506,C37,$B$7:$B$506,"&lt;="&amp;'Example Outstanding'!$E$5))</f>
        <v/>
      </c>
      <c r="W37">
        <f>IF(OR('Example Outstanding'!$E$5="",S37=0,B37="",B37&gt;'Example Outstanding'!$E$5),0,MAX(0,MIN(S37,U37-V37)))</f>
        <v/>
      </c>
      <c r="X37">
        <f>IF(C37="",0,IFERROR(VLOOKUP(C37,'Example Parties'!$B$13:$Q$112,15,FALSE),0))</f>
        <v/>
      </c>
      <c r="Y37">
        <f>IF(C37="","",IFERROR(VLOOKUP(C37,'Example Parties'!$B$13:$Q$112,16,FALSE),0))</f>
        <v/>
      </c>
      <c r="Z37">
        <f>IF(OR(S37=0,B37="",Y37=""),"",IF(AND(F37&lt;&gt;"",D37="Purchase bill"),F37,B37)+Y37)</f>
        <v/>
      </c>
      <c r="AA37">
        <f>IF(OR(W37=0,Z37=""),0,MAX(0,'Example Outstanding'!$E$5-Z37))</f>
        <v/>
      </c>
      <c r="AB37">
        <f>IF(AND(X37=1,AA37&gt;0),W37*((1+3*N('Example Parties'!$E$10)/12)^(AA37*12/365)-1),0)</f>
        <v/>
      </c>
      <c r="AC37">
        <f>IF(W37=0,"",'Example Outstanding'!$E$5-B37)</f>
        <v/>
      </c>
      <c r="AD37">
        <f>IF(S37=0,0,IFERROR(VLOOKUP(C37,'Example Parties'!$B$13:$Q$112,14,FALSE),0)+SUMIFS($T$7:$T$506,$C$7:$C$506,C37,$B$7:$B$506,"&lt;="&amp;'Example Parties'!$E$8))</f>
        <v/>
      </c>
      <c r="AE37">
        <f>IF(OR('Example Parties'!$E$8="",S37=0,B37="",B37&gt;'Example Parties'!$E$8),0,MAX(0,MIN(S37,U37-AD37)))</f>
        <v/>
      </c>
      <c r="AF37">
        <f>IF(AND(P37="Creditor",X37=1,AE37&gt;0,Z37&lt;&gt;""),IF(Z37&lt;='Example Parties'!$E$8,AE37,0),0)</f>
        <v/>
      </c>
      <c r="AG37">
        <f>IF(OR(AE37=0,Z37=""),0,MAX(0,'Example Parties'!$E$8-Z37))</f>
        <v/>
      </c>
      <c r="AH37">
        <f>IF(AND(P37="Creditor",X37=1,AG37&gt;0),AE37*((1+3*N('Example Parties'!$E$10)/12)^(AG37*12/365)-1),0)</f>
        <v/>
      </c>
      <c r="AI37">
        <f>IF(AND(C37&lt;&gt;"",C37='Example Ledger'!$D$4,B37&lt;&gt;"",B37&gt;='Example Ledger'!$D$5,B37&lt;='Example Ledger'!$D$6),1,0)</f>
        <v/>
      </c>
      <c r="AJ37">
        <f>IF(AI37=1,SUM(AI$7:AI37),"")</f>
        <v/>
      </c>
      <c r="AK37">
        <f>IF(OR(N37="",N37="OK"),0,1)</f>
        <v/>
      </c>
    </row>
    <row r="38">
      <c r="B38" s="24" t="n"/>
      <c r="C38" s="14" t="n"/>
      <c r="D38" s="14" t="n"/>
      <c r="E38" s="20" t="n"/>
      <c r="F38" s="24" t="n"/>
      <c r="G38" s="14" t="n"/>
      <c r="H38" s="22" t="n"/>
      <c r="I38" s="25">
        <f>IF(Q38="D",N(H38),0)</f>
        <v/>
      </c>
      <c r="J38" s="25">
        <f>IF(Q38="C",N(H38),0)</f>
        <v/>
      </c>
      <c r="K38" s="26">
        <f>IF(Z38="","",Z38)</f>
        <v/>
      </c>
      <c r="L38" s="27">
        <f>W38</f>
        <v/>
      </c>
      <c r="M38" s="28">
        <f>AA38</f>
        <v/>
      </c>
      <c r="N38" s="23">
        <f>IF(AND(B38="",C38="",D38="",N(H38)=0),"",IF(B38="","Enter the date",IF(C38="","Pick the party",IF(P38="?","Add this party on the Parties sheet first",IF(D38="","Pick the entry type",IF(Q38="?","Pick the entry type from the list",IF(N(H38)=0,"Enter the amount",IF(AND(R38&lt;&gt;"Any",R38&lt;&gt;P38),"Sales, receipts and credit notes are for debtors; purchases, payments and debit notes for creditors",IF(AND(F38&lt;&gt;"",D38&lt;&gt;"Purchase bill"),"The received-on date is only for purchase bills",IF(AND(P38="Creditor",X38=1,AA38&gt;0),"Past due to a micro or small supplier: interest runs under MSMED s.16, and if unpaid at year end it is not deductible that year, s.37(2)(g)",IF(AND(P38="Debtor",X38=1,AA38&gt;0),"Past due to you: as a micro or small supplier you can claim interest under MSMED s.16","OK")))))))))))</f>
        <v/>
      </c>
      <c r="P38">
        <f>IF(C38="","",IFERROR(VLOOKUP(C38,'Example Parties'!$B$13:$Q$112,2,FALSE),"?"))</f>
        <v/>
      </c>
      <c r="Q38">
        <f>IF(D38="","",IFERROR(VLOOKUP(D38,Lists!$A$2:$D$9,3,FALSE),"?"))</f>
        <v/>
      </c>
      <c r="R38">
        <f>IF(D38="","",IFERROR(VLOOKUP(D38,Lists!$A$2:$D$9,4,FALSE),"?"))</f>
        <v/>
      </c>
      <c r="S38">
        <f>IF(P38="Debtor",I38,IF(P38="Creditor",J38,0))</f>
        <v/>
      </c>
      <c r="T38">
        <f>IF(P38="Debtor",J38,IF(P38="Creditor",I38,0))</f>
        <v/>
      </c>
      <c r="U38">
        <f>IF(OR(S38=0,B38=""),0,IFERROR(VLOOKUP(C38,'Example Parties'!$B$13:$Q$112,13,FALSE),0)+SUMIFS($S$7:$S$506,$C$7:$C$506,C38,$B$7:$B$506,"&lt;"&amp;B38)+SUMIFS(S$7:S38,C$7:C38,C38,B$7:B38,B38))</f>
        <v/>
      </c>
      <c r="V38">
        <f>IF(S38=0,0,IFERROR(VLOOKUP(C38,'Example Parties'!$B$13:$Q$112,14,FALSE),0)+SUMIFS($T$7:$T$506,$C$7:$C$506,C38,$B$7:$B$506,"&lt;="&amp;'Example Outstanding'!$E$5))</f>
        <v/>
      </c>
      <c r="W38">
        <f>IF(OR('Example Outstanding'!$E$5="",S38=0,B38="",B38&gt;'Example Outstanding'!$E$5),0,MAX(0,MIN(S38,U38-V38)))</f>
        <v/>
      </c>
      <c r="X38">
        <f>IF(C38="",0,IFERROR(VLOOKUP(C38,'Example Parties'!$B$13:$Q$112,15,FALSE),0))</f>
        <v/>
      </c>
      <c r="Y38">
        <f>IF(C38="","",IFERROR(VLOOKUP(C38,'Example Parties'!$B$13:$Q$112,16,FALSE),0))</f>
        <v/>
      </c>
      <c r="Z38">
        <f>IF(OR(S38=0,B38="",Y38=""),"",IF(AND(F38&lt;&gt;"",D38="Purchase bill"),F38,B38)+Y38)</f>
        <v/>
      </c>
      <c r="AA38">
        <f>IF(OR(W38=0,Z38=""),0,MAX(0,'Example Outstanding'!$E$5-Z38))</f>
        <v/>
      </c>
      <c r="AB38">
        <f>IF(AND(X38=1,AA38&gt;0),W38*((1+3*N('Example Parties'!$E$10)/12)^(AA38*12/365)-1),0)</f>
        <v/>
      </c>
      <c r="AC38">
        <f>IF(W38=0,"",'Example Outstanding'!$E$5-B38)</f>
        <v/>
      </c>
      <c r="AD38">
        <f>IF(S38=0,0,IFERROR(VLOOKUP(C38,'Example Parties'!$B$13:$Q$112,14,FALSE),0)+SUMIFS($T$7:$T$506,$C$7:$C$506,C38,$B$7:$B$506,"&lt;="&amp;'Example Parties'!$E$8))</f>
        <v/>
      </c>
      <c r="AE38">
        <f>IF(OR('Example Parties'!$E$8="",S38=0,B38="",B38&gt;'Example Parties'!$E$8),0,MAX(0,MIN(S38,U38-AD38)))</f>
        <v/>
      </c>
      <c r="AF38">
        <f>IF(AND(P38="Creditor",X38=1,AE38&gt;0,Z38&lt;&gt;""),IF(Z38&lt;='Example Parties'!$E$8,AE38,0),0)</f>
        <v/>
      </c>
      <c r="AG38">
        <f>IF(OR(AE38=0,Z38=""),0,MAX(0,'Example Parties'!$E$8-Z38))</f>
        <v/>
      </c>
      <c r="AH38">
        <f>IF(AND(P38="Creditor",X38=1,AG38&gt;0),AE38*((1+3*N('Example Parties'!$E$10)/12)^(AG38*12/365)-1),0)</f>
        <v/>
      </c>
      <c r="AI38">
        <f>IF(AND(C38&lt;&gt;"",C38='Example Ledger'!$D$4,B38&lt;&gt;"",B38&gt;='Example Ledger'!$D$5,B38&lt;='Example Ledger'!$D$6),1,0)</f>
        <v/>
      </c>
      <c r="AJ38">
        <f>IF(AI38=1,SUM(AI$7:AI38),"")</f>
        <v/>
      </c>
      <c r="AK38">
        <f>IF(OR(N38="",N38="OK"),0,1)</f>
        <v/>
      </c>
    </row>
    <row r="39">
      <c r="B39" s="24" t="n"/>
      <c r="C39" s="14" t="n"/>
      <c r="D39" s="14" t="n"/>
      <c r="E39" s="20" t="n"/>
      <c r="F39" s="24" t="n"/>
      <c r="G39" s="14" t="n"/>
      <c r="H39" s="22" t="n"/>
      <c r="I39" s="25">
        <f>IF(Q39="D",N(H39),0)</f>
        <v/>
      </c>
      <c r="J39" s="25">
        <f>IF(Q39="C",N(H39),0)</f>
        <v/>
      </c>
      <c r="K39" s="26">
        <f>IF(Z39="","",Z39)</f>
        <v/>
      </c>
      <c r="L39" s="27">
        <f>W39</f>
        <v/>
      </c>
      <c r="M39" s="28">
        <f>AA39</f>
        <v/>
      </c>
      <c r="N39" s="23">
        <f>IF(AND(B39="",C39="",D39="",N(H39)=0),"",IF(B39="","Enter the date",IF(C39="","Pick the party",IF(P39="?","Add this party on the Parties sheet first",IF(D39="","Pick the entry type",IF(Q39="?","Pick the entry type from the list",IF(N(H39)=0,"Enter the amount",IF(AND(R39&lt;&gt;"Any",R39&lt;&gt;P39),"Sales, receipts and credit notes are for debtors; purchases, payments and debit notes for creditors",IF(AND(F39&lt;&gt;"",D39&lt;&gt;"Purchase bill"),"The received-on date is only for purchase bills",IF(AND(P39="Creditor",X39=1,AA39&gt;0),"Past due to a micro or small supplier: interest runs under MSMED s.16, and if unpaid at year end it is not deductible that year, s.37(2)(g)",IF(AND(P39="Debtor",X39=1,AA39&gt;0),"Past due to you: as a micro or small supplier you can claim interest under MSMED s.16","OK")))))))))))</f>
        <v/>
      </c>
      <c r="P39">
        <f>IF(C39="","",IFERROR(VLOOKUP(C39,'Example Parties'!$B$13:$Q$112,2,FALSE),"?"))</f>
        <v/>
      </c>
      <c r="Q39">
        <f>IF(D39="","",IFERROR(VLOOKUP(D39,Lists!$A$2:$D$9,3,FALSE),"?"))</f>
        <v/>
      </c>
      <c r="R39">
        <f>IF(D39="","",IFERROR(VLOOKUP(D39,Lists!$A$2:$D$9,4,FALSE),"?"))</f>
        <v/>
      </c>
      <c r="S39">
        <f>IF(P39="Debtor",I39,IF(P39="Creditor",J39,0))</f>
        <v/>
      </c>
      <c r="T39">
        <f>IF(P39="Debtor",J39,IF(P39="Creditor",I39,0))</f>
        <v/>
      </c>
      <c r="U39">
        <f>IF(OR(S39=0,B39=""),0,IFERROR(VLOOKUP(C39,'Example Parties'!$B$13:$Q$112,13,FALSE),0)+SUMIFS($S$7:$S$506,$C$7:$C$506,C39,$B$7:$B$506,"&lt;"&amp;B39)+SUMIFS(S$7:S39,C$7:C39,C39,B$7:B39,B39))</f>
        <v/>
      </c>
      <c r="V39">
        <f>IF(S39=0,0,IFERROR(VLOOKUP(C39,'Example Parties'!$B$13:$Q$112,14,FALSE),0)+SUMIFS($T$7:$T$506,$C$7:$C$506,C39,$B$7:$B$506,"&lt;="&amp;'Example Outstanding'!$E$5))</f>
        <v/>
      </c>
      <c r="W39">
        <f>IF(OR('Example Outstanding'!$E$5="",S39=0,B39="",B39&gt;'Example Outstanding'!$E$5),0,MAX(0,MIN(S39,U39-V39)))</f>
        <v/>
      </c>
      <c r="X39">
        <f>IF(C39="",0,IFERROR(VLOOKUP(C39,'Example Parties'!$B$13:$Q$112,15,FALSE),0))</f>
        <v/>
      </c>
      <c r="Y39">
        <f>IF(C39="","",IFERROR(VLOOKUP(C39,'Example Parties'!$B$13:$Q$112,16,FALSE),0))</f>
        <v/>
      </c>
      <c r="Z39">
        <f>IF(OR(S39=0,B39="",Y39=""),"",IF(AND(F39&lt;&gt;"",D39="Purchase bill"),F39,B39)+Y39)</f>
        <v/>
      </c>
      <c r="AA39">
        <f>IF(OR(W39=0,Z39=""),0,MAX(0,'Example Outstanding'!$E$5-Z39))</f>
        <v/>
      </c>
      <c r="AB39">
        <f>IF(AND(X39=1,AA39&gt;0),W39*((1+3*N('Example Parties'!$E$10)/12)^(AA39*12/365)-1),0)</f>
        <v/>
      </c>
      <c r="AC39">
        <f>IF(W39=0,"",'Example Outstanding'!$E$5-B39)</f>
        <v/>
      </c>
      <c r="AD39">
        <f>IF(S39=0,0,IFERROR(VLOOKUP(C39,'Example Parties'!$B$13:$Q$112,14,FALSE),0)+SUMIFS($T$7:$T$506,$C$7:$C$506,C39,$B$7:$B$506,"&lt;="&amp;'Example Parties'!$E$8))</f>
        <v/>
      </c>
      <c r="AE39">
        <f>IF(OR('Example Parties'!$E$8="",S39=0,B39="",B39&gt;'Example Parties'!$E$8),0,MAX(0,MIN(S39,U39-AD39)))</f>
        <v/>
      </c>
      <c r="AF39">
        <f>IF(AND(P39="Creditor",X39=1,AE39&gt;0,Z39&lt;&gt;""),IF(Z39&lt;='Example Parties'!$E$8,AE39,0),0)</f>
        <v/>
      </c>
      <c r="AG39">
        <f>IF(OR(AE39=0,Z39=""),0,MAX(0,'Example Parties'!$E$8-Z39))</f>
        <v/>
      </c>
      <c r="AH39">
        <f>IF(AND(P39="Creditor",X39=1,AG39&gt;0),AE39*((1+3*N('Example Parties'!$E$10)/12)^(AG39*12/365)-1),0)</f>
        <v/>
      </c>
      <c r="AI39">
        <f>IF(AND(C39&lt;&gt;"",C39='Example Ledger'!$D$4,B39&lt;&gt;"",B39&gt;='Example Ledger'!$D$5,B39&lt;='Example Ledger'!$D$6),1,0)</f>
        <v/>
      </c>
      <c r="AJ39">
        <f>IF(AI39=1,SUM(AI$7:AI39),"")</f>
        <v/>
      </c>
      <c r="AK39">
        <f>IF(OR(N39="",N39="OK"),0,1)</f>
        <v/>
      </c>
    </row>
    <row r="40">
      <c r="B40" s="24" t="n"/>
      <c r="C40" s="14" t="n"/>
      <c r="D40" s="14" t="n"/>
      <c r="E40" s="20" t="n"/>
      <c r="F40" s="24" t="n"/>
      <c r="G40" s="14" t="n"/>
      <c r="H40" s="22" t="n"/>
      <c r="I40" s="25">
        <f>IF(Q40="D",N(H40),0)</f>
        <v/>
      </c>
      <c r="J40" s="25">
        <f>IF(Q40="C",N(H40),0)</f>
        <v/>
      </c>
      <c r="K40" s="26">
        <f>IF(Z40="","",Z40)</f>
        <v/>
      </c>
      <c r="L40" s="27">
        <f>W40</f>
        <v/>
      </c>
      <c r="M40" s="28">
        <f>AA40</f>
        <v/>
      </c>
      <c r="N40" s="23">
        <f>IF(AND(B40="",C40="",D40="",N(H40)=0),"",IF(B40="","Enter the date",IF(C40="","Pick the party",IF(P40="?","Add this party on the Parties sheet first",IF(D40="","Pick the entry type",IF(Q40="?","Pick the entry type from the list",IF(N(H40)=0,"Enter the amount",IF(AND(R40&lt;&gt;"Any",R40&lt;&gt;P40),"Sales, receipts and credit notes are for debtors; purchases, payments and debit notes for creditors",IF(AND(F40&lt;&gt;"",D40&lt;&gt;"Purchase bill"),"The received-on date is only for purchase bills",IF(AND(P40="Creditor",X40=1,AA40&gt;0),"Past due to a micro or small supplier: interest runs under MSMED s.16, and if unpaid at year end it is not deductible that year, s.37(2)(g)",IF(AND(P40="Debtor",X40=1,AA40&gt;0),"Past due to you: as a micro or small supplier you can claim interest under MSMED s.16","OK")))))))))))</f>
        <v/>
      </c>
      <c r="P40">
        <f>IF(C40="","",IFERROR(VLOOKUP(C40,'Example Parties'!$B$13:$Q$112,2,FALSE),"?"))</f>
        <v/>
      </c>
      <c r="Q40">
        <f>IF(D40="","",IFERROR(VLOOKUP(D40,Lists!$A$2:$D$9,3,FALSE),"?"))</f>
        <v/>
      </c>
      <c r="R40">
        <f>IF(D40="","",IFERROR(VLOOKUP(D40,Lists!$A$2:$D$9,4,FALSE),"?"))</f>
        <v/>
      </c>
      <c r="S40">
        <f>IF(P40="Debtor",I40,IF(P40="Creditor",J40,0))</f>
        <v/>
      </c>
      <c r="T40">
        <f>IF(P40="Debtor",J40,IF(P40="Creditor",I40,0))</f>
        <v/>
      </c>
      <c r="U40">
        <f>IF(OR(S40=0,B40=""),0,IFERROR(VLOOKUP(C40,'Example Parties'!$B$13:$Q$112,13,FALSE),0)+SUMIFS($S$7:$S$506,$C$7:$C$506,C40,$B$7:$B$506,"&lt;"&amp;B40)+SUMIFS(S$7:S40,C$7:C40,C40,B$7:B40,B40))</f>
        <v/>
      </c>
      <c r="V40">
        <f>IF(S40=0,0,IFERROR(VLOOKUP(C40,'Example Parties'!$B$13:$Q$112,14,FALSE),0)+SUMIFS($T$7:$T$506,$C$7:$C$506,C40,$B$7:$B$506,"&lt;="&amp;'Example Outstanding'!$E$5))</f>
        <v/>
      </c>
      <c r="W40">
        <f>IF(OR('Example Outstanding'!$E$5="",S40=0,B40="",B40&gt;'Example Outstanding'!$E$5),0,MAX(0,MIN(S40,U40-V40)))</f>
        <v/>
      </c>
      <c r="X40">
        <f>IF(C40="",0,IFERROR(VLOOKUP(C40,'Example Parties'!$B$13:$Q$112,15,FALSE),0))</f>
        <v/>
      </c>
      <c r="Y40">
        <f>IF(C40="","",IFERROR(VLOOKUP(C40,'Example Parties'!$B$13:$Q$112,16,FALSE),0))</f>
        <v/>
      </c>
      <c r="Z40">
        <f>IF(OR(S40=0,B40="",Y40=""),"",IF(AND(F40&lt;&gt;"",D40="Purchase bill"),F40,B40)+Y40)</f>
        <v/>
      </c>
      <c r="AA40">
        <f>IF(OR(W40=0,Z40=""),0,MAX(0,'Example Outstanding'!$E$5-Z40))</f>
        <v/>
      </c>
      <c r="AB40">
        <f>IF(AND(X40=1,AA40&gt;0),W40*((1+3*N('Example Parties'!$E$10)/12)^(AA40*12/365)-1),0)</f>
        <v/>
      </c>
      <c r="AC40">
        <f>IF(W40=0,"",'Example Outstanding'!$E$5-B40)</f>
        <v/>
      </c>
      <c r="AD40">
        <f>IF(S40=0,0,IFERROR(VLOOKUP(C40,'Example Parties'!$B$13:$Q$112,14,FALSE),0)+SUMIFS($T$7:$T$506,$C$7:$C$506,C40,$B$7:$B$506,"&lt;="&amp;'Example Parties'!$E$8))</f>
        <v/>
      </c>
      <c r="AE40">
        <f>IF(OR('Example Parties'!$E$8="",S40=0,B40="",B40&gt;'Example Parties'!$E$8),0,MAX(0,MIN(S40,U40-AD40)))</f>
        <v/>
      </c>
      <c r="AF40">
        <f>IF(AND(P40="Creditor",X40=1,AE40&gt;0,Z40&lt;&gt;""),IF(Z40&lt;='Example Parties'!$E$8,AE40,0),0)</f>
        <v/>
      </c>
      <c r="AG40">
        <f>IF(OR(AE40=0,Z40=""),0,MAX(0,'Example Parties'!$E$8-Z40))</f>
        <v/>
      </c>
      <c r="AH40">
        <f>IF(AND(P40="Creditor",X40=1,AG40&gt;0),AE40*((1+3*N('Example Parties'!$E$10)/12)^(AG40*12/365)-1),0)</f>
        <v/>
      </c>
      <c r="AI40">
        <f>IF(AND(C40&lt;&gt;"",C40='Example Ledger'!$D$4,B40&lt;&gt;"",B40&gt;='Example Ledger'!$D$5,B40&lt;='Example Ledger'!$D$6),1,0)</f>
        <v/>
      </c>
      <c r="AJ40">
        <f>IF(AI40=1,SUM(AI$7:AI40),"")</f>
        <v/>
      </c>
      <c r="AK40">
        <f>IF(OR(N40="",N40="OK"),0,1)</f>
        <v/>
      </c>
    </row>
    <row r="41">
      <c r="B41" s="24" t="n"/>
      <c r="C41" s="14" t="n"/>
      <c r="D41" s="14" t="n"/>
      <c r="E41" s="20" t="n"/>
      <c r="F41" s="24" t="n"/>
      <c r="G41" s="14" t="n"/>
      <c r="H41" s="22" t="n"/>
      <c r="I41" s="25">
        <f>IF(Q41="D",N(H41),0)</f>
        <v/>
      </c>
      <c r="J41" s="25">
        <f>IF(Q41="C",N(H41),0)</f>
        <v/>
      </c>
      <c r="K41" s="26">
        <f>IF(Z41="","",Z41)</f>
        <v/>
      </c>
      <c r="L41" s="27">
        <f>W41</f>
        <v/>
      </c>
      <c r="M41" s="28">
        <f>AA41</f>
        <v/>
      </c>
      <c r="N41" s="23">
        <f>IF(AND(B41="",C41="",D41="",N(H41)=0),"",IF(B41="","Enter the date",IF(C41="","Pick the party",IF(P41="?","Add this party on the Parties sheet first",IF(D41="","Pick the entry type",IF(Q41="?","Pick the entry type from the list",IF(N(H41)=0,"Enter the amount",IF(AND(R41&lt;&gt;"Any",R41&lt;&gt;P41),"Sales, receipts and credit notes are for debtors; purchases, payments and debit notes for creditors",IF(AND(F41&lt;&gt;"",D41&lt;&gt;"Purchase bill"),"The received-on date is only for purchase bills",IF(AND(P41="Creditor",X41=1,AA41&gt;0),"Past due to a micro or small supplier: interest runs under MSMED s.16, and if unpaid at year end it is not deductible that year, s.37(2)(g)",IF(AND(P41="Debtor",X41=1,AA41&gt;0),"Past due to you: as a micro or small supplier you can claim interest under MSMED s.16","OK")))))))))))</f>
        <v/>
      </c>
      <c r="P41">
        <f>IF(C41="","",IFERROR(VLOOKUP(C41,'Example Parties'!$B$13:$Q$112,2,FALSE),"?"))</f>
        <v/>
      </c>
      <c r="Q41">
        <f>IF(D41="","",IFERROR(VLOOKUP(D41,Lists!$A$2:$D$9,3,FALSE),"?"))</f>
        <v/>
      </c>
      <c r="R41">
        <f>IF(D41="","",IFERROR(VLOOKUP(D41,Lists!$A$2:$D$9,4,FALSE),"?"))</f>
        <v/>
      </c>
      <c r="S41">
        <f>IF(P41="Debtor",I41,IF(P41="Creditor",J41,0))</f>
        <v/>
      </c>
      <c r="T41">
        <f>IF(P41="Debtor",J41,IF(P41="Creditor",I41,0))</f>
        <v/>
      </c>
      <c r="U41">
        <f>IF(OR(S41=0,B41=""),0,IFERROR(VLOOKUP(C41,'Example Parties'!$B$13:$Q$112,13,FALSE),0)+SUMIFS($S$7:$S$506,$C$7:$C$506,C41,$B$7:$B$506,"&lt;"&amp;B41)+SUMIFS(S$7:S41,C$7:C41,C41,B$7:B41,B41))</f>
        <v/>
      </c>
      <c r="V41">
        <f>IF(S41=0,0,IFERROR(VLOOKUP(C41,'Example Parties'!$B$13:$Q$112,14,FALSE),0)+SUMIFS($T$7:$T$506,$C$7:$C$506,C41,$B$7:$B$506,"&lt;="&amp;'Example Outstanding'!$E$5))</f>
        <v/>
      </c>
      <c r="W41">
        <f>IF(OR('Example Outstanding'!$E$5="",S41=0,B41="",B41&gt;'Example Outstanding'!$E$5),0,MAX(0,MIN(S41,U41-V41)))</f>
        <v/>
      </c>
      <c r="X41">
        <f>IF(C41="",0,IFERROR(VLOOKUP(C41,'Example Parties'!$B$13:$Q$112,15,FALSE),0))</f>
        <v/>
      </c>
      <c r="Y41">
        <f>IF(C41="","",IFERROR(VLOOKUP(C41,'Example Parties'!$B$13:$Q$112,16,FALSE),0))</f>
        <v/>
      </c>
      <c r="Z41">
        <f>IF(OR(S41=0,B41="",Y41=""),"",IF(AND(F41&lt;&gt;"",D41="Purchase bill"),F41,B41)+Y41)</f>
        <v/>
      </c>
      <c r="AA41">
        <f>IF(OR(W41=0,Z41=""),0,MAX(0,'Example Outstanding'!$E$5-Z41))</f>
        <v/>
      </c>
      <c r="AB41">
        <f>IF(AND(X41=1,AA41&gt;0),W41*((1+3*N('Example Parties'!$E$10)/12)^(AA41*12/365)-1),0)</f>
        <v/>
      </c>
      <c r="AC41">
        <f>IF(W41=0,"",'Example Outstanding'!$E$5-B41)</f>
        <v/>
      </c>
      <c r="AD41">
        <f>IF(S41=0,0,IFERROR(VLOOKUP(C41,'Example Parties'!$B$13:$Q$112,14,FALSE),0)+SUMIFS($T$7:$T$506,$C$7:$C$506,C41,$B$7:$B$506,"&lt;="&amp;'Example Parties'!$E$8))</f>
        <v/>
      </c>
      <c r="AE41">
        <f>IF(OR('Example Parties'!$E$8="",S41=0,B41="",B41&gt;'Example Parties'!$E$8),0,MAX(0,MIN(S41,U41-AD41)))</f>
        <v/>
      </c>
      <c r="AF41">
        <f>IF(AND(P41="Creditor",X41=1,AE41&gt;0,Z41&lt;&gt;""),IF(Z41&lt;='Example Parties'!$E$8,AE41,0),0)</f>
        <v/>
      </c>
      <c r="AG41">
        <f>IF(OR(AE41=0,Z41=""),0,MAX(0,'Example Parties'!$E$8-Z41))</f>
        <v/>
      </c>
      <c r="AH41">
        <f>IF(AND(P41="Creditor",X41=1,AG41&gt;0),AE41*((1+3*N('Example Parties'!$E$10)/12)^(AG41*12/365)-1),0)</f>
        <v/>
      </c>
      <c r="AI41">
        <f>IF(AND(C41&lt;&gt;"",C41='Example Ledger'!$D$4,B41&lt;&gt;"",B41&gt;='Example Ledger'!$D$5,B41&lt;='Example Ledger'!$D$6),1,0)</f>
        <v/>
      </c>
      <c r="AJ41">
        <f>IF(AI41=1,SUM(AI$7:AI41),"")</f>
        <v/>
      </c>
      <c r="AK41">
        <f>IF(OR(N41="",N41="OK"),0,1)</f>
        <v/>
      </c>
    </row>
    <row r="42">
      <c r="B42" s="24" t="n"/>
      <c r="C42" s="14" t="n"/>
      <c r="D42" s="14" t="n"/>
      <c r="E42" s="20" t="n"/>
      <c r="F42" s="24" t="n"/>
      <c r="G42" s="14" t="n"/>
      <c r="H42" s="22" t="n"/>
      <c r="I42" s="25">
        <f>IF(Q42="D",N(H42),0)</f>
        <v/>
      </c>
      <c r="J42" s="25">
        <f>IF(Q42="C",N(H42),0)</f>
        <v/>
      </c>
      <c r="K42" s="26">
        <f>IF(Z42="","",Z42)</f>
        <v/>
      </c>
      <c r="L42" s="27">
        <f>W42</f>
        <v/>
      </c>
      <c r="M42" s="28">
        <f>AA42</f>
        <v/>
      </c>
      <c r="N42" s="23">
        <f>IF(AND(B42="",C42="",D42="",N(H42)=0),"",IF(B42="","Enter the date",IF(C42="","Pick the party",IF(P42="?","Add this party on the Parties sheet first",IF(D42="","Pick the entry type",IF(Q42="?","Pick the entry type from the list",IF(N(H42)=0,"Enter the amount",IF(AND(R42&lt;&gt;"Any",R42&lt;&gt;P42),"Sales, receipts and credit notes are for debtors; purchases, payments and debit notes for creditors",IF(AND(F42&lt;&gt;"",D42&lt;&gt;"Purchase bill"),"The received-on date is only for purchase bills",IF(AND(P42="Creditor",X42=1,AA42&gt;0),"Past due to a micro or small supplier: interest runs under MSMED s.16, and if unpaid at year end it is not deductible that year, s.37(2)(g)",IF(AND(P42="Debtor",X42=1,AA42&gt;0),"Past due to you: as a micro or small supplier you can claim interest under MSMED s.16","OK")))))))))))</f>
        <v/>
      </c>
      <c r="P42">
        <f>IF(C42="","",IFERROR(VLOOKUP(C42,'Example Parties'!$B$13:$Q$112,2,FALSE),"?"))</f>
        <v/>
      </c>
      <c r="Q42">
        <f>IF(D42="","",IFERROR(VLOOKUP(D42,Lists!$A$2:$D$9,3,FALSE),"?"))</f>
        <v/>
      </c>
      <c r="R42">
        <f>IF(D42="","",IFERROR(VLOOKUP(D42,Lists!$A$2:$D$9,4,FALSE),"?"))</f>
        <v/>
      </c>
      <c r="S42">
        <f>IF(P42="Debtor",I42,IF(P42="Creditor",J42,0))</f>
        <v/>
      </c>
      <c r="T42">
        <f>IF(P42="Debtor",J42,IF(P42="Creditor",I42,0))</f>
        <v/>
      </c>
      <c r="U42">
        <f>IF(OR(S42=0,B42=""),0,IFERROR(VLOOKUP(C42,'Example Parties'!$B$13:$Q$112,13,FALSE),0)+SUMIFS($S$7:$S$506,$C$7:$C$506,C42,$B$7:$B$506,"&lt;"&amp;B42)+SUMIFS(S$7:S42,C$7:C42,C42,B$7:B42,B42))</f>
        <v/>
      </c>
      <c r="V42">
        <f>IF(S42=0,0,IFERROR(VLOOKUP(C42,'Example Parties'!$B$13:$Q$112,14,FALSE),0)+SUMIFS($T$7:$T$506,$C$7:$C$506,C42,$B$7:$B$506,"&lt;="&amp;'Example Outstanding'!$E$5))</f>
        <v/>
      </c>
      <c r="W42">
        <f>IF(OR('Example Outstanding'!$E$5="",S42=0,B42="",B42&gt;'Example Outstanding'!$E$5),0,MAX(0,MIN(S42,U42-V42)))</f>
        <v/>
      </c>
      <c r="X42">
        <f>IF(C42="",0,IFERROR(VLOOKUP(C42,'Example Parties'!$B$13:$Q$112,15,FALSE),0))</f>
        <v/>
      </c>
      <c r="Y42">
        <f>IF(C42="","",IFERROR(VLOOKUP(C42,'Example Parties'!$B$13:$Q$112,16,FALSE),0))</f>
        <v/>
      </c>
      <c r="Z42">
        <f>IF(OR(S42=0,B42="",Y42=""),"",IF(AND(F42&lt;&gt;"",D42="Purchase bill"),F42,B42)+Y42)</f>
        <v/>
      </c>
      <c r="AA42">
        <f>IF(OR(W42=0,Z42=""),0,MAX(0,'Example Outstanding'!$E$5-Z42))</f>
        <v/>
      </c>
      <c r="AB42">
        <f>IF(AND(X42=1,AA42&gt;0),W42*((1+3*N('Example Parties'!$E$10)/12)^(AA42*12/365)-1),0)</f>
        <v/>
      </c>
      <c r="AC42">
        <f>IF(W42=0,"",'Example Outstanding'!$E$5-B42)</f>
        <v/>
      </c>
      <c r="AD42">
        <f>IF(S42=0,0,IFERROR(VLOOKUP(C42,'Example Parties'!$B$13:$Q$112,14,FALSE),0)+SUMIFS($T$7:$T$506,$C$7:$C$506,C42,$B$7:$B$506,"&lt;="&amp;'Example Parties'!$E$8))</f>
        <v/>
      </c>
      <c r="AE42">
        <f>IF(OR('Example Parties'!$E$8="",S42=0,B42="",B42&gt;'Example Parties'!$E$8),0,MAX(0,MIN(S42,U42-AD42)))</f>
        <v/>
      </c>
      <c r="AF42">
        <f>IF(AND(P42="Creditor",X42=1,AE42&gt;0,Z42&lt;&gt;""),IF(Z42&lt;='Example Parties'!$E$8,AE42,0),0)</f>
        <v/>
      </c>
      <c r="AG42">
        <f>IF(OR(AE42=0,Z42=""),0,MAX(0,'Example Parties'!$E$8-Z42))</f>
        <v/>
      </c>
      <c r="AH42">
        <f>IF(AND(P42="Creditor",X42=1,AG42&gt;0),AE42*((1+3*N('Example Parties'!$E$10)/12)^(AG42*12/365)-1),0)</f>
        <v/>
      </c>
      <c r="AI42">
        <f>IF(AND(C42&lt;&gt;"",C42='Example Ledger'!$D$4,B42&lt;&gt;"",B42&gt;='Example Ledger'!$D$5,B42&lt;='Example Ledger'!$D$6),1,0)</f>
        <v/>
      </c>
      <c r="AJ42">
        <f>IF(AI42=1,SUM(AI$7:AI42),"")</f>
        <v/>
      </c>
      <c r="AK42">
        <f>IF(OR(N42="",N42="OK"),0,1)</f>
        <v/>
      </c>
    </row>
    <row r="43">
      <c r="B43" s="24" t="n"/>
      <c r="C43" s="14" t="n"/>
      <c r="D43" s="14" t="n"/>
      <c r="E43" s="20" t="n"/>
      <c r="F43" s="24" t="n"/>
      <c r="G43" s="14" t="n"/>
      <c r="H43" s="22" t="n"/>
      <c r="I43" s="25">
        <f>IF(Q43="D",N(H43),0)</f>
        <v/>
      </c>
      <c r="J43" s="25">
        <f>IF(Q43="C",N(H43),0)</f>
        <v/>
      </c>
      <c r="K43" s="26">
        <f>IF(Z43="","",Z43)</f>
        <v/>
      </c>
      <c r="L43" s="27">
        <f>W43</f>
        <v/>
      </c>
      <c r="M43" s="28">
        <f>AA43</f>
        <v/>
      </c>
      <c r="N43" s="23">
        <f>IF(AND(B43="",C43="",D43="",N(H43)=0),"",IF(B43="","Enter the date",IF(C43="","Pick the party",IF(P43="?","Add this party on the Parties sheet first",IF(D43="","Pick the entry type",IF(Q43="?","Pick the entry type from the list",IF(N(H43)=0,"Enter the amount",IF(AND(R43&lt;&gt;"Any",R43&lt;&gt;P43),"Sales, receipts and credit notes are for debtors; purchases, payments and debit notes for creditors",IF(AND(F43&lt;&gt;"",D43&lt;&gt;"Purchase bill"),"The received-on date is only for purchase bills",IF(AND(P43="Creditor",X43=1,AA43&gt;0),"Past due to a micro or small supplier: interest runs under MSMED s.16, and if unpaid at year end it is not deductible that year, s.37(2)(g)",IF(AND(P43="Debtor",X43=1,AA43&gt;0),"Past due to you: as a micro or small supplier you can claim interest under MSMED s.16","OK")))))))))))</f>
        <v/>
      </c>
      <c r="P43">
        <f>IF(C43="","",IFERROR(VLOOKUP(C43,'Example Parties'!$B$13:$Q$112,2,FALSE),"?"))</f>
        <v/>
      </c>
      <c r="Q43">
        <f>IF(D43="","",IFERROR(VLOOKUP(D43,Lists!$A$2:$D$9,3,FALSE),"?"))</f>
        <v/>
      </c>
      <c r="R43">
        <f>IF(D43="","",IFERROR(VLOOKUP(D43,Lists!$A$2:$D$9,4,FALSE),"?"))</f>
        <v/>
      </c>
      <c r="S43">
        <f>IF(P43="Debtor",I43,IF(P43="Creditor",J43,0))</f>
        <v/>
      </c>
      <c r="T43">
        <f>IF(P43="Debtor",J43,IF(P43="Creditor",I43,0))</f>
        <v/>
      </c>
      <c r="U43">
        <f>IF(OR(S43=0,B43=""),0,IFERROR(VLOOKUP(C43,'Example Parties'!$B$13:$Q$112,13,FALSE),0)+SUMIFS($S$7:$S$506,$C$7:$C$506,C43,$B$7:$B$506,"&lt;"&amp;B43)+SUMIFS(S$7:S43,C$7:C43,C43,B$7:B43,B43))</f>
        <v/>
      </c>
      <c r="V43">
        <f>IF(S43=0,0,IFERROR(VLOOKUP(C43,'Example Parties'!$B$13:$Q$112,14,FALSE),0)+SUMIFS($T$7:$T$506,$C$7:$C$506,C43,$B$7:$B$506,"&lt;="&amp;'Example Outstanding'!$E$5))</f>
        <v/>
      </c>
      <c r="W43">
        <f>IF(OR('Example Outstanding'!$E$5="",S43=0,B43="",B43&gt;'Example Outstanding'!$E$5),0,MAX(0,MIN(S43,U43-V43)))</f>
        <v/>
      </c>
      <c r="X43">
        <f>IF(C43="",0,IFERROR(VLOOKUP(C43,'Example Parties'!$B$13:$Q$112,15,FALSE),0))</f>
        <v/>
      </c>
      <c r="Y43">
        <f>IF(C43="","",IFERROR(VLOOKUP(C43,'Example Parties'!$B$13:$Q$112,16,FALSE),0))</f>
        <v/>
      </c>
      <c r="Z43">
        <f>IF(OR(S43=0,B43="",Y43=""),"",IF(AND(F43&lt;&gt;"",D43="Purchase bill"),F43,B43)+Y43)</f>
        <v/>
      </c>
      <c r="AA43">
        <f>IF(OR(W43=0,Z43=""),0,MAX(0,'Example Outstanding'!$E$5-Z43))</f>
        <v/>
      </c>
      <c r="AB43">
        <f>IF(AND(X43=1,AA43&gt;0),W43*((1+3*N('Example Parties'!$E$10)/12)^(AA43*12/365)-1),0)</f>
        <v/>
      </c>
      <c r="AC43">
        <f>IF(W43=0,"",'Example Outstanding'!$E$5-B43)</f>
        <v/>
      </c>
      <c r="AD43">
        <f>IF(S43=0,0,IFERROR(VLOOKUP(C43,'Example Parties'!$B$13:$Q$112,14,FALSE),0)+SUMIFS($T$7:$T$506,$C$7:$C$506,C43,$B$7:$B$506,"&lt;="&amp;'Example Parties'!$E$8))</f>
        <v/>
      </c>
      <c r="AE43">
        <f>IF(OR('Example Parties'!$E$8="",S43=0,B43="",B43&gt;'Example Parties'!$E$8),0,MAX(0,MIN(S43,U43-AD43)))</f>
        <v/>
      </c>
      <c r="AF43">
        <f>IF(AND(P43="Creditor",X43=1,AE43&gt;0,Z43&lt;&gt;""),IF(Z43&lt;='Example Parties'!$E$8,AE43,0),0)</f>
        <v/>
      </c>
      <c r="AG43">
        <f>IF(OR(AE43=0,Z43=""),0,MAX(0,'Example Parties'!$E$8-Z43))</f>
        <v/>
      </c>
      <c r="AH43">
        <f>IF(AND(P43="Creditor",X43=1,AG43&gt;0),AE43*((1+3*N('Example Parties'!$E$10)/12)^(AG43*12/365)-1),0)</f>
        <v/>
      </c>
      <c r="AI43">
        <f>IF(AND(C43&lt;&gt;"",C43='Example Ledger'!$D$4,B43&lt;&gt;"",B43&gt;='Example Ledger'!$D$5,B43&lt;='Example Ledger'!$D$6),1,0)</f>
        <v/>
      </c>
      <c r="AJ43">
        <f>IF(AI43=1,SUM(AI$7:AI43),"")</f>
        <v/>
      </c>
      <c r="AK43">
        <f>IF(OR(N43="",N43="OK"),0,1)</f>
        <v/>
      </c>
    </row>
    <row r="44">
      <c r="B44" s="24" t="n"/>
      <c r="C44" s="14" t="n"/>
      <c r="D44" s="14" t="n"/>
      <c r="E44" s="20" t="n"/>
      <c r="F44" s="24" t="n"/>
      <c r="G44" s="14" t="n"/>
      <c r="H44" s="22" t="n"/>
      <c r="I44" s="25">
        <f>IF(Q44="D",N(H44),0)</f>
        <v/>
      </c>
      <c r="J44" s="25">
        <f>IF(Q44="C",N(H44),0)</f>
        <v/>
      </c>
      <c r="K44" s="26">
        <f>IF(Z44="","",Z44)</f>
        <v/>
      </c>
      <c r="L44" s="27">
        <f>W44</f>
        <v/>
      </c>
      <c r="M44" s="28">
        <f>AA44</f>
        <v/>
      </c>
      <c r="N44" s="23">
        <f>IF(AND(B44="",C44="",D44="",N(H44)=0),"",IF(B44="","Enter the date",IF(C44="","Pick the party",IF(P44="?","Add this party on the Parties sheet first",IF(D44="","Pick the entry type",IF(Q44="?","Pick the entry type from the list",IF(N(H44)=0,"Enter the amount",IF(AND(R44&lt;&gt;"Any",R44&lt;&gt;P44),"Sales, receipts and credit notes are for debtors; purchases, payments and debit notes for creditors",IF(AND(F44&lt;&gt;"",D44&lt;&gt;"Purchase bill"),"The received-on date is only for purchase bills",IF(AND(P44="Creditor",X44=1,AA44&gt;0),"Past due to a micro or small supplier: interest runs under MSMED s.16, and if unpaid at year end it is not deductible that year, s.37(2)(g)",IF(AND(P44="Debtor",X44=1,AA44&gt;0),"Past due to you: as a micro or small supplier you can claim interest under MSMED s.16","OK")))))))))))</f>
        <v/>
      </c>
      <c r="P44">
        <f>IF(C44="","",IFERROR(VLOOKUP(C44,'Example Parties'!$B$13:$Q$112,2,FALSE),"?"))</f>
        <v/>
      </c>
      <c r="Q44">
        <f>IF(D44="","",IFERROR(VLOOKUP(D44,Lists!$A$2:$D$9,3,FALSE),"?"))</f>
        <v/>
      </c>
      <c r="R44">
        <f>IF(D44="","",IFERROR(VLOOKUP(D44,Lists!$A$2:$D$9,4,FALSE),"?"))</f>
        <v/>
      </c>
      <c r="S44">
        <f>IF(P44="Debtor",I44,IF(P44="Creditor",J44,0))</f>
        <v/>
      </c>
      <c r="T44">
        <f>IF(P44="Debtor",J44,IF(P44="Creditor",I44,0))</f>
        <v/>
      </c>
      <c r="U44">
        <f>IF(OR(S44=0,B44=""),0,IFERROR(VLOOKUP(C44,'Example Parties'!$B$13:$Q$112,13,FALSE),0)+SUMIFS($S$7:$S$506,$C$7:$C$506,C44,$B$7:$B$506,"&lt;"&amp;B44)+SUMIFS(S$7:S44,C$7:C44,C44,B$7:B44,B44))</f>
        <v/>
      </c>
      <c r="V44">
        <f>IF(S44=0,0,IFERROR(VLOOKUP(C44,'Example Parties'!$B$13:$Q$112,14,FALSE),0)+SUMIFS($T$7:$T$506,$C$7:$C$506,C44,$B$7:$B$506,"&lt;="&amp;'Example Outstanding'!$E$5))</f>
        <v/>
      </c>
      <c r="W44">
        <f>IF(OR('Example Outstanding'!$E$5="",S44=0,B44="",B44&gt;'Example Outstanding'!$E$5),0,MAX(0,MIN(S44,U44-V44)))</f>
        <v/>
      </c>
      <c r="X44">
        <f>IF(C44="",0,IFERROR(VLOOKUP(C44,'Example Parties'!$B$13:$Q$112,15,FALSE),0))</f>
        <v/>
      </c>
      <c r="Y44">
        <f>IF(C44="","",IFERROR(VLOOKUP(C44,'Example Parties'!$B$13:$Q$112,16,FALSE),0))</f>
        <v/>
      </c>
      <c r="Z44">
        <f>IF(OR(S44=0,B44="",Y44=""),"",IF(AND(F44&lt;&gt;"",D44="Purchase bill"),F44,B44)+Y44)</f>
        <v/>
      </c>
      <c r="AA44">
        <f>IF(OR(W44=0,Z44=""),0,MAX(0,'Example Outstanding'!$E$5-Z44))</f>
        <v/>
      </c>
      <c r="AB44">
        <f>IF(AND(X44=1,AA44&gt;0),W44*((1+3*N('Example Parties'!$E$10)/12)^(AA44*12/365)-1),0)</f>
        <v/>
      </c>
      <c r="AC44">
        <f>IF(W44=0,"",'Example Outstanding'!$E$5-B44)</f>
        <v/>
      </c>
      <c r="AD44">
        <f>IF(S44=0,0,IFERROR(VLOOKUP(C44,'Example Parties'!$B$13:$Q$112,14,FALSE),0)+SUMIFS($T$7:$T$506,$C$7:$C$506,C44,$B$7:$B$506,"&lt;="&amp;'Example Parties'!$E$8))</f>
        <v/>
      </c>
      <c r="AE44">
        <f>IF(OR('Example Parties'!$E$8="",S44=0,B44="",B44&gt;'Example Parties'!$E$8),0,MAX(0,MIN(S44,U44-AD44)))</f>
        <v/>
      </c>
      <c r="AF44">
        <f>IF(AND(P44="Creditor",X44=1,AE44&gt;0,Z44&lt;&gt;""),IF(Z44&lt;='Example Parties'!$E$8,AE44,0),0)</f>
        <v/>
      </c>
      <c r="AG44">
        <f>IF(OR(AE44=0,Z44=""),0,MAX(0,'Example Parties'!$E$8-Z44))</f>
        <v/>
      </c>
      <c r="AH44">
        <f>IF(AND(P44="Creditor",X44=1,AG44&gt;0),AE44*((1+3*N('Example Parties'!$E$10)/12)^(AG44*12/365)-1),0)</f>
        <v/>
      </c>
      <c r="AI44">
        <f>IF(AND(C44&lt;&gt;"",C44='Example Ledger'!$D$4,B44&lt;&gt;"",B44&gt;='Example Ledger'!$D$5,B44&lt;='Example Ledger'!$D$6),1,0)</f>
        <v/>
      </c>
      <c r="AJ44">
        <f>IF(AI44=1,SUM(AI$7:AI44),"")</f>
        <v/>
      </c>
      <c r="AK44">
        <f>IF(OR(N44="",N44="OK"),0,1)</f>
        <v/>
      </c>
    </row>
    <row r="45">
      <c r="B45" s="24" t="n"/>
      <c r="C45" s="14" t="n"/>
      <c r="D45" s="14" t="n"/>
      <c r="E45" s="20" t="n"/>
      <c r="F45" s="24" t="n"/>
      <c r="G45" s="14" t="n"/>
      <c r="H45" s="22" t="n"/>
      <c r="I45" s="25">
        <f>IF(Q45="D",N(H45),0)</f>
        <v/>
      </c>
      <c r="J45" s="25">
        <f>IF(Q45="C",N(H45),0)</f>
        <v/>
      </c>
      <c r="K45" s="26">
        <f>IF(Z45="","",Z45)</f>
        <v/>
      </c>
      <c r="L45" s="27">
        <f>W45</f>
        <v/>
      </c>
      <c r="M45" s="28">
        <f>AA45</f>
        <v/>
      </c>
      <c r="N45" s="23">
        <f>IF(AND(B45="",C45="",D45="",N(H45)=0),"",IF(B45="","Enter the date",IF(C45="","Pick the party",IF(P45="?","Add this party on the Parties sheet first",IF(D45="","Pick the entry type",IF(Q45="?","Pick the entry type from the list",IF(N(H45)=0,"Enter the amount",IF(AND(R45&lt;&gt;"Any",R45&lt;&gt;P45),"Sales, receipts and credit notes are for debtors; purchases, payments and debit notes for creditors",IF(AND(F45&lt;&gt;"",D45&lt;&gt;"Purchase bill"),"The received-on date is only for purchase bills",IF(AND(P45="Creditor",X45=1,AA45&gt;0),"Past due to a micro or small supplier: interest runs under MSMED s.16, and if unpaid at year end it is not deductible that year, s.37(2)(g)",IF(AND(P45="Debtor",X45=1,AA45&gt;0),"Past due to you: as a micro or small supplier you can claim interest under MSMED s.16","OK")))))))))))</f>
        <v/>
      </c>
      <c r="P45">
        <f>IF(C45="","",IFERROR(VLOOKUP(C45,'Example Parties'!$B$13:$Q$112,2,FALSE),"?"))</f>
        <v/>
      </c>
      <c r="Q45">
        <f>IF(D45="","",IFERROR(VLOOKUP(D45,Lists!$A$2:$D$9,3,FALSE),"?"))</f>
        <v/>
      </c>
      <c r="R45">
        <f>IF(D45="","",IFERROR(VLOOKUP(D45,Lists!$A$2:$D$9,4,FALSE),"?"))</f>
        <v/>
      </c>
      <c r="S45">
        <f>IF(P45="Debtor",I45,IF(P45="Creditor",J45,0))</f>
        <v/>
      </c>
      <c r="T45">
        <f>IF(P45="Debtor",J45,IF(P45="Creditor",I45,0))</f>
        <v/>
      </c>
      <c r="U45">
        <f>IF(OR(S45=0,B45=""),0,IFERROR(VLOOKUP(C45,'Example Parties'!$B$13:$Q$112,13,FALSE),0)+SUMIFS($S$7:$S$506,$C$7:$C$506,C45,$B$7:$B$506,"&lt;"&amp;B45)+SUMIFS(S$7:S45,C$7:C45,C45,B$7:B45,B45))</f>
        <v/>
      </c>
      <c r="V45">
        <f>IF(S45=0,0,IFERROR(VLOOKUP(C45,'Example Parties'!$B$13:$Q$112,14,FALSE),0)+SUMIFS($T$7:$T$506,$C$7:$C$506,C45,$B$7:$B$506,"&lt;="&amp;'Example Outstanding'!$E$5))</f>
        <v/>
      </c>
      <c r="W45">
        <f>IF(OR('Example Outstanding'!$E$5="",S45=0,B45="",B45&gt;'Example Outstanding'!$E$5),0,MAX(0,MIN(S45,U45-V45)))</f>
        <v/>
      </c>
      <c r="X45">
        <f>IF(C45="",0,IFERROR(VLOOKUP(C45,'Example Parties'!$B$13:$Q$112,15,FALSE),0))</f>
        <v/>
      </c>
      <c r="Y45">
        <f>IF(C45="","",IFERROR(VLOOKUP(C45,'Example Parties'!$B$13:$Q$112,16,FALSE),0))</f>
        <v/>
      </c>
      <c r="Z45">
        <f>IF(OR(S45=0,B45="",Y45=""),"",IF(AND(F45&lt;&gt;"",D45="Purchase bill"),F45,B45)+Y45)</f>
        <v/>
      </c>
      <c r="AA45">
        <f>IF(OR(W45=0,Z45=""),0,MAX(0,'Example Outstanding'!$E$5-Z45))</f>
        <v/>
      </c>
      <c r="AB45">
        <f>IF(AND(X45=1,AA45&gt;0),W45*((1+3*N('Example Parties'!$E$10)/12)^(AA45*12/365)-1),0)</f>
        <v/>
      </c>
      <c r="AC45">
        <f>IF(W45=0,"",'Example Outstanding'!$E$5-B45)</f>
        <v/>
      </c>
      <c r="AD45">
        <f>IF(S45=0,0,IFERROR(VLOOKUP(C45,'Example Parties'!$B$13:$Q$112,14,FALSE),0)+SUMIFS($T$7:$T$506,$C$7:$C$506,C45,$B$7:$B$506,"&lt;="&amp;'Example Parties'!$E$8))</f>
        <v/>
      </c>
      <c r="AE45">
        <f>IF(OR('Example Parties'!$E$8="",S45=0,B45="",B45&gt;'Example Parties'!$E$8),0,MAX(0,MIN(S45,U45-AD45)))</f>
        <v/>
      </c>
      <c r="AF45">
        <f>IF(AND(P45="Creditor",X45=1,AE45&gt;0,Z45&lt;&gt;""),IF(Z45&lt;='Example Parties'!$E$8,AE45,0),0)</f>
        <v/>
      </c>
      <c r="AG45">
        <f>IF(OR(AE45=0,Z45=""),0,MAX(0,'Example Parties'!$E$8-Z45))</f>
        <v/>
      </c>
      <c r="AH45">
        <f>IF(AND(P45="Creditor",X45=1,AG45&gt;0),AE45*((1+3*N('Example Parties'!$E$10)/12)^(AG45*12/365)-1),0)</f>
        <v/>
      </c>
      <c r="AI45">
        <f>IF(AND(C45&lt;&gt;"",C45='Example Ledger'!$D$4,B45&lt;&gt;"",B45&gt;='Example Ledger'!$D$5,B45&lt;='Example Ledger'!$D$6),1,0)</f>
        <v/>
      </c>
      <c r="AJ45">
        <f>IF(AI45=1,SUM(AI$7:AI45),"")</f>
        <v/>
      </c>
      <c r="AK45">
        <f>IF(OR(N45="",N45="OK"),0,1)</f>
        <v/>
      </c>
    </row>
    <row r="46">
      <c r="B46" s="24" t="n"/>
      <c r="C46" s="14" t="n"/>
      <c r="D46" s="14" t="n"/>
      <c r="E46" s="20" t="n"/>
      <c r="F46" s="24" t="n"/>
      <c r="G46" s="14" t="n"/>
      <c r="H46" s="22" t="n"/>
      <c r="I46" s="25">
        <f>IF(Q46="D",N(H46),0)</f>
        <v/>
      </c>
      <c r="J46" s="25">
        <f>IF(Q46="C",N(H46),0)</f>
        <v/>
      </c>
      <c r="K46" s="26">
        <f>IF(Z46="","",Z46)</f>
        <v/>
      </c>
      <c r="L46" s="27">
        <f>W46</f>
        <v/>
      </c>
      <c r="M46" s="28">
        <f>AA46</f>
        <v/>
      </c>
      <c r="N46" s="23">
        <f>IF(AND(B46="",C46="",D46="",N(H46)=0),"",IF(B46="","Enter the date",IF(C46="","Pick the party",IF(P46="?","Add this party on the Parties sheet first",IF(D46="","Pick the entry type",IF(Q46="?","Pick the entry type from the list",IF(N(H46)=0,"Enter the amount",IF(AND(R46&lt;&gt;"Any",R46&lt;&gt;P46),"Sales, receipts and credit notes are for debtors; purchases, payments and debit notes for creditors",IF(AND(F46&lt;&gt;"",D46&lt;&gt;"Purchase bill"),"The received-on date is only for purchase bills",IF(AND(P46="Creditor",X46=1,AA46&gt;0),"Past due to a micro or small supplier: interest runs under MSMED s.16, and if unpaid at year end it is not deductible that year, s.37(2)(g)",IF(AND(P46="Debtor",X46=1,AA46&gt;0),"Past due to you: as a micro or small supplier you can claim interest under MSMED s.16","OK")))))))))))</f>
        <v/>
      </c>
      <c r="P46">
        <f>IF(C46="","",IFERROR(VLOOKUP(C46,'Example Parties'!$B$13:$Q$112,2,FALSE),"?"))</f>
        <v/>
      </c>
      <c r="Q46">
        <f>IF(D46="","",IFERROR(VLOOKUP(D46,Lists!$A$2:$D$9,3,FALSE),"?"))</f>
        <v/>
      </c>
      <c r="R46">
        <f>IF(D46="","",IFERROR(VLOOKUP(D46,Lists!$A$2:$D$9,4,FALSE),"?"))</f>
        <v/>
      </c>
      <c r="S46">
        <f>IF(P46="Debtor",I46,IF(P46="Creditor",J46,0))</f>
        <v/>
      </c>
      <c r="T46">
        <f>IF(P46="Debtor",J46,IF(P46="Creditor",I46,0))</f>
        <v/>
      </c>
      <c r="U46">
        <f>IF(OR(S46=0,B46=""),0,IFERROR(VLOOKUP(C46,'Example Parties'!$B$13:$Q$112,13,FALSE),0)+SUMIFS($S$7:$S$506,$C$7:$C$506,C46,$B$7:$B$506,"&lt;"&amp;B46)+SUMIFS(S$7:S46,C$7:C46,C46,B$7:B46,B46))</f>
        <v/>
      </c>
      <c r="V46">
        <f>IF(S46=0,0,IFERROR(VLOOKUP(C46,'Example Parties'!$B$13:$Q$112,14,FALSE),0)+SUMIFS($T$7:$T$506,$C$7:$C$506,C46,$B$7:$B$506,"&lt;="&amp;'Example Outstanding'!$E$5))</f>
        <v/>
      </c>
      <c r="W46">
        <f>IF(OR('Example Outstanding'!$E$5="",S46=0,B46="",B46&gt;'Example Outstanding'!$E$5),0,MAX(0,MIN(S46,U46-V46)))</f>
        <v/>
      </c>
      <c r="X46">
        <f>IF(C46="",0,IFERROR(VLOOKUP(C46,'Example Parties'!$B$13:$Q$112,15,FALSE),0))</f>
        <v/>
      </c>
      <c r="Y46">
        <f>IF(C46="","",IFERROR(VLOOKUP(C46,'Example Parties'!$B$13:$Q$112,16,FALSE),0))</f>
        <v/>
      </c>
      <c r="Z46">
        <f>IF(OR(S46=0,B46="",Y46=""),"",IF(AND(F46&lt;&gt;"",D46="Purchase bill"),F46,B46)+Y46)</f>
        <v/>
      </c>
      <c r="AA46">
        <f>IF(OR(W46=0,Z46=""),0,MAX(0,'Example Outstanding'!$E$5-Z46))</f>
        <v/>
      </c>
      <c r="AB46">
        <f>IF(AND(X46=1,AA46&gt;0),W46*((1+3*N('Example Parties'!$E$10)/12)^(AA46*12/365)-1),0)</f>
        <v/>
      </c>
      <c r="AC46">
        <f>IF(W46=0,"",'Example Outstanding'!$E$5-B46)</f>
        <v/>
      </c>
      <c r="AD46">
        <f>IF(S46=0,0,IFERROR(VLOOKUP(C46,'Example Parties'!$B$13:$Q$112,14,FALSE),0)+SUMIFS($T$7:$T$506,$C$7:$C$506,C46,$B$7:$B$506,"&lt;="&amp;'Example Parties'!$E$8))</f>
        <v/>
      </c>
      <c r="AE46">
        <f>IF(OR('Example Parties'!$E$8="",S46=0,B46="",B46&gt;'Example Parties'!$E$8),0,MAX(0,MIN(S46,U46-AD46)))</f>
        <v/>
      </c>
      <c r="AF46">
        <f>IF(AND(P46="Creditor",X46=1,AE46&gt;0,Z46&lt;&gt;""),IF(Z46&lt;='Example Parties'!$E$8,AE46,0),0)</f>
        <v/>
      </c>
      <c r="AG46">
        <f>IF(OR(AE46=0,Z46=""),0,MAX(0,'Example Parties'!$E$8-Z46))</f>
        <v/>
      </c>
      <c r="AH46">
        <f>IF(AND(P46="Creditor",X46=1,AG46&gt;0),AE46*((1+3*N('Example Parties'!$E$10)/12)^(AG46*12/365)-1),0)</f>
        <v/>
      </c>
      <c r="AI46">
        <f>IF(AND(C46&lt;&gt;"",C46='Example Ledger'!$D$4,B46&lt;&gt;"",B46&gt;='Example Ledger'!$D$5,B46&lt;='Example Ledger'!$D$6),1,0)</f>
        <v/>
      </c>
      <c r="AJ46">
        <f>IF(AI46=1,SUM(AI$7:AI46),"")</f>
        <v/>
      </c>
      <c r="AK46">
        <f>IF(OR(N46="",N46="OK"),0,1)</f>
        <v/>
      </c>
    </row>
    <row r="47">
      <c r="B47" s="24" t="n"/>
      <c r="C47" s="14" t="n"/>
      <c r="D47" s="14" t="n"/>
      <c r="E47" s="20" t="n"/>
      <c r="F47" s="24" t="n"/>
      <c r="G47" s="14" t="n"/>
      <c r="H47" s="22" t="n"/>
      <c r="I47" s="25">
        <f>IF(Q47="D",N(H47),0)</f>
        <v/>
      </c>
      <c r="J47" s="25">
        <f>IF(Q47="C",N(H47),0)</f>
        <v/>
      </c>
      <c r="K47" s="26">
        <f>IF(Z47="","",Z47)</f>
        <v/>
      </c>
      <c r="L47" s="27">
        <f>W47</f>
        <v/>
      </c>
      <c r="M47" s="28">
        <f>AA47</f>
        <v/>
      </c>
      <c r="N47" s="23">
        <f>IF(AND(B47="",C47="",D47="",N(H47)=0),"",IF(B47="","Enter the date",IF(C47="","Pick the party",IF(P47="?","Add this party on the Parties sheet first",IF(D47="","Pick the entry type",IF(Q47="?","Pick the entry type from the list",IF(N(H47)=0,"Enter the amount",IF(AND(R47&lt;&gt;"Any",R47&lt;&gt;P47),"Sales, receipts and credit notes are for debtors; purchases, payments and debit notes for creditors",IF(AND(F47&lt;&gt;"",D47&lt;&gt;"Purchase bill"),"The received-on date is only for purchase bills",IF(AND(P47="Creditor",X47=1,AA47&gt;0),"Past due to a micro or small supplier: interest runs under MSMED s.16, and if unpaid at year end it is not deductible that year, s.37(2)(g)",IF(AND(P47="Debtor",X47=1,AA47&gt;0),"Past due to you: as a micro or small supplier you can claim interest under MSMED s.16","OK")))))))))))</f>
        <v/>
      </c>
      <c r="P47">
        <f>IF(C47="","",IFERROR(VLOOKUP(C47,'Example Parties'!$B$13:$Q$112,2,FALSE),"?"))</f>
        <v/>
      </c>
      <c r="Q47">
        <f>IF(D47="","",IFERROR(VLOOKUP(D47,Lists!$A$2:$D$9,3,FALSE),"?"))</f>
        <v/>
      </c>
      <c r="R47">
        <f>IF(D47="","",IFERROR(VLOOKUP(D47,Lists!$A$2:$D$9,4,FALSE),"?"))</f>
        <v/>
      </c>
      <c r="S47">
        <f>IF(P47="Debtor",I47,IF(P47="Creditor",J47,0))</f>
        <v/>
      </c>
      <c r="T47">
        <f>IF(P47="Debtor",J47,IF(P47="Creditor",I47,0))</f>
        <v/>
      </c>
      <c r="U47">
        <f>IF(OR(S47=0,B47=""),0,IFERROR(VLOOKUP(C47,'Example Parties'!$B$13:$Q$112,13,FALSE),0)+SUMIFS($S$7:$S$506,$C$7:$C$506,C47,$B$7:$B$506,"&lt;"&amp;B47)+SUMIFS(S$7:S47,C$7:C47,C47,B$7:B47,B47))</f>
        <v/>
      </c>
      <c r="V47">
        <f>IF(S47=0,0,IFERROR(VLOOKUP(C47,'Example Parties'!$B$13:$Q$112,14,FALSE),0)+SUMIFS($T$7:$T$506,$C$7:$C$506,C47,$B$7:$B$506,"&lt;="&amp;'Example Outstanding'!$E$5))</f>
        <v/>
      </c>
      <c r="W47">
        <f>IF(OR('Example Outstanding'!$E$5="",S47=0,B47="",B47&gt;'Example Outstanding'!$E$5),0,MAX(0,MIN(S47,U47-V47)))</f>
        <v/>
      </c>
      <c r="X47">
        <f>IF(C47="",0,IFERROR(VLOOKUP(C47,'Example Parties'!$B$13:$Q$112,15,FALSE),0))</f>
        <v/>
      </c>
      <c r="Y47">
        <f>IF(C47="","",IFERROR(VLOOKUP(C47,'Example Parties'!$B$13:$Q$112,16,FALSE),0))</f>
        <v/>
      </c>
      <c r="Z47">
        <f>IF(OR(S47=0,B47="",Y47=""),"",IF(AND(F47&lt;&gt;"",D47="Purchase bill"),F47,B47)+Y47)</f>
        <v/>
      </c>
      <c r="AA47">
        <f>IF(OR(W47=0,Z47=""),0,MAX(0,'Example Outstanding'!$E$5-Z47))</f>
        <v/>
      </c>
      <c r="AB47">
        <f>IF(AND(X47=1,AA47&gt;0),W47*((1+3*N('Example Parties'!$E$10)/12)^(AA47*12/365)-1),0)</f>
        <v/>
      </c>
      <c r="AC47">
        <f>IF(W47=0,"",'Example Outstanding'!$E$5-B47)</f>
        <v/>
      </c>
      <c r="AD47">
        <f>IF(S47=0,0,IFERROR(VLOOKUP(C47,'Example Parties'!$B$13:$Q$112,14,FALSE),0)+SUMIFS($T$7:$T$506,$C$7:$C$506,C47,$B$7:$B$506,"&lt;="&amp;'Example Parties'!$E$8))</f>
        <v/>
      </c>
      <c r="AE47">
        <f>IF(OR('Example Parties'!$E$8="",S47=0,B47="",B47&gt;'Example Parties'!$E$8),0,MAX(0,MIN(S47,U47-AD47)))</f>
        <v/>
      </c>
      <c r="AF47">
        <f>IF(AND(P47="Creditor",X47=1,AE47&gt;0,Z47&lt;&gt;""),IF(Z47&lt;='Example Parties'!$E$8,AE47,0),0)</f>
        <v/>
      </c>
      <c r="AG47">
        <f>IF(OR(AE47=0,Z47=""),0,MAX(0,'Example Parties'!$E$8-Z47))</f>
        <v/>
      </c>
      <c r="AH47">
        <f>IF(AND(P47="Creditor",X47=1,AG47&gt;0),AE47*((1+3*N('Example Parties'!$E$10)/12)^(AG47*12/365)-1),0)</f>
        <v/>
      </c>
      <c r="AI47">
        <f>IF(AND(C47&lt;&gt;"",C47='Example Ledger'!$D$4,B47&lt;&gt;"",B47&gt;='Example Ledger'!$D$5,B47&lt;='Example Ledger'!$D$6),1,0)</f>
        <v/>
      </c>
      <c r="AJ47">
        <f>IF(AI47=1,SUM(AI$7:AI47),"")</f>
        <v/>
      </c>
      <c r="AK47">
        <f>IF(OR(N47="",N47="OK"),0,1)</f>
        <v/>
      </c>
    </row>
    <row r="48">
      <c r="B48" s="24" t="n"/>
      <c r="C48" s="14" t="n"/>
      <c r="D48" s="14" t="n"/>
      <c r="E48" s="20" t="n"/>
      <c r="F48" s="24" t="n"/>
      <c r="G48" s="14" t="n"/>
      <c r="H48" s="22" t="n"/>
      <c r="I48" s="25">
        <f>IF(Q48="D",N(H48),0)</f>
        <v/>
      </c>
      <c r="J48" s="25">
        <f>IF(Q48="C",N(H48),0)</f>
        <v/>
      </c>
      <c r="K48" s="26">
        <f>IF(Z48="","",Z48)</f>
        <v/>
      </c>
      <c r="L48" s="27">
        <f>W48</f>
        <v/>
      </c>
      <c r="M48" s="28">
        <f>AA48</f>
        <v/>
      </c>
      <c r="N48" s="23">
        <f>IF(AND(B48="",C48="",D48="",N(H48)=0),"",IF(B48="","Enter the date",IF(C48="","Pick the party",IF(P48="?","Add this party on the Parties sheet first",IF(D48="","Pick the entry type",IF(Q48="?","Pick the entry type from the list",IF(N(H48)=0,"Enter the amount",IF(AND(R48&lt;&gt;"Any",R48&lt;&gt;P48),"Sales, receipts and credit notes are for debtors; purchases, payments and debit notes for creditors",IF(AND(F48&lt;&gt;"",D48&lt;&gt;"Purchase bill"),"The received-on date is only for purchase bills",IF(AND(P48="Creditor",X48=1,AA48&gt;0),"Past due to a micro or small supplier: interest runs under MSMED s.16, and if unpaid at year end it is not deductible that year, s.37(2)(g)",IF(AND(P48="Debtor",X48=1,AA48&gt;0),"Past due to you: as a micro or small supplier you can claim interest under MSMED s.16","OK")))))))))))</f>
        <v/>
      </c>
      <c r="P48">
        <f>IF(C48="","",IFERROR(VLOOKUP(C48,'Example Parties'!$B$13:$Q$112,2,FALSE),"?"))</f>
        <v/>
      </c>
      <c r="Q48">
        <f>IF(D48="","",IFERROR(VLOOKUP(D48,Lists!$A$2:$D$9,3,FALSE),"?"))</f>
        <v/>
      </c>
      <c r="R48">
        <f>IF(D48="","",IFERROR(VLOOKUP(D48,Lists!$A$2:$D$9,4,FALSE),"?"))</f>
        <v/>
      </c>
      <c r="S48">
        <f>IF(P48="Debtor",I48,IF(P48="Creditor",J48,0))</f>
        <v/>
      </c>
      <c r="T48">
        <f>IF(P48="Debtor",J48,IF(P48="Creditor",I48,0))</f>
        <v/>
      </c>
      <c r="U48">
        <f>IF(OR(S48=0,B48=""),0,IFERROR(VLOOKUP(C48,'Example Parties'!$B$13:$Q$112,13,FALSE),0)+SUMIFS($S$7:$S$506,$C$7:$C$506,C48,$B$7:$B$506,"&lt;"&amp;B48)+SUMIFS(S$7:S48,C$7:C48,C48,B$7:B48,B48))</f>
        <v/>
      </c>
      <c r="V48">
        <f>IF(S48=0,0,IFERROR(VLOOKUP(C48,'Example Parties'!$B$13:$Q$112,14,FALSE),0)+SUMIFS($T$7:$T$506,$C$7:$C$506,C48,$B$7:$B$506,"&lt;="&amp;'Example Outstanding'!$E$5))</f>
        <v/>
      </c>
      <c r="W48">
        <f>IF(OR('Example Outstanding'!$E$5="",S48=0,B48="",B48&gt;'Example Outstanding'!$E$5),0,MAX(0,MIN(S48,U48-V48)))</f>
        <v/>
      </c>
      <c r="X48">
        <f>IF(C48="",0,IFERROR(VLOOKUP(C48,'Example Parties'!$B$13:$Q$112,15,FALSE),0))</f>
        <v/>
      </c>
      <c r="Y48">
        <f>IF(C48="","",IFERROR(VLOOKUP(C48,'Example Parties'!$B$13:$Q$112,16,FALSE),0))</f>
        <v/>
      </c>
      <c r="Z48">
        <f>IF(OR(S48=0,B48="",Y48=""),"",IF(AND(F48&lt;&gt;"",D48="Purchase bill"),F48,B48)+Y48)</f>
        <v/>
      </c>
      <c r="AA48">
        <f>IF(OR(W48=0,Z48=""),0,MAX(0,'Example Outstanding'!$E$5-Z48))</f>
        <v/>
      </c>
      <c r="AB48">
        <f>IF(AND(X48=1,AA48&gt;0),W48*((1+3*N('Example Parties'!$E$10)/12)^(AA48*12/365)-1),0)</f>
        <v/>
      </c>
      <c r="AC48">
        <f>IF(W48=0,"",'Example Outstanding'!$E$5-B48)</f>
        <v/>
      </c>
      <c r="AD48">
        <f>IF(S48=0,0,IFERROR(VLOOKUP(C48,'Example Parties'!$B$13:$Q$112,14,FALSE),0)+SUMIFS($T$7:$T$506,$C$7:$C$506,C48,$B$7:$B$506,"&lt;="&amp;'Example Parties'!$E$8))</f>
        <v/>
      </c>
      <c r="AE48">
        <f>IF(OR('Example Parties'!$E$8="",S48=0,B48="",B48&gt;'Example Parties'!$E$8),0,MAX(0,MIN(S48,U48-AD48)))</f>
        <v/>
      </c>
      <c r="AF48">
        <f>IF(AND(P48="Creditor",X48=1,AE48&gt;0,Z48&lt;&gt;""),IF(Z48&lt;='Example Parties'!$E$8,AE48,0),0)</f>
        <v/>
      </c>
      <c r="AG48">
        <f>IF(OR(AE48=0,Z48=""),0,MAX(0,'Example Parties'!$E$8-Z48))</f>
        <v/>
      </c>
      <c r="AH48">
        <f>IF(AND(P48="Creditor",X48=1,AG48&gt;0),AE48*((1+3*N('Example Parties'!$E$10)/12)^(AG48*12/365)-1),0)</f>
        <v/>
      </c>
      <c r="AI48">
        <f>IF(AND(C48&lt;&gt;"",C48='Example Ledger'!$D$4,B48&lt;&gt;"",B48&gt;='Example Ledger'!$D$5,B48&lt;='Example Ledger'!$D$6),1,0)</f>
        <v/>
      </c>
      <c r="AJ48">
        <f>IF(AI48=1,SUM(AI$7:AI48),"")</f>
        <v/>
      </c>
      <c r="AK48">
        <f>IF(OR(N48="",N48="OK"),0,1)</f>
        <v/>
      </c>
    </row>
    <row r="49">
      <c r="B49" s="24" t="n"/>
      <c r="C49" s="14" t="n"/>
      <c r="D49" s="14" t="n"/>
      <c r="E49" s="20" t="n"/>
      <c r="F49" s="24" t="n"/>
      <c r="G49" s="14" t="n"/>
      <c r="H49" s="22" t="n"/>
      <c r="I49" s="25">
        <f>IF(Q49="D",N(H49),0)</f>
        <v/>
      </c>
      <c r="J49" s="25">
        <f>IF(Q49="C",N(H49),0)</f>
        <v/>
      </c>
      <c r="K49" s="26">
        <f>IF(Z49="","",Z49)</f>
        <v/>
      </c>
      <c r="L49" s="27">
        <f>W49</f>
        <v/>
      </c>
      <c r="M49" s="28">
        <f>AA49</f>
        <v/>
      </c>
      <c r="N49" s="23">
        <f>IF(AND(B49="",C49="",D49="",N(H49)=0),"",IF(B49="","Enter the date",IF(C49="","Pick the party",IF(P49="?","Add this party on the Parties sheet first",IF(D49="","Pick the entry type",IF(Q49="?","Pick the entry type from the list",IF(N(H49)=0,"Enter the amount",IF(AND(R49&lt;&gt;"Any",R49&lt;&gt;P49),"Sales, receipts and credit notes are for debtors; purchases, payments and debit notes for creditors",IF(AND(F49&lt;&gt;"",D49&lt;&gt;"Purchase bill"),"The received-on date is only for purchase bills",IF(AND(P49="Creditor",X49=1,AA49&gt;0),"Past due to a micro or small supplier: interest runs under MSMED s.16, and if unpaid at year end it is not deductible that year, s.37(2)(g)",IF(AND(P49="Debtor",X49=1,AA49&gt;0),"Past due to you: as a micro or small supplier you can claim interest under MSMED s.16","OK")))))))))))</f>
        <v/>
      </c>
      <c r="P49">
        <f>IF(C49="","",IFERROR(VLOOKUP(C49,'Example Parties'!$B$13:$Q$112,2,FALSE),"?"))</f>
        <v/>
      </c>
      <c r="Q49">
        <f>IF(D49="","",IFERROR(VLOOKUP(D49,Lists!$A$2:$D$9,3,FALSE),"?"))</f>
        <v/>
      </c>
      <c r="R49">
        <f>IF(D49="","",IFERROR(VLOOKUP(D49,Lists!$A$2:$D$9,4,FALSE),"?"))</f>
        <v/>
      </c>
      <c r="S49">
        <f>IF(P49="Debtor",I49,IF(P49="Creditor",J49,0))</f>
        <v/>
      </c>
      <c r="T49">
        <f>IF(P49="Debtor",J49,IF(P49="Creditor",I49,0))</f>
        <v/>
      </c>
      <c r="U49">
        <f>IF(OR(S49=0,B49=""),0,IFERROR(VLOOKUP(C49,'Example Parties'!$B$13:$Q$112,13,FALSE),0)+SUMIFS($S$7:$S$506,$C$7:$C$506,C49,$B$7:$B$506,"&lt;"&amp;B49)+SUMIFS(S$7:S49,C$7:C49,C49,B$7:B49,B49))</f>
        <v/>
      </c>
      <c r="V49">
        <f>IF(S49=0,0,IFERROR(VLOOKUP(C49,'Example Parties'!$B$13:$Q$112,14,FALSE),0)+SUMIFS($T$7:$T$506,$C$7:$C$506,C49,$B$7:$B$506,"&lt;="&amp;'Example Outstanding'!$E$5))</f>
        <v/>
      </c>
      <c r="W49">
        <f>IF(OR('Example Outstanding'!$E$5="",S49=0,B49="",B49&gt;'Example Outstanding'!$E$5),0,MAX(0,MIN(S49,U49-V49)))</f>
        <v/>
      </c>
      <c r="X49">
        <f>IF(C49="",0,IFERROR(VLOOKUP(C49,'Example Parties'!$B$13:$Q$112,15,FALSE),0))</f>
        <v/>
      </c>
      <c r="Y49">
        <f>IF(C49="","",IFERROR(VLOOKUP(C49,'Example Parties'!$B$13:$Q$112,16,FALSE),0))</f>
        <v/>
      </c>
      <c r="Z49">
        <f>IF(OR(S49=0,B49="",Y49=""),"",IF(AND(F49&lt;&gt;"",D49="Purchase bill"),F49,B49)+Y49)</f>
        <v/>
      </c>
      <c r="AA49">
        <f>IF(OR(W49=0,Z49=""),0,MAX(0,'Example Outstanding'!$E$5-Z49))</f>
        <v/>
      </c>
      <c r="AB49">
        <f>IF(AND(X49=1,AA49&gt;0),W49*((1+3*N('Example Parties'!$E$10)/12)^(AA49*12/365)-1),0)</f>
        <v/>
      </c>
      <c r="AC49">
        <f>IF(W49=0,"",'Example Outstanding'!$E$5-B49)</f>
        <v/>
      </c>
      <c r="AD49">
        <f>IF(S49=0,0,IFERROR(VLOOKUP(C49,'Example Parties'!$B$13:$Q$112,14,FALSE),0)+SUMIFS($T$7:$T$506,$C$7:$C$506,C49,$B$7:$B$506,"&lt;="&amp;'Example Parties'!$E$8))</f>
        <v/>
      </c>
      <c r="AE49">
        <f>IF(OR('Example Parties'!$E$8="",S49=0,B49="",B49&gt;'Example Parties'!$E$8),0,MAX(0,MIN(S49,U49-AD49)))</f>
        <v/>
      </c>
      <c r="AF49">
        <f>IF(AND(P49="Creditor",X49=1,AE49&gt;0,Z49&lt;&gt;""),IF(Z49&lt;='Example Parties'!$E$8,AE49,0),0)</f>
        <v/>
      </c>
      <c r="AG49">
        <f>IF(OR(AE49=0,Z49=""),0,MAX(0,'Example Parties'!$E$8-Z49))</f>
        <v/>
      </c>
      <c r="AH49">
        <f>IF(AND(P49="Creditor",X49=1,AG49&gt;0),AE49*((1+3*N('Example Parties'!$E$10)/12)^(AG49*12/365)-1),0)</f>
        <v/>
      </c>
      <c r="AI49">
        <f>IF(AND(C49&lt;&gt;"",C49='Example Ledger'!$D$4,B49&lt;&gt;"",B49&gt;='Example Ledger'!$D$5,B49&lt;='Example Ledger'!$D$6),1,0)</f>
        <v/>
      </c>
      <c r="AJ49">
        <f>IF(AI49=1,SUM(AI$7:AI49),"")</f>
        <v/>
      </c>
      <c r="AK49">
        <f>IF(OR(N49="",N49="OK"),0,1)</f>
        <v/>
      </c>
    </row>
    <row r="50">
      <c r="B50" s="24" t="n"/>
      <c r="C50" s="14" t="n"/>
      <c r="D50" s="14" t="n"/>
      <c r="E50" s="20" t="n"/>
      <c r="F50" s="24" t="n"/>
      <c r="G50" s="14" t="n"/>
      <c r="H50" s="22" t="n"/>
      <c r="I50" s="25">
        <f>IF(Q50="D",N(H50),0)</f>
        <v/>
      </c>
      <c r="J50" s="25">
        <f>IF(Q50="C",N(H50),0)</f>
        <v/>
      </c>
      <c r="K50" s="26">
        <f>IF(Z50="","",Z50)</f>
        <v/>
      </c>
      <c r="L50" s="27">
        <f>W50</f>
        <v/>
      </c>
      <c r="M50" s="28">
        <f>AA50</f>
        <v/>
      </c>
      <c r="N50" s="23">
        <f>IF(AND(B50="",C50="",D50="",N(H50)=0),"",IF(B50="","Enter the date",IF(C50="","Pick the party",IF(P50="?","Add this party on the Parties sheet first",IF(D50="","Pick the entry type",IF(Q50="?","Pick the entry type from the list",IF(N(H50)=0,"Enter the amount",IF(AND(R50&lt;&gt;"Any",R50&lt;&gt;P50),"Sales, receipts and credit notes are for debtors; purchases, payments and debit notes for creditors",IF(AND(F50&lt;&gt;"",D50&lt;&gt;"Purchase bill"),"The received-on date is only for purchase bills",IF(AND(P50="Creditor",X50=1,AA50&gt;0),"Past due to a micro or small supplier: interest runs under MSMED s.16, and if unpaid at year end it is not deductible that year, s.37(2)(g)",IF(AND(P50="Debtor",X50=1,AA50&gt;0),"Past due to you: as a micro or small supplier you can claim interest under MSMED s.16","OK")))))))))))</f>
        <v/>
      </c>
      <c r="P50">
        <f>IF(C50="","",IFERROR(VLOOKUP(C50,'Example Parties'!$B$13:$Q$112,2,FALSE),"?"))</f>
        <v/>
      </c>
      <c r="Q50">
        <f>IF(D50="","",IFERROR(VLOOKUP(D50,Lists!$A$2:$D$9,3,FALSE),"?"))</f>
        <v/>
      </c>
      <c r="R50">
        <f>IF(D50="","",IFERROR(VLOOKUP(D50,Lists!$A$2:$D$9,4,FALSE),"?"))</f>
        <v/>
      </c>
      <c r="S50">
        <f>IF(P50="Debtor",I50,IF(P50="Creditor",J50,0))</f>
        <v/>
      </c>
      <c r="T50">
        <f>IF(P50="Debtor",J50,IF(P50="Creditor",I50,0))</f>
        <v/>
      </c>
      <c r="U50">
        <f>IF(OR(S50=0,B50=""),0,IFERROR(VLOOKUP(C50,'Example Parties'!$B$13:$Q$112,13,FALSE),0)+SUMIFS($S$7:$S$506,$C$7:$C$506,C50,$B$7:$B$506,"&lt;"&amp;B50)+SUMIFS(S$7:S50,C$7:C50,C50,B$7:B50,B50))</f>
        <v/>
      </c>
      <c r="V50">
        <f>IF(S50=0,0,IFERROR(VLOOKUP(C50,'Example Parties'!$B$13:$Q$112,14,FALSE),0)+SUMIFS($T$7:$T$506,$C$7:$C$506,C50,$B$7:$B$506,"&lt;="&amp;'Example Outstanding'!$E$5))</f>
        <v/>
      </c>
      <c r="W50">
        <f>IF(OR('Example Outstanding'!$E$5="",S50=0,B50="",B50&gt;'Example Outstanding'!$E$5),0,MAX(0,MIN(S50,U50-V50)))</f>
        <v/>
      </c>
      <c r="X50">
        <f>IF(C50="",0,IFERROR(VLOOKUP(C50,'Example Parties'!$B$13:$Q$112,15,FALSE),0))</f>
        <v/>
      </c>
      <c r="Y50">
        <f>IF(C50="","",IFERROR(VLOOKUP(C50,'Example Parties'!$B$13:$Q$112,16,FALSE),0))</f>
        <v/>
      </c>
      <c r="Z50">
        <f>IF(OR(S50=0,B50="",Y50=""),"",IF(AND(F50&lt;&gt;"",D50="Purchase bill"),F50,B50)+Y50)</f>
        <v/>
      </c>
      <c r="AA50">
        <f>IF(OR(W50=0,Z50=""),0,MAX(0,'Example Outstanding'!$E$5-Z50))</f>
        <v/>
      </c>
      <c r="AB50">
        <f>IF(AND(X50=1,AA50&gt;0),W50*((1+3*N('Example Parties'!$E$10)/12)^(AA50*12/365)-1),0)</f>
        <v/>
      </c>
      <c r="AC50">
        <f>IF(W50=0,"",'Example Outstanding'!$E$5-B50)</f>
        <v/>
      </c>
      <c r="AD50">
        <f>IF(S50=0,0,IFERROR(VLOOKUP(C50,'Example Parties'!$B$13:$Q$112,14,FALSE),0)+SUMIFS($T$7:$T$506,$C$7:$C$506,C50,$B$7:$B$506,"&lt;="&amp;'Example Parties'!$E$8))</f>
        <v/>
      </c>
      <c r="AE50">
        <f>IF(OR('Example Parties'!$E$8="",S50=0,B50="",B50&gt;'Example Parties'!$E$8),0,MAX(0,MIN(S50,U50-AD50)))</f>
        <v/>
      </c>
      <c r="AF50">
        <f>IF(AND(P50="Creditor",X50=1,AE50&gt;0,Z50&lt;&gt;""),IF(Z50&lt;='Example Parties'!$E$8,AE50,0),0)</f>
        <v/>
      </c>
      <c r="AG50">
        <f>IF(OR(AE50=0,Z50=""),0,MAX(0,'Example Parties'!$E$8-Z50))</f>
        <v/>
      </c>
      <c r="AH50">
        <f>IF(AND(P50="Creditor",X50=1,AG50&gt;0),AE50*((1+3*N('Example Parties'!$E$10)/12)^(AG50*12/365)-1),0)</f>
        <v/>
      </c>
      <c r="AI50">
        <f>IF(AND(C50&lt;&gt;"",C50='Example Ledger'!$D$4,B50&lt;&gt;"",B50&gt;='Example Ledger'!$D$5,B50&lt;='Example Ledger'!$D$6),1,0)</f>
        <v/>
      </c>
      <c r="AJ50">
        <f>IF(AI50=1,SUM(AI$7:AI50),"")</f>
        <v/>
      </c>
      <c r="AK50">
        <f>IF(OR(N50="",N50="OK"),0,1)</f>
        <v/>
      </c>
    </row>
    <row r="51">
      <c r="B51" s="24" t="n"/>
      <c r="C51" s="14" t="n"/>
      <c r="D51" s="14" t="n"/>
      <c r="E51" s="20" t="n"/>
      <c r="F51" s="24" t="n"/>
      <c r="G51" s="14" t="n"/>
      <c r="H51" s="22" t="n"/>
      <c r="I51" s="25">
        <f>IF(Q51="D",N(H51),0)</f>
        <v/>
      </c>
      <c r="J51" s="25">
        <f>IF(Q51="C",N(H51),0)</f>
        <v/>
      </c>
      <c r="K51" s="26">
        <f>IF(Z51="","",Z51)</f>
        <v/>
      </c>
      <c r="L51" s="27">
        <f>W51</f>
        <v/>
      </c>
      <c r="M51" s="28">
        <f>AA51</f>
        <v/>
      </c>
      <c r="N51" s="23">
        <f>IF(AND(B51="",C51="",D51="",N(H51)=0),"",IF(B51="","Enter the date",IF(C51="","Pick the party",IF(P51="?","Add this party on the Parties sheet first",IF(D51="","Pick the entry type",IF(Q51="?","Pick the entry type from the list",IF(N(H51)=0,"Enter the amount",IF(AND(R51&lt;&gt;"Any",R51&lt;&gt;P51),"Sales, receipts and credit notes are for debtors; purchases, payments and debit notes for creditors",IF(AND(F51&lt;&gt;"",D51&lt;&gt;"Purchase bill"),"The received-on date is only for purchase bills",IF(AND(P51="Creditor",X51=1,AA51&gt;0),"Past due to a micro or small supplier: interest runs under MSMED s.16, and if unpaid at year end it is not deductible that year, s.37(2)(g)",IF(AND(P51="Debtor",X51=1,AA51&gt;0),"Past due to you: as a micro or small supplier you can claim interest under MSMED s.16","OK")))))))))))</f>
        <v/>
      </c>
      <c r="P51">
        <f>IF(C51="","",IFERROR(VLOOKUP(C51,'Example Parties'!$B$13:$Q$112,2,FALSE),"?"))</f>
        <v/>
      </c>
      <c r="Q51">
        <f>IF(D51="","",IFERROR(VLOOKUP(D51,Lists!$A$2:$D$9,3,FALSE),"?"))</f>
        <v/>
      </c>
      <c r="R51">
        <f>IF(D51="","",IFERROR(VLOOKUP(D51,Lists!$A$2:$D$9,4,FALSE),"?"))</f>
        <v/>
      </c>
      <c r="S51">
        <f>IF(P51="Debtor",I51,IF(P51="Creditor",J51,0))</f>
        <v/>
      </c>
      <c r="T51">
        <f>IF(P51="Debtor",J51,IF(P51="Creditor",I51,0))</f>
        <v/>
      </c>
      <c r="U51">
        <f>IF(OR(S51=0,B51=""),0,IFERROR(VLOOKUP(C51,'Example Parties'!$B$13:$Q$112,13,FALSE),0)+SUMIFS($S$7:$S$506,$C$7:$C$506,C51,$B$7:$B$506,"&lt;"&amp;B51)+SUMIFS(S$7:S51,C$7:C51,C51,B$7:B51,B51))</f>
        <v/>
      </c>
      <c r="V51">
        <f>IF(S51=0,0,IFERROR(VLOOKUP(C51,'Example Parties'!$B$13:$Q$112,14,FALSE),0)+SUMIFS($T$7:$T$506,$C$7:$C$506,C51,$B$7:$B$506,"&lt;="&amp;'Example Outstanding'!$E$5))</f>
        <v/>
      </c>
      <c r="W51">
        <f>IF(OR('Example Outstanding'!$E$5="",S51=0,B51="",B51&gt;'Example Outstanding'!$E$5),0,MAX(0,MIN(S51,U51-V51)))</f>
        <v/>
      </c>
      <c r="X51">
        <f>IF(C51="",0,IFERROR(VLOOKUP(C51,'Example Parties'!$B$13:$Q$112,15,FALSE),0))</f>
        <v/>
      </c>
      <c r="Y51">
        <f>IF(C51="","",IFERROR(VLOOKUP(C51,'Example Parties'!$B$13:$Q$112,16,FALSE),0))</f>
        <v/>
      </c>
      <c r="Z51">
        <f>IF(OR(S51=0,B51="",Y51=""),"",IF(AND(F51&lt;&gt;"",D51="Purchase bill"),F51,B51)+Y51)</f>
        <v/>
      </c>
      <c r="AA51">
        <f>IF(OR(W51=0,Z51=""),0,MAX(0,'Example Outstanding'!$E$5-Z51))</f>
        <v/>
      </c>
      <c r="AB51">
        <f>IF(AND(X51=1,AA51&gt;0),W51*((1+3*N('Example Parties'!$E$10)/12)^(AA51*12/365)-1),0)</f>
        <v/>
      </c>
      <c r="AC51">
        <f>IF(W51=0,"",'Example Outstanding'!$E$5-B51)</f>
        <v/>
      </c>
      <c r="AD51">
        <f>IF(S51=0,0,IFERROR(VLOOKUP(C51,'Example Parties'!$B$13:$Q$112,14,FALSE),0)+SUMIFS($T$7:$T$506,$C$7:$C$506,C51,$B$7:$B$506,"&lt;="&amp;'Example Parties'!$E$8))</f>
        <v/>
      </c>
      <c r="AE51">
        <f>IF(OR('Example Parties'!$E$8="",S51=0,B51="",B51&gt;'Example Parties'!$E$8),0,MAX(0,MIN(S51,U51-AD51)))</f>
        <v/>
      </c>
      <c r="AF51">
        <f>IF(AND(P51="Creditor",X51=1,AE51&gt;0,Z51&lt;&gt;""),IF(Z51&lt;='Example Parties'!$E$8,AE51,0),0)</f>
        <v/>
      </c>
      <c r="AG51">
        <f>IF(OR(AE51=0,Z51=""),0,MAX(0,'Example Parties'!$E$8-Z51))</f>
        <v/>
      </c>
      <c r="AH51">
        <f>IF(AND(P51="Creditor",X51=1,AG51&gt;0),AE51*((1+3*N('Example Parties'!$E$10)/12)^(AG51*12/365)-1),0)</f>
        <v/>
      </c>
      <c r="AI51">
        <f>IF(AND(C51&lt;&gt;"",C51='Example Ledger'!$D$4,B51&lt;&gt;"",B51&gt;='Example Ledger'!$D$5,B51&lt;='Example Ledger'!$D$6),1,0)</f>
        <v/>
      </c>
      <c r="AJ51">
        <f>IF(AI51=1,SUM(AI$7:AI51),"")</f>
        <v/>
      </c>
      <c r="AK51">
        <f>IF(OR(N51="",N51="OK"),0,1)</f>
        <v/>
      </c>
    </row>
    <row r="52">
      <c r="B52" s="24" t="n"/>
      <c r="C52" s="14" t="n"/>
      <c r="D52" s="14" t="n"/>
      <c r="E52" s="20" t="n"/>
      <c r="F52" s="24" t="n"/>
      <c r="G52" s="14" t="n"/>
      <c r="H52" s="22" t="n"/>
      <c r="I52" s="25">
        <f>IF(Q52="D",N(H52),0)</f>
        <v/>
      </c>
      <c r="J52" s="25">
        <f>IF(Q52="C",N(H52),0)</f>
        <v/>
      </c>
      <c r="K52" s="26">
        <f>IF(Z52="","",Z52)</f>
        <v/>
      </c>
      <c r="L52" s="27">
        <f>W52</f>
        <v/>
      </c>
      <c r="M52" s="28">
        <f>AA52</f>
        <v/>
      </c>
      <c r="N52" s="23">
        <f>IF(AND(B52="",C52="",D52="",N(H52)=0),"",IF(B52="","Enter the date",IF(C52="","Pick the party",IF(P52="?","Add this party on the Parties sheet first",IF(D52="","Pick the entry type",IF(Q52="?","Pick the entry type from the list",IF(N(H52)=0,"Enter the amount",IF(AND(R52&lt;&gt;"Any",R52&lt;&gt;P52),"Sales, receipts and credit notes are for debtors; purchases, payments and debit notes for creditors",IF(AND(F52&lt;&gt;"",D52&lt;&gt;"Purchase bill"),"The received-on date is only for purchase bills",IF(AND(P52="Creditor",X52=1,AA52&gt;0),"Past due to a micro or small supplier: interest runs under MSMED s.16, and if unpaid at year end it is not deductible that year, s.37(2)(g)",IF(AND(P52="Debtor",X52=1,AA52&gt;0),"Past due to you: as a micro or small supplier you can claim interest under MSMED s.16","OK")))))))))))</f>
        <v/>
      </c>
      <c r="P52">
        <f>IF(C52="","",IFERROR(VLOOKUP(C52,'Example Parties'!$B$13:$Q$112,2,FALSE),"?"))</f>
        <v/>
      </c>
      <c r="Q52">
        <f>IF(D52="","",IFERROR(VLOOKUP(D52,Lists!$A$2:$D$9,3,FALSE),"?"))</f>
        <v/>
      </c>
      <c r="R52">
        <f>IF(D52="","",IFERROR(VLOOKUP(D52,Lists!$A$2:$D$9,4,FALSE),"?"))</f>
        <v/>
      </c>
      <c r="S52">
        <f>IF(P52="Debtor",I52,IF(P52="Creditor",J52,0))</f>
        <v/>
      </c>
      <c r="T52">
        <f>IF(P52="Debtor",J52,IF(P52="Creditor",I52,0))</f>
        <v/>
      </c>
      <c r="U52">
        <f>IF(OR(S52=0,B52=""),0,IFERROR(VLOOKUP(C52,'Example Parties'!$B$13:$Q$112,13,FALSE),0)+SUMIFS($S$7:$S$506,$C$7:$C$506,C52,$B$7:$B$506,"&lt;"&amp;B52)+SUMIFS(S$7:S52,C$7:C52,C52,B$7:B52,B52))</f>
        <v/>
      </c>
      <c r="V52">
        <f>IF(S52=0,0,IFERROR(VLOOKUP(C52,'Example Parties'!$B$13:$Q$112,14,FALSE),0)+SUMIFS($T$7:$T$506,$C$7:$C$506,C52,$B$7:$B$506,"&lt;="&amp;'Example Outstanding'!$E$5))</f>
        <v/>
      </c>
      <c r="W52">
        <f>IF(OR('Example Outstanding'!$E$5="",S52=0,B52="",B52&gt;'Example Outstanding'!$E$5),0,MAX(0,MIN(S52,U52-V52)))</f>
        <v/>
      </c>
      <c r="X52">
        <f>IF(C52="",0,IFERROR(VLOOKUP(C52,'Example Parties'!$B$13:$Q$112,15,FALSE),0))</f>
        <v/>
      </c>
      <c r="Y52">
        <f>IF(C52="","",IFERROR(VLOOKUP(C52,'Example Parties'!$B$13:$Q$112,16,FALSE),0))</f>
        <v/>
      </c>
      <c r="Z52">
        <f>IF(OR(S52=0,B52="",Y52=""),"",IF(AND(F52&lt;&gt;"",D52="Purchase bill"),F52,B52)+Y52)</f>
        <v/>
      </c>
      <c r="AA52">
        <f>IF(OR(W52=0,Z52=""),0,MAX(0,'Example Outstanding'!$E$5-Z52))</f>
        <v/>
      </c>
      <c r="AB52">
        <f>IF(AND(X52=1,AA52&gt;0),W52*((1+3*N('Example Parties'!$E$10)/12)^(AA52*12/365)-1),0)</f>
        <v/>
      </c>
      <c r="AC52">
        <f>IF(W52=0,"",'Example Outstanding'!$E$5-B52)</f>
        <v/>
      </c>
      <c r="AD52">
        <f>IF(S52=0,0,IFERROR(VLOOKUP(C52,'Example Parties'!$B$13:$Q$112,14,FALSE),0)+SUMIFS($T$7:$T$506,$C$7:$C$506,C52,$B$7:$B$506,"&lt;="&amp;'Example Parties'!$E$8))</f>
        <v/>
      </c>
      <c r="AE52">
        <f>IF(OR('Example Parties'!$E$8="",S52=0,B52="",B52&gt;'Example Parties'!$E$8),0,MAX(0,MIN(S52,U52-AD52)))</f>
        <v/>
      </c>
      <c r="AF52">
        <f>IF(AND(P52="Creditor",X52=1,AE52&gt;0,Z52&lt;&gt;""),IF(Z52&lt;='Example Parties'!$E$8,AE52,0),0)</f>
        <v/>
      </c>
      <c r="AG52">
        <f>IF(OR(AE52=0,Z52=""),0,MAX(0,'Example Parties'!$E$8-Z52))</f>
        <v/>
      </c>
      <c r="AH52">
        <f>IF(AND(P52="Creditor",X52=1,AG52&gt;0),AE52*((1+3*N('Example Parties'!$E$10)/12)^(AG52*12/365)-1),0)</f>
        <v/>
      </c>
      <c r="AI52">
        <f>IF(AND(C52&lt;&gt;"",C52='Example Ledger'!$D$4,B52&lt;&gt;"",B52&gt;='Example Ledger'!$D$5,B52&lt;='Example Ledger'!$D$6),1,0)</f>
        <v/>
      </c>
      <c r="AJ52">
        <f>IF(AI52=1,SUM(AI$7:AI52),"")</f>
        <v/>
      </c>
      <c r="AK52">
        <f>IF(OR(N52="",N52="OK"),0,1)</f>
        <v/>
      </c>
    </row>
    <row r="53">
      <c r="B53" s="24" t="n"/>
      <c r="C53" s="14" t="n"/>
      <c r="D53" s="14" t="n"/>
      <c r="E53" s="20" t="n"/>
      <c r="F53" s="24" t="n"/>
      <c r="G53" s="14" t="n"/>
      <c r="H53" s="22" t="n"/>
      <c r="I53" s="25">
        <f>IF(Q53="D",N(H53),0)</f>
        <v/>
      </c>
      <c r="J53" s="25">
        <f>IF(Q53="C",N(H53),0)</f>
        <v/>
      </c>
      <c r="K53" s="26">
        <f>IF(Z53="","",Z53)</f>
        <v/>
      </c>
      <c r="L53" s="27">
        <f>W53</f>
        <v/>
      </c>
      <c r="M53" s="28">
        <f>AA53</f>
        <v/>
      </c>
      <c r="N53" s="23">
        <f>IF(AND(B53="",C53="",D53="",N(H53)=0),"",IF(B53="","Enter the date",IF(C53="","Pick the party",IF(P53="?","Add this party on the Parties sheet first",IF(D53="","Pick the entry type",IF(Q53="?","Pick the entry type from the list",IF(N(H53)=0,"Enter the amount",IF(AND(R53&lt;&gt;"Any",R53&lt;&gt;P53),"Sales, receipts and credit notes are for debtors; purchases, payments and debit notes for creditors",IF(AND(F53&lt;&gt;"",D53&lt;&gt;"Purchase bill"),"The received-on date is only for purchase bills",IF(AND(P53="Creditor",X53=1,AA53&gt;0),"Past due to a micro or small supplier: interest runs under MSMED s.16, and if unpaid at year end it is not deductible that year, s.37(2)(g)",IF(AND(P53="Debtor",X53=1,AA53&gt;0),"Past due to you: as a micro or small supplier you can claim interest under MSMED s.16","OK")))))))))))</f>
        <v/>
      </c>
      <c r="P53">
        <f>IF(C53="","",IFERROR(VLOOKUP(C53,'Example Parties'!$B$13:$Q$112,2,FALSE),"?"))</f>
        <v/>
      </c>
      <c r="Q53">
        <f>IF(D53="","",IFERROR(VLOOKUP(D53,Lists!$A$2:$D$9,3,FALSE),"?"))</f>
        <v/>
      </c>
      <c r="R53">
        <f>IF(D53="","",IFERROR(VLOOKUP(D53,Lists!$A$2:$D$9,4,FALSE),"?"))</f>
        <v/>
      </c>
      <c r="S53">
        <f>IF(P53="Debtor",I53,IF(P53="Creditor",J53,0))</f>
        <v/>
      </c>
      <c r="T53">
        <f>IF(P53="Debtor",J53,IF(P53="Creditor",I53,0))</f>
        <v/>
      </c>
      <c r="U53">
        <f>IF(OR(S53=0,B53=""),0,IFERROR(VLOOKUP(C53,'Example Parties'!$B$13:$Q$112,13,FALSE),0)+SUMIFS($S$7:$S$506,$C$7:$C$506,C53,$B$7:$B$506,"&lt;"&amp;B53)+SUMIFS(S$7:S53,C$7:C53,C53,B$7:B53,B53))</f>
        <v/>
      </c>
      <c r="V53">
        <f>IF(S53=0,0,IFERROR(VLOOKUP(C53,'Example Parties'!$B$13:$Q$112,14,FALSE),0)+SUMIFS($T$7:$T$506,$C$7:$C$506,C53,$B$7:$B$506,"&lt;="&amp;'Example Outstanding'!$E$5))</f>
        <v/>
      </c>
      <c r="W53">
        <f>IF(OR('Example Outstanding'!$E$5="",S53=0,B53="",B53&gt;'Example Outstanding'!$E$5),0,MAX(0,MIN(S53,U53-V53)))</f>
        <v/>
      </c>
      <c r="X53">
        <f>IF(C53="",0,IFERROR(VLOOKUP(C53,'Example Parties'!$B$13:$Q$112,15,FALSE),0))</f>
        <v/>
      </c>
      <c r="Y53">
        <f>IF(C53="","",IFERROR(VLOOKUP(C53,'Example Parties'!$B$13:$Q$112,16,FALSE),0))</f>
        <v/>
      </c>
      <c r="Z53">
        <f>IF(OR(S53=0,B53="",Y53=""),"",IF(AND(F53&lt;&gt;"",D53="Purchase bill"),F53,B53)+Y53)</f>
        <v/>
      </c>
      <c r="AA53">
        <f>IF(OR(W53=0,Z53=""),0,MAX(0,'Example Outstanding'!$E$5-Z53))</f>
        <v/>
      </c>
      <c r="AB53">
        <f>IF(AND(X53=1,AA53&gt;0),W53*((1+3*N('Example Parties'!$E$10)/12)^(AA53*12/365)-1),0)</f>
        <v/>
      </c>
      <c r="AC53">
        <f>IF(W53=0,"",'Example Outstanding'!$E$5-B53)</f>
        <v/>
      </c>
      <c r="AD53">
        <f>IF(S53=0,0,IFERROR(VLOOKUP(C53,'Example Parties'!$B$13:$Q$112,14,FALSE),0)+SUMIFS($T$7:$T$506,$C$7:$C$506,C53,$B$7:$B$506,"&lt;="&amp;'Example Parties'!$E$8))</f>
        <v/>
      </c>
      <c r="AE53">
        <f>IF(OR('Example Parties'!$E$8="",S53=0,B53="",B53&gt;'Example Parties'!$E$8),0,MAX(0,MIN(S53,U53-AD53)))</f>
        <v/>
      </c>
      <c r="AF53">
        <f>IF(AND(P53="Creditor",X53=1,AE53&gt;0,Z53&lt;&gt;""),IF(Z53&lt;='Example Parties'!$E$8,AE53,0),0)</f>
        <v/>
      </c>
      <c r="AG53">
        <f>IF(OR(AE53=0,Z53=""),0,MAX(0,'Example Parties'!$E$8-Z53))</f>
        <v/>
      </c>
      <c r="AH53">
        <f>IF(AND(P53="Creditor",X53=1,AG53&gt;0),AE53*((1+3*N('Example Parties'!$E$10)/12)^(AG53*12/365)-1),0)</f>
        <v/>
      </c>
      <c r="AI53">
        <f>IF(AND(C53&lt;&gt;"",C53='Example Ledger'!$D$4,B53&lt;&gt;"",B53&gt;='Example Ledger'!$D$5,B53&lt;='Example Ledger'!$D$6),1,0)</f>
        <v/>
      </c>
      <c r="AJ53">
        <f>IF(AI53=1,SUM(AI$7:AI53),"")</f>
        <v/>
      </c>
      <c r="AK53">
        <f>IF(OR(N53="",N53="OK"),0,1)</f>
        <v/>
      </c>
    </row>
    <row r="54">
      <c r="B54" s="24" t="n"/>
      <c r="C54" s="14" t="n"/>
      <c r="D54" s="14" t="n"/>
      <c r="E54" s="20" t="n"/>
      <c r="F54" s="24" t="n"/>
      <c r="G54" s="14" t="n"/>
      <c r="H54" s="22" t="n"/>
      <c r="I54" s="25">
        <f>IF(Q54="D",N(H54),0)</f>
        <v/>
      </c>
      <c r="J54" s="25">
        <f>IF(Q54="C",N(H54),0)</f>
        <v/>
      </c>
      <c r="K54" s="26">
        <f>IF(Z54="","",Z54)</f>
        <v/>
      </c>
      <c r="L54" s="27">
        <f>W54</f>
        <v/>
      </c>
      <c r="M54" s="28">
        <f>AA54</f>
        <v/>
      </c>
      <c r="N54" s="23">
        <f>IF(AND(B54="",C54="",D54="",N(H54)=0),"",IF(B54="","Enter the date",IF(C54="","Pick the party",IF(P54="?","Add this party on the Parties sheet first",IF(D54="","Pick the entry type",IF(Q54="?","Pick the entry type from the list",IF(N(H54)=0,"Enter the amount",IF(AND(R54&lt;&gt;"Any",R54&lt;&gt;P54),"Sales, receipts and credit notes are for debtors; purchases, payments and debit notes for creditors",IF(AND(F54&lt;&gt;"",D54&lt;&gt;"Purchase bill"),"The received-on date is only for purchase bills",IF(AND(P54="Creditor",X54=1,AA54&gt;0),"Past due to a micro or small supplier: interest runs under MSMED s.16, and if unpaid at year end it is not deductible that year, s.37(2)(g)",IF(AND(P54="Debtor",X54=1,AA54&gt;0),"Past due to you: as a micro or small supplier you can claim interest under MSMED s.16","OK")))))))))))</f>
        <v/>
      </c>
      <c r="P54">
        <f>IF(C54="","",IFERROR(VLOOKUP(C54,'Example Parties'!$B$13:$Q$112,2,FALSE),"?"))</f>
        <v/>
      </c>
      <c r="Q54">
        <f>IF(D54="","",IFERROR(VLOOKUP(D54,Lists!$A$2:$D$9,3,FALSE),"?"))</f>
        <v/>
      </c>
      <c r="R54">
        <f>IF(D54="","",IFERROR(VLOOKUP(D54,Lists!$A$2:$D$9,4,FALSE),"?"))</f>
        <v/>
      </c>
      <c r="S54">
        <f>IF(P54="Debtor",I54,IF(P54="Creditor",J54,0))</f>
        <v/>
      </c>
      <c r="T54">
        <f>IF(P54="Debtor",J54,IF(P54="Creditor",I54,0))</f>
        <v/>
      </c>
      <c r="U54">
        <f>IF(OR(S54=0,B54=""),0,IFERROR(VLOOKUP(C54,'Example Parties'!$B$13:$Q$112,13,FALSE),0)+SUMIFS($S$7:$S$506,$C$7:$C$506,C54,$B$7:$B$506,"&lt;"&amp;B54)+SUMIFS(S$7:S54,C$7:C54,C54,B$7:B54,B54))</f>
        <v/>
      </c>
      <c r="V54">
        <f>IF(S54=0,0,IFERROR(VLOOKUP(C54,'Example Parties'!$B$13:$Q$112,14,FALSE),0)+SUMIFS($T$7:$T$506,$C$7:$C$506,C54,$B$7:$B$506,"&lt;="&amp;'Example Outstanding'!$E$5))</f>
        <v/>
      </c>
      <c r="W54">
        <f>IF(OR('Example Outstanding'!$E$5="",S54=0,B54="",B54&gt;'Example Outstanding'!$E$5),0,MAX(0,MIN(S54,U54-V54)))</f>
        <v/>
      </c>
      <c r="X54">
        <f>IF(C54="",0,IFERROR(VLOOKUP(C54,'Example Parties'!$B$13:$Q$112,15,FALSE),0))</f>
        <v/>
      </c>
      <c r="Y54">
        <f>IF(C54="","",IFERROR(VLOOKUP(C54,'Example Parties'!$B$13:$Q$112,16,FALSE),0))</f>
        <v/>
      </c>
      <c r="Z54">
        <f>IF(OR(S54=0,B54="",Y54=""),"",IF(AND(F54&lt;&gt;"",D54="Purchase bill"),F54,B54)+Y54)</f>
        <v/>
      </c>
      <c r="AA54">
        <f>IF(OR(W54=0,Z54=""),0,MAX(0,'Example Outstanding'!$E$5-Z54))</f>
        <v/>
      </c>
      <c r="AB54">
        <f>IF(AND(X54=1,AA54&gt;0),W54*((1+3*N('Example Parties'!$E$10)/12)^(AA54*12/365)-1),0)</f>
        <v/>
      </c>
      <c r="AC54">
        <f>IF(W54=0,"",'Example Outstanding'!$E$5-B54)</f>
        <v/>
      </c>
      <c r="AD54">
        <f>IF(S54=0,0,IFERROR(VLOOKUP(C54,'Example Parties'!$B$13:$Q$112,14,FALSE),0)+SUMIFS($T$7:$T$506,$C$7:$C$506,C54,$B$7:$B$506,"&lt;="&amp;'Example Parties'!$E$8))</f>
        <v/>
      </c>
      <c r="AE54">
        <f>IF(OR('Example Parties'!$E$8="",S54=0,B54="",B54&gt;'Example Parties'!$E$8),0,MAX(0,MIN(S54,U54-AD54)))</f>
        <v/>
      </c>
      <c r="AF54">
        <f>IF(AND(P54="Creditor",X54=1,AE54&gt;0,Z54&lt;&gt;""),IF(Z54&lt;='Example Parties'!$E$8,AE54,0),0)</f>
        <v/>
      </c>
      <c r="AG54">
        <f>IF(OR(AE54=0,Z54=""),0,MAX(0,'Example Parties'!$E$8-Z54))</f>
        <v/>
      </c>
      <c r="AH54">
        <f>IF(AND(P54="Creditor",X54=1,AG54&gt;0),AE54*((1+3*N('Example Parties'!$E$10)/12)^(AG54*12/365)-1),0)</f>
        <v/>
      </c>
      <c r="AI54">
        <f>IF(AND(C54&lt;&gt;"",C54='Example Ledger'!$D$4,B54&lt;&gt;"",B54&gt;='Example Ledger'!$D$5,B54&lt;='Example Ledger'!$D$6),1,0)</f>
        <v/>
      </c>
      <c r="AJ54">
        <f>IF(AI54=1,SUM(AI$7:AI54),"")</f>
        <v/>
      </c>
      <c r="AK54">
        <f>IF(OR(N54="",N54="OK"),0,1)</f>
        <v/>
      </c>
    </row>
    <row r="55">
      <c r="B55" s="24" t="n"/>
      <c r="C55" s="14" t="n"/>
      <c r="D55" s="14" t="n"/>
      <c r="E55" s="20" t="n"/>
      <c r="F55" s="24" t="n"/>
      <c r="G55" s="14" t="n"/>
      <c r="H55" s="22" t="n"/>
      <c r="I55" s="25">
        <f>IF(Q55="D",N(H55),0)</f>
        <v/>
      </c>
      <c r="J55" s="25">
        <f>IF(Q55="C",N(H55),0)</f>
        <v/>
      </c>
      <c r="K55" s="26">
        <f>IF(Z55="","",Z55)</f>
        <v/>
      </c>
      <c r="L55" s="27">
        <f>W55</f>
        <v/>
      </c>
      <c r="M55" s="28">
        <f>AA55</f>
        <v/>
      </c>
      <c r="N55" s="23">
        <f>IF(AND(B55="",C55="",D55="",N(H55)=0),"",IF(B55="","Enter the date",IF(C55="","Pick the party",IF(P55="?","Add this party on the Parties sheet first",IF(D55="","Pick the entry type",IF(Q55="?","Pick the entry type from the list",IF(N(H55)=0,"Enter the amount",IF(AND(R55&lt;&gt;"Any",R55&lt;&gt;P55),"Sales, receipts and credit notes are for debtors; purchases, payments and debit notes for creditors",IF(AND(F55&lt;&gt;"",D55&lt;&gt;"Purchase bill"),"The received-on date is only for purchase bills",IF(AND(P55="Creditor",X55=1,AA55&gt;0),"Past due to a micro or small supplier: interest runs under MSMED s.16, and if unpaid at year end it is not deductible that year, s.37(2)(g)",IF(AND(P55="Debtor",X55=1,AA55&gt;0),"Past due to you: as a micro or small supplier you can claim interest under MSMED s.16","OK")))))))))))</f>
        <v/>
      </c>
      <c r="P55">
        <f>IF(C55="","",IFERROR(VLOOKUP(C55,'Example Parties'!$B$13:$Q$112,2,FALSE),"?"))</f>
        <v/>
      </c>
      <c r="Q55">
        <f>IF(D55="","",IFERROR(VLOOKUP(D55,Lists!$A$2:$D$9,3,FALSE),"?"))</f>
        <v/>
      </c>
      <c r="R55">
        <f>IF(D55="","",IFERROR(VLOOKUP(D55,Lists!$A$2:$D$9,4,FALSE),"?"))</f>
        <v/>
      </c>
      <c r="S55">
        <f>IF(P55="Debtor",I55,IF(P55="Creditor",J55,0))</f>
        <v/>
      </c>
      <c r="T55">
        <f>IF(P55="Debtor",J55,IF(P55="Creditor",I55,0))</f>
        <v/>
      </c>
      <c r="U55">
        <f>IF(OR(S55=0,B55=""),0,IFERROR(VLOOKUP(C55,'Example Parties'!$B$13:$Q$112,13,FALSE),0)+SUMIFS($S$7:$S$506,$C$7:$C$506,C55,$B$7:$B$506,"&lt;"&amp;B55)+SUMIFS(S$7:S55,C$7:C55,C55,B$7:B55,B55))</f>
        <v/>
      </c>
      <c r="V55">
        <f>IF(S55=0,0,IFERROR(VLOOKUP(C55,'Example Parties'!$B$13:$Q$112,14,FALSE),0)+SUMIFS($T$7:$T$506,$C$7:$C$506,C55,$B$7:$B$506,"&lt;="&amp;'Example Outstanding'!$E$5))</f>
        <v/>
      </c>
      <c r="W55">
        <f>IF(OR('Example Outstanding'!$E$5="",S55=0,B55="",B55&gt;'Example Outstanding'!$E$5),0,MAX(0,MIN(S55,U55-V55)))</f>
        <v/>
      </c>
      <c r="X55">
        <f>IF(C55="",0,IFERROR(VLOOKUP(C55,'Example Parties'!$B$13:$Q$112,15,FALSE),0))</f>
        <v/>
      </c>
      <c r="Y55">
        <f>IF(C55="","",IFERROR(VLOOKUP(C55,'Example Parties'!$B$13:$Q$112,16,FALSE),0))</f>
        <v/>
      </c>
      <c r="Z55">
        <f>IF(OR(S55=0,B55="",Y55=""),"",IF(AND(F55&lt;&gt;"",D55="Purchase bill"),F55,B55)+Y55)</f>
        <v/>
      </c>
      <c r="AA55">
        <f>IF(OR(W55=0,Z55=""),0,MAX(0,'Example Outstanding'!$E$5-Z55))</f>
        <v/>
      </c>
      <c r="AB55">
        <f>IF(AND(X55=1,AA55&gt;0),W55*((1+3*N('Example Parties'!$E$10)/12)^(AA55*12/365)-1),0)</f>
        <v/>
      </c>
      <c r="AC55">
        <f>IF(W55=0,"",'Example Outstanding'!$E$5-B55)</f>
        <v/>
      </c>
      <c r="AD55">
        <f>IF(S55=0,0,IFERROR(VLOOKUP(C55,'Example Parties'!$B$13:$Q$112,14,FALSE),0)+SUMIFS($T$7:$T$506,$C$7:$C$506,C55,$B$7:$B$506,"&lt;="&amp;'Example Parties'!$E$8))</f>
        <v/>
      </c>
      <c r="AE55">
        <f>IF(OR('Example Parties'!$E$8="",S55=0,B55="",B55&gt;'Example Parties'!$E$8),0,MAX(0,MIN(S55,U55-AD55)))</f>
        <v/>
      </c>
      <c r="AF55">
        <f>IF(AND(P55="Creditor",X55=1,AE55&gt;0,Z55&lt;&gt;""),IF(Z55&lt;='Example Parties'!$E$8,AE55,0),0)</f>
        <v/>
      </c>
      <c r="AG55">
        <f>IF(OR(AE55=0,Z55=""),0,MAX(0,'Example Parties'!$E$8-Z55))</f>
        <v/>
      </c>
      <c r="AH55">
        <f>IF(AND(P55="Creditor",X55=1,AG55&gt;0),AE55*((1+3*N('Example Parties'!$E$10)/12)^(AG55*12/365)-1),0)</f>
        <v/>
      </c>
      <c r="AI55">
        <f>IF(AND(C55&lt;&gt;"",C55='Example Ledger'!$D$4,B55&lt;&gt;"",B55&gt;='Example Ledger'!$D$5,B55&lt;='Example Ledger'!$D$6),1,0)</f>
        <v/>
      </c>
      <c r="AJ55">
        <f>IF(AI55=1,SUM(AI$7:AI55),"")</f>
        <v/>
      </c>
      <c r="AK55">
        <f>IF(OR(N55="",N55="OK"),0,1)</f>
        <v/>
      </c>
    </row>
    <row r="56">
      <c r="B56" s="24" t="n"/>
      <c r="C56" s="14" t="n"/>
      <c r="D56" s="14" t="n"/>
      <c r="E56" s="20" t="n"/>
      <c r="F56" s="24" t="n"/>
      <c r="G56" s="14" t="n"/>
      <c r="H56" s="22" t="n"/>
      <c r="I56" s="25">
        <f>IF(Q56="D",N(H56),0)</f>
        <v/>
      </c>
      <c r="J56" s="25">
        <f>IF(Q56="C",N(H56),0)</f>
        <v/>
      </c>
      <c r="K56" s="26">
        <f>IF(Z56="","",Z56)</f>
        <v/>
      </c>
      <c r="L56" s="27">
        <f>W56</f>
        <v/>
      </c>
      <c r="M56" s="28">
        <f>AA56</f>
        <v/>
      </c>
      <c r="N56" s="23">
        <f>IF(AND(B56="",C56="",D56="",N(H56)=0),"",IF(B56="","Enter the date",IF(C56="","Pick the party",IF(P56="?","Add this party on the Parties sheet first",IF(D56="","Pick the entry type",IF(Q56="?","Pick the entry type from the list",IF(N(H56)=0,"Enter the amount",IF(AND(R56&lt;&gt;"Any",R56&lt;&gt;P56),"Sales, receipts and credit notes are for debtors; purchases, payments and debit notes for creditors",IF(AND(F56&lt;&gt;"",D56&lt;&gt;"Purchase bill"),"The received-on date is only for purchase bills",IF(AND(P56="Creditor",X56=1,AA56&gt;0),"Past due to a micro or small supplier: interest runs under MSMED s.16, and if unpaid at year end it is not deductible that year, s.37(2)(g)",IF(AND(P56="Debtor",X56=1,AA56&gt;0),"Past due to you: as a micro or small supplier you can claim interest under MSMED s.16","OK")))))))))))</f>
        <v/>
      </c>
      <c r="P56">
        <f>IF(C56="","",IFERROR(VLOOKUP(C56,'Example Parties'!$B$13:$Q$112,2,FALSE),"?"))</f>
        <v/>
      </c>
      <c r="Q56">
        <f>IF(D56="","",IFERROR(VLOOKUP(D56,Lists!$A$2:$D$9,3,FALSE),"?"))</f>
        <v/>
      </c>
      <c r="R56">
        <f>IF(D56="","",IFERROR(VLOOKUP(D56,Lists!$A$2:$D$9,4,FALSE),"?"))</f>
        <v/>
      </c>
      <c r="S56">
        <f>IF(P56="Debtor",I56,IF(P56="Creditor",J56,0))</f>
        <v/>
      </c>
      <c r="T56">
        <f>IF(P56="Debtor",J56,IF(P56="Creditor",I56,0))</f>
        <v/>
      </c>
      <c r="U56">
        <f>IF(OR(S56=0,B56=""),0,IFERROR(VLOOKUP(C56,'Example Parties'!$B$13:$Q$112,13,FALSE),0)+SUMIFS($S$7:$S$506,$C$7:$C$506,C56,$B$7:$B$506,"&lt;"&amp;B56)+SUMIFS(S$7:S56,C$7:C56,C56,B$7:B56,B56))</f>
        <v/>
      </c>
      <c r="V56">
        <f>IF(S56=0,0,IFERROR(VLOOKUP(C56,'Example Parties'!$B$13:$Q$112,14,FALSE),0)+SUMIFS($T$7:$T$506,$C$7:$C$506,C56,$B$7:$B$506,"&lt;="&amp;'Example Outstanding'!$E$5))</f>
        <v/>
      </c>
      <c r="W56">
        <f>IF(OR('Example Outstanding'!$E$5="",S56=0,B56="",B56&gt;'Example Outstanding'!$E$5),0,MAX(0,MIN(S56,U56-V56)))</f>
        <v/>
      </c>
      <c r="X56">
        <f>IF(C56="",0,IFERROR(VLOOKUP(C56,'Example Parties'!$B$13:$Q$112,15,FALSE),0))</f>
        <v/>
      </c>
      <c r="Y56">
        <f>IF(C56="","",IFERROR(VLOOKUP(C56,'Example Parties'!$B$13:$Q$112,16,FALSE),0))</f>
        <v/>
      </c>
      <c r="Z56">
        <f>IF(OR(S56=0,B56="",Y56=""),"",IF(AND(F56&lt;&gt;"",D56="Purchase bill"),F56,B56)+Y56)</f>
        <v/>
      </c>
      <c r="AA56">
        <f>IF(OR(W56=0,Z56=""),0,MAX(0,'Example Outstanding'!$E$5-Z56))</f>
        <v/>
      </c>
      <c r="AB56">
        <f>IF(AND(X56=1,AA56&gt;0),W56*((1+3*N('Example Parties'!$E$10)/12)^(AA56*12/365)-1),0)</f>
        <v/>
      </c>
      <c r="AC56">
        <f>IF(W56=0,"",'Example Outstanding'!$E$5-B56)</f>
        <v/>
      </c>
      <c r="AD56">
        <f>IF(S56=0,0,IFERROR(VLOOKUP(C56,'Example Parties'!$B$13:$Q$112,14,FALSE),0)+SUMIFS($T$7:$T$506,$C$7:$C$506,C56,$B$7:$B$506,"&lt;="&amp;'Example Parties'!$E$8))</f>
        <v/>
      </c>
      <c r="AE56">
        <f>IF(OR('Example Parties'!$E$8="",S56=0,B56="",B56&gt;'Example Parties'!$E$8),0,MAX(0,MIN(S56,U56-AD56)))</f>
        <v/>
      </c>
      <c r="AF56">
        <f>IF(AND(P56="Creditor",X56=1,AE56&gt;0,Z56&lt;&gt;""),IF(Z56&lt;='Example Parties'!$E$8,AE56,0),0)</f>
        <v/>
      </c>
      <c r="AG56">
        <f>IF(OR(AE56=0,Z56=""),0,MAX(0,'Example Parties'!$E$8-Z56))</f>
        <v/>
      </c>
      <c r="AH56">
        <f>IF(AND(P56="Creditor",X56=1,AG56&gt;0),AE56*((1+3*N('Example Parties'!$E$10)/12)^(AG56*12/365)-1),0)</f>
        <v/>
      </c>
      <c r="AI56">
        <f>IF(AND(C56&lt;&gt;"",C56='Example Ledger'!$D$4,B56&lt;&gt;"",B56&gt;='Example Ledger'!$D$5,B56&lt;='Example Ledger'!$D$6),1,0)</f>
        <v/>
      </c>
      <c r="AJ56">
        <f>IF(AI56=1,SUM(AI$7:AI56),"")</f>
        <v/>
      </c>
      <c r="AK56">
        <f>IF(OR(N56="",N56="OK"),0,1)</f>
        <v/>
      </c>
    </row>
    <row r="57">
      <c r="B57" s="24" t="n"/>
      <c r="C57" s="14" t="n"/>
      <c r="D57" s="14" t="n"/>
      <c r="E57" s="20" t="n"/>
      <c r="F57" s="24" t="n"/>
      <c r="G57" s="14" t="n"/>
      <c r="H57" s="22" t="n"/>
      <c r="I57" s="25">
        <f>IF(Q57="D",N(H57),0)</f>
        <v/>
      </c>
      <c r="J57" s="25">
        <f>IF(Q57="C",N(H57),0)</f>
        <v/>
      </c>
      <c r="K57" s="26">
        <f>IF(Z57="","",Z57)</f>
        <v/>
      </c>
      <c r="L57" s="27">
        <f>W57</f>
        <v/>
      </c>
      <c r="M57" s="28">
        <f>AA57</f>
        <v/>
      </c>
      <c r="N57" s="23">
        <f>IF(AND(B57="",C57="",D57="",N(H57)=0),"",IF(B57="","Enter the date",IF(C57="","Pick the party",IF(P57="?","Add this party on the Parties sheet first",IF(D57="","Pick the entry type",IF(Q57="?","Pick the entry type from the list",IF(N(H57)=0,"Enter the amount",IF(AND(R57&lt;&gt;"Any",R57&lt;&gt;P57),"Sales, receipts and credit notes are for debtors; purchases, payments and debit notes for creditors",IF(AND(F57&lt;&gt;"",D57&lt;&gt;"Purchase bill"),"The received-on date is only for purchase bills",IF(AND(P57="Creditor",X57=1,AA57&gt;0),"Past due to a micro or small supplier: interest runs under MSMED s.16, and if unpaid at year end it is not deductible that year, s.37(2)(g)",IF(AND(P57="Debtor",X57=1,AA57&gt;0),"Past due to you: as a micro or small supplier you can claim interest under MSMED s.16","OK")))))))))))</f>
        <v/>
      </c>
      <c r="P57">
        <f>IF(C57="","",IFERROR(VLOOKUP(C57,'Example Parties'!$B$13:$Q$112,2,FALSE),"?"))</f>
        <v/>
      </c>
      <c r="Q57">
        <f>IF(D57="","",IFERROR(VLOOKUP(D57,Lists!$A$2:$D$9,3,FALSE),"?"))</f>
        <v/>
      </c>
      <c r="R57">
        <f>IF(D57="","",IFERROR(VLOOKUP(D57,Lists!$A$2:$D$9,4,FALSE),"?"))</f>
        <v/>
      </c>
      <c r="S57">
        <f>IF(P57="Debtor",I57,IF(P57="Creditor",J57,0))</f>
        <v/>
      </c>
      <c r="T57">
        <f>IF(P57="Debtor",J57,IF(P57="Creditor",I57,0))</f>
        <v/>
      </c>
      <c r="U57">
        <f>IF(OR(S57=0,B57=""),0,IFERROR(VLOOKUP(C57,'Example Parties'!$B$13:$Q$112,13,FALSE),0)+SUMIFS($S$7:$S$506,$C$7:$C$506,C57,$B$7:$B$506,"&lt;"&amp;B57)+SUMIFS(S$7:S57,C$7:C57,C57,B$7:B57,B57))</f>
        <v/>
      </c>
      <c r="V57">
        <f>IF(S57=0,0,IFERROR(VLOOKUP(C57,'Example Parties'!$B$13:$Q$112,14,FALSE),0)+SUMIFS($T$7:$T$506,$C$7:$C$506,C57,$B$7:$B$506,"&lt;="&amp;'Example Outstanding'!$E$5))</f>
        <v/>
      </c>
      <c r="W57">
        <f>IF(OR('Example Outstanding'!$E$5="",S57=0,B57="",B57&gt;'Example Outstanding'!$E$5),0,MAX(0,MIN(S57,U57-V57)))</f>
        <v/>
      </c>
      <c r="X57">
        <f>IF(C57="",0,IFERROR(VLOOKUP(C57,'Example Parties'!$B$13:$Q$112,15,FALSE),0))</f>
        <v/>
      </c>
      <c r="Y57">
        <f>IF(C57="","",IFERROR(VLOOKUP(C57,'Example Parties'!$B$13:$Q$112,16,FALSE),0))</f>
        <v/>
      </c>
      <c r="Z57">
        <f>IF(OR(S57=0,B57="",Y57=""),"",IF(AND(F57&lt;&gt;"",D57="Purchase bill"),F57,B57)+Y57)</f>
        <v/>
      </c>
      <c r="AA57">
        <f>IF(OR(W57=0,Z57=""),0,MAX(0,'Example Outstanding'!$E$5-Z57))</f>
        <v/>
      </c>
      <c r="AB57">
        <f>IF(AND(X57=1,AA57&gt;0),W57*((1+3*N('Example Parties'!$E$10)/12)^(AA57*12/365)-1),0)</f>
        <v/>
      </c>
      <c r="AC57">
        <f>IF(W57=0,"",'Example Outstanding'!$E$5-B57)</f>
        <v/>
      </c>
      <c r="AD57">
        <f>IF(S57=0,0,IFERROR(VLOOKUP(C57,'Example Parties'!$B$13:$Q$112,14,FALSE),0)+SUMIFS($T$7:$T$506,$C$7:$C$506,C57,$B$7:$B$506,"&lt;="&amp;'Example Parties'!$E$8))</f>
        <v/>
      </c>
      <c r="AE57">
        <f>IF(OR('Example Parties'!$E$8="",S57=0,B57="",B57&gt;'Example Parties'!$E$8),0,MAX(0,MIN(S57,U57-AD57)))</f>
        <v/>
      </c>
      <c r="AF57">
        <f>IF(AND(P57="Creditor",X57=1,AE57&gt;0,Z57&lt;&gt;""),IF(Z57&lt;='Example Parties'!$E$8,AE57,0),0)</f>
        <v/>
      </c>
      <c r="AG57">
        <f>IF(OR(AE57=0,Z57=""),0,MAX(0,'Example Parties'!$E$8-Z57))</f>
        <v/>
      </c>
      <c r="AH57">
        <f>IF(AND(P57="Creditor",X57=1,AG57&gt;0),AE57*((1+3*N('Example Parties'!$E$10)/12)^(AG57*12/365)-1),0)</f>
        <v/>
      </c>
      <c r="AI57">
        <f>IF(AND(C57&lt;&gt;"",C57='Example Ledger'!$D$4,B57&lt;&gt;"",B57&gt;='Example Ledger'!$D$5,B57&lt;='Example Ledger'!$D$6),1,0)</f>
        <v/>
      </c>
      <c r="AJ57">
        <f>IF(AI57=1,SUM(AI$7:AI57),"")</f>
        <v/>
      </c>
      <c r="AK57">
        <f>IF(OR(N57="",N57="OK"),0,1)</f>
        <v/>
      </c>
    </row>
    <row r="58">
      <c r="B58" s="24" t="n"/>
      <c r="C58" s="14" t="n"/>
      <c r="D58" s="14" t="n"/>
      <c r="E58" s="20" t="n"/>
      <c r="F58" s="24" t="n"/>
      <c r="G58" s="14" t="n"/>
      <c r="H58" s="22" t="n"/>
      <c r="I58" s="25">
        <f>IF(Q58="D",N(H58),0)</f>
        <v/>
      </c>
      <c r="J58" s="25">
        <f>IF(Q58="C",N(H58),0)</f>
        <v/>
      </c>
      <c r="K58" s="26">
        <f>IF(Z58="","",Z58)</f>
        <v/>
      </c>
      <c r="L58" s="27">
        <f>W58</f>
        <v/>
      </c>
      <c r="M58" s="28">
        <f>AA58</f>
        <v/>
      </c>
      <c r="N58" s="23">
        <f>IF(AND(B58="",C58="",D58="",N(H58)=0),"",IF(B58="","Enter the date",IF(C58="","Pick the party",IF(P58="?","Add this party on the Parties sheet first",IF(D58="","Pick the entry type",IF(Q58="?","Pick the entry type from the list",IF(N(H58)=0,"Enter the amount",IF(AND(R58&lt;&gt;"Any",R58&lt;&gt;P58),"Sales, receipts and credit notes are for debtors; purchases, payments and debit notes for creditors",IF(AND(F58&lt;&gt;"",D58&lt;&gt;"Purchase bill"),"The received-on date is only for purchase bills",IF(AND(P58="Creditor",X58=1,AA58&gt;0),"Past due to a micro or small supplier: interest runs under MSMED s.16, and if unpaid at year end it is not deductible that year, s.37(2)(g)",IF(AND(P58="Debtor",X58=1,AA58&gt;0),"Past due to you: as a micro or small supplier you can claim interest under MSMED s.16","OK")))))))))))</f>
        <v/>
      </c>
      <c r="P58">
        <f>IF(C58="","",IFERROR(VLOOKUP(C58,'Example Parties'!$B$13:$Q$112,2,FALSE),"?"))</f>
        <v/>
      </c>
      <c r="Q58">
        <f>IF(D58="","",IFERROR(VLOOKUP(D58,Lists!$A$2:$D$9,3,FALSE),"?"))</f>
        <v/>
      </c>
      <c r="R58">
        <f>IF(D58="","",IFERROR(VLOOKUP(D58,Lists!$A$2:$D$9,4,FALSE),"?"))</f>
        <v/>
      </c>
      <c r="S58">
        <f>IF(P58="Debtor",I58,IF(P58="Creditor",J58,0))</f>
        <v/>
      </c>
      <c r="T58">
        <f>IF(P58="Debtor",J58,IF(P58="Creditor",I58,0))</f>
        <v/>
      </c>
      <c r="U58">
        <f>IF(OR(S58=0,B58=""),0,IFERROR(VLOOKUP(C58,'Example Parties'!$B$13:$Q$112,13,FALSE),0)+SUMIFS($S$7:$S$506,$C$7:$C$506,C58,$B$7:$B$506,"&lt;"&amp;B58)+SUMIFS(S$7:S58,C$7:C58,C58,B$7:B58,B58))</f>
        <v/>
      </c>
      <c r="V58">
        <f>IF(S58=0,0,IFERROR(VLOOKUP(C58,'Example Parties'!$B$13:$Q$112,14,FALSE),0)+SUMIFS($T$7:$T$506,$C$7:$C$506,C58,$B$7:$B$506,"&lt;="&amp;'Example Outstanding'!$E$5))</f>
        <v/>
      </c>
      <c r="W58">
        <f>IF(OR('Example Outstanding'!$E$5="",S58=0,B58="",B58&gt;'Example Outstanding'!$E$5),0,MAX(0,MIN(S58,U58-V58)))</f>
        <v/>
      </c>
      <c r="X58">
        <f>IF(C58="",0,IFERROR(VLOOKUP(C58,'Example Parties'!$B$13:$Q$112,15,FALSE),0))</f>
        <v/>
      </c>
      <c r="Y58">
        <f>IF(C58="","",IFERROR(VLOOKUP(C58,'Example Parties'!$B$13:$Q$112,16,FALSE),0))</f>
        <v/>
      </c>
      <c r="Z58">
        <f>IF(OR(S58=0,B58="",Y58=""),"",IF(AND(F58&lt;&gt;"",D58="Purchase bill"),F58,B58)+Y58)</f>
        <v/>
      </c>
      <c r="AA58">
        <f>IF(OR(W58=0,Z58=""),0,MAX(0,'Example Outstanding'!$E$5-Z58))</f>
        <v/>
      </c>
      <c r="AB58">
        <f>IF(AND(X58=1,AA58&gt;0),W58*((1+3*N('Example Parties'!$E$10)/12)^(AA58*12/365)-1),0)</f>
        <v/>
      </c>
      <c r="AC58">
        <f>IF(W58=0,"",'Example Outstanding'!$E$5-B58)</f>
        <v/>
      </c>
      <c r="AD58">
        <f>IF(S58=0,0,IFERROR(VLOOKUP(C58,'Example Parties'!$B$13:$Q$112,14,FALSE),0)+SUMIFS($T$7:$T$506,$C$7:$C$506,C58,$B$7:$B$506,"&lt;="&amp;'Example Parties'!$E$8))</f>
        <v/>
      </c>
      <c r="AE58">
        <f>IF(OR('Example Parties'!$E$8="",S58=0,B58="",B58&gt;'Example Parties'!$E$8),0,MAX(0,MIN(S58,U58-AD58)))</f>
        <v/>
      </c>
      <c r="AF58">
        <f>IF(AND(P58="Creditor",X58=1,AE58&gt;0,Z58&lt;&gt;""),IF(Z58&lt;='Example Parties'!$E$8,AE58,0),0)</f>
        <v/>
      </c>
      <c r="AG58">
        <f>IF(OR(AE58=0,Z58=""),0,MAX(0,'Example Parties'!$E$8-Z58))</f>
        <v/>
      </c>
      <c r="AH58">
        <f>IF(AND(P58="Creditor",X58=1,AG58&gt;0),AE58*((1+3*N('Example Parties'!$E$10)/12)^(AG58*12/365)-1),0)</f>
        <v/>
      </c>
      <c r="AI58">
        <f>IF(AND(C58&lt;&gt;"",C58='Example Ledger'!$D$4,B58&lt;&gt;"",B58&gt;='Example Ledger'!$D$5,B58&lt;='Example Ledger'!$D$6),1,0)</f>
        <v/>
      </c>
      <c r="AJ58">
        <f>IF(AI58=1,SUM(AI$7:AI58),"")</f>
        <v/>
      </c>
      <c r="AK58">
        <f>IF(OR(N58="",N58="OK"),0,1)</f>
        <v/>
      </c>
    </row>
    <row r="59">
      <c r="B59" s="24" t="n"/>
      <c r="C59" s="14" t="n"/>
      <c r="D59" s="14" t="n"/>
      <c r="E59" s="20" t="n"/>
      <c r="F59" s="24" t="n"/>
      <c r="G59" s="14" t="n"/>
      <c r="H59" s="22" t="n"/>
      <c r="I59" s="25">
        <f>IF(Q59="D",N(H59),0)</f>
        <v/>
      </c>
      <c r="J59" s="25">
        <f>IF(Q59="C",N(H59),0)</f>
        <v/>
      </c>
      <c r="K59" s="26">
        <f>IF(Z59="","",Z59)</f>
        <v/>
      </c>
      <c r="L59" s="27">
        <f>W59</f>
        <v/>
      </c>
      <c r="M59" s="28">
        <f>AA59</f>
        <v/>
      </c>
      <c r="N59" s="23">
        <f>IF(AND(B59="",C59="",D59="",N(H59)=0),"",IF(B59="","Enter the date",IF(C59="","Pick the party",IF(P59="?","Add this party on the Parties sheet first",IF(D59="","Pick the entry type",IF(Q59="?","Pick the entry type from the list",IF(N(H59)=0,"Enter the amount",IF(AND(R59&lt;&gt;"Any",R59&lt;&gt;P59),"Sales, receipts and credit notes are for debtors; purchases, payments and debit notes for creditors",IF(AND(F59&lt;&gt;"",D59&lt;&gt;"Purchase bill"),"The received-on date is only for purchase bills",IF(AND(P59="Creditor",X59=1,AA59&gt;0),"Past due to a micro or small supplier: interest runs under MSMED s.16, and if unpaid at year end it is not deductible that year, s.37(2)(g)",IF(AND(P59="Debtor",X59=1,AA59&gt;0),"Past due to you: as a micro or small supplier you can claim interest under MSMED s.16","OK")))))))))))</f>
        <v/>
      </c>
      <c r="P59">
        <f>IF(C59="","",IFERROR(VLOOKUP(C59,'Example Parties'!$B$13:$Q$112,2,FALSE),"?"))</f>
        <v/>
      </c>
      <c r="Q59">
        <f>IF(D59="","",IFERROR(VLOOKUP(D59,Lists!$A$2:$D$9,3,FALSE),"?"))</f>
        <v/>
      </c>
      <c r="R59">
        <f>IF(D59="","",IFERROR(VLOOKUP(D59,Lists!$A$2:$D$9,4,FALSE),"?"))</f>
        <v/>
      </c>
      <c r="S59">
        <f>IF(P59="Debtor",I59,IF(P59="Creditor",J59,0))</f>
        <v/>
      </c>
      <c r="T59">
        <f>IF(P59="Debtor",J59,IF(P59="Creditor",I59,0))</f>
        <v/>
      </c>
      <c r="U59">
        <f>IF(OR(S59=0,B59=""),0,IFERROR(VLOOKUP(C59,'Example Parties'!$B$13:$Q$112,13,FALSE),0)+SUMIFS($S$7:$S$506,$C$7:$C$506,C59,$B$7:$B$506,"&lt;"&amp;B59)+SUMIFS(S$7:S59,C$7:C59,C59,B$7:B59,B59))</f>
        <v/>
      </c>
      <c r="V59">
        <f>IF(S59=0,0,IFERROR(VLOOKUP(C59,'Example Parties'!$B$13:$Q$112,14,FALSE),0)+SUMIFS($T$7:$T$506,$C$7:$C$506,C59,$B$7:$B$506,"&lt;="&amp;'Example Outstanding'!$E$5))</f>
        <v/>
      </c>
      <c r="W59">
        <f>IF(OR('Example Outstanding'!$E$5="",S59=0,B59="",B59&gt;'Example Outstanding'!$E$5),0,MAX(0,MIN(S59,U59-V59)))</f>
        <v/>
      </c>
      <c r="X59">
        <f>IF(C59="",0,IFERROR(VLOOKUP(C59,'Example Parties'!$B$13:$Q$112,15,FALSE),0))</f>
        <v/>
      </c>
      <c r="Y59">
        <f>IF(C59="","",IFERROR(VLOOKUP(C59,'Example Parties'!$B$13:$Q$112,16,FALSE),0))</f>
        <v/>
      </c>
      <c r="Z59">
        <f>IF(OR(S59=0,B59="",Y59=""),"",IF(AND(F59&lt;&gt;"",D59="Purchase bill"),F59,B59)+Y59)</f>
        <v/>
      </c>
      <c r="AA59">
        <f>IF(OR(W59=0,Z59=""),0,MAX(0,'Example Outstanding'!$E$5-Z59))</f>
        <v/>
      </c>
      <c r="AB59">
        <f>IF(AND(X59=1,AA59&gt;0),W59*((1+3*N('Example Parties'!$E$10)/12)^(AA59*12/365)-1),0)</f>
        <v/>
      </c>
      <c r="AC59">
        <f>IF(W59=0,"",'Example Outstanding'!$E$5-B59)</f>
        <v/>
      </c>
      <c r="AD59">
        <f>IF(S59=0,0,IFERROR(VLOOKUP(C59,'Example Parties'!$B$13:$Q$112,14,FALSE),0)+SUMIFS($T$7:$T$506,$C$7:$C$506,C59,$B$7:$B$506,"&lt;="&amp;'Example Parties'!$E$8))</f>
        <v/>
      </c>
      <c r="AE59">
        <f>IF(OR('Example Parties'!$E$8="",S59=0,B59="",B59&gt;'Example Parties'!$E$8),0,MAX(0,MIN(S59,U59-AD59)))</f>
        <v/>
      </c>
      <c r="AF59">
        <f>IF(AND(P59="Creditor",X59=1,AE59&gt;0,Z59&lt;&gt;""),IF(Z59&lt;='Example Parties'!$E$8,AE59,0),0)</f>
        <v/>
      </c>
      <c r="AG59">
        <f>IF(OR(AE59=0,Z59=""),0,MAX(0,'Example Parties'!$E$8-Z59))</f>
        <v/>
      </c>
      <c r="AH59">
        <f>IF(AND(P59="Creditor",X59=1,AG59&gt;0),AE59*((1+3*N('Example Parties'!$E$10)/12)^(AG59*12/365)-1),0)</f>
        <v/>
      </c>
      <c r="AI59">
        <f>IF(AND(C59&lt;&gt;"",C59='Example Ledger'!$D$4,B59&lt;&gt;"",B59&gt;='Example Ledger'!$D$5,B59&lt;='Example Ledger'!$D$6),1,0)</f>
        <v/>
      </c>
      <c r="AJ59">
        <f>IF(AI59=1,SUM(AI$7:AI59),"")</f>
        <v/>
      </c>
      <c r="AK59">
        <f>IF(OR(N59="",N59="OK"),0,1)</f>
        <v/>
      </c>
    </row>
    <row r="60">
      <c r="B60" s="24" t="n"/>
      <c r="C60" s="14" t="n"/>
      <c r="D60" s="14" t="n"/>
      <c r="E60" s="20" t="n"/>
      <c r="F60" s="24" t="n"/>
      <c r="G60" s="14" t="n"/>
      <c r="H60" s="22" t="n"/>
      <c r="I60" s="25">
        <f>IF(Q60="D",N(H60),0)</f>
        <v/>
      </c>
      <c r="J60" s="25">
        <f>IF(Q60="C",N(H60),0)</f>
        <v/>
      </c>
      <c r="K60" s="26">
        <f>IF(Z60="","",Z60)</f>
        <v/>
      </c>
      <c r="L60" s="27">
        <f>W60</f>
        <v/>
      </c>
      <c r="M60" s="28">
        <f>AA60</f>
        <v/>
      </c>
      <c r="N60" s="23">
        <f>IF(AND(B60="",C60="",D60="",N(H60)=0),"",IF(B60="","Enter the date",IF(C60="","Pick the party",IF(P60="?","Add this party on the Parties sheet first",IF(D60="","Pick the entry type",IF(Q60="?","Pick the entry type from the list",IF(N(H60)=0,"Enter the amount",IF(AND(R60&lt;&gt;"Any",R60&lt;&gt;P60),"Sales, receipts and credit notes are for debtors; purchases, payments and debit notes for creditors",IF(AND(F60&lt;&gt;"",D60&lt;&gt;"Purchase bill"),"The received-on date is only for purchase bills",IF(AND(P60="Creditor",X60=1,AA60&gt;0),"Past due to a micro or small supplier: interest runs under MSMED s.16, and if unpaid at year end it is not deductible that year, s.37(2)(g)",IF(AND(P60="Debtor",X60=1,AA60&gt;0),"Past due to you: as a micro or small supplier you can claim interest under MSMED s.16","OK")))))))))))</f>
        <v/>
      </c>
      <c r="P60">
        <f>IF(C60="","",IFERROR(VLOOKUP(C60,'Example Parties'!$B$13:$Q$112,2,FALSE),"?"))</f>
        <v/>
      </c>
      <c r="Q60">
        <f>IF(D60="","",IFERROR(VLOOKUP(D60,Lists!$A$2:$D$9,3,FALSE),"?"))</f>
        <v/>
      </c>
      <c r="R60">
        <f>IF(D60="","",IFERROR(VLOOKUP(D60,Lists!$A$2:$D$9,4,FALSE),"?"))</f>
        <v/>
      </c>
      <c r="S60">
        <f>IF(P60="Debtor",I60,IF(P60="Creditor",J60,0))</f>
        <v/>
      </c>
      <c r="T60">
        <f>IF(P60="Debtor",J60,IF(P60="Creditor",I60,0))</f>
        <v/>
      </c>
      <c r="U60">
        <f>IF(OR(S60=0,B60=""),0,IFERROR(VLOOKUP(C60,'Example Parties'!$B$13:$Q$112,13,FALSE),0)+SUMIFS($S$7:$S$506,$C$7:$C$506,C60,$B$7:$B$506,"&lt;"&amp;B60)+SUMIFS(S$7:S60,C$7:C60,C60,B$7:B60,B60))</f>
        <v/>
      </c>
      <c r="V60">
        <f>IF(S60=0,0,IFERROR(VLOOKUP(C60,'Example Parties'!$B$13:$Q$112,14,FALSE),0)+SUMIFS($T$7:$T$506,$C$7:$C$506,C60,$B$7:$B$506,"&lt;="&amp;'Example Outstanding'!$E$5))</f>
        <v/>
      </c>
      <c r="W60">
        <f>IF(OR('Example Outstanding'!$E$5="",S60=0,B60="",B60&gt;'Example Outstanding'!$E$5),0,MAX(0,MIN(S60,U60-V60)))</f>
        <v/>
      </c>
      <c r="X60">
        <f>IF(C60="",0,IFERROR(VLOOKUP(C60,'Example Parties'!$B$13:$Q$112,15,FALSE),0))</f>
        <v/>
      </c>
      <c r="Y60">
        <f>IF(C60="","",IFERROR(VLOOKUP(C60,'Example Parties'!$B$13:$Q$112,16,FALSE),0))</f>
        <v/>
      </c>
      <c r="Z60">
        <f>IF(OR(S60=0,B60="",Y60=""),"",IF(AND(F60&lt;&gt;"",D60="Purchase bill"),F60,B60)+Y60)</f>
        <v/>
      </c>
      <c r="AA60">
        <f>IF(OR(W60=0,Z60=""),0,MAX(0,'Example Outstanding'!$E$5-Z60))</f>
        <v/>
      </c>
      <c r="AB60">
        <f>IF(AND(X60=1,AA60&gt;0),W60*((1+3*N('Example Parties'!$E$10)/12)^(AA60*12/365)-1),0)</f>
        <v/>
      </c>
      <c r="AC60">
        <f>IF(W60=0,"",'Example Outstanding'!$E$5-B60)</f>
        <v/>
      </c>
      <c r="AD60">
        <f>IF(S60=0,0,IFERROR(VLOOKUP(C60,'Example Parties'!$B$13:$Q$112,14,FALSE),0)+SUMIFS($T$7:$T$506,$C$7:$C$506,C60,$B$7:$B$506,"&lt;="&amp;'Example Parties'!$E$8))</f>
        <v/>
      </c>
      <c r="AE60">
        <f>IF(OR('Example Parties'!$E$8="",S60=0,B60="",B60&gt;'Example Parties'!$E$8),0,MAX(0,MIN(S60,U60-AD60)))</f>
        <v/>
      </c>
      <c r="AF60">
        <f>IF(AND(P60="Creditor",X60=1,AE60&gt;0,Z60&lt;&gt;""),IF(Z60&lt;='Example Parties'!$E$8,AE60,0),0)</f>
        <v/>
      </c>
      <c r="AG60">
        <f>IF(OR(AE60=0,Z60=""),0,MAX(0,'Example Parties'!$E$8-Z60))</f>
        <v/>
      </c>
      <c r="AH60">
        <f>IF(AND(P60="Creditor",X60=1,AG60&gt;0),AE60*((1+3*N('Example Parties'!$E$10)/12)^(AG60*12/365)-1),0)</f>
        <v/>
      </c>
      <c r="AI60">
        <f>IF(AND(C60&lt;&gt;"",C60='Example Ledger'!$D$4,B60&lt;&gt;"",B60&gt;='Example Ledger'!$D$5,B60&lt;='Example Ledger'!$D$6),1,0)</f>
        <v/>
      </c>
      <c r="AJ60">
        <f>IF(AI60=1,SUM(AI$7:AI60),"")</f>
        <v/>
      </c>
      <c r="AK60">
        <f>IF(OR(N60="",N60="OK"),0,1)</f>
        <v/>
      </c>
    </row>
    <row r="61">
      <c r="B61" s="24" t="n"/>
      <c r="C61" s="14" t="n"/>
      <c r="D61" s="14" t="n"/>
      <c r="E61" s="20" t="n"/>
      <c r="F61" s="24" t="n"/>
      <c r="G61" s="14" t="n"/>
      <c r="H61" s="22" t="n"/>
      <c r="I61" s="25">
        <f>IF(Q61="D",N(H61),0)</f>
        <v/>
      </c>
      <c r="J61" s="25">
        <f>IF(Q61="C",N(H61),0)</f>
        <v/>
      </c>
      <c r="K61" s="26">
        <f>IF(Z61="","",Z61)</f>
        <v/>
      </c>
      <c r="L61" s="27">
        <f>W61</f>
        <v/>
      </c>
      <c r="M61" s="28">
        <f>AA61</f>
        <v/>
      </c>
      <c r="N61" s="23">
        <f>IF(AND(B61="",C61="",D61="",N(H61)=0),"",IF(B61="","Enter the date",IF(C61="","Pick the party",IF(P61="?","Add this party on the Parties sheet first",IF(D61="","Pick the entry type",IF(Q61="?","Pick the entry type from the list",IF(N(H61)=0,"Enter the amount",IF(AND(R61&lt;&gt;"Any",R61&lt;&gt;P61),"Sales, receipts and credit notes are for debtors; purchases, payments and debit notes for creditors",IF(AND(F61&lt;&gt;"",D61&lt;&gt;"Purchase bill"),"The received-on date is only for purchase bills",IF(AND(P61="Creditor",X61=1,AA61&gt;0),"Past due to a micro or small supplier: interest runs under MSMED s.16, and if unpaid at year end it is not deductible that year, s.37(2)(g)",IF(AND(P61="Debtor",X61=1,AA61&gt;0),"Past due to you: as a micro or small supplier you can claim interest under MSMED s.16","OK")))))))))))</f>
        <v/>
      </c>
      <c r="P61">
        <f>IF(C61="","",IFERROR(VLOOKUP(C61,'Example Parties'!$B$13:$Q$112,2,FALSE),"?"))</f>
        <v/>
      </c>
      <c r="Q61">
        <f>IF(D61="","",IFERROR(VLOOKUP(D61,Lists!$A$2:$D$9,3,FALSE),"?"))</f>
        <v/>
      </c>
      <c r="R61">
        <f>IF(D61="","",IFERROR(VLOOKUP(D61,Lists!$A$2:$D$9,4,FALSE),"?"))</f>
        <v/>
      </c>
      <c r="S61">
        <f>IF(P61="Debtor",I61,IF(P61="Creditor",J61,0))</f>
        <v/>
      </c>
      <c r="T61">
        <f>IF(P61="Debtor",J61,IF(P61="Creditor",I61,0))</f>
        <v/>
      </c>
      <c r="U61">
        <f>IF(OR(S61=0,B61=""),0,IFERROR(VLOOKUP(C61,'Example Parties'!$B$13:$Q$112,13,FALSE),0)+SUMIFS($S$7:$S$506,$C$7:$C$506,C61,$B$7:$B$506,"&lt;"&amp;B61)+SUMIFS(S$7:S61,C$7:C61,C61,B$7:B61,B61))</f>
        <v/>
      </c>
      <c r="V61">
        <f>IF(S61=0,0,IFERROR(VLOOKUP(C61,'Example Parties'!$B$13:$Q$112,14,FALSE),0)+SUMIFS($T$7:$T$506,$C$7:$C$506,C61,$B$7:$B$506,"&lt;="&amp;'Example Outstanding'!$E$5))</f>
        <v/>
      </c>
      <c r="W61">
        <f>IF(OR('Example Outstanding'!$E$5="",S61=0,B61="",B61&gt;'Example Outstanding'!$E$5),0,MAX(0,MIN(S61,U61-V61)))</f>
        <v/>
      </c>
      <c r="X61">
        <f>IF(C61="",0,IFERROR(VLOOKUP(C61,'Example Parties'!$B$13:$Q$112,15,FALSE),0))</f>
        <v/>
      </c>
      <c r="Y61">
        <f>IF(C61="","",IFERROR(VLOOKUP(C61,'Example Parties'!$B$13:$Q$112,16,FALSE),0))</f>
        <v/>
      </c>
      <c r="Z61">
        <f>IF(OR(S61=0,B61="",Y61=""),"",IF(AND(F61&lt;&gt;"",D61="Purchase bill"),F61,B61)+Y61)</f>
        <v/>
      </c>
      <c r="AA61">
        <f>IF(OR(W61=0,Z61=""),0,MAX(0,'Example Outstanding'!$E$5-Z61))</f>
        <v/>
      </c>
      <c r="AB61">
        <f>IF(AND(X61=1,AA61&gt;0),W61*((1+3*N('Example Parties'!$E$10)/12)^(AA61*12/365)-1),0)</f>
        <v/>
      </c>
      <c r="AC61">
        <f>IF(W61=0,"",'Example Outstanding'!$E$5-B61)</f>
        <v/>
      </c>
      <c r="AD61">
        <f>IF(S61=0,0,IFERROR(VLOOKUP(C61,'Example Parties'!$B$13:$Q$112,14,FALSE),0)+SUMIFS($T$7:$T$506,$C$7:$C$506,C61,$B$7:$B$506,"&lt;="&amp;'Example Parties'!$E$8))</f>
        <v/>
      </c>
      <c r="AE61">
        <f>IF(OR('Example Parties'!$E$8="",S61=0,B61="",B61&gt;'Example Parties'!$E$8),0,MAX(0,MIN(S61,U61-AD61)))</f>
        <v/>
      </c>
      <c r="AF61">
        <f>IF(AND(P61="Creditor",X61=1,AE61&gt;0,Z61&lt;&gt;""),IF(Z61&lt;='Example Parties'!$E$8,AE61,0),0)</f>
        <v/>
      </c>
      <c r="AG61">
        <f>IF(OR(AE61=0,Z61=""),0,MAX(0,'Example Parties'!$E$8-Z61))</f>
        <v/>
      </c>
      <c r="AH61">
        <f>IF(AND(P61="Creditor",X61=1,AG61&gt;0),AE61*((1+3*N('Example Parties'!$E$10)/12)^(AG61*12/365)-1),0)</f>
        <v/>
      </c>
      <c r="AI61">
        <f>IF(AND(C61&lt;&gt;"",C61='Example Ledger'!$D$4,B61&lt;&gt;"",B61&gt;='Example Ledger'!$D$5,B61&lt;='Example Ledger'!$D$6),1,0)</f>
        <v/>
      </c>
      <c r="AJ61">
        <f>IF(AI61=1,SUM(AI$7:AI61),"")</f>
        <v/>
      </c>
      <c r="AK61">
        <f>IF(OR(N61="",N61="OK"),0,1)</f>
        <v/>
      </c>
    </row>
    <row r="62">
      <c r="B62" s="24" t="n"/>
      <c r="C62" s="14" t="n"/>
      <c r="D62" s="14" t="n"/>
      <c r="E62" s="20" t="n"/>
      <c r="F62" s="24" t="n"/>
      <c r="G62" s="14" t="n"/>
      <c r="H62" s="22" t="n"/>
      <c r="I62" s="25">
        <f>IF(Q62="D",N(H62),0)</f>
        <v/>
      </c>
      <c r="J62" s="25">
        <f>IF(Q62="C",N(H62),0)</f>
        <v/>
      </c>
      <c r="K62" s="26">
        <f>IF(Z62="","",Z62)</f>
        <v/>
      </c>
      <c r="L62" s="27">
        <f>W62</f>
        <v/>
      </c>
      <c r="M62" s="28">
        <f>AA62</f>
        <v/>
      </c>
      <c r="N62" s="23">
        <f>IF(AND(B62="",C62="",D62="",N(H62)=0),"",IF(B62="","Enter the date",IF(C62="","Pick the party",IF(P62="?","Add this party on the Parties sheet first",IF(D62="","Pick the entry type",IF(Q62="?","Pick the entry type from the list",IF(N(H62)=0,"Enter the amount",IF(AND(R62&lt;&gt;"Any",R62&lt;&gt;P62),"Sales, receipts and credit notes are for debtors; purchases, payments and debit notes for creditors",IF(AND(F62&lt;&gt;"",D62&lt;&gt;"Purchase bill"),"The received-on date is only for purchase bills",IF(AND(P62="Creditor",X62=1,AA62&gt;0),"Past due to a micro or small supplier: interest runs under MSMED s.16, and if unpaid at year end it is not deductible that year, s.37(2)(g)",IF(AND(P62="Debtor",X62=1,AA62&gt;0),"Past due to you: as a micro or small supplier you can claim interest under MSMED s.16","OK")))))))))))</f>
        <v/>
      </c>
      <c r="P62">
        <f>IF(C62="","",IFERROR(VLOOKUP(C62,'Example Parties'!$B$13:$Q$112,2,FALSE),"?"))</f>
        <v/>
      </c>
      <c r="Q62">
        <f>IF(D62="","",IFERROR(VLOOKUP(D62,Lists!$A$2:$D$9,3,FALSE),"?"))</f>
        <v/>
      </c>
      <c r="R62">
        <f>IF(D62="","",IFERROR(VLOOKUP(D62,Lists!$A$2:$D$9,4,FALSE),"?"))</f>
        <v/>
      </c>
      <c r="S62">
        <f>IF(P62="Debtor",I62,IF(P62="Creditor",J62,0))</f>
        <v/>
      </c>
      <c r="T62">
        <f>IF(P62="Debtor",J62,IF(P62="Creditor",I62,0))</f>
        <v/>
      </c>
      <c r="U62">
        <f>IF(OR(S62=0,B62=""),0,IFERROR(VLOOKUP(C62,'Example Parties'!$B$13:$Q$112,13,FALSE),0)+SUMIFS($S$7:$S$506,$C$7:$C$506,C62,$B$7:$B$506,"&lt;"&amp;B62)+SUMIFS(S$7:S62,C$7:C62,C62,B$7:B62,B62))</f>
        <v/>
      </c>
      <c r="V62">
        <f>IF(S62=0,0,IFERROR(VLOOKUP(C62,'Example Parties'!$B$13:$Q$112,14,FALSE),0)+SUMIFS($T$7:$T$506,$C$7:$C$506,C62,$B$7:$B$506,"&lt;="&amp;'Example Outstanding'!$E$5))</f>
        <v/>
      </c>
      <c r="W62">
        <f>IF(OR('Example Outstanding'!$E$5="",S62=0,B62="",B62&gt;'Example Outstanding'!$E$5),0,MAX(0,MIN(S62,U62-V62)))</f>
        <v/>
      </c>
      <c r="X62">
        <f>IF(C62="",0,IFERROR(VLOOKUP(C62,'Example Parties'!$B$13:$Q$112,15,FALSE),0))</f>
        <v/>
      </c>
      <c r="Y62">
        <f>IF(C62="","",IFERROR(VLOOKUP(C62,'Example Parties'!$B$13:$Q$112,16,FALSE),0))</f>
        <v/>
      </c>
      <c r="Z62">
        <f>IF(OR(S62=0,B62="",Y62=""),"",IF(AND(F62&lt;&gt;"",D62="Purchase bill"),F62,B62)+Y62)</f>
        <v/>
      </c>
      <c r="AA62">
        <f>IF(OR(W62=0,Z62=""),0,MAX(0,'Example Outstanding'!$E$5-Z62))</f>
        <v/>
      </c>
      <c r="AB62">
        <f>IF(AND(X62=1,AA62&gt;0),W62*((1+3*N('Example Parties'!$E$10)/12)^(AA62*12/365)-1),0)</f>
        <v/>
      </c>
      <c r="AC62">
        <f>IF(W62=0,"",'Example Outstanding'!$E$5-B62)</f>
        <v/>
      </c>
      <c r="AD62">
        <f>IF(S62=0,0,IFERROR(VLOOKUP(C62,'Example Parties'!$B$13:$Q$112,14,FALSE),0)+SUMIFS($T$7:$T$506,$C$7:$C$506,C62,$B$7:$B$506,"&lt;="&amp;'Example Parties'!$E$8))</f>
        <v/>
      </c>
      <c r="AE62">
        <f>IF(OR('Example Parties'!$E$8="",S62=0,B62="",B62&gt;'Example Parties'!$E$8),0,MAX(0,MIN(S62,U62-AD62)))</f>
        <v/>
      </c>
      <c r="AF62">
        <f>IF(AND(P62="Creditor",X62=1,AE62&gt;0,Z62&lt;&gt;""),IF(Z62&lt;='Example Parties'!$E$8,AE62,0),0)</f>
        <v/>
      </c>
      <c r="AG62">
        <f>IF(OR(AE62=0,Z62=""),0,MAX(0,'Example Parties'!$E$8-Z62))</f>
        <v/>
      </c>
      <c r="AH62">
        <f>IF(AND(P62="Creditor",X62=1,AG62&gt;0),AE62*((1+3*N('Example Parties'!$E$10)/12)^(AG62*12/365)-1),0)</f>
        <v/>
      </c>
      <c r="AI62">
        <f>IF(AND(C62&lt;&gt;"",C62='Example Ledger'!$D$4,B62&lt;&gt;"",B62&gt;='Example Ledger'!$D$5,B62&lt;='Example Ledger'!$D$6),1,0)</f>
        <v/>
      </c>
      <c r="AJ62">
        <f>IF(AI62=1,SUM(AI$7:AI62),"")</f>
        <v/>
      </c>
      <c r="AK62">
        <f>IF(OR(N62="",N62="OK"),0,1)</f>
        <v/>
      </c>
    </row>
    <row r="63">
      <c r="B63" s="24" t="n"/>
      <c r="C63" s="14" t="n"/>
      <c r="D63" s="14" t="n"/>
      <c r="E63" s="20" t="n"/>
      <c r="F63" s="24" t="n"/>
      <c r="G63" s="14" t="n"/>
      <c r="H63" s="22" t="n"/>
      <c r="I63" s="25">
        <f>IF(Q63="D",N(H63),0)</f>
        <v/>
      </c>
      <c r="J63" s="25">
        <f>IF(Q63="C",N(H63),0)</f>
        <v/>
      </c>
      <c r="K63" s="26">
        <f>IF(Z63="","",Z63)</f>
        <v/>
      </c>
      <c r="L63" s="27">
        <f>W63</f>
        <v/>
      </c>
      <c r="M63" s="28">
        <f>AA63</f>
        <v/>
      </c>
      <c r="N63" s="23">
        <f>IF(AND(B63="",C63="",D63="",N(H63)=0),"",IF(B63="","Enter the date",IF(C63="","Pick the party",IF(P63="?","Add this party on the Parties sheet first",IF(D63="","Pick the entry type",IF(Q63="?","Pick the entry type from the list",IF(N(H63)=0,"Enter the amount",IF(AND(R63&lt;&gt;"Any",R63&lt;&gt;P63),"Sales, receipts and credit notes are for debtors; purchases, payments and debit notes for creditors",IF(AND(F63&lt;&gt;"",D63&lt;&gt;"Purchase bill"),"The received-on date is only for purchase bills",IF(AND(P63="Creditor",X63=1,AA63&gt;0),"Past due to a micro or small supplier: interest runs under MSMED s.16, and if unpaid at year end it is not deductible that year, s.37(2)(g)",IF(AND(P63="Debtor",X63=1,AA63&gt;0),"Past due to you: as a micro or small supplier you can claim interest under MSMED s.16","OK")))))))))))</f>
        <v/>
      </c>
      <c r="P63">
        <f>IF(C63="","",IFERROR(VLOOKUP(C63,'Example Parties'!$B$13:$Q$112,2,FALSE),"?"))</f>
        <v/>
      </c>
      <c r="Q63">
        <f>IF(D63="","",IFERROR(VLOOKUP(D63,Lists!$A$2:$D$9,3,FALSE),"?"))</f>
        <v/>
      </c>
      <c r="R63">
        <f>IF(D63="","",IFERROR(VLOOKUP(D63,Lists!$A$2:$D$9,4,FALSE),"?"))</f>
        <v/>
      </c>
      <c r="S63">
        <f>IF(P63="Debtor",I63,IF(P63="Creditor",J63,0))</f>
        <v/>
      </c>
      <c r="T63">
        <f>IF(P63="Debtor",J63,IF(P63="Creditor",I63,0))</f>
        <v/>
      </c>
      <c r="U63">
        <f>IF(OR(S63=0,B63=""),0,IFERROR(VLOOKUP(C63,'Example Parties'!$B$13:$Q$112,13,FALSE),0)+SUMIFS($S$7:$S$506,$C$7:$C$506,C63,$B$7:$B$506,"&lt;"&amp;B63)+SUMIFS(S$7:S63,C$7:C63,C63,B$7:B63,B63))</f>
        <v/>
      </c>
      <c r="V63">
        <f>IF(S63=0,0,IFERROR(VLOOKUP(C63,'Example Parties'!$B$13:$Q$112,14,FALSE),0)+SUMIFS($T$7:$T$506,$C$7:$C$506,C63,$B$7:$B$506,"&lt;="&amp;'Example Outstanding'!$E$5))</f>
        <v/>
      </c>
      <c r="W63">
        <f>IF(OR('Example Outstanding'!$E$5="",S63=0,B63="",B63&gt;'Example Outstanding'!$E$5),0,MAX(0,MIN(S63,U63-V63)))</f>
        <v/>
      </c>
      <c r="X63">
        <f>IF(C63="",0,IFERROR(VLOOKUP(C63,'Example Parties'!$B$13:$Q$112,15,FALSE),0))</f>
        <v/>
      </c>
      <c r="Y63">
        <f>IF(C63="","",IFERROR(VLOOKUP(C63,'Example Parties'!$B$13:$Q$112,16,FALSE),0))</f>
        <v/>
      </c>
      <c r="Z63">
        <f>IF(OR(S63=0,B63="",Y63=""),"",IF(AND(F63&lt;&gt;"",D63="Purchase bill"),F63,B63)+Y63)</f>
        <v/>
      </c>
      <c r="AA63">
        <f>IF(OR(W63=0,Z63=""),0,MAX(0,'Example Outstanding'!$E$5-Z63))</f>
        <v/>
      </c>
      <c r="AB63">
        <f>IF(AND(X63=1,AA63&gt;0),W63*((1+3*N('Example Parties'!$E$10)/12)^(AA63*12/365)-1),0)</f>
        <v/>
      </c>
      <c r="AC63">
        <f>IF(W63=0,"",'Example Outstanding'!$E$5-B63)</f>
        <v/>
      </c>
      <c r="AD63">
        <f>IF(S63=0,0,IFERROR(VLOOKUP(C63,'Example Parties'!$B$13:$Q$112,14,FALSE),0)+SUMIFS($T$7:$T$506,$C$7:$C$506,C63,$B$7:$B$506,"&lt;="&amp;'Example Parties'!$E$8))</f>
        <v/>
      </c>
      <c r="AE63">
        <f>IF(OR('Example Parties'!$E$8="",S63=0,B63="",B63&gt;'Example Parties'!$E$8),0,MAX(0,MIN(S63,U63-AD63)))</f>
        <v/>
      </c>
      <c r="AF63">
        <f>IF(AND(P63="Creditor",X63=1,AE63&gt;0,Z63&lt;&gt;""),IF(Z63&lt;='Example Parties'!$E$8,AE63,0),0)</f>
        <v/>
      </c>
      <c r="AG63">
        <f>IF(OR(AE63=0,Z63=""),0,MAX(0,'Example Parties'!$E$8-Z63))</f>
        <v/>
      </c>
      <c r="AH63">
        <f>IF(AND(P63="Creditor",X63=1,AG63&gt;0),AE63*((1+3*N('Example Parties'!$E$10)/12)^(AG63*12/365)-1),0)</f>
        <v/>
      </c>
      <c r="AI63">
        <f>IF(AND(C63&lt;&gt;"",C63='Example Ledger'!$D$4,B63&lt;&gt;"",B63&gt;='Example Ledger'!$D$5,B63&lt;='Example Ledger'!$D$6),1,0)</f>
        <v/>
      </c>
      <c r="AJ63">
        <f>IF(AI63=1,SUM(AI$7:AI63),"")</f>
        <v/>
      </c>
      <c r="AK63">
        <f>IF(OR(N63="",N63="OK"),0,1)</f>
        <v/>
      </c>
    </row>
    <row r="64">
      <c r="B64" s="24" t="n"/>
      <c r="C64" s="14" t="n"/>
      <c r="D64" s="14" t="n"/>
      <c r="E64" s="20" t="n"/>
      <c r="F64" s="24" t="n"/>
      <c r="G64" s="14" t="n"/>
      <c r="H64" s="22" t="n"/>
      <c r="I64" s="25">
        <f>IF(Q64="D",N(H64),0)</f>
        <v/>
      </c>
      <c r="J64" s="25">
        <f>IF(Q64="C",N(H64),0)</f>
        <v/>
      </c>
      <c r="K64" s="26">
        <f>IF(Z64="","",Z64)</f>
        <v/>
      </c>
      <c r="L64" s="27">
        <f>W64</f>
        <v/>
      </c>
      <c r="M64" s="28">
        <f>AA64</f>
        <v/>
      </c>
      <c r="N64" s="23">
        <f>IF(AND(B64="",C64="",D64="",N(H64)=0),"",IF(B64="","Enter the date",IF(C64="","Pick the party",IF(P64="?","Add this party on the Parties sheet first",IF(D64="","Pick the entry type",IF(Q64="?","Pick the entry type from the list",IF(N(H64)=0,"Enter the amount",IF(AND(R64&lt;&gt;"Any",R64&lt;&gt;P64),"Sales, receipts and credit notes are for debtors; purchases, payments and debit notes for creditors",IF(AND(F64&lt;&gt;"",D64&lt;&gt;"Purchase bill"),"The received-on date is only for purchase bills",IF(AND(P64="Creditor",X64=1,AA64&gt;0),"Past due to a micro or small supplier: interest runs under MSMED s.16, and if unpaid at year end it is not deductible that year, s.37(2)(g)",IF(AND(P64="Debtor",X64=1,AA64&gt;0),"Past due to you: as a micro or small supplier you can claim interest under MSMED s.16","OK")))))))))))</f>
        <v/>
      </c>
      <c r="P64">
        <f>IF(C64="","",IFERROR(VLOOKUP(C64,'Example Parties'!$B$13:$Q$112,2,FALSE),"?"))</f>
        <v/>
      </c>
      <c r="Q64">
        <f>IF(D64="","",IFERROR(VLOOKUP(D64,Lists!$A$2:$D$9,3,FALSE),"?"))</f>
        <v/>
      </c>
      <c r="R64">
        <f>IF(D64="","",IFERROR(VLOOKUP(D64,Lists!$A$2:$D$9,4,FALSE),"?"))</f>
        <v/>
      </c>
      <c r="S64">
        <f>IF(P64="Debtor",I64,IF(P64="Creditor",J64,0))</f>
        <v/>
      </c>
      <c r="T64">
        <f>IF(P64="Debtor",J64,IF(P64="Creditor",I64,0))</f>
        <v/>
      </c>
      <c r="U64">
        <f>IF(OR(S64=0,B64=""),0,IFERROR(VLOOKUP(C64,'Example Parties'!$B$13:$Q$112,13,FALSE),0)+SUMIFS($S$7:$S$506,$C$7:$C$506,C64,$B$7:$B$506,"&lt;"&amp;B64)+SUMIFS(S$7:S64,C$7:C64,C64,B$7:B64,B64))</f>
        <v/>
      </c>
      <c r="V64">
        <f>IF(S64=0,0,IFERROR(VLOOKUP(C64,'Example Parties'!$B$13:$Q$112,14,FALSE),0)+SUMIFS($T$7:$T$506,$C$7:$C$506,C64,$B$7:$B$506,"&lt;="&amp;'Example Outstanding'!$E$5))</f>
        <v/>
      </c>
      <c r="W64">
        <f>IF(OR('Example Outstanding'!$E$5="",S64=0,B64="",B64&gt;'Example Outstanding'!$E$5),0,MAX(0,MIN(S64,U64-V64)))</f>
        <v/>
      </c>
      <c r="X64">
        <f>IF(C64="",0,IFERROR(VLOOKUP(C64,'Example Parties'!$B$13:$Q$112,15,FALSE),0))</f>
        <v/>
      </c>
      <c r="Y64">
        <f>IF(C64="","",IFERROR(VLOOKUP(C64,'Example Parties'!$B$13:$Q$112,16,FALSE),0))</f>
        <v/>
      </c>
      <c r="Z64">
        <f>IF(OR(S64=0,B64="",Y64=""),"",IF(AND(F64&lt;&gt;"",D64="Purchase bill"),F64,B64)+Y64)</f>
        <v/>
      </c>
      <c r="AA64">
        <f>IF(OR(W64=0,Z64=""),0,MAX(0,'Example Outstanding'!$E$5-Z64))</f>
        <v/>
      </c>
      <c r="AB64">
        <f>IF(AND(X64=1,AA64&gt;0),W64*((1+3*N('Example Parties'!$E$10)/12)^(AA64*12/365)-1),0)</f>
        <v/>
      </c>
      <c r="AC64">
        <f>IF(W64=0,"",'Example Outstanding'!$E$5-B64)</f>
        <v/>
      </c>
      <c r="AD64">
        <f>IF(S64=0,0,IFERROR(VLOOKUP(C64,'Example Parties'!$B$13:$Q$112,14,FALSE),0)+SUMIFS($T$7:$T$506,$C$7:$C$506,C64,$B$7:$B$506,"&lt;="&amp;'Example Parties'!$E$8))</f>
        <v/>
      </c>
      <c r="AE64">
        <f>IF(OR('Example Parties'!$E$8="",S64=0,B64="",B64&gt;'Example Parties'!$E$8),0,MAX(0,MIN(S64,U64-AD64)))</f>
        <v/>
      </c>
      <c r="AF64">
        <f>IF(AND(P64="Creditor",X64=1,AE64&gt;0,Z64&lt;&gt;""),IF(Z64&lt;='Example Parties'!$E$8,AE64,0),0)</f>
        <v/>
      </c>
      <c r="AG64">
        <f>IF(OR(AE64=0,Z64=""),0,MAX(0,'Example Parties'!$E$8-Z64))</f>
        <v/>
      </c>
      <c r="AH64">
        <f>IF(AND(P64="Creditor",X64=1,AG64&gt;0),AE64*((1+3*N('Example Parties'!$E$10)/12)^(AG64*12/365)-1),0)</f>
        <v/>
      </c>
      <c r="AI64">
        <f>IF(AND(C64&lt;&gt;"",C64='Example Ledger'!$D$4,B64&lt;&gt;"",B64&gt;='Example Ledger'!$D$5,B64&lt;='Example Ledger'!$D$6),1,0)</f>
        <v/>
      </c>
      <c r="AJ64">
        <f>IF(AI64=1,SUM(AI$7:AI64),"")</f>
        <v/>
      </c>
      <c r="AK64">
        <f>IF(OR(N64="",N64="OK"),0,1)</f>
        <v/>
      </c>
    </row>
    <row r="65">
      <c r="B65" s="24" t="n"/>
      <c r="C65" s="14" t="n"/>
      <c r="D65" s="14" t="n"/>
      <c r="E65" s="20" t="n"/>
      <c r="F65" s="24" t="n"/>
      <c r="G65" s="14" t="n"/>
      <c r="H65" s="22" t="n"/>
      <c r="I65" s="25">
        <f>IF(Q65="D",N(H65),0)</f>
        <v/>
      </c>
      <c r="J65" s="25">
        <f>IF(Q65="C",N(H65),0)</f>
        <v/>
      </c>
      <c r="K65" s="26">
        <f>IF(Z65="","",Z65)</f>
        <v/>
      </c>
      <c r="L65" s="27">
        <f>W65</f>
        <v/>
      </c>
      <c r="M65" s="28">
        <f>AA65</f>
        <v/>
      </c>
      <c r="N65" s="23">
        <f>IF(AND(B65="",C65="",D65="",N(H65)=0),"",IF(B65="","Enter the date",IF(C65="","Pick the party",IF(P65="?","Add this party on the Parties sheet first",IF(D65="","Pick the entry type",IF(Q65="?","Pick the entry type from the list",IF(N(H65)=0,"Enter the amount",IF(AND(R65&lt;&gt;"Any",R65&lt;&gt;P65),"Sales, receipts and credit notes are for debtors; purchases, payments and debit notes for creditors",IF(AND(F65&lt;&gt;"",D65&lt;&gt;"Purchase bill"),"The received-on date is only for purchase bills",IF(AND(P65="Creditor",X65=1,AA65&gt;0),"Past due to a micro or small supplier: interest runs under MSMED s.16, and if unpaid at year end it is not deductible that year, s.37(2)(g)",IF(AND(P65="Debtor",X65=1,AA65&gt;0),"Past due to you: as a micro or small supplier you can claim interest under MSMED s.16","OK")))))))))))</f>
        <v/>
      </c>
      <c r="P65">
        <f>IF(C65="","",IFERROR(VLOOKUP(C65,'Example Parties'!$B$13:$Q$112,2,FALSE),"?"))</f>
        <v/>
      </c>
      <c r="Q65">
        <f>IF(D65="","",IFERROR(VLOOKUP(D65,Lists!$A$2:$D$9,3,FALSE),"?"))</f>
        <v/>
      </c>
      <c r="R65">
        <f>IF(D65="","",IFERROR(VLOOKUP(D65,Lists!$A$2:$D$9,4,FALSE),"?"))</f>
        <v/>
      </c>
      <c r="S65">
        <f>IF(P65="Debtor",I65,IF(P65="Creditor",J65,0))</f>
        <v/>
      </c>
      <c r="T65">
        <f>IF(P65="Debtor",J65,IF(P65="Creditor",I65,0))</f>
        <v/>
      </c>
      <c r="U65">
        <f>IF(OR(S65=0,B65=""),0,IFERROR(VLOOKUP(C65,'Example Parties'!$B$13:$Q$112,13,FALSE),0)+SUMIFS($S$7:$S$506,$C$7:$C$506,C65,$B$7:$B$506,"&lt;"&amp;B65)+SUMIFS(S$7:S65,C$7:C65,C65,B$7:B65,B65))</f>
        <v/>
      </c>
      <c r="V65">
        <f>IF(S65=0,0,IFERROR(VLOOKUP(C65,'Example Parties'!$B$13:$Q$112,14,FALSE),0)+SUMIFS($T$7:$T$506,$C$7:$C$506,C65,$B$7:$B$506,"&lt;="&amp;'Example Outstanding'!$E$5))</f>
        <v/>
      </c>
      <c r="W65">
        <f>IF(OR('Example Outstanding'!$E$5="",S65=0,B65="",B65&gt;'Example Outstanding'!$E$5),0,MAX(0,MIN(S65,U65-V65)))</f>
        <v/>
      </c>
      <c r="X65">
        <f>IF(C65="",0,IFERROR(VLOOKUP(C65,'Example Parties'!$B$13:$Q$112,15,FALSE),0))</f>
        <v/>
      </c>
      <c r="Y65">
        <f>IF(C65="","",IFERROR(VLOOKUP(C65,'Example Parties'!$B$13:$Q$112,16,FALSE),0))</f>
        <v/>
      </c>
      <c r="Z65">
        <f>IF(OR(S65=0,B65="",Y65=""),"",IF(AND(F65&lt;&gt;"",D65="Purchase bill"),F65,B65)+Y65)</f>
        <v/>
      </c>
      <c r="AA65">
        <f>IF(OR(W65=0,Z65=""),0,MAX(0,'Example Outstanding'!$E$5-Z65))</f>
        <v/>
      </c>
      <c r="AB65">
        <f>IF(AND(X65=1,AA65&gt;0),W65*((1+3*N('Example Parties'!$E$10)/12)^(AA65*12/365)-1),0)</f>
        <v/>
      </c>
      <c r="AC65">
        <f>IF(W65=0,"",'Example Outstanding'!$E$5-B65)</f>
        <v/>
      </c>
      <c r="AD65">
        <f>IF(S65=0,0,IFERROR(VLOOKUP(C65,'Example Parties'!$B$13:$Q$112,14,FALSE),0)+SUMIFS($T$7:$T$506,$C$7:$C$506,C65,$B$7:$B$506,"&lt;="&amp;'Example Parties'!$E$8))</f>
        <v/>
      </c>
      <c r="AE65">
        <f>IF(OR('Example Parties'!$E$8="",S65=0,B65="",B65&gt;'Example Parties'!$E$8),0,MAX(0,MIN(S65,U65-AD65)))</f>
        <v/>
      </c>
      <c r="AF65">
        <f>IF(AND(P65="Creditor",X65=1,AE65&gt;0,Z65&lt;&gt;""),IF(Z65&lt;='Example Parties'!$E$8,AE65,0),0)</f>
        <v/>
      </c>
      <c r="AG65">
        <f>IF(OR(AE65=0,Z65=""),0,MAX(0,'Example Parties'!$E$8-Z65))</f>
        <v/>
      </c>
      <c r="AH65">
        <f>IF(AND(P65="Creditor",X65=1,AG65&gt;0),AE65*((1+3*N('Example Parties'!$E$10)/12)^(AG65*12/365)-1),0)</f>
        <v/>
      </c>
      <c r="AI65">
        <f>IF(AND(C65&lt;&gt;"",C65='Example Ledger'!$D$4,B65&lt;&gt;"",B65&gt;='Example Ledger'!$D$5,B65&lt;='Example Ledger'!$D$6),1,0)</f>
        <v/>
      </c>
      <c r="AJ65">
        <f>IF(AI65=1,SUM(AI$7:AI65),"")</f>
        <v/>
      </c>
      <c r="AK65">
        <f>IF(OR(N65="",N65="OK"),0,1)</f>
        <v/>
      </c>
    </row>
    <row r="66">
      <c r="B66" s="24" t="n"/>
      <c r="C66" s="14" t="n"/>
      <c r="D66" s="14" t="n"/>
      <c r="E66" s="20" t="n"/>
      <c r="F66" s="24" t="n"/>
      <c r="G66" s="14" t="n"/>
      <c r="H66" s="22" t="n"/>
      <c r="I66" s="25">
        <f>IF(Q66="D",N(H66),0)</f>
        <v/>
      </c>
      <c r="J66" s="25">
        <f>IF(Q66="C",N(H66),0)</f>
        <v/>
      </c>
      <c r="K66" s="26">
        <f>IF(Z66="","",Z66)</f>
        <v/>
      </c>
      <c r="L66" s="27">
        <f>W66</f>
        <v/>
      </c>
      <c r="M66" s="28">
        <f>AA66</f>
        <v/>
      </c>
      <c r="N66" s="23">
        <f>IF(AND(B66="",C66="",D66="",N(H66)=0),"",IF(B66="","Enter the date",IF(C66="","Pick the party",IF(P66="?","Add this party on the Parties sheet first",IF(D66="","Pick the entry type",IF(Q66="?","Pick the entry type from the list",IF(N(H66)=0,"Enter the amount",IF(AND(R66&lt;&gt;"Any",R66&lt;&gt;P66),"Sales, receipts and credit notes are for debtors; purchases, payments and debit notes for creditors",IF(AND(F66&lt;&gt;"",D66&lt;&gt;"Purchase bill"),"The received-on date is only for purchase bills",IF(AND(P66="Creditor",X66=1,AA66&gt;0),"Past due to a micro or small supplier: interest runs under MSMED s.16, and if unpaid at year end it is not deductible that year, s.37(2)(g)",IF(AND(P66="Debtor",X66=1,AA66&gt;0),"Past due to you: as a micro or small supplier you can claim interest under MSMED s.16","OK")))))))))))</f>
        <v/>
      </c>
      <c r="P66">
        <f>IF(C66="","",IFERROR(VLOOKUP(C66,'Example Parties'!$B$13:$Q$112,2,FALSE),"?"))</f>
        <v/>
      </c>
      <c r="Q66">
        <f>IF(D66="","",IFERROR(VLOOKUP(D66,Lists!$A$2:$D$9,3,FALSE),"?"))</f>
        <v/>
      </c>
      <c r="R66">
        <f>IF(D66="","",IFERROR(VLOOKUP(D66,Lists!$A$2:$D$9,4,FALSE),"?"))</f>
        <v/>
      </c>
      <c r="S66">
        <f>IF(P66="Debtor",I66,IF(P66="Creditor",J66,0))</f>
        <v/>
      </c>
      <c r="T66">
        <f>IF(P66="Debtor",J66,IF(P66="Creditor",I66,0))</f>
        <v/>
      </c>
      <c r="U66">
        <f>IF(OR(S66=0,B66=""),0,IFERROR(VLOOKUP(C66,'Example Parties'!$B$13:$Q$112,13,FALSE),0)+SUMIFS($S$7:$S$506,$C$7:$C$506,C66,$B$7:$B$506,"&lt;"&amp;B66)+SUMIFS(S$7:S66,C$7:C66,C66,B$7:B66,B66))</f>
        <v/>
      </c>
      <c r="V66">
        <f>IF(S66=0,0,IFERROR(VLOOKUP(C66,'Example Parties'!$B$13:$Q$112,14,FALSE),0)+SUMIFS($T$7:$T$506,$C$7:$C$506,C66,$B$7:$B$506,"&lt;="&amp;'Example Outstanding'!$E$5))</f>
        <v/>
      </c>
      <c r="W66">
        <f>IF(OR('Example Outstanding'!$E$5="",S66=0,B66="",B66&gt;'Example Outstanding'!$E$5),0,MAX(0,MIN(S66,U66-V66)))</f>
        <v/>
      </c>
      <c r="X66">
        <f>IF(C66="",0,IFERROR(VLOOKUP(C66,'Example Parties'!$B$13:$Q$112,15,FALSE),0))</f>
        <v/>
      </c>
      <c r="Y66">
        <f>IF(C66="","",IFERROR(VLOOKUP(C66,'Example Parties'!$B$13:$Q$112,16,FALSE),0))</f>
        <v/>
      </c>
      <c r="Z66">
        <f>IF(OR(S66=0,B66="",Y66=""),"",IF(AND(F66&lt;&gt;"",D66="Purchase bill"),F66,B66)+Y66)</f>
        <v/>
      </c>
      <c r="AA66">
        <f>IF(OR(W66=0,Z66=""),0,MAX(0,'Example Outstanding'!$E$5-Z66))</f>
        <v/>
      </c>
      <c r="AB66">
        <f>IF(AND(X66=1,AA66&gt;0),W66*((1+3*N('Example Parties'!$E$10)/12)^(AA66*12/365)-1),0)</f>
        <v/>
      </c>
      <c r="AC66">
        <f>IF(W66=0,"",'Example Outstanding'!$E$5-B66)</f>
        <v/>
      </c>
      <c r="AD66">
        <f>IF(S66=0,0,IFERROR(VLOOKUP(C66,'Example Parties'!$B$13:$Q$112,14,FALSE),0)+SUMIFS($T$7:$T$506,$C$7:$C$506,C66,$B$7:$B$506,"&lt;="&amp;'Example Parties'!$E$8))</f>
        <v/>
      </c>
      <c r="AE66">
        <f>IF(OR('Example Parties'!$E$8="",S66=0,B66="",B66&gt;'Example Parties'!$E$8),0,MAX(0,MIN(S66,U66-AD66)))</f>
        <v/>
      </c>
      <c r="AF66">
        <f>IF(AND(P66="Creditor",X66=1,AE66&gt;0,Z66&lt;&gt;""),IF(Z66&lt;='Example Parties'!$E$8,AE66,0),0)</f>
        <v/>
      </c>
      <c r="AG66">
        <f>IF(OR(AE66=0,Z66=""),0,MAX(0,'Example Parties'!$E$8-Z66))</f>
        <v/>
      </c>
      <c r="AH66">
        <f>IF(AND(P66="Creditor",X66=1,AG66&gt;0),AE66*((1+3*N('Example Parties'!$E$10)/12)^(AG66*12/365)-1),0)</f>
        <v/>
      </c>
      <c r="AI66">
        <f>IF(AND(C66&lt;&gt;"",C66='Example Ledger'!$D$4,B66&lt;&gt;"",B66&gt;='Example Ledger'!$D$5,B66&lt;='Example Ledger'!$D$6),1,0)</f>
        <v/>
      </c>
      <c r="AJ66">
        <f>IF(AI66=1,SUM(AI$7:AI66),"")</f>
        <v/>
      </c>
      <c r="AK66">
        <f>IF(OR(N66="",N66="OK"),0,1)</f>
        <v/>
      </c>
    </row>
    <row r="67">
      <c r="B67" s="24" t="n"/>
      <c r="C67" s="14" t="n"/>
      <c r="D67" s="14" t="n"/>
      <c r="E67" s="20" t="n"/>
      <c r="F67" s="24" t="n"/>
      <c r="G67" s="14" t="n"/>
      <c r="H67" s="22" t="n"/>
      <c r="I67" s="25">
        <f>IF(Q67="D",N(H67),0)</f>
        <v/>
      </c>
      <c r="J67" s="25">
        <f>IF(Q67="C",N(H67),0)</f>
        <v/>
      </c>
      <c r="K67" s="26">
        <f>IF(Z67="","",Z67)</f>
        <v/>
      </c>
      <c r="L67" s="27">
        <f>W67</f>
        <v/>
      </c>
      <c r="M67" s="28">
        <f>AA67</f>
        <v/>
      </c>
      <c r="N67" s="23">
        <f>IF(AND(B67="",C67="",D67="",N(H67)=0),"",IF(B67="","Enter the date",IF(C67="","Pick the party",IF(P67="?","Add this party on the Parties sheet first",IF(D67="","Pick the entry type",IF(Q67="?","Pick the entry type from the list",IF(N(H67)=0,"Enter the amount",IF(AND(R67&lt;&gt;"Any",R67&lt;&gt;P67),"Sales, receipts and credit notes are for debtors; purchases, payments and debit notes for creditors",IF(AND(F67&lt;&gt;"",D67&lt;&gt;"Purchase bill"),"The received-on date is only for purchase bills",IF(AND(P67="Creditor",X67=1,AA67&gt;0),"Past due to a micro or small supplier: interest runs under MSMED s.16, and if unpaid at year end it is not deductible that year, s.37(2)(g)",IF(AND(P67="Debtor",X67=1,AA67&gt;0),"Past due to you: as a micro or small supplier you can claim interest under MSMED s.16","OK")))))))))))</f>
        <v/>
      </c>
      <c r="P67">
        <f>IF(C67="","",IFERROR(VLOOKUP(C67,'Example Parties'!$B$13:$Q$112,2,FALSE),"?"))</f>
        <v/>
      </c>
      <c r="Q67">
        <f>IF(D67="","",IFERROR(VLOOKUP(D67,Lists!$A$2:$D$9,3,FALSE),"?"))</f>
        <v/>
      </c>
      <c r="R67">
        <f>IF(D67="","",IFERROR(VLOOKUP(D67,Lists!$A$2:$D$9,4,FALSE),"?"))</f>
        <v/>
      </c>
      <c r="S67">
        <f>IF(P67="Debtor",I67,IF(P67="Creditor",J67,0))</f>
        <v/>
      </c>
      <c r="T67">
        <f>IF(P67="Debtor",J67,IF(P67="Creditor",I67,0))</f>
        <v/>
      </c>
      <c r="U67">
        <f>IF(OR(S67=0,B67=""),0,IFERROR(VLOOKUP(C67,'Example Parties'!$B$13:$Q$112,13,FALSE),0)+SUMIFS($S$7:$S$506,$C$7:$C$506,C67,$B$7:$B$506,"&lt;"&amp;B67)+SUMIFS(S$7:S67,C$7:C67,C67,B$7:B67,B67))</f>
        <v/>
      </c>
      <c r="V67">
        <f>IF(S67=0,0,IFERROR(VLOOKUP(C67,'Example Parties'!$B$13:$Q$112,14,FALSE),0)+SUMIFS($T$7:$T$506,$C$7:$C$506,C67,$B$7:$B$506,"&lt;="&amp;'Example Outstanding'!$E$5))</f>
        <v/>
      </c>
      <c r="W67">
        <f>IF(OR('Example Outstanding'!$E$5="",S67=0,B67="",B67&gt;'Example Outstanding'!$E$5),0,MAX(0,MIN(S67,U67-V67)))</f>
        <v/>
      </c>
      <c r="X67">
        <f>IF(C67="",0,IFERROR(VLOOKUP(C67,'Example Parties'!$B$13:$Q$112,15,FALSE),0))</f>
        <v/>
      </c>
      <c r="Y67">
        <f>IF(C67="","",IFERROR(VLOOKUP(C67,'Example Parties'!$B$13:$Q$112,16,FALSE),0))</f>
        <v/>
      </c>
      <c r="Z67">
        <f>IF(OR(S67=0,B67="",Y67=""),"",IF(AND(F67&lt;&gt;"",D67="Purchase bill"),F67,B67)+Y67)</f>
        <v/>
      </c>
      <c r="AA67">
        <f>IF(OR(W67=0,Z67=""),0,MAX(0,'Example Outstanding'!$E$5-Z67))</f>
        <v/>
      </c>
      <c r="AB67">
        <f>IF(AND(X67=1,AA67&gt;0),W67*((1+3*N('Example Parties'!$E$10)/12)^(AA67*12/365)-1),0)</f>
        <v/>
      </c>
      <c r="AC67">
        <f>IF(W67=0,"",'Example Outstanding'!$E$5-B67)</f>
        <v/>
      </c>
      <c r="AD67">
        <f>IF(S67=0,0,IFERROR(VLOOKUP(C67,'Example Parties'!$B$13:$Q$112,14,FALSE),0)+SUMIFS($T$7:$T$506,$C$7:$C$506,C67,$B$7:$B$506,"&lt;="&amp;'Example Parties'!$E$8))</f>
        <v/>
      </c>
      <c r="AE67">
        <f>IF(OR('Example Parties'!$E$8="",S67=0,B67="",B67&gt;'Example Parties'!$E$8),0,MAX(0,MIN(S67,U67-AD67)))</f>
        <v/>
      </c>
      <c r="AF67">
        <f>IF(AND(P67="Creditor",X67=1,AE67&gt;0,Z67&lt;&gt;""),IF(Z67&lt;='Example Parties'!$E$8,AE67,0),0)</f>
        <v/>
      </c>
      <c r="AG67">
        <f>IF(OR(AE67=0,Z67=""),0,MAX(0,'Example Parties'!$E$8-Z67))</f>
        <v/>
      </c>
      <c r="AH67">
        <f>IF(AND(P67="Creditor",X67=1,AG67&gt;0),AE67*((1+3*N('Example Parties'!$E$10)/12)^(AG67*12/365)-1),0)</f>
        <v/>
      </c>
      <c r="AI67">
        <f>IF(AND(C67&lt;&gt;"",C67='Example Ledger'!$D$4,B67&lt;&gt;"",B67&gt;='Example Ledger'!$D$5,B67&lt;='Example Ledger'!$D$6),1,0)</f>
        <v/>
      </c>
      <c r="AJ67">
        <f>IF(AI67=1,SUM(AI$7:AI67),"")</f>
        <v/>
      </c>
      <c r="AK67">
        <f>IF(OR(N67="",N67="OK"),0,1)</f>
        <v/>
      </c>
    </row>
    <row r="68">
      <c r="B68" s="24" t="n"/>
      <c r="C68" s="14" t="n"/>
      <c r="D68" s="14" t="n"/>
      <c r="E68" s="20" t="n"/>
      <c r="F68" s="24" t="n"/>
      <c r="G68" s="14" t="n"/>
      <c r="H68" s="22" t="n"/>
      <c r="I68" s="25">
        <f>IF(Q68="D",N(H68),0)</f>
        <v/>
      </c>
      <c r="J68" s="25">
        <f>IF(Q68="C",N(H68),0)</f>
        <v/>
      </c>
      <c r="K68" s="26">
        <f>IF(Z68="","",Z68)</f>
        <v/>
      </c>
      <c r="L68" s="27">
        <f>W68</f>
        <v/>
      </c>
      <c r="M68" s="28">
        <f>AA68</f>
        <v/>
      </c>
      <c r="N68" s="23">
        <f>IF(AND(B68="",C68="",D68="",N(H68)=0),"",IF(B68="","Enter the date",IF(C68="","Pick the party",IF(P68="?","Add this party on the Parties sheet first",IF(D68="","Pick the entry type",IF(Q68="?","Pick the entry type from the list",IF(N(H68)=0,"Enter the amount",IF(AND(R68&lt;&gt;"Any",R68&lt;&gt;P68),"Sales, receipts and credit notes are for debtors; purchases, payments and debit notes for creditors",IF(AND(F68&lt;&gt;"",D68&lt;&gt;"Purchase bill"),"The received-on date is only for purchase bills",IF(AND(P68="Creditor",X68=1,AA68&gt;0),"Past due to a micro or small supplier: interest runs under MSMED s.16, and if unpaid at year end it is not deductible that year, s.37(2)(g)",IF(AND(P68="Debtor",X68=1,AA68&gt;0),"Past due to you: as a micro or small supplier you can claim interest under MSMED s.16","OK")))))))))))</f>
        <v/>
      </c>
      <c r="P68">
        <f>IF(C68="","",IFERROR(VLOOKUP(C68,'Example Parties'!$B$13:$Q$112,2,FALSE),"?"))</f>
        <v/>
      </c>
      <c r="Q68">
        <f>IF(D68="","",IFERROR(VLOOKUP(D68,Lists!$A$2:$D$9,3,FALSE),"?"))</f>
        <v/>
      </c>
      <c r="R68">
        <f>IF(D68="","",IFERROR(VLOOKUP(D68,Lists!$A$2:$D$9,4,FALSE),"?"))</f>
        <v/>
      </c>
      <c r="S68">
        <f>IF(P68="Debtor",I68,IF(P68="Creditor",J68,0))</f>
        <v/>
      </c>
      <c r="T68">
        <f>IF(P68="Debtor",J68,IF(P68="Creditor",I68,0))</f>
        <v/>
      </c>
      <c r="U68">
        <f>IF(OR(S68=0,B68=""),0,IFERROR(VLOOKUP(C68,'Example Parties'!$B$13:$Q$112,13,FALSE),0)+SUMIFS($S$7:$S$506,$C$7:$C$506,C68,$B$7:$B$506,"&lt;"&amp;B68)+SUMIFS(S$7:S68,C$7:C68,C68,B$7:B68,B68))</f>
        <v/>
      </c>
      <c r="V68">
        <f>IF(S68=0,0,IFERROR(VLOOKUP(C68,'Example Parties'!$B$13:$Q$112,14,FALSE),0)+SUMIFS($T$7:$T$506,$C$7:$C$506,C68,$B$7:$B$506,"&lt;="&amp;'Example Outstanding'!$E$5))</f>
        <v/>
      </c>
      <c r="W68">
        <f>IF(OR('Example Outstanding'!$E$5="",S68=0,B68="",B68&gt;'Example Outstanding'!$E$5),0,MAX(0,MIN(S68,U68-V68)))</f>
        <v/>
      </c>
      <c r="X68">
        <f>IF(C68="",0,IFERROR(VLOOKUP(C68,'Example Parties'!$B$13:$Q$112,15,FALSE),0))</f>
        <v/>
      </c>
      <c r="Y68">
        <f>IF(C68="","",IFERROR(VLOOKUP(C68,'Example Parties'!$B$13:$Q$112,16,FALSE),0))</f>
        <v/>
      </c>
      <c r="Z68">
        <f>IF(OR(S68=0,B68="",Y68=""),"",IF(AND(F68&lt;&gt;"",D68="Purchase bill"),F68,B68)+Y68)</f>
        <v/>
      </c>
      <c r="AA68">
        <f>IF(OR(W68=0,Z68=""),0,MAX(0,'Example Outstanding'!$E$5-Z68))</f>
        <v/>
      </c>
      <c r="AB68">
        <f>IF(AND(X68=1,AA68&gt;0),W68*((1+3*N('Example Parties'!$E$10)/12)^(AA68*12/365)-1),0)</f>
        <v/>
      </c>
      <c r="AC68">
        <f>IF(W68=0,"",'Example Outstanding'!$E$5-B68)</f>
        <v/>
      </c>
      <c r="AD68">
        <f>IF(S68=0,0,IFERROR(VLOOKUP(C68,'Example Parties'!$B$13:$Q$112,14,FALSE),0)+SUMIFS($T$7:$T$506,$C$7:$C$506,C68,$B$7:$B$506,"&lt;="&amp;'Example Parties'!$E$8))</f>
        <v/>
      </c>
      <c r="AE68">
        <f>IF(OR('Example Parties'!$E$8="",S68=0,B68="",B68&gt;'Example Parties'!$E$8),0,MAX(0,MIN(S68,U68-AD68)))</f>
        <v/>
      </c>
      <c r="AF68">
        <f>IF(AND(P68="Creditor",X68=1,AE68&gt;0,Z68&lt;&gt;""),IF(Z68&lt;='Example Parties'!$E$8,AE68,0),0)</f>
        <v/>
      </c>
      <c r="AG68">
        <f>IF(OR(AE68=0,Z68=""),0,MAX(0,'Example Parties'!$E$8-Z68))</f>
        <v/>
      </c>
      <c r="AH68">
        <f>IF(AND(P68="Creditor",X68=1,AG68&gt;0),AE68*((1+3*N('Example Parties'!$E$10)/12)^(AG68*12/365)-1),0)</f>
        <v/>
      </c>
      <c r="AI68">
        <f>IF(AND(C68&lt;&gt;"",C68='Example Ledger'!$D$4,B68&lt;&gt;"",B68&gt;='Example Ledger'!$D$5,B68&lt;='Example Ledger'!$D$6),1,0)</f>
        <v/>
      </c>
      <c r="AJ68">
        <f>IF(AI68=1,SUM(AI$7:AI68),"")</f>
        <v/>
      </c>
      <c r="AK68">
        <f>IF(OR(N68="",N68="OK"),0,1)</f>
        <v/>
      </c>
    </row>
    <row r="69">
      <c r="B69" s="24" t="n"/>
      <c r="C69" s="14" t="n"/>
      <c r="D69" s="14" t="n"/>
      <c r="E69" s="20" t="n"/>
      <c r="F69" s="24" t="n"/>
      <c r="G69" s="14" t="n"/>
      <c r="H69" s="22" t="n"/>
      <c r="I69" s="25">
        <f>IF(Q69="D",N(H69),0)</f>
        <v/>
      </c>
      <c r="J69" s="25">
        <f>IF(Q69="C",N(H69),0)</f>
        <v/>
      </c>
      <c r="K69" s="26">
        <f>IF(Z69="","",Z69)</f>
        <v/>
      </c>
      <c r="L69" s="27">
        <f>W69</f>
        <v/>
      </c>
      <c r="M69" s="28">
        <f>AA69</f>
        <v/>
      </c>
      <c r="N69" s="23">
        <f>IF(AND(B69="",C69="",D69="",N(H69)=0),"",IF(B69="","Enter the date",IF(C69="","Pick the party",IF(P69="?","Add this party on the Parties sheet first",IF(D69="","Pick the entry type",IF(Q69="?","Pick the entry type from the list",IF(N(H69)=0,"Enter the amount",IF(AND(R69&lt;&gt;"Any",R69&lt;&gt;P69),"Sales, receipts and credit notes are for debtors; purchases, payments and debit notes for creditors",IF(AND(F69&lt;&gt;"",D69&lt;&gt;"Purchase bill"),"The received-on date is only for purchase bills",IF(AND(P69="Creditor",X69=1,AA69&gt;0),"Past due to a micro or small supplier: interest runs under MSMED s.16, and if unpaid at year end it is not deductible that year, s.37(2)(g)",IF(AND(P69="Debtor",X69=1,AA69&gt;0),"Past due to you: as a micro or small supplier you can claim interest under MSMED s.16","OK")))))))))))</f>
        <v/>
      </c>
      <c r="P69">
        <f>IF(C69="","",IFERROR(VLOOKUP(C69,'Example Parties'!$B$13:$Q$112,2,FALSE),"?"))</f>
        <v/>
      </c>
      <c r="Q69">
        <f>IF(D69="","",IFERROR(VLOOKUP(D69,Lists!$A$2:$D$9,3,FALSE),"?"))</f>
        <v/>
      </c>
      <c r="R69">
        <f>IF(D69="","",IFERROR(VLOOKUP(D69,Lists!$A$2:$D$9,4,FALSE),"?"))</f>
        <v/>
      </c>
      <c r="S69">
        <f>IF(P69="Debtor",I69,IF(P69="Creditor",J69,0))</f>
        <v/>
      </c>
      <c r="T69">
        <f>IF(P69="Debtor",J69,IF(P69="Creditor",I69,0))</f>
        <v/>
      </c>
      <c r="U69">
        <f>IF(OR(S69=0,B69=""),0,IFERROR(VLOOKUP(C69,'Example Parties'!$B$13:$Q$112,13,FALSE),0)+SUMIFS($S$7:$S$506,$C$7:$C$506,C69,$B$7:$B$506,"&lt;"&amp;B69)+SUMIFS(S$7:S69,C$7:C69,C69,B$7:B69,B69))</f>
        <v/>
      </c>
      <c r="V69">
        <f>IF(S69=0,0,IFERROR(VLOOKUP(C69,'Example Parties'!$B$13:$Q$112,14,FALSE),0)+SUMIFS($T$7:$T$506,$C$7:$C$506,C69,$B$7:$B$506,"&lt;="&amp;'Example Outstanding'!$E$5))</f>
        <v/>
      </c>
      <c r="W69">
        <f>IF(OR('Example Outstanding'!$E$5="",S69=0,B69="",B69&gt;'Example Outstanding'!$E$5),0,MAX(0,MIN(S69,U69-V69)))</f>
        <v/>
      </c>
      <c r="X69">
        <f>IF(C69="",0,IFERROR(VLOOKUP(C69,'Example Parties'!$B$13:$Q$112,15,FALSE),0))</f>
        <v/>
      </c>
      <c r="Y69">
        <f>IF(C69="","",IFERROR(VLOOKUP(C69,'Example Parties'!$B$13:$Q$112,16,FALSE),0))</f>
        <v/>
      </c>
      <c r="Z69">
        <f>IF(OR(S69=0,B69="",Y69=""),"",IF(AND(F69&lt;&gt;"",D69="Purchase bill"),F69,B69)+Y69)</f>
        <v/>
      </c>
      <c r="AA69">
        <f>IF(OR(W69=0,Z69=""),0,MAX(0,'Example Outstanding'!$E$5-Z69))</f>
        <v/>
      </c>
      <c r="AB69">
        <f>IF(AND(X69=1,AA69&gt;0),W69*((1+3*N('Example Parties'!$E$10)/12)^(AA69*12/365)-1),0)</f>
        <v/>
      </c>
      <c r="AC69">
        <f>IF(W69=0,"",'Example Outstanding'!$E$5-B69)</f>
        <v/>
      </c>
      <c r="AD69">
        <f>IF(S69=0,0,IFERROR(VLOOKUP(C69,'Example Parties'!$B$13:$Q$112,14,FALSE),0)+SUMIFS($T$7:$T$506,$C$7:$C$506,C69,$B$7:$B$506,"&lt;="&amp;'Example Parties'!$E$8))</f>
        <v/>
      </c>
      <c r="AE69">
        <f>IF(OR('Example Parties'!$E$8="",S69=0,B69="",B69&gt;'Example Parties'!$E$8),0,MAX(0,MIN(S69,U69-AD69)))</f>
        <v/>
      </c>
      <c r="AF69">
        <f>IF(AND(P69="Creditor",X69=1,AE69&gt;0,Z69&lt;&gt;""),IF(Z69&lt;='Example Parties'!$E$8,AE69,0),0)</f>
        <v/>
      </c>
      <c r="AG69">
        <f>IF(OR(AE69=0,Z69=""),0,MAX(0,'Example Parties'!$E$8-Z69))</f>
        <v/>
      </c>
      <c r="AH69">
        <f>IF(AND(P69="Creditor",X69=1,AG69&gt;0),AE69*((1+3*N('Example Parties'!$E$10)/12)^(AG69*12/365)-1),0)</f>
        <v/>
      </c>
      <c r="AI69">
        <f>IF(AND(C69&lt;&gt;"",C69='Example Ledger'!$D$4,B69&lt;&gt;"",B69&gt;='Example Ledger'!$D$5,B69&lt;='Example Ledger'!$D$6),1,0)</f>
        <v/>
      </c>
      <c r="AJ69">
        <f>IF(AI69=1,SUM(AI$7:AI69),"")</f>
        <v/>
      </c>
      <c r="AK69">
        <f>IF(OR(N69="",N69="OK"),0,1)</f>
        <v/>
      </c>
    </row>
    <row r="70">
      <c r="B70" s="24" t="n"/>
      <c r="C70" s="14" t="n"/>
      <c r="D70" s="14" t="n"/>
      <c r="E70" s="20" t="n"/>
      <c r="F70" s="24" t="n"/>
      <c r="G70" s="14" t="n"/>
      <c r="H70" s="22" t="n"/>
      <c r="I70" s="25">
        <f>IF(Q70="D",N(H70),0)</f>
        <v/>
      </c>
      <c r="J70" s="25">
        <f>IF(Q70="C",N(H70),0)</f>
        <v/>
      </c>
      <c r="K70" s="26">
        <f>IF(Z70="","",Z70)</f>
        <v/>
      </c>
      <c r="L70" s="27">
        <f>W70</f>
        <v/>
      </c>
      <c r="M70" s="28">
        <f>AA70</f>
        <v/>
      </c>
      <c r="N70" s="23">
        <f>IF(AND(B70="",C70="",D70="",N(H70)=0),"",IF(B70="","Enter the date",IF(C70="","Pick the party",IF(P70="?","Add this party on the Parties sheet first",IF(D70="","Pick the entry type",IF(Q70="?","Pick the entry type from the list",IF(N(H70)=0,"Enter the amount",IF(AND(R70&lt;&gt;"Any",R70&lt;&gt;P70),"Sales, receipts and credit notes are for debtors; purchases, payments and debit notes for creditors",IF(AND(F70&lt;&gt;"",D70&lt;&gt;"Purchase bill"),"The received-on date is only for purchase bills",IF(AND(P70="Creditor",X70=1,AA70&gt;0),"Past due to a micro or small supplier: interest runs under MSMED s.16, and if unpaid at year end it is not deductible that year, s.37(2)(g)",IF(AND(P70="Debtor",X70=1,AA70&gt;0),"Past due to you: as a micro or small supplier you can claim interest under MSMED s.16","OK")))))))))))</f>
        <v/>
      </c>
      <c r="P70">
        <f>IF(C70="","",IFERROR(VLOOKUP(C70,'Example Parties'!$B$13:$Q$112,2,FALSE),"?"))</f>
        <v/>
      </c>
      <c r="Q70">
        <f>IF(D70="","",IFERROR(VLOOKUP(D70,Lists!$A$2:$D$9,3,FALSE),"?"))</f>
        <v/>
      </c>
      <c r="R70">
        <f>IF(D70="","",IFERROR(VLOOKUP(D70,Lists!$A$2:$D$9,4,FALSE),"?"))</f>
        <v/>
      </c>
      <c r="S70">
        <f>IF(P70="Debtor",I70,IF(P70="Creditor",J70,0))</f>
        <v/>
      </c>
      <c r="T70">
        <f>IF(P70="Debtor",J70,IF(P70="Creditor",I70,0))</f>
        <v/>
      </c>
      <c r="U70">
        <f>IF(OR(S70=0,B70=""),0,IFERROR(VLOOKUP(C70,'Example Parties'!$B$13:$Q$112,13,FALSE),0)+SUMIFS($S$7:$S$506,$C$7:$C$506,C70,$B$7:$B$506,"&lt;"&amp;B70)+SUMIFS(S$7:S70,C$7:C70,C70,B$7:B70,B70))</f>
        <v/>
      </c>
      <c r="V70">
        <f>IF(S70=0,0,IFERROR(VLOOKUP(C70,'Example Parties'!$B$13:$Q$112,14,FALSE),0)+SUMIFS($T$7:$T$506,$C$7:$C$506,C70,$B$7:$B$506,"&lt;="&amp;'Example Outstanding'!$E$5))</f>
        <v/>
      </c>
      <c r="W70">
        <f>IF(OR('Example Outstanding'!$E$5="",S70=0,B70="",B70&gt;'Example Outstanding'!$E$5),0,MAX(0,MIN(S70,U70-V70)))</f>
        <v/>
      </c>
      <c r="X70">
        <f>IF(C70="",0,IFERROR(VLOOKUP(C70,'Example Parties'!$B$13:$Q$112,15,FALSE),0))</f>
        <v/>
      </c>
      <c r="Y70">
        <f>IF(C70="","",IFERROR(VLOOKUP(C70,'Example Parties'!$B$13:$Q$112,16,FALSE),0))</f>
        <v/>
      </c>
      <c r="Z70">
        <f>IF(OR(S70=0,B70="",Y70=""),"",IF(AND(F70&lt;&gt;"",D70="Purchase bill"),F70,B70)+Y70)</f>
        <v/>
      </c>
      <c r="AA70">
        <f>IF(OR(W70=0,Z70=""),0,MAX(0,'Example Outstanding'!$E$5-Z70))</f>
        <v/>
      </c>
      <c r="AB70">
        <f>IF(AND(X70=1,AA70&gt;0),W70*((1+3*N('Example Parties'!$E$10)/12)^(AA70*12/365)-1),0)</f>
        <v/>
      </c>
      <c r="AC70">
        <f>IF(W70=0,"",'Example Outstanding'!$E$5-B70)</f>
        <v/>
      </c>
      <c r="AD70">
        <f>IF(S70=0,0,IFERROR(VLOOKUP(C70,'Example Parties'!$B$13:$Q$112,14,FALSE),0)+SUMIFS($T$7:$T$506,$C$7:$C$506,C70,$B$7:$B$506,"&lt;="&amp;'Example Parties'!$E$8))</f>
        <v/>
      </c>
      <c r="AE70">
        <f>IF(OR('Example Parties'!$E$8="",S70=0,B70="",B70&gt;'Example Parties'!$E$8),0,MAX(0,MIN(S70,U70-AD70)))</f>
        <v/>
      </c>
      <c r="AF70">
        <f>IF(AND(P70="Creditor",X70=1,AE70&gt;0,Z70&lt;&gt;""),IF(Z70&lt;='Example Parties'!$E$8,AE70,0),0)</f>
        <v/>
      </c>
      <c r="AG70">
        <f>IF(OR(AE70=0,Z70=""),0,MAX(0,'Example Parties'!$E$8-Z70))</f>
        <v/>
      </c>
      <c r="AH70">
        <f>IF(AND(P70="Creditor",X70=1,AG70&gt;0),AE70*((1+3*N('Example Parties'!$E$10)/12)^(AG70*12/365)-1),0)</f>
        <v/>
      </c>
      <c r="AI70">
        <f>IF(AND(C70&lt;&gt;"",C70='Example Ledger'!$D$4,B70&lt;&gt;"",B70&gt;='Example Ledger'!$D$5,B70&lt;='Example Ledger'!$D$6),1,0)</f>
        <v/>
      </c>
      <c r="AJ70">
        <f>IF(AI70=1,SUM(AI$7:AI70),"")</f>
        <v/>
      </c>
      <c r="AK70">
        <f>IF(OR(N70="",N70="OK"),0,1)</f>
        <v/>
      </c>
    </row>
    <row r="71">
      <c r="B71" s="24" t="n"/>
      <c r="C71" s="14" t="n"/>
      <c r="D71" s="14" t="n"/>
      <c r="E71" s="20" t="n"/>
      <c r="F71" s="24" t="n"/>
      <c r="G71" s="14" t="n"/>
      <c r="H71" s="22" t="n"/>
      <c r="I71" s="25">
        <f>IF(Q71="D",N(H71),0)</f>
        <v/>
      </c>
      <c r="J71" s="25">
        <f>IF(Q71="C",N(H71),0)</f>
        <v/>
      </c>
      <c r="K71" s="26">
        <f>IF(Z71="","",Z71)</f>
        <v/>
      </c>
      <c r="L71" s="27">
        <f>W71</f>
        <v/>
      </c>
      <c r="M71" s="28">
        <f>AA71</f>
        <v/>
      </c>
      <c r="N71" s="23">
        <f>IF(AND(B71="",C71="",D71="",N(H71)=0),"",IF(B71="","Enter the date",IF(C71="","Pick the party",IF(P71="?","Add this party on the Parties sheet first",IF(D71="","Pick the entry type",IF(Q71="?","Pick the entry type from the list",IF(N(H71)=0,"Enter the amount",IF(AND(R71&lt;&gt;"Any",R71&lt;&gt;P71),"Sales, receipts and credit notes are for debtors; purchases, payments and debit notes for creditors",IF(AND(F71&lt;&gt;"",D71&lt;&gt;"Purchase bill"),"The received-on date is only for purchase bills",IF(AND(P71="Creditor",X71=1,AA71&gt;0),"Past due to a micro or small supplier: interest runs under MSMED s.16, and if unpaid at year end it is not deductible that year, s.37(2)(g)",IF(AND(P71="Debtor",X71=1,AA71&gt;0),"Past due to you: as a micro or small supplier you can claim interest under MSMED s.16","OK")))))))))))</f>
        <v/>
      </c>
      <c r="P71">
        <f>IF(C71="","",IFERROR(VLOOKUP(C71,'Example Parties'!$B$13:$Q$112,2,FALSE),"?"))</f>
        <v/>
      </c>
      <c r="Q71">
        <f>IF(D71="","",IFERROR(VLOOKUP(D71,Lists!$A$2:$D$9,3,FALSE),"?"))</f>
        <v/>
      </c>
      <c r="R71">
        <f>IF(D71="","",IFERROR(VLOOKUP(D71,Lists!$A$2:$D$9,4,FALSE),"?"))</f>
        <v/>
      </c>
      <c r="S71">
        <f>IF(P71="Debtor",I71,IF(P71="Creditor",J71,0))</f>
        <v/>
      </c>
      <c r="T71">
        <f>IF(P71="Debtor",J71,IF(P71="Creditor",I71,0))</f>
        <v/>
      </c>
      <c r="U71">
        <f>IF(OR(S71=0,B71=""),0,IFERROR(VLOOKUP(C71,'Example Parties'!$B$13:$Q$112,13,FALSE),0)+SUMIFS($S$7:$S$506,$C$7:$C$506,C71,$B$7:$B$506,"&lt;"&amp;B71)+SUMIFS(S$7:S71,C$7:C71,C71,B$7:B71,B71))</f>
        <v/>
      </c>
      <c r="V71">
        <f>IF(S71=0,0,IFERROR(VLOOKUP(C71,'Example Parties'!$B$13:$Q$112,14,FALSE),0)+SUMIFS($T$7:$T$506,$C$7:$C$506,C71,$B$7:$B$506,"&lt;="&amp;'Example Outstanding'!$E$5))</f>
        <v/>
      </c>
      <c r="W71">
        <f>IF(OR('Example Outstanding'!$E$5="",S71=0,B71="",B71&gt;'Example Outstanding'!$E$5),0,MAX(0,MIN(S71,U71-V71)))</f>
        <v/>
      </c>
      <c r="X71">
        <f>IF(C71="",0,IFERROR(VLOOKUP(C71,'Example Parties'!$B$13:$Q$112,15,FALSE),0))</f>
        <v/>
      </c>
      <c r="Y71">
        <f>IF(C71="","",IFERROR(VLOOKUP(C71,'Example Parties'!$B$13:$Q$112,16,FALSE),0))</f>
        <v/>
      </c>
      <c r="Z71">
        <f>IF(OR(S71=0,B71="",Y71=""),"",IF(AND(F71&lt;&gt;"",D71="Purchase bill"),F71,B71)+Y71)</f>
        <v/>
      </c>
      <c r="AA71">
        <f>IF(OR(W71=0,Z71=""),0,MAX(0,'Example Outstanding'!$E$5-Z71))</f>
        <v/>
      </c>
      <c r="AB71">
        <f>IF(AND(X71=1,AA71&gt;0),W71*((1+3*N('Example Parties'!$E$10)/12)^(AA71*12/365)-1),0)</f>
        <v/>
      </c>
      <c r="AC71">
        <f>IF(W71=0,"",'Example Outstanding'!$E$5-B71)</f>
        <v/>
      </c>
      <c r="AD71">
        <f>IF(S71=0,0,IFERROR(VLOOKUP(C71,'Example Parties'!$B$13:$Q$112,14,FALSE),0)+SUMIFS($T$7:$T$506,$C$7:$C$506,C71,$B$7:$B$506,"&lt;="&amp;'Example Parties'!$E$8))</f>
        <v/>
      </c>
      <c r="AE71">
        <f>IF(OR('Example Parties'!$E$8="",S71=0,B71="",B71&gt;'Example Parties'!$E$8),0,MAX(0,MIN(S71,U71-AD71)))</f>
        <v/>
      </c>
      <c r="AF71">
        <f>IF(AND(P71="Creditor",X71=1,AE71&gt;0,Z71&lt;&gt;""),IF(Z71&lt;='Example Parties'!$E$8,AE71,0),0)</f>
        <v/>
      </c>
      <c r="AG71">
        <f>IF(OR(AE71=0,Z71=""),0,MAX(0,'Example Parties'!$E$8-Z71))</f>
        <v/>
      </c>
      <c r="AH71">
        <f>IF(AND(P71="Creditor",X71=1,AG71&gt;0),AE71*((1+3*N('Example Parties'!$E$10)/12)^(AG71*12/365)-1),0)</f>
        <v/>
      </c>
      <c r="AI71">
        <f>IF(AND(C71&lt;&gt;"",C71='Example Ledger'!$D$4,B71&lt;&gt;"",B71&gt;='Example Ledger'!$D$5,B71&lt;='Example Ledger'!$D$6),1,0)</f>
        <v/>
      </c>
      <c r="AJ71">
        <f>IF(AI71=1,SUM(AI$7:AI71),"")</f>
        <v/>
      </c>
      <c r="AK71">
        <f>IF(OR(N71="",N71="OK"),0,1)</f>
        <v/>
      </c>
    </row>
    <row r="72">
      <c r="B72" s="24" t="n"/>
      <c r="C72" s="14" t="n"/>
      <c r="D72" s="14" t="n"/>
      <c r="E72" s="20" t="n"/>
      <c r="F72" s="24" t="n"/>
      <c r="G72" s="14" t="n"/>
      <c r="H72" s="22" t="n"/>
      <c r="I72" s="25">
        <f>IF(Q72="D",N(H72),0)</f>
        <v/>
      </c>
      <c r="J72" s="25">
        <f>IF(Q72="C",N(H72),0)</f>
        <v/>
      </c>
      <c r="K72" s="26">
        <f>IF(Z72="","",Z72)</f>
        <v/>
      </c>
      <c r="L72" s="27">
        <f>W72</f>
        <v/>
      </c>
      <c r="M72" s="28">
        <f>AA72</f>
        <v/>
      </c>
      <c r="N72" s="23">
        <f>IF(AND(B72="",C72="",D72="",N(H72)=0),"",IF(B72="","Enter the date",IF(C72="","Pick the party",IF(P72="?","Add this party on the Parties sheet first",IF(D72="","Pick the entry type",IF(Q72="?","Pick the entry type from the list",IF(N(H72)=0,"Enter the amount",IF(AND(R72&lt;&gt;"Any",R72&lt;&gt;P72),"Sales, receipts and credit notes are for debtors; purchases, payments and debit notes for creditors",IF(AND(F72&lt;&gt;"",D72&lt;&gt;"Purchase bill"),"The received-on date is only for purchase bills",IF(AND(P72="Creditor",X72=1,AA72&gt;0),"Past due to a micro or small supplier: interest runs under MSMED s.16, and if unpaid at year end it is not deductible that year, s.37(2)(g)",IF(AND(P72="Debtor",X72=1,AA72&gt;0),"Past due to you: as a micro or small supplier you can claim interest under MSMED s.16","OK")))))))))))</f>
        <v/>
      </c>
      <c r="P72">
        <f>IF(C72="","",IFERROR(VLOOKUP(C72,'Example Parties'!$B$13:$Q$112,2,FALSE),"?"))</f>
        <v/>
      </c>
      <c r="Q72">
        <f>IF(D72="","",IFERROR(VLOOKUP(D72,Lists!$A$2:$D$9,3,FALSE),"?"))</f>
        <v/>
      </c>
      <c r="R72">
        <f>IF(D72="","",IFERROR(VLOOKUP(D72,Lists!$A$2:$D$9,4,FALSE),"?"))</f>
        <v/>
      </c>
      <c r="S72">
        <f>IF(P72="Debtor",I72,IF(P72="Creditor",J72,0))</f>
        <v/>
      </c>
      <c r="T72">
        <f>IF(P72="Debtor",J72,IF(P72="Creditor",I72,0))</f>
        <v/>
      </c>
      <c r="U72">
        <f>IF(OR(S72=0,B72=""),0,IFERROR(VLOOKUP(C72,'Example Parties'!$B$13:$Q$112,13,FALSE),0)+SUMIFS($S$7:$S$506,$C$7:$C$506,C72,$B$7:$B$506,"&lt;"&amp;B72)+SUMIFS(S$7:S72,C$7:C72,C72,B$7:B72,B72))</f>
        <v/>
      </c>
      <c r="V72">
        <f>IF(S72=0,0,IFERROR(VLOOKUP(C72,'Example Parties'!$B$13:$Q$112,14,FALSE),0)+SUMIFS($T$7:$T$506,$C$7:$C$506,C72,$B$7:$B$506,"&lt;="&amp;'Example Outstanding'!$E$5))</f>
        <v/>
      </c>
      <c r="W72">
        <f>IF(OR('Example Outstanding'!$E$5="",S72=0,B72="",B72&gt;'Example Outstanding'!$E$5),0,MAX(0,MIN(S72,U72-V72)))</f>
        <v/>
      </c>
      <c r="X72">
        <f>IF(C72="",0,IFERROR(VLOOKUP(C72,'Example Parties'!$B$13:$Q$112,15,FALSE),0))</f>
        <v/>
      </c>
      <c r="Y72">
        <f>IF(C72="","",IFERROR(VLOOKUP(C72,'Example Parties'!$B$13:$Q$112,16,FALSE),0))</f>
        <v/>
      </c>
      <c r="Z72">
        <f>IF(OR(S72=0,B72="",Y72=""),"",IF(AND(F72&lt;&gt;"",D72="Purchase bill"),F72,B72)+Y72)</f>
        <v/>
      </c>
      <c r="AA72">
        <f>IF(OR(W72=0,Z72=""),0,MAX(0,'Example Outstanding'!$E$5-Z72))</f>
        <v/>
      </c>
      <c r="AB72">
        <f>IF(AND(X72=1,AA72&gt;0),W72*((1+3*N('Example Parties'!$E$10)/12)^(AA72*12/365)-1),0)</f>
        <v/>
      </c>
      <c r="AC72">
        <f>IF(W72=0,"",'Example Outstanding'!$E$5-B72)</f>
        <v/>
      </c>
      <c r="AD72">
        <f>IF(S72=0,0,IFERROR(VLOOKUP(C72,'Example Parties'!$B$13:$Q$112,14,FALSE),0)+SUMIFS($T$7:$T$506,$C$7:$C$506,C72,$B$7:$B$506,"&lt;="&amp;'Example Parties'!$E$8))</f>
        <v/>
      </c>
      <c r="AE72">
        <f>IF(OR('Example Parties'!$E$8="",S72=0,B72="",B72&gt;'Example Parties'!$E$8),0,MAX(0,MIN(S72,U72-AD72)))</f>
        <v/>
      </c>
      <c r="AF72">
        <f>IF(AND(P72="Creditor",X72=1,AE72&gt;0,Z72&lt;&gt;""),IF(Z72&lt;='Example Parties'!$E$8,AE72,0),0)</f>
        <v/>
      </c>
      <c r="AG72">
        <f>IF(OR(AE72=0,Z72=""),0,MAX(0,'Example Parties'!$E$8-Z72))</f>
        <v/>
      </c>
      <c r="AH72">
        <f>IF(AND(P72="Creditor",X72=1,AG72&gt;0),AE72*((1+3*N('Example Parties'!$E$10)/12)^(AG72*12/365)-1),0)</f>
        <v/>
      </c>
      <c r="AI72">
        <f>IF(AND(C72&lt;&gt;"",C72='Example Ledger'!$D$4,B72&lt;&gt;"",B72&gt;='Example Ledger'!$D$5,B72&lt;='Example Ledger'!$D$6),1,0)</f>
        <v/>
      </c>
      <c r="AJ72">
        <f>IF(AI72=1,SUM(AI$7:AI72),"")</f>
        <v/>
      </c>
      <c r="AK72">
        <f>IF(OR(N72="",N72="OK"),0,1)</f>
        <v/>
      </c>
    </row>
    <row r="73">
      <c r="B73" s="24" t="n"/>
      <c r="C73" s="14" t="n"/>
      <c r="D73" s="14" t="n"/>
      <c r="E73" s="20" t="n"/>
      <c r="F73" s="24" t="n"/>
      <c r="G73" s="14" t="n"/>
      <c r="H73" s="22" t="n"/>
      <c r="I73" s="25">
        <f>IF(Q73="D",N(H73),0)</f>
        <v/>
      </c>
      <c r="J73" s="25">
        <f>IF(Q73="C",N(H73),0)</f>
        <v/>
      </c>
      <c r="K73" s="26">
        <f>IF(Z73="","",Z73)</f>
        <v/>
      </c>
      <c r="L73" s="27">
        <f>W73</f>
        <v/>
      </c>
      <c r="M73" s="28">
        <f>AA73</f>
        <v/>
      </c>
      <c r="N73" s="23">
        <f>IF(AND(B73="",C73="",D73="",N(H73)=0),"",IF(B73="","Enter the date",IF(C73="","Pick the party",IF(P73="?","Add this party on the Parties sheet first",IF(D73="","Pick the entry type",IF(Q73="?","Pick the entry type from the list",IF(N(H73)=0,"Enter the amount",IF(AND(R73&lt;&gt;"Any",R73&lt;&gt;P73),"Sales, receipts and credit notes are for debtors; purchases, payments and debit notes for creditors",IF(AND(F73&lt;&gt;"",D73&lt;&gt;"Purchase bill"),"The received-on date is only for purchase bills",IF(AND(P73="Creditor",X73=1,AA73&gt;0),"Past due to a micro or small supplier: interest runs under MSMED s.16, and if unpaid at year end it is not deductible that year, s.37(2)(g)",IF(AND(P73="Debtor",X73=1,AA73&gt;0),"Past due to you: as a micro or small supplier you can claim interest under MSMED s.16","OK")))))))))))</f>
        <v/>
      </c>
      <c r="P73">
        <f>IF(C73="","",IFERROR(VLOOKUP(C73,'Example Parties'!$B$13:$Q$112,2,FALSE),"?"))</f>
        <v/>
      </c>
      <c r="Q73">
        <f>IF(D73="","",IFERROR(VLOOKUP(D73,Lists!$A$2:$D$9,3,FALSE),"?"))</f>
        <v/>
      </c>
      <c r="R73">
        <f>IF(D73="","",IFERROR(VLOOKUP(D73,Lists!$A$2:$D$9,4,FALSE),"?"))</f>
        <v/>
      </c>
      <c r="S73">
        <f>IF(P73="Debtor",I73,IF(P73="Creditor",J73,0))</f>
        <v/>
      </c>
      <c r="T73">
        <f>IF(P73="Debtor",J73,IF(P73="Creditor",I73,0))</f>
        <v/>
      </c>
      <c r="U73">
        <f>IF(OR(S73=0,B73=""),0,IFERROR(VLOOKUP(C73,'Example Parties'!$B$13:$Q$112,13,FALSE),0)+SUMIFS($S$7:$S$506,$C$7:$C$506,C73,$B$7:$B$506,"&lt;"&amp;B73)+SUMIFS(S$7:S73,C$7:C73,C73,B$7:B73,B73))</f>
        <v/>
      </c>
      <c r="V73">
        <f>IF(S73=0,0,IFERROR(VLOOKUP(C73,'Example Parties'!$B$13:$Q$112,14,FALSE),0)+SUMIFS($T$7:$T$506,$C$7:$C$506,C73,$B$7:$B$506,"&lt;="&amp;'Example Outstanding'!$E$5))</f>
        <v/>
      </c>
      <c r="W73">
        <f>IF(OR('Example Outstanding'!$E$5="",S73=0,B73="",B73&gt;'Example Outstanding'!$E$5),0,MAX(0,MIN(S73,U73-V73)))</f>
        <v/>
      </c>
      <c r="X73">
        <f>IF(C73="",0,IFERROR(VLOOKUP(C73,'Example Parties'!$B$13:$Q$112,15,FALSE),0))</f>
        <v/>
      </c>
      <c r="Y73">
        <f>IF(C73="","",IFERROR(VLOOKUP(C73,'Example Parties'!$B$13:$Q$112,16,FALSE),0))</f>
        <v/>
      </c>
      <c r="Z73">
        <f>IF(OR(S73=0,B73="",Y73=""),"",IF(AND(F73&lt;&gt;"",D73="Purchase bill"),F73,B73)+Y73)</f>
        <v/>
      </c>
      <c r="AA73">
        <f>IF(OR(W73=0,Z73=""),0,MAX(0,'Example Outstanding'!$E$5-Z73))</f>
        <v/>
      </c>
      <c r="AB73">
        <f>IF(AND(X73=1,AA73&gt;0),W73*((1+3*N('Example Parties'!$E$10)/12)^(AA73*12/365)-1),0)</f>
        <v/>
      </c>
      <c r="AC73">
        <f>IF(W73=0,"",'Example Outstanding'!$E$5-B73)</f>
        <v/>
      </c>
      <c r="AD73">
        <f>IF(S73=0,0,IFERROR(VLOOKUP(C73,'Example Parties'!$B$13:$Q$112,14,FALSE),0)+SUMIFS($T$7:$T$506,$C$7:$C$506,C73,$B$7:$B$506,"&lt;="&amp;'Example Parties'!$E$8))</f>
        <v/>
      </c>
      <c r="AE73">
        <f>IF(OR('Example Parties'!$E$8="",S73=0,B73="",B73&gt;'Example Parties'!$E$8),0,MAX(0,MIN(S73,U73-AD73)))</f>
        <v/>
      </c>
      <c r="AF73">
        <f>IF(AND(P73="Creditor",X73=1,AE73&gt;0,Z73&lt;&gt;""),IF(Z73&lt;='Example Parties'!$E$8,AE73,0),0)</f>
        <v/>
      </c>
      <c r="AG73">
        <f>IF(OR(AE73=0,Z73=""),0,MAX(0,'Example Parties'!$E$8-Z73))</f>
        <v/>
      </c>
      <c r="AH73">
        <f>IF(AND(P73="Creditor",X73=1,AG73&gt;0),AE73*((1+3*N('Example Parties'!$E$10)/12)^(AG73*12/365)-1),0)</f>
        <v/>
      </c>
      <c r="AI73">
        <f>IF(AND(C73&lt;&gt;"",C73='Example Ledger'!$D$4,B73&lt;&gt;"",B73&gt;='Example Ledger'!$D$5,B73&lt;='Example Ledger'!$D$6),1,0)</f>
        <v/>
      </c>
      <c r="AJ73">
        <f>IF(AI73=1,SUM(AI$7:AI73),"")</f>
        <v/>
      </c>
      <c r="AK73">
        <f>IF(OR(N73="",N73="OK"),0,1)</f>
        <v/>
      </c>
    </row>
    <row r="74">
      <c r="B74" s="24" t="n"/>
      <c r="C74" s="14" t="n"/>
      <c r="D74" s="14" t="n"/>
      <c r="E74" s="20" t="n"/>
      <c r="F74" s="24" t="n"/>
      <c r="G74" s="14" t="n"/>
      <c r="H74" s="22" t="n"/>
      <c r="I74" s="25">
        <f>IF(Q74="D",N(H74),0)</f>
        <v/>
      </c>
      <c r="J74" s="25">
        <f>IF(Q74="C",N(H74),0)</f>
        <v/>
      </c>
      <c r="K74" s="26">
        <f>IF(Z74="","",Z74)</f>
        <v/>
      </c>
      <c r="L74" s="27">
        <f>W74</f>
        <v/>
      </c>
      <c r="M74" s="28">
        <f>AA74</f>
        <v/>
      </c>
      <c r="N74" s="23">
        <f>IF(AND(B74="",C74="",D74="",N(H74)=0),"",IF(B74="","Enter the date",IF(C74="","Pick the party",IF(P74="?","Add this party on the Parties sheet first",IF(D74="","Pick the entry type",IF(Q74="?","Pick the entry type from the list",IF(N(H74)=0,"Enter the amount",IF(AND(R74&lt;&gt;"Any",R74&lt;&gt;P74),"Sales, receipts and credit notes are for debtors; purchases, payments and debit notes for creditors",IF(AND(F74&lt;&gt;"",D74&lt;&gt;"Purchase bill"),"The received-on date is only for purchase bills",IF(AND(P74="Creditor",X74=1,AA74&gt;0),"Past due to a micro or small supplier: interest runs under MSMED s.16, and if unpaid at year end it is not deductible that year, s.37(2)(g)",IF(AND(P74="Debtor",X74=1,AA74&gt;0),"Past due to you: as a micro or small supplier you can claim interest under MSMED s.16","OK")))))))))))</f>
        <v/>
      </c>
      <c r="P74">
        <f>IF(C74="","",IFERROR(VLOOKUP(C74,'Example Parties'!$B$13:$Q$112,2,FALSE),"?"))</f>
        <v/>
      </c>
      <c r="Q74">
        <f>IF(D74="","",IFERROR(VLOOKUP(D74,Lists!$A$2:$D$9,3,FALSE),"?"))</f>
        <v/>
      </c>
      <c r="R74">
        <f>IF(D74="","",IFERROR(VLOOKUP(D74,Lists!$A$2:$D$9,4,FALSE),"?"))</f>
        <v/>
      </c>
      <c r="S74">
        <f>IF(P74="Debtor",I74,IF(P74="Creditor",J74,0))</f>
        <v/>
      </c>
      <c r="T74">
        <f>IF(P74="Debtor",J74,IF(P74="Creditor",I74,0))</f>
        <v/>
      </c>
      <c r="U74">
        <f>IF(OR(S74=0,B74=""),0,IFERROR(VLOOKUP(C74,'Example Parties'!$B$13:$Q$112,13,FALSE),0)+SUMIFS($S$7:$S$506,$C$7:$C$506,C74,$B$7:$B$506,"&lt;"&amp;B74)+SUMIFS(S$7:S74,C$7:C74,C74,B$7:B74,B74))</f>
        <v/>
      </c>
      <c r="V74">
        <f>IF(S74=0,0,IFERROR(VLOOKUP(C74,'Example Parties'!$B$13:$Q$112,14,FALSE),0)+SUMIFS($T$7:$T$506,$C$7:$C$506,C74,$B$7:$B$506,"&lt;="&amp;'Example Outstanding'!$E$5))</f>
        <v/>
      </c>
      <c r="W74">
        <f>IF(OR('Example Outstanding'!$E$5="",S74=0,B74="",B74&gt;'Example Outstanding'!$E$5),0,MAX(0,MIN(S74,U74-V74)))</f>
        <v/>
      </c>
      <c r="X74">
        <f>IF(C74="",0,IFERROR(VLOOKUP(C74,'Example Parties'!$B$13:$Q$112,15,FALSE),0))</f>
        <v/>
      </c>
      <c r="Y74">
        <f>IF(C74="","",IFERROR(VLOOKUP(C74,'Example Parties'!$B$13:$Q$112,16,FALSE),0))</f>
        <v/>
      </c>
      <c r="Z74">
        <f>IF(OR(S74=0,B74="",Y74=""),"",IF(AND(F74&lt;&gt;"",D74="Purchase bill"),F74,B74)+Y74)</f>
        <v/>
      </c>
      <c r="AA74">
        <f>IF(OR(W74=0,Z74=""),0,MAX(0,'Example Outstanding'!$E$5-Z74))</f>
        <v/>
      </c>
      <c r="AB74">
        <f>IF(AND(X74=1,AA74&gt;0),W74*((1+3*N('Example Parties'!$E$10)/12)^(AA74*12/365)-1),0)</f>
        <v/>
      </c>
      <c r="AC74">
        <f>IF(W74=0,"",'Example Outstanding'!$E$5-B74)</f>
        <v/>
      </c>
      <c r="AD74">
        <f>IF(S74=0,0,IFERROR(VLOOKUP(C74,'Example Parties'!$B$13:$Q$112,14,FALSE),0)+SUMIFS($T$7:$T$506,$C$7:$C$506,C74,$B$7:$B$506,"&lt;="&amp;'Example Parties'!$E$8))</f>
        <v/>
      </c>
      <c r="AE74">
        <f>IF(OR('Example Parties'!$E$8="",S74=0,B74="",B74&gt;'Example Parties'!$E$8),0,MAX(0,MIN(S74,U74-AD74)))</f>
        <v/>
      </c>
      <c r="AF74">
        <f>IF(AND(P74="Creditor",X74=1,AE74&gt;0,Z74&lt;&gt;""),IF(Z74&lt;='Example Parties'!$E$8,AE74,0),0)</f>
        <v/>
      </c>
      <c r="AG74">
        <f>IF(OR(AE74=0,Z74=""),0,MAX(0,'Example Parties'!$E$8-Z74))</f>
        <v/>
      </c>
      <c r="AH74">
        <f>IF(AND(P74="Creditor",X74=1,AG74&gt;0),AE74*((1+3*N('Example Parties'!$E$10)/12)^(AG74*12/365)-1),0)</f>
        <v/>
      </c>
      <c r="AI74">
        <f>IF(AND(C74&lt;&gt;"",C74='Example Ledger'!$D$4,B74&lt;&gt;"",B74&gt;='Example Ledger'!$D$5,B74&lt;='Example Ledger'!$D$6),1,0)</f>
        <v/>
      </c>
      <c r="AJ74">
        <f>IF(AI74=1,SUM(AI$7:AI74),"")</f>
        <v/>
      </c>
      <c r="AK74">
        <f>IF(OR(N74="",N74="OK"),0,1)</f>
        <v/>
      </c>
    </row>
    <row r="75">
      <c r="B75" s="24" t="n"/>
      <c r="C75" s="14" t="n"/>
      <c r="D75" s="14" t="n"/>
      <c r="E75" s="20" t="n"/>
      <c r="F75" s="24" t="n"/>
      <c r="G75" s="14" t="n"/>
      <c r="H75" s="22" t="n"/>
      <c r="I75" s="25">
        <f>IF(Q75="D",N(H75),0)</f>
        <v/>
      </c>
      <c r="J75" s="25">
        <f>IF(Q75="C",N(H75),0)</f>
        <v/>
      </c>
      <c r="K75" s="26">
        <f>IF(Z75="","",Z75)</f>
        <v/>
      </c>
      <c r="L75" s="27">
        <f>W75</f>
        <v/>
      </c>
      <c r="M75" s="28">
        <f>AA75</f>
        <v/>
      </c>
      <c r="N75" s="23">
        <f>IF(AND(B75="",C75="",D75="",N(H75)=0),"",IF(B75="","Enter the date",IF(C75="","Pick the party",IF(P75="?","Add this party on the Parties sheet first",IF(D75="","Pick the entry type",IF(Q75="?","Pick the entry type from the list",IF(N(H75)=0,"Enter the amount",IF(AND(R75&lt;&gt;"Any",R75&lt;&gt;P75),"Sales, receipts and credit notes are for debtors; purchases, payments and debit notes for creditors",IF(AND(F75&lt;&gt;"",D75&lt;&gt;"Purchase bill"),"The received-on date is only for purchase bills",IF(AND(P75="Creditor",X75=1,AA75&gt;0),"Past due to a micro or small supplier: interest runs under MSMED s.16, and if unpaid at year end it is not deductible that year, s.37(2)(g)",IF(AND(P75="Debtor",X75=1,AA75&gt;0),"Past due to you: as a micro or small supplier you can claim interest under MSMED s.16","OK")))))))))))</f>
        <v/>
      </c>
      <c r="P75">
        <f>IF(C75="","",IFERROR(VLOOKUP(C75,'Example Parties'!$B$13:$Q$112,2,FALSE),"?"))</f>
        <v/>
      </c>
      <c r="Q75">
        <f>IF(D75="","",IFERROR(VLOOKUP(D75,Lists!$A$2:$D$9,3,FALSE),"?"))</f>
        <v/>
      </c>
      <c r="R75">
        <f>IF(D75="","",IFERROR(VLOOKUP(D75,Lists!$A$2:$D$9,4,FALSE),"?"))</f>
        <v/>
      </c>
      <c r="S75">
        <f>IF(P75="Debtor",I75,IF(P75="Creditor",J75,0))</f>
        <v/>
      </c>
      <c r="T75">
        <f>IF(P75="Debtor",J75,IF(P75="Creditor",I75,0))</f>
        <v/>
      </c>
      <c r="U75">
        <f>IF(OR(S75=0,B75=""),0,IFERROR(VLOOKUP(C75,'Example Parties'!$B$13:$Q$112,13,FALSE),0)+SUMIFS($S$7:$S$506,$C$7:$C$506,C75,$B$7:$B$506,"&lt;"&amp;B75)+SUMIFS(S$7:S75,C$7:C75,C75,B$7:B75,B75))</f>
        <v/>
      </c>
      <c r="V75">
        <f>IF(S75=0,0,IFERROR(VLOOKUP(C75,'Example Parties'!$B$13:$Q$112,14,FALSE),0)+SUMIFS($T$7:$T$506,$C$7:$C$506,C75,$B$7:$B$506,"&lt;="&amp;'Example Outstanding'!$E$5))</f>
        <v/>
      </c>
      <c r="W75">
        <f>IF(OR('Example Outstanding'!$E$5="",S75=0,B75="",B75&gt;'Example Outstanding'!$E$5),0,MAX(0,MIN(S75,U75-V75)))</f>
        <v/>
      </c>
      <c r="X75">
        <f>IF(C75="",0,IFERROR(VLOOKUP(C75,'Example Parties'!$B$13:$Q$112,15,FALSE),0))</f>
        <v/>
      </c>
      <c r="Y75">
        <f>IF(C75="","",IFERROR(VLOOKUP(C75,'Example Parties'!$B$13:$Q$112,16,FALSE),0))</f>
        <v/>
      </c>
      <c r="Z75">
        <f>IF(OR(S75=0,B75="",Y75=""),"",IF(AND(F75&lt;&gt;"",D75="Purchase bill"),F75,B75)+Y75)</f>
        <v/>
      </c>
      <c r="AA75">
        <f>IF(OR(W75=0,Z75=""),0,MAX(0,'Example Outstanding'!$E$5-Z75))</f>
        <v/>
      </c>
      <c r="AB75">
        <f>IF(AND(X75=1,AA75&gt;0),W75*((1+3*N('Example Parties'!$E$10)/12)^(AA75*12/365)-1),0)</f>
        <v/>
      </c>
      <c r="AC75">
        <f>IF(W75=0,"",'Example Outstanding'!$E$5-B75)</f>
        <v/>
      </c>
      <c r="AD75">
        <f>IF(S75=0,0,IFERROR(VLOOKUP(C75,'Example Parties'!$B$13:$Q$112,14,FALSE),0)+SUMIFS($T$7:$T$506,$C$7:$C$506,C75,$B$7:$B$506,"&lt;="&amp;'Example Parties'!$E$8))</f>
        <v/>
      </c>
      <c r="AE75">
        <f>IF(OR('Example Parties'!$E$8="",S75=0,B75="",B75&gt;'Example Parties'!$E$8),0,MAX(0,MIN(S75,U75-AD75)))</f>
        <v/>
      </c>
      <c r="AF75">
        <f>IF(AND(P75="Creditor",X75=1,AE75&gt;0,Z75&lt;&gt;""),IF(Z75&lt;='Example Parties'!$E$8,AE75,0),0)</f>
        <v/>
      </c>
      <c r="AG75">
        <f>IF(OR(AE75=0,Z75=""),0,MAX(0,'Example Parties'!$E$8-Z75))</f>
        <v/>
      </c>
      <c r="AH75">
        <f>IF(AND(P75="Creditor",X75=1,AG75&gt;0),AE75*((1+3*N('Example Parties'!$E$10)/12)^(AG75*12/365)-1),0)</f>
        <v/>
      </c>
      <c r="AI75">
        <f>IF(AND(C75&lt;&gt;"",C75='Example Ledger'!$D$4,B75&lt;&gt;"",B75&gt;='Example Ledger'!$D$5,B75&lt;='Example Ledger'!$D$6),1,0)</f>
        <v/>
      </c>
      <c r="AJ75">
        <f>IF(AI75=1,SUM(AI$7:AI75),"")</f>
        <v/>
      </c>
      <c r="AK75">
        <f>IF(OR(N75="",N75="OK"),0,1)</f>
        <v/>
      </c>
    </row>
    <row r="76">
      <c r="B76" s="24" t="n"/>
      <c r="C76" s="14" t="n"/>
      <c r="D76" s="14" t="n"/>
      <c r="E76" s="20" t="n"/>
      <c r="F76" s="24" t="n"/>
      <c r="G76" s="14" t="n"/>
      <c r="H76" s="22" t="n"/>
      <c r="I76" s="25">
        <f>IF(Q76="D",N(H76),0)</f>
        <v/>
      </c>
      <c r="J76" s="25">
        <f>IF(Q76="C",N(H76),0)</f>
        <v/>
      </c>
      <c r="K76" s="26">
        <f>IF(Z76="","",Z76)</f>
        <v/>
      </c>
      <c r="L76" s="27">
        <f>W76</f>
        <v/>
      </c>
      <c r="M76" s="28">
        <f>AA76</f>
        <v/>
      </c>
      <c r="N76" s="23">
        <f>IF(AND(B76="",C76="",D76="",N(H76)=0),"",IF(B76="","Enter the date",IF(C76="","Pick the party",IF(P76="?","Add this party on the Parties sheet first",IF(D76="","Pick the entry type",IF(Q76="?","Pick the entry type from the list",IF(N(H76)=0,"Enter the amount",IF(AND(R76&lt;&gt;"Any",R76&lt;&gt;P76),"Sales, receipts and credit notes are for debtors; purchases, payments and debit notes for creditors",IF(AND(F76&lt;&gt;"",D76&lt;&gt;"Purchase bill"),"The received-on date is only for purchase bills",IF(AND(P76="Creditor",X76=1,AA76&gt;0),"Past due to a micro or small supplier: interest runs under MSMED s.16, and if unpaid at year end it is not deductible that year, s.37(2)(g)",IF(AND(P76="Debtor",X76=1,AA76&gt;0),"Past due to you: as a micro or small supplier you can claim interest under MSMED s.16","OK")))))))))))</f>
        <v/>
      </c>
      <c r="P76">
        <f>IF(C76="","",IFERROR(VLOOKUP(C76,'Example Parties'!$B$13:$Q$112,2,FALSE),"?"))</f>
        <v/>
      </c>
      <c r="Q76">
        <f>IF(D76="","",IFERROR(VLOOKUP(D76,Lists!$A$2:$D$9,3,FALSE),"?"))</f>
        <v/>
      </c>
      <c r="R76">
        <f>IF(D76="","",IFERROR(VLOOKUP(D76,Lists!$A$2:$D$9,4,FALSE),"?"))</f>
        <v/>
      </c>
      <c r="S76">
        <f>IF(P76="Debtor",I76,IF(P76="Creditor",J76,0))</f>
        <v/>
      </c>
      <c r="T76">
        <f>IF(P76="Debtor",J76,IF(P76="Creditor",I76,0))</f>
        <v/>
      </c>
      <c r="U76">
        <f>IF(OR(S76=0,B76=""),0,IFERROR(VLOOKUP(C76,'Example Parties'!$B$13:$Q$112,13,FALSE),0)+SUMIFS($S$7:$S$506,$C$7:$C$506,C76,$B$7:$B$506,"&lt;"&amp;B76)+SUMIFS(S$7:S76,C$7:C76,C76,B$7:B76,B76))</f>
        <v/>
      </c>
      <c r="V76">
        <f>IF(S76=0,0,IFERROR(VLOOKUP(C76,'Example Parties'!$B$13:$Q$112,14,FALSE),0)+SUMIFS($T$7:$T$506,$C$7:$C$506,C76,$B$7:$B$506,"&lt;="&amp;'Example Outstanding'!$E$5))</f>
        <v/>
      </c>
      <c r="W76">
        <f>IF(OR('Example Outstanding'!$E$5="",S76=0,B76="",B76&gt;'Example Outstanding'!$E$5),0,MAX(0,MIN(S76,U76-V76)))</f>
        <v/>
      </c>
      <c r="X76">
        <f>IF(C76="",0,IFERROR(VLOOKUP(C76,'Example Parties'!$B$13:$Q$112,15,FALSE),0))</f>
        <v/>
      </c>
      <c r="Y76">
        <f>IF(C76="","",IFERROR(VLOOKUP(C76,'Example Parties'!$B$13:$Q$112,16,FALSE),0))</f>
        <v/>
      </c>
      <c r="Z76">
        <f>IF(OR(S76=0,B76="",Y76=""),"",IF(AND(F76&lt;&gt;"",D76="Purchase bill"),F76,B76)+Y76)</f>
        <v/>
      </c>
      <c r="AA76">
        <f>IF(OR(W76=0,Z76=""),0,MAX(0,'Example Outstanding'!$E$5-Z76))</f>
        <v/>
      </c>
      <c r="AB76">
        <f>IF(AND(X76=1,AA76&gt;0),W76*((1+3*N('Example Parties'!$E$10)/12)^(AA76*12/365)-1),0)</f>
        <v/>
      </c>
      <c r="AC76">
        <f>IF(W76=0,"",'Example Outstanding'!$E$5-B76)</f>
        <v/>
      </c>
      <c r="AD76">
        <f>IF(S76=0,0,IFERROR(VLOOKUP(C76,'Example Parties'!$B$13:$Q$112,14,FALSE),0)+SUMIFS($T$7:$T$506,$C$7:$C$506,C76,$B$7:$B$506,"&lt;="&amp;'Example Parties'!$E$8))</f>
        <v/>
      </c>
      <c r="AE76">
        <f>IF(OR('Example Parties'!$E$8="",S76=0,B76="",B76&gt;'Example Parties'!$E$8),0,MAX(0,MIN(S76,U76-AD76)))</f>
        <v/>
      </c>
      <c r="AF76">
        <f>IF(AND(P76="Creditor",X76=1,AE76&gt;0,Z76&lt;&gt;""),IF(Z76&lt;='Example Parties'!$E$8,AE76,0),0)</f>
        <v/>
      </c>
      <c r="AG76">
        <f>IF(OR(AE76=0,Z76=""),0,MAX(0,'Example Parties'!$E$8-Z76))</f>
        <v/>
      </c>
      <c r="AH76">
        <f>IF(AND(P76="Creditor",X76=1,AG76&gt;0),AE76*((1+3*N('Example Parties'!$E$10)/12)^(AG76*12/365)-1),0)</f>
        <v/>
      </c>
      <c r="AI76">
        <f>IF(AND(C76&lt;&gt;"",C76='Example Ledger'!$D$4,B76&lt;&gt;"",B76&gt;='Example Ledger'!$D$5,B76&lt;='Example Ledger'!$D$6),1,0)</f>
        <v/>
      </c>
      <c r="AJ76">
        <f>IF(AI76=1,SUM(AI$7:AI76),"")</f>
        <v/>
      </c>
      <c r="AK76">
        <f>IF(OR(N76="",N76="OK"),0,1)</f>
        <v/>
      </c>
    </row>
    <row r="77">
      <c r="B77" s="24" t="n"/>
      <c r="C77" s="14" t="n"/>
      <c r="D77" s="14" t="n"/>
      <c r="E77" s="20" t="n"/>
      <c r="F77" s="24" t="n"/>
      <c r="G77" s="14" t="n"/>
      <c r="H77" s="22" t="n"/>
      <c r="I77" s="25">
        <f>IF(Q77="D",N(H77),0)</f>
        <v/>
      </c>
      <c r="J77" s="25">
        <f>IF(Q77="C",N(H77),0)</f>
        <v/>
      </c>
      <c r="K77" s="26">
        <f>IF(Z77="","",Z77)</f>
        <v/>
      </c>
      <c r="L77" s="27">
        <f>W77</f>
        <v/>
      </c>
      <c r="M77" s="28">
        <f>AA77</f>
        <v/>
      </c>
      <c r="N77" s="23">
        <f>IF(AND(B77="",C77="",D77="",N(H77)=0),"",IF(B77="","Enter the date",IF(C77="","Pick the party",IF(P77="?","Add this party on the Parties sheet first",IF(D77="","Pick the entry type",IF(Q77="?","Pick the entry type from the list",IF(N(H77)=0,"Enter the amount",IF(AND(R77&lt;&gt;"Any",R77&lt;&gt;P77),"Sales, receipts and credit notes are for debtors; purchases, payments and debit notes for creditors",IF(AND(F77&lt;&gt;"",D77&lt;&gt;"Purchase bill"),"The received-on date is only for purchase bills",IF(AND(P77="Creditor",X77=1,AA77&gt;0),"Past due to a micro or small supplier: interest runs under MSMED s.16, and if unpaid at year end it is not deductible that year, s.37(2)(g)",IF(AND(P77="Debtor",X77=1,AA77&gt;0),"Past due to you: as a micro or small supplier you can claim interest under MSMED s.16","OK")))))))))))</f>
        <v/>
      </c>
      <c r="P77">
        <f>IF(C77="","",IFERROR(VLOOKUP(C77,'Example Parties'!$B$13:$Q$112,2,FALSE),"?"))</f>
        <v/>
      </c>
      <c r="Q77">
        <f>IF(D77="","",IFERROR(VLOOKUP(D77,Lists!$A$2:$D$9,3,FALSE),"?"))</f>
        <v/>
      </c>
      <c r="R77">
        <f>IF(D77="","",IFERROR(VLOOKUP(D77,Lists!$A$2:$D$9,4,FALSE),"?"))</f>
        <v/>
      </c>
      <c r="S77">
        <f>IF(P77="Debtor",I77,IF(P77="Creditor",J77,0))</f>
        <v/>
      </c>
      <c r="T77">
        <f>IF(P77="Debtor",J77,IF(P77="Creditor",I77,0))</f>
        <v/>
      </c>
      <c r="U77">
        <f>IF(OR(S77=0,B77=""),0,IFERROR(VLOOKUP(C77,'Example Parties'!$B$13:$Q$112,13,FALSE),0)+SUMIFS($S$7:$S$506,$C$7:$C$506,C77,$B$7:$B$506,"&lt;"&amp;B77)+SUMIFS(S$7:S77,C$7:C77,C77,B$7:B77,B77))</f>
        <v/>
      </c>
      <c r="V77">
        <f>IF(S77=0,0,IFERROR(VLOOKUP(C77,'Example Parties'!$B$13:$Q$112,14,FALSE),0)+SUMIFS($T$7:$T$506,$C$7:$C$506,C77,$B$7:$B$506,"&lt;="&amp;'Example Outstanding'!$E$5))</f>
        <v/>
      </c>
      <c r="W77">
        <f>IF(OR('Example Outstanding'!$E$5="",S77=0,B77="",B77&gt;'Example Outstanding'!$E$5),0,MAX(0,MIN(S77,U77-V77)))</f>
        <v/>
      </c>
      <c r="X77">
        <f>IF(C77="",0,IFERROR(VLOOKUP(C77,'Example Parties'!$B$13:$Q$112,15,FALSE),0))</f>
        <v/>
      </c>
      <c r="Y77">
        <f>IF(C77="","",IFERROR(VLOOKUP(C77,'Example Parties'!$B$13:$Q$112,16,FALSE),0))</f>
        <v/>
      </c>
      <c r="Z77">
        <f>IF(OR(S77=0,B77="",Y77=""),"",IF(AND(F77&lt;&gt;"",D77="Purchase bill"),F77,B77)+Y77)</f>
        <v/>
      </c>
      <c r="AA77">
        <f>IF(OR(W77=0,Z77=""),0,MAX(0,'Example Outstanding'!$E$5-Z77))</f>
        <v/>
      </c>
      <c r="AB77">
        <f>IF(AND(X77=1,AA77&gt;0),W77*((1+3*N('Example Parties'!$E$10)/12)^(AA77*12/365)-1),0)</f>
        <v/>
      </c>
      <c r="AC77">
        <f>IF(W77=0,"",'Example Outstanding'!$E$5-B77)</f>
        <v/>
      </c>
      <c r="AD77">
        <f>IF(S77=0,0,IFERROR(VLOOKUP(C77,'Example Parties'!$B$13:$Q$112,14,FALSE),0)+SUMIFS($T$7:$T$506,$C$7:$C$506,C77,$B$7:$B$506,"&lt;="&amp;'Example Parties'!$E$8))</f>
        <v/>
      </c>
      <c r="AE77">
        <f>IF(OR('Example Parties'!$E$8="",S77=0,B77="",B77&gt;'Example Parties'!$E$8),0,MAX(0,MIN(S77,U77-AD77)))</f>
        <v/>
      </c>
      <c r="AF77">
        <f>IF(AND(P77="Creditor",X77=1,AE77&gt;0,Z77&lt;&gt;""),IF(Z77&lt;='Example Parties'!$E$8,AE77,0),0)</f>
        <v/>
      </c>
      <c r="AG77">
        <f>IF(OR(AE77=0,Z77=""),0,MAX(0,'Example Parties'!$E$8-Z77))</f>
        <v/>
      </c>
      <c r="AH77">
        <f>IF(AND(P77="Creditor",X77=1,AG77&gt;0),AE77*((1+3*N('Example Parties'!$E$10)/12)^(AG77*12/365)-1),0)</f>
        <v/>
      </c>
      <c r="AI77">
        <f>IF(AND(C77&lt;&gt;"",C77='Example Ledger'!$D$4,B77&lt;&gt;"",B77&gt;='Example Ledger'!$D$5,B77&lt;='Example Ledger'!$D$6),1,0)</f>
        <v/>
      </c>
      <c r="AJ77">
        <f>IF(AI77=1,SUM(AI$7:AI77),"")</f>
        <v/>
      </c>
      <c r="AK77">
        <f>IF(OR(N77="",N77="OK"),0,1)</f>
        <v/>
      </c>
    </row>
    <row r="78">
      <c r="B78" s="24" t="n"/>
      <c r="C78" s="14" t="n"/>
      <c r="D78" s="14" t="n"/>
      <c r="E78" s="20" t="n"/>
      <c r="F78" s="24" t="n"/>
      <c r="G78" s="14" t="n"/>
      <c r="H78" s="22" t="n"/>
      <c r="I78" s="25">
        <f>IF(Q78="D",N(H78),0)</f>
        <v/>
      </c>
      <c r="J78" s="25">
        <f>IF(Q78="C",N(H78),0)</f>
        <v/>
      </c>
      <c r="K78" s="26">
        <f>IF(Z78="","",Z78)</f>
        <v/>
      </c>
      <c r="L78" s="27">
        <f>W78</f>
        <v/>
      </c>
      <c r="M78" s="28">
        <f>AA78</f>
        <v/>
      </c>
      <c r="N78" s="23">
        <f>IF(AND(B78="",C78="",D78="",N(H78)=0),"",IF(B78="","Enter the date",IF(C78="","Pick the party",IF(P78="?","Add this party on the Parties sheet first",IF(D78="","Pick the entry type",IF(Q78="?","Pick the entry type from the list",IF(N(H78)=0,"Enter the amount",IF(AND(R78&lt;&gt;"Any",R78&lt;&gt;P78),"Sales, receipts and credit notes are for debtors; purchases, payments and debit notes for creditors",IF(AND(F78&lt;&gt;"",D78&lt;&gt;"Purchase bill"),"The received-on date is only for purchase bills",IF(AND(P78="Creditor",X78=1,AA78&gt;0),"Past due to a micro or small supplier: interest runs under MSMED s.16, and if unpaid at year end it is not deductible that year, s.37(2)(g)",IF(AND(P78="Debtor",X78=1,AA78&gt;0),"Past due to you: as a micro or small supplier you can claim interest under MSMED s.16","OK")))))))))))</f>
        <v/>
      </c>
      <c r="P78">
        <f>IF(C78="","",IFERROR(VLOOKUP(C78,'Example Parties'!$B$13:$Q$112,2,FALSE),"?"))</f>
        <v/>
      </c>
      <c r="Q78">
        <f>IF(D78="","",IFERROR(VLOOKUP(D78,Lists!$A$2:$D$9,3,FALSE),"?"))</f>
        <v/>
      </c>
      <c r="R78">
        <f>IF(D78="","",IFERROR(VLOOKUP(D78,Lists!$A$2:$D$9,4,FALSE),"?"))</f>
        <v/>
      </c>
      <c r="S78">
        <f>IF(P78="Debtor",I78,IF(P78="Creditor",J78,0))</f>
        <v/>
      </c>
      <c r="T78">
        <f>IF(P78="Debtor",J78,IF(P78="Creditor",I78,0))</f>
        <v/>
      </c>
      <c r="U78">
        <f>IF(OR(S78=0,B78=""),0,IFERROR(VLOOKUP(C78,'Example Parties'!$B$13:$Q$112,13,FALSE),0)+SUMIFS($S$7:$S$506,$C$7:$C$506,C78,$B$7:$B$506,"&lt;"&amp;B78)+SUMIFS(S$7:S78,C$7:C78,C78,B$7:B78,B78))</f>
        <v/>
      </c>
      <c r="V78">
        <f>IF(S78=0,0,IFERROR(VLOOKUP(C78,'Example Parties'!$B$13:$Q$112,14,FALSE),0)+SUMIFS($T$7:$T$506,$C$7:$C$506,C78,$B$7:$B$506,"&lt;="&amp;'Example Outstanding'!$E$5))</f>
        <v/>
      </c>
      <c r="W78">
        <f>IF(OR('Example Outstanding'!$E$5="",S78=0,B78="",B78&gt;'Example Outstanding'!$E$5),0,MAX(0,MIN(S78,U78-V78)))</f>
        <v/>
      </c>
      <c r="X78">
        <f>IF(C78="",0,IFERROR(VLOOKUP(C78,'Example Parties'!$B$13:$Q$112,15,FALSE),0))</f>
        <v/>
      </c>
      <c r="Y78">
        <f>IF(C78="","",IFERROR(VLOOKUP(C78,'Example Parties'!$B$13:$Q$112,16,FALSE),0))</f>
        <v/>
      </c>
      <c r="Z78">
        <f>IF(OR(S78=0,B78="",Y78=""),"",IF(AND(F78&lt;&gt;"",D78="Purchase bill"),F78,B78)+Y78)</f>
        <v/>
      </c>
      <c r="AA78">
        <f>IF(OR(W78=0,Z78=""),0,MAX(0,'Example Outstanding'!$E$5-Z78))</f>
        <v/>
      </c>
      <c r="AB78">
        <f>IF(AND(X78=1,AA78&gt;0),W78*((1+3*N('Example Parties'!$E$10)/12)^(AA78*12/365)-1),0)</f>
        <v/>
      </c>
      <c r="AC78">
        <f>IF(W78=0,"",'Example Outstanding'!$E$5-B78)</f>
        <v/>
      </c>
      <c r="AD78">
        <f>IF(S78=0,0,IFERROR(VLOOKUP(C78,'Example Parties'!$B$13:$Q$112,14,FALSE),0)+SUMIFS($T$7:$T$506,$C$7:$C$506,C78,$B$7:$B$506,"&lt;="&amp;'Example Parties'!$E$8))</f>
        <v/>
      </c>
      <c r="AE78">
        <f>IF(OR('Example Parties'!$E$8="",S78=0,B78="",B78&gt;'Example Parties'!$E$8),0,MAX(0,MIN(S78,U78-AD78)))</f>
        <v/>
      </c>
      <c r="AF78">
        <f>IF(AND(P78="Creditor",X78=1,AE78&gt;0,Z78&lt;&gt;""),IF(Z78&lt;='Example Parties'!$E$8,AE78,0),0)</f>
        <v/>
      </c>
      <c r="AG78">
        <f>IF(OR(AE78=0,Z78=""),0,MAX(0,'Example Parties'!$E$8-Z78))</f>
        <v/>
      </c>
      <c r="AH78">
        <f>IF(AND(P78="Creditor",X78=1,AG78&gt;0),AE78*((1+3*N('Example Parties'!$E$10)/12)^(AG78*12/365)-1),0)</f>
        <v/>
      </c>
      <c r="AI78">
        <f>IF(AND(C78&lt;&gt;"",C78='Example Ledger'!$D$4,B78&lt;&gt;"",B78&gt;='Example Ledger'!$D$5,B78&lt;='Example Ledger'!$D$6),1,0)</f>
        <v/>
      </c>
      <c r="AJ78">
        <f>IF(AI78=1,SUM(AI$7:AI78),"")</f>
        <v/>
      </c>
      <c r="AK78">
        <f>IF(OR(N78="",N78="OK"),0,1)</f>
        <v/>
      </c>
    </row>
    <row r="79">
      <c r="B79" s="24" t="n"/>
      <c r="C79" s="14" t="n"/>
      <c r="D79" s="14" t="n"/>
      <c r="E79" s="20" t="n"/>
      <c r="F79" s="24" t="n"/>
      <c r="G79" s="14" t="n"/>
      <c r="H79" s="22" t="n"/>
      <c r="I79" s="25">
        <f>IF(Q79="D",N(H79),0)</f>
        <v/>
      </c>
      <c r="J79" s="25">
        <f>IF(Q79="C",N(H79),0)</f>
        <v/>
      </c>
      <c r="K79" s="26">
        <f>IF(Z79="","",Z79)</f>
        <v/>
      </c>
      <c r="L79" s="27">
        <f>W79</f>
        <v/>
      </c>
      <c r="M79" s="28">
        <f>AA79</f>
        <v/>
      </c>
      <c r="N79" s="23">
        <f>IF(AND(B79="",C79="",D79="",N(H79)=0),"",IF(B79="","Enter the date",IF(C79="","Pick the party",IF(P79="?","Add this party on the Parties sheet first",IF(D79="","Pick the entry type",IF(Q79="?","Pick the entry type from the list",IF(N(H79)=0,"Enter the amount",IF(AND(R79&lt;&gt;"Any",R79&lt;&gt;P79),"Sales, receipts and credit notes are for debtors; purchases, payments and debit notes for creditors",IF(AND(F79&lt;&gt;"",D79&lt;&gt;"Purchase bill"),"The received-on date is only for purchase bills",IF(AND(P79="Creditor",X79=1,AA79&gt;0),"Past due to a micro or small supplier: interest runs under MSMED s.16, and if unpaid at year end it is not deductible that year, s.37(2)(g)",IF(AND(P79="Debtor",X79=1,AA79&gt;0),"Past due to you: as a micro or small supplier you can claim interest under MSMED s.16","OK")))))))))))</f>
        <v/>
      </c>
      <c r="P79">
        <f>IF(C79="","",IFERROR(VLOOKUP(C79,'Example Parties'!$B$13:$Q$112,2,FALSE),"?"))</f>
        <v/>
      </c>
      <c r="Q79">
        <f>IF(D79="","",IFERROR(VLOOKUP(D79,Lists!$A$2:$D$9,3,FALSE),"?"))</f>
        <v/>
      </c>
      <c r="R79">
        <f>IF(D79="","",IFERROR(VLOOKUP(D79,Lists!$A$2:$D$9,4,FALSE),"?"))</f>
        <v/>
      </c>
      <c r="S79">
        <f>IF(P79="Debtor",I79,IF(P79="Creditor",J79,0))</f>
        <v/>
      </c>
      <c r="T79">
        <f>IF(P79="Debtor",J79,IF(P79="Creditor",I79,0))</f>
        <v/>
      </c>
      <c r="U79">
        <f>IF(OR(S79=0,B79=""),0,IFERROR(VLOOKUP(C79,'Example Parties'!$B$13:$Q$112,13,FALSE),0)+SUMIFS($S$7:$S$506,$C$7:$C$506,C79,$B$7:$B$506,"&lt;"&amp;B79)+SUMIFS(S$7:S79,C$7:C79,C79,B$7:B79,B79))</f>
        <v/>
      </c>
      <c r="V79">
        <f>IF(S79=0,0,IFERROR(VLOOKUP(C79,'Example Parties'!$B$13:$Q$112,14,FALSE),0)+SUMIFS($T$7:$T$506,$C$7:$C$506,C79,$B$7:$B$506,"&lt;="&amp;'Example Outstanding'!$E$5))</f>
        <v/>
      </c>
      <c r="W79">
        <f>IF(OR('Example Outstanding'!$E$5="",S79=0,B79="",B79&gt;'Example Outstanding'!$E$5),0,MAX(0,MIN(S79,U79-V79)))</f>
        <v/>
      </c>
      <c r="X79">
        <f>IF(C79="",0,IFERROR(VLOOKUP(C79,'Example Parties'!$B$13:$Q$112,15,FALSE),0))</f>
        <v/>
      </c>
      <c r="Y79">
        <f>IF(C79="","",IFERROR(VLOOKUP(C79,'Example Parties'!$B$13:$Q$112,16,FALSE),0))</f>
        <v/>
      </c>
      <c r="Z79">
        <f>IF(OR(S79=0,B79="",Y79=""),"",IF(AND(F79&lt;&gt;"",D79="Purchase bill"),F79,B79)+Y79)</f>
        <v/>
      </c>
      <c r="AA79">
        <f>IF(OR(W79=0,Z79=""),0,MAX(0,'Example Outstanding'!$E$5-Z79))</f>
        <v/>
      </c>
      <c r="AB79">
        <f>IF(AND(X79=1,AA79&gt;0),W79*((1+3*N('Example Parties'!$E$10)/12)^(AA79*12/365)-1),0)</f>
        <v/>
      </c>
      <c r="AC79">
        <f>IF(W79=0,"",'Example Outstanding'!$E$5-B79)</f>
        <v/>
      </c>
      <c r="AD79">
        <f>IF(S79=0,0,IFERROR(VLOOKUP(C79,'Example Parties'!$B$13:$Q$112,14,FALSE),0)+SUMIFS($T$7:$T$506,$C$7:$C$506,C79,$B$7:$B$506,"&lt;="&amp;'Example Parties'!$E$8))</f>
        <v/>
      </c>
      <c r="AE79">
        <f>IF(OR('Example Parties'!$E$8="",S79=0,B79="",B79&gt;'Example Parties'!$E$8),0,MAX(0,MIN(S79,U79-AD79)))</f>
        <v/>
      </c>
      <c r="AF79">
        <f>IF(AND(P79="Creditor",X79=1,AE79&gt;0,Z79&lt;&gt;""),IF(Z79&lt;='Example Parties'!$E$8,AE79,0),0)</f>
        <v/>
      </c>
      <c r="AG79">
        <f>IF(OR(AE79=0,Z79=""),0,MAX(0,'Example Parties'!$E$8-Z79))</f>
        <v/>
      </c>
      <c r="AH79">
        <f>IF(AND(P79="Creditor",X79=1,AG79&gt;0),AE79*((1+3*N('Example Parties'!$E$10)/12)^(AG79*12/365)-1),0)</f>
        <v/>
      </c>
      <c r="AI79">
        <f>IF(AND(C79&lt;&gt;"",C79='Example Ledger'!$D$4,B79&lt;&gt;"",B79&gt;='Example Ledger'!$D$5,B79&lt;='Example Ledger'!$D$6),1,0)</f>
        <v/>
      </c>
      <c r="AJ79">
        <f>IF(AI79=1,SUM(AI$7:AI79),"")</f>
        <v/>
      </c>
      <c r="AK79">
        <f>IF(OR(N79="",N79="OK"),0,1)</f>
        <v/>
      </c>
    </row>
    <row r="80">
      <c r="B80" s="24" t="n"/>
      <c r="C80" s="14" t="n"/>
      <c r="D80" s="14" t="n"/>
      <c r="E80" s="20" t="n"/>
      <c r="F80" s="24" t="n"/>
      <c r="G80" s="14" t="n"/>
      <c r="H80" s="22" t="n"/>
      <c r="I80" s="25">
        <f>IF(Q80="D",N(H80),0)</f>
        <v/>
      </c>
      <c r="J80" s="25">
        <f>IF(Q80="C",N(H80),0)</f>
        <v/>
      </c>
      <c r="K80" s="26">
        <f>IF(Z80="","",Z80)</f>
        <v/>
      </c>
      <c r="L80" s="27">
        <f>W80</f>
        <v/>
      </c>
      <c r="M80" s="28">
        <f>AA80</f>
        <v/>
      </c>
      <c r="N80" s="23">
        <f>IF(AND(B80="",C80="",D80="",N(H80)=0),"",IF(B80="","Enter the date",IF(C80="","Pick the party",IF(P80="?","Add this party on the Parties sheet first",IF(D80="","Pick the entry type",IF(Q80="?","Pick the entry type from the list",IF(N(H80)=0,"Enter the amount",IF(AND(R80&lt;&gt;"Any",R80&lt;&gt;P80),"Sales, receipts and credit notes are for debtors; purchases, payments and debit notes for creditors",IF(AND(F80&lt;&gt;"",D80&lt;&gt;"Purchase bill"),"The received-on date is only for purchase bills",IF(AND(P80="Creditor",X80=1,AA80&gt;0),"Past due to a micro or small supplier: interest runs under MSMED s.16, and if unpaid at year end it is not deductible that year, s.37(2)(g)",IF(AND(P80="Debtor",X80=1,AA80&gt;0),"Past due to you: as a micro or small supplier you can claim interest under MSMED s.16","OK")))))))))))</f>
        <v/>
      </c>
      <c r="P80">
        <f>IF(C80="","",IFERROR(VLOOKUP(C80,'Example Parties'!$B$13:$Q$112,2,FALSE),"?"))</f>
        <v/>
      </c>
      <c r="Q80">
        <f>IF(D80="","",IFERROR(VLOOKUP(D80,Lists!$A$2:$D$9,3,FALSE),"?"))</f>
        <v/>
      </c>
      <c r="R80">
        <f>IF(D80="","",IFERROR(VLOOKUP(D80,Lists!$A$2:$D$9,4,FALSE),"?"))</f>
        <v/>
      </c>
      <c r="S80">
        <f>IF(P80="Debtor",I80,IF(P80="Creditor",J80,0))</f>
        <v/>
      </c>
      <c r="T80">
        <f>IF(P80="Debtor",J80,IF(P80="Creditor",I80,0))</f>
        <v/>
      </c>
      <c r="U80">
        <f>IF(OR(S80=0,B80=""),0,IFERROR(VLOOKUP(C80,'Example Parties'!$B$13:$Q$112,13,FALSE),0)+SUMIFS($S$7:$S$506,$C$7:$C$506,C80,$B$7:$B$506,"&lt;"&amp;B80)+SUMIFS(S$7:S80,C$7:C80,C80,B$7:B80,B80))</f>
        <v/>
      </c>
      <c r="V80">
        <f>IF(S80=0,0,IFERROR(VLOOKUP(C80,'Example Parties'!$B$13:$Q$112,14,FALSE),0)+SUMIFS($T$7:$T$506,$C$7:$C$506,C80,$B$7:$B$506,"&lt;="&amp;'Example Outstanding'!$E$5))</f>
        <v/>
      </c>
      <c r="W80">
        <f>IF(OR('Example Outstanding'!$E$5="",S80=0,B80="",B80&gt;'Example Outstanding'!$E$5),0,MAX(0,MIN(S80,U80-V80)))</f>
        <v/>
      </c>
      <c r="X80">
        <f>IF(C80="",0,IFERROR(VLOOKUP(C80,'Example Parties'!$B$13:$Q$112,15,FALSE),0))</f>
        <v/>
      </c>
      <c r="Y80">
        <f>IF(C80="","",IFERROR(VLOOKUP(C80,'Example Parties'!$B$13:$Q$112,16,FALSE),0))</f>
        <v/>
      </c>
      <c r="Z80">
        <f>IF(OR(S80=0,B80="",Y80=""),"",IF(AND(F80&lt;&gt;"",D80="Purchase bill"),F80,B80)+Y80)</f>
        <v/>
      </c>
      <c r="AA80">
        <f>IF(OR(W80=0,Z80=""),0,MAX(0,'Example Outstanding'!$E$5-Z80))</f>
        <v/>
      </c>
      <c r="AB80">
        <f>IF(AND(X80=1,AA80&gt;0),W80*((1+3*N('Example Parties'!$E$10)/12)^(AA80*12/365)-1),0)</f>
        <v/>
      </c>
      <c r="AC80">
        <f>IF(W80=0,"",'Example Outstanding'!$E$5-B80)</f>
        <v/>
      </c>
      <c r="AD80">
        <f>IF(S80=0,0,IFERROR(VLOOKUP(C80,'Example Parties'!$B$13:$Q$112,14,FALSE),0)+SUMIFS($T$7:$T$506,$C$7:$C$506,C80,$B$7:$B$506,"&lt;="&amp;'Example Parties'!$E$8))</f>
        <v/>
      </c>
      <c r="AE80">
        <f>IF(OR('Example Parties'!$E$8="",S80=0,B80="",B80&gt;'Example Parties'!$E$8),0,MAX(0,MIN(S80,U80-AD80)))</f>
        <v/>
      </c>
      <c r="AF80">
        <f>IF(AND(P80="Creditor",X80=1,AE80&gt;0,Z80&lt;&gt;""),IF(Z80&lt;='Example Parties'!$E$8,AE80,0),0)</f>
        <v/>
      </c>
      <c r="AG80">
        <f>IF(OR(AE80=0,Z80=""),0,MAX(0,'Example Parties'!$E$8-Z80))</f>
        <v/>
      </c>
      <c r="AH80">
        <f>IF(AND(P80="Creditor",X80=1,AG80&gt;0),AE80*((1+3*N('Example Parties'!$E$10)/12)^(AG80*12/365)-1),0)</f>
        <v/>
      </c>
      <c r="AI80">
        <f>IF(AND(C80&lt;&gt;"",C80='Example Ledger'!$D$4,B80&lt;&gt;"",B80&gt;='Example Ledger'!$D$5,B80&lt;='Example Ledger'!$D$6),1,0)</f>
        <v/>
      </c>
      <c r="AJ80">
        <f>IF(AI80=1,SUM(AI$7:AI80),"")</f>
        <v/>
      </c>
      <c r="AK80">
        <f>IF(OR(N80="",N80="OK"),0,1)</f>
        <v/>
      </c>
    </row>
    <row r="81">
      <c r="B81" s="24" t="n"/>
      <c r="C81" s="14" t="n"/>
      <c r="D81" s="14" t="n"/>
      <c r="E81" s="20" t="n"/>
      <c r="F81" s="24" t="n"/>
      <c r="G81" s="14" t="n"/>
      <c r="H81" s="22" t="n"/>
      <c r="I81" s="25">
        <f>IF(Q81="D",N(H81),0)</f>
        <v/>
      </c>
      <c r="J81" s="25">
        <f>IF(Q81="C",N(H81),0)</f>
        <v/>
      </c>
      <c r="K81" s="26">
        <f>IF(Z81="","",Z81)</f>
        <v/>
      </c>
      <c r="L81" s="27">
        <f>W81</f>
        <v/>
      </c>
      <c r="M81" s="28">
        <f>AA81</f>
        <v/>
      </c>
      <c r="N81" s="23">
        <f>IF(AND(B81="",C81="",D81="",N(H81)=0),"",IF(B81="","Enter the date",IF(C81="","Pick the party",IF(P81="?","Add this party on the Parties sheet first",IF(D81="","Pick the entry type",IF(Q81="?","Pick the entry type from the list",IF(N(H81)=0,"Enter the amount",IF(AND(R81&lt;&gt;"Any",R81&lt;&gt;P81),"Sales, receipts and credit notes are for debtors; purchases, payments and debit notes for creditors",IF(AND(F81&lt;&gt;"",D81&lt;&gt;"Purchase bill"),"The received-on date is only for purchase bills",IF(AND(P81="Creditor",X81=1,AA81&gt;0),"Past due to a micro or small supplier: interest runs under MSMED s.16, and if unpaid at year end it is not deductible that year, s.37(2)(g)",IF(AND(P81="Debtor",X81=1,AA81&gt;0),"Past due to you: as a micro or small supplier you can claim interest under MSMED s.16","OK")))))))))))</f>
        <v/>
      </c>
      <c r="P81">
        <f>IF(C81="","",IFERROR(VLOOKUP(C81,'Example Parties'!$B$13:$Q$112,2,FALSE),"?"))</f>
        <v/>
      </c>
      <c r="Q81">
        <f>IF(D81="","",IFERROR(VLOOKUP(D81,Lists!$A$2:$D$9,3,FALSE),"?"))</f>
        <v/>
      </c>
      <c r="R81">
        <f>IF(D81="","",IFERROR(VLOOKUP(D81,Lists!$A$2:$D$9,4,FALSE),"?"))</f>
        <v/>
      </c>
      <c r="S81">
        <f>IF(P81="Debtor",I81,IF(P81="Creditor",J81,0))</f>
        <v/>
      </c>
      <c r="T81">
        <f>IF(P81="Debtor",J81,IF(P81="Creditor",I81,0))</f>
        <v/>
      </c>
      <c r="U81">
        <f>IF(OR(S81=0,B81=""),0,IFERROR(VLOOKUP(C81,'Example Parties'!$B$13:$Q$112,13,FALSE),0)+SUMIFS($S$7:$S$506,$C$7:$C$506,C81,$B$7:$B$506,"&lt;"&amp;B81)+SUMIFS(S$7:S81,C$7:C81,C81,B$7:B81,B81))</f>
        <v/>
      </c>
      <c r="V81">
        <f>IF(S81=0,0,IFERROR(VLOOKUP(C81,'Example Parties'!$B$13:$Q$112,14,FALSE),0)+SUMIFS($T$7:$T$506,$C$7:$C$506,C81,$B$7:$B$506,"&lt;="&amp;'Example Outstanding'!$E$5))</f>
        <v/>
      </c>
      <c r="W81">
        <f>IF(OR('Example Outstanding'!$E$5="",S81=0,B81="",B81&gt;'Example Outstanding'!$E$5),0,MAX(0,MIN(S81,U81-V81)))</f>
        <v/>
      </c>
      <c r="X81">
        <f>IF(C81="",0,IFERROR(VLOOKUP(C81,'Example Parties'!$B$13:$Q$112,15,FALSE),0))</f>
        <v/>
      </c>
      <c r="Y81">
        <f>IF(C81="","",IFERROR(VLOOKUP(C81,'Example Parties'!$B$13:$Q$112,16,FALSE),0))</f>
        <v/>
      </c>
      <c r="Z81">
        <f>IF(OR(S81=0,B81="",Y81=""),"",IF(AND(F81&lt;&gt;"",D81="Purchase bill"),F81,B81)+Y81)</f>
        <v/>
      </c>
      <c r="AA81">
        <f>IF(OR(W81=0,Z81=""),0,MAX(0,'Example Outstanding'!$E$5-Z81))</f>
        <v/>
      </c>
      <c r="AB81">
        <f>IF(AND(X81=1,AA81&gt;0),W81*((1+3*N('Example Parties'!$E$10)/12)^(AA81*12/365)-1),0)</f>
        <v/>
      </c>
      <c r="AC81">
        <f>IF(W81=0,"",'Example Outstanding'!$E$5-B81)</f>
        <v/>
      </c>
      <c r="AD81">
        <f>IF(S81=0,0,IFERROR(VLOOKUP(C81,'Example Parties'!$B$13:$Q$112,14,FALSE),0)+SUMIFS($T$7:$T$506,$C$7:$C$506,C81,$B$7:$B$506,"&lt;="&amp;'Example Parties'!$E$8))</f>
        <v/>
      </c>
      <c r="AE81">
        <f>IF(OR('Example Parties'!$E$8="",S81=0,B81="",B81&gt;'Example Parties'!$E$8),0,MAX(0,MIN(S81,U81-AD81)))</f>
        <v/>
      </c>
      <c r="AF81">
        <f>IF(AND(P81="Creditor",X81=1,AE81&gt;0,Z81&lt;&gt;""),IF(Z81&lt;='Example Parties'!$E$8,AE81,0),0)</f>
        <v/>
      </c>
      <c r="AG81">
        <f>IF(OR(AE81=0,Z81=""),0,MAX(0,'Example Parties'!$E$8-Z81))</f>
        <v/>
      </c>
      <c r="AH81">
        <f>IF(AND(P81="Creditor",X81=1,AG81&gt;0),AE81*((1+3*N('Example Parties'!$E$10)/12)^(AG81*12/365)-1),0)</f>
        <v/>
      </c>
      <c r="AI81">
        <f>IF(AND(C81&lt;&gt;"",C81='Example Ledger'!$D$4,B81&lt;&gt;"",B81&gt;='Example Ledger'!$D$5,B81&lt;='Example Ledger'!$D$6),1,0)</f>
        <v/>
      </c>
      <c r="AJ81">
        <f>IF(AI81=1,SUM(AI$7:AI81),"")</f>
        <v/>
      </c>
      <c r="AK81">
        <f>IF(OR(N81="",N81="OK"),0,1)</f>
        <v/>
      </c>
    </row>
    <row r="82">
      <c r="B82" s="24" t="n"/>
      <c r="C82" s="14" t="n"/>
      <c r="D82" s="14" t="n"/>
      <c r="E82" s="20" t="n"/>
      <c r="F82" s="24" t="n"/>
      <c r="G82" s="14" t="n"/>
      <c r="H82" s="22" t="n"/>
      <c r="I82" s="25">
        <f>IF(Q82="D",N(H82),0)</f>
        <v/>
      </c>
      <c r="J82" s="25">
        <f>IF(Q82="C",N(H82),0)</f>
        <v/>
      </c>
      <c r="K82" s="26">
        <f>IF(Z82="","",Z82)</f>
        <v/>
      </c>
      <c r="L82" s="27">
        <f>W82</f>
        <v/>
      </c>
      <c r="M82" s="28">
        <f>AA82</f>
        <v/>
      </c>
      <c r="N82" s="23">
        <f>IF(AND(B82="",C82="",D82="",N(H82)=0),"",IF(B82="","Enter the date",IF(C82="","Pick the party",IF(P82="?","Add this party on the Parties sheet first",IF(D82="","Pick the entry type",IF(Q82="?","Pick the entry type from the list",IF(N(H82)=0,"Enter the amount",IF(AND(R82&lt;&gt;"Any",R82&lt;&gt;P82),"Sales, receipts and credit notes are for debtors; purchases, payments and debit notes for creditors",IF(AND(F82&lt;&gt;"",D82&lt;&gt;"Purchase bill"),"The received-on date is only for purchase bills",IF(AND(P82="Creditor",X82=1,AA82&gt;0),"Past due to a micro or small supplier: interest runs under MSMED s.16, and if unpaid at year end it is not deductible that year, s.37(2)(g)",IF(AND(P82="Debtor",X82=1,AA82&gt;0),"Past due to you: as a micro or small supplier you can claim interest under MSMED s.16","OK")))))))))))</f>
        <v/>
      </c>
      <c r="P82">
        <f>IF(C82="","",IFERROR(VLOOKUP(C82,'Example Parties'!$B$13:$Q$112,2,FALSE),"?"))</f>
        <v/>
      </c>
      <c r="Q82">
        <f>IF(D82="","",IFERROR(VLOOKUP(D82,Lists!$A$2:$D$9,3,FALSE),"?"))</f>
        <v/>
      </c>
      <c r="R82">
        <f>IF(D82="","",IFERROR(VLOOKUP(D82,Lists!$A$2:$D$9,4,FALSE),"?"))</f>
        <v/>
      </c>
      <c r="S82">
        <f>IF(P82="Debtor",I82,IF(P82="Creditor",J82,0))</f>
        <v/>
      </c>
      <c r="T82">
        <f>IF(P82="Debtor",J82,IF(P82="Creditor",I82,0))</f>
        <v/>
      </c>
      <c r="U82">
        <f>IF(OR(S82=0,B82=""),0,IFERROR(VLOOKUP(C82,'Example Parties'!$B$13:$Q$112,13,FALSE),0)+SUMIFS($S$7:$S$506,$C$7:$C$506,C82,$B$7:$B$506,"&lt;"&amp;B82)+SUMIFS(S$7:S82,C$7:C82,C82,B$7:B82,B82))</f>
        <v/>
      </c>
      <c r="V82">
        <f>IF(S82=0,0,IFERROR(VLOOKUP(C82,'Example Parties'!$B$13:$Q$112,14,FALSE),0)+SUMIFS($T$7:$T$506,$C$7:$C$506,C82,$B$7:$B$506,"&lt;="&amp;'Example Outstanding'!$E$5))</f>
        <v/>
      </c>
      <c r="W82">
        <f>IF(OR('Example Outstanding'!$E$5="",S82=0,B82="",B82&gt;'Example Outstanding'!$E$5),0,MAX(0,MIN(S82,U82-V82)))</f>
        <v/>
      </c>
      <c r="X82">
        <f>IF(C82="",0,IFERROR(VLOOKUP(C82,'Example Parties'!$B$13:$Q$112,15,FALSE),0))</f>
        <v/>
      </c>
      <c r="Y82">
        <f>IF(C82="","",IFERROR(VLOOKUP(C82,'Example Parties'!$B$13:$Q$112,16,FALSE),0))</f>
        <v/>
      </c>
      <c r="Z82">
        <f>IF(OR(S82=0,B82="",Y82=""),"",IF(AND(F82&lt;&gt;"",D82="Purchase bill"),F82,B82)+Y82)</f>
        <v/>
      </c>
      <c r="AA82">
        <f>IF(OR(W82=0,Z82=""),0,MAX(0,'Example Outstanding'!$E$5-Z82))</f>
        <v/>
      </c>
      <c r="AB82">
        <f>IF(AND(X82=1,AA82&gt;0),W82*((1+3*N('Example Parties'!$E$10)/12)^(AA82*12/365)-1),0)</f>
        <v/>
      </c>
      <c r="AC82">
        <f>IF(W82=0,"",'Example Outstanding'!$E$5-B82)</f>
        <v/>
      </c>
      <c r="AD82">
        <f>IF(S82=0,0,IFERROR(VLOOKUP(C82,'Example Parties'!$B$13:$Q$112,14,FALSE),0)+SUMIFS($T$7:$T$506,$C$7:$C$506,C82,$B$7:$B$506,"&lt;="&amp;'Example Parties'!$E$8))</f>
        <v/>
      </c>
      <c r="AE82">
        <f>IF(OR('Example Parties'!$E$8="",S82=0,B82="",B82&gt;'Example Parties'!$E$8),0,MAX(0,MIN(S82,U82-AD82)))</f>
        <v/>
      </c>
      <c r="AF82">
        <f>IF(AND(P82="Creditor",X82=1,AE82&gt;0,Z82&lt;&gt;""),IF(Z82&lt;='Example Parties'!$E$8,AE82,0),0)</f>
        <v/>
      </c>
      <c r="AG82">
        <f>IF(OR(AE82=0,Z82=""),0,MAX(0,'Example Parties'!$E$8-Z82))</f>
        <v/>
      </c>
      <c r="AH82">
        <f>IF(AND(P82="Creditor",X82=1,AG82&gt;0),AE82*((1+3*N('Example Parties'!$E$10)/12)^(AG82*12/365)-1),0)</f>
        <v/>
      </c>
      <c r="AI82">
        <f>IF(AND(C82&lt;&gt;"",C82='Example Ledger'!$D$4,B82&lt;&gt;"",B82&gt;='Example Ledger'!$D$5,B82&lt;='Example Ledger'!$D$6),1,0)</f>
        <v/>
      </c>
      <c r="AJ82">
        <f>IF(AI82=1,SUM(AI$7:AI82),"")</f>
        <v/>
      </c>
      <c r="AK82">
        <f>IF(OR(N82="",N82="OK"),0,1)</f>
        <v/>
      </c>
    </row>
    <row r="83">
      <c r="B83" s="24" t="n"/>
      <c r="C83" s="14" t="n"/>
      <c r="D83" s="14" t="n"/>
      <c r="E83" s="20" t="n"/>
      <c r="F83" s="24" t="n"/>
      <c r="G83" s="14" t="n"/>
      <c r="H83" s="22" t="n"/>
      <c r="I83" s="25">
        <f>IF(Q83="D",N(H83),0)</f>
        <v/>
      </c>
      <c r="J83" s="25">
        <f>IF(Q83="C",N(H83),0)</f>
        <v/>
      </c>
      <c r="K83" s="26">
        <f>IF(Z83="","",Z83)</f>
        <v/>
      </c>
      <c r="L83" s="27">
        <f>W83</f>
        <v/>
      </c>
      <c r="M83" s="28">
        <f>AA83</f>
        <v/>
      </c>
      <c r="N83" s="23">
        <f>IF(AND(B83="",C83="",D83="",N(H83)=0),"",IF(B83="","Enter the date",IF(C83="","Pick the party",IF(P83="?","Add this party on the Parties sheet first",IF(D83="","Pick the entry type",IF(Q83="?","Pick the entry type from the list",IF(N(H83)=0,"Enter the amount",IF(AND(R83&lt;&gt;"Any",R83&lt;&gt;P83),"Sales, receipts and credit notes are for debtors; purchases, payments and debit notes for creditors",IF(AND(F83&lt;&gt;"",D83&lt;&gt;"Purchase bill"),"The received-on date is only for purchase bills",IF(AND(P83="Creditor",X83=1,AA83&gt;0),"Past due to a micro or small supplier: interest runs under MSMED s.16, and if unpaid at year end it is not deductible that year, s.37(2)(g)",IF(AND(P83="Debtor",X83=1,AA83&gt;0),"Past due to you: as a micro or small supplier you can claim interest under MSMED s.16","OK")))))))))))</f>
        <v/>
      </c>
      <c r="P83">
        <f>IF(C83="","",IFERROR(VLOOKUP(C83,'Example Parties'!$B$13:$Q$112,2,FALSE),"?"))</f>
        <v/>
      </c>
      <c r="Q83">
        <f>IF(D83="","",IFERROR(VLOOKUP(D83,Lists!$A$2:$D$9,3,FALSE),"?"))</f>
        <v/>
      </c>
      <c r="R83">
        <f>IF(D83="","",IFERROR(VLOOKUP(D83,Lists!$A$2:$D$9,4,FALSE),"?"))</f>
        <v/>
      </c>
      <c r="S83">
        <f>IF(P83="Debtor",I83,IF(P83="Creditor",J83,0))</f>
        <v/>
      </c>
      <c r="T83">
        <f>IF(P83="Debtor",J83,IF(P83="Creditor",I83,0))</f>
        <v/>
      </c>
      <c r="U83">
        <f>IF(OR(S83=0,B83=""),0,IFERROR(VLOOKUP(C83,'Example Parties'!$B$13:$Q$112,13,FALSE),0)+SUMIFS($S$7:$S$506,$C$7:$C$506,C83,$B$7:$B$506,"&lt;"&amp;B83)+SUMIFS(S$7:S83,C$7:C83,C83,B$7:B83,B83))</f>
        <v/>
      </c>
      <c r="V83">
        <f>IF(S83=0,0,IFERROR(VLOOKUP(C83,'Example Parties'!$B$13:$Q$112,14,FALSE),0)+SUMIFS($T$7:$T$506,$C$7:$C$506,C83,$B$7:$B$506,"&lt;="&amp;'Example Outstanding'!$E$5))</f>
        <v/>
      </c>
      <c r="W83">
        <f>IF(OR('Example Outstanding'!$E$5="",S83=0,B83="",B83&gt;'Example Outstanding'!$E$5),0,MAX(0,MIN(S83,U83-V83)))</f>
        <v/>
      </c>
      <c r="X83">
        <f>IF(C83="",0,IFERROR(VLOOKUP(C83,'Example Parties'!$B$13:$Q$112,15,FALSE),0))</f>
        <v/>
      </c>
      <c r="Y83">
        <f>IF(C83="","",IFERROR(VLOOKUP(C83,'Example Parties'!$B$13:$Q$112,16,FALSE),0))</f>
        <v/>
      </c>
      <c r="Z83">
        <f>IF(OR(S83=0,B83="",Y83=""),"",IF(AND(F83&lt;&gt;"",D83="Purchase bill"),F83,B83)+Y83)</f>
        <v/>
      </c>
      <c r="AA83">
        <f>IF(OR(W83=0,Z83=""),0,MAX(0,'Example Outstanding'!$E$5-Z83))</f>
        <v/>
      </c>
      <c r="AB83">
        <f>IF(AND(X83=1,AA83&gt;0),W83*((1+3*N('Example Parties'!$E$10)/12)^(AA83*12/365)-1),0)</f>
        <v/>
      </c>
      <c r="AC83">
        <f>IF(W83=0,"",'Example Outstanding'!$E$5-B83)</f>
        <v/>
      </c>
      <c r="AD83">
        <f>IF(S83=0,0,IFERROR(VLOOKUP(C83,'Example Parties'!$B$13:$Q$112,14,FALSE),0)+SUMIFS($T$7:$T$506,$C$7:$C$506,C83,$B$7:$B$506,"&lt;="&amp;'Example Parties'!$E$8))</f>
        <v/>
      </c>
      <c r="AE83">
        <f>IF(OR('Example Parties'!$E$8="",S83=0,B83="",B83&gt;'Example Parties'!$E$8),0,MAX(0,MIN(S83,U83-AD83)))</f>
        <v/>
      </c>
      <c r="AF83">
        <f>IF(AND(P83="Creditor",X83=1,AE83&gt;0,Z83&lt;&gt;""),IF(Z83&lt;='Example Parties'!$E$8,AE83,0),0)</f>
        <v/>
      </c>
      <c r="AG83">
        <f>IF(OR(AE83=0,Z83=""),0,MAX(0,'Example Parties'!$E$8-Z83))</f>
        <v/>
      </c>
      <c r="AH83">
        <f>IF(AND(P83="Creditor",X83=1,AG83&gt;0),AE83*((1+3*N('Example Parties'!$E$10)/12)^(AG83*12/365)-1),0)</f>
        <v/>
      </c>
      <c r="AI83">
        <f>IF(AND(C83&lt;&gt;"",C83='Example Ledger'!$D$4,B83&lt;&gt;"",B83&gt;='Example Ledger'!$D$5,B83&lt;='Example Ledger'!$D$6),1,0)</f>
        <v/>
      </c>
      <c r="AJ83">
        <f>IF(AI83=1,SUM(AI$7:AI83),"")</f>
        <v/>
      </c>
      <c r="AK83">
        <f>IF(OR(N83="",N83="OK"),0,1)</f>
        <v/>
      </c>
    </row>
    <row r="84">
      <c r="B84" s="24" t="n"/>
      <c r="C84" s="14" t="n"/>
      <c r="D84" s="14" t="n"/>
      <c r="E84" s="20" t="n"/>
      <c r="F84" s="24" t="n"/>
      <c r="G84" s="14" t="n"/>
      <c r="H84" s="22" t="n"/>
      <c r="I84" s="25">
        <f>IF(Q84="D",N(H84),0)</f>
        <v/>
      </c>
      <c r="J84" s="25">
        <f>IF(Q84="C",N(H84),0)</f>
        <v/>
      </c>
      <c r="K84" s="26">
        <f>IF(Z84="","",Z84)</f>
        <v/>
      </c>
      <c r="L84" s="27">
        <f>W84</f>
        <v/>
      </c>
      <c r="M84" s="28">
        <f>AA84</f>
        <v/>
      </c>
      <c r="N84" s="23">
        <f>IF(AND(B84="",C84="",D84="",N(H84)=0),"",IF(B84="","Enter the date",IF(C84="","Pick the party",IF(P84="?","Add this party on the Parties sheet first",IF(D84="","Pick the entry type",IF(Q84="?","Pick the entry type from the list",IF(N(H84)=0,"Enter the amount",IF(AND(R84&lt;&gt;"Any",R84&lt;&gt;P84),"Sales, receipts and credit notes are for debtors; purchases, payments and debit notes for creditors",IF(AND(F84&lt;&gt;"",D84&lt;&gt;"Purchase bill"),"The received-on date is only for purchase bills",IF(AND(P84="Creditor",X84=1,AA84&gt;0),"Past due to a micro or small supplier: interest runs under MSMED s.16, and if unpaid at year end it is not deductible that year, s.37(2)(g)",IF(AND(P84="Debtor",X84=1,AA84&gt;0),"Past due to you: as a micro or small supplier you can claim interest under MSMED s.16","OK")))))))))))</f>
        <v/>
      </c>
      <c r="P84">
        <f>IF(C84="","",IFERROR(VLOOKUP(C84,'Example Parties'!$B$13:$Q$112,2,FALSE),"?"))</f>
        <v/>
      </c>
      <c r="Q84">
        <f>IF(D84="","",IFERROR(VLOOKUP(D84,Lists!$A$2:$D$9,3,FALSE),"?"))</f>
        <v/>
      </c>
      <c r="R84">
        <f>IF(D84="","",IFERROR(VLOOKUP(D84,Lists!$A$2:$D$9,4,FALSE),"?"))</f>
        <v/>
      </c>
      <c r="S84">
        <f>IF(P84="Debtor",I84,IF(P84="Creditor",J84,0))</f>
        <v/>
      </c>
      <c r="T84">
        <f>IF(P84="Debtor",J84,IF(P84="Creditor",I84,0))</f>
        <v/>
      </c>
      <c r="U84">
        <f>IF(OR(S84=0,B84=""),0,IFERROR(VLOOKUP(C84,'Example Parties'!$B$13:$Q$112,13,FALSE),0)+SUMIFS($S$7:$S$506,$C$7:$C$506,C84,$B$7:$B$506,"&lt;"&amp;B84)+SUMIFS(S$7:S84,C$7:C84,C84,B$7:B84,B84))</f>
        <v/>
      </c>
      <c r="V84">
        <f>IF(S84=0,0,IFERROR(VLOOKUP(C84,'Example Parties'!$B$13:$Q$112,14,FALSE),0)+SUMIFS($T$7:$T$506,$C$7:$C$506,C84,$B$7:$B$506,"&lt;="&amp;'Example Outstanding'!$E$5))</f>
        <v/>
      </c>
      <c r="W84">
        <f>IF(OR('Example Outstanding'!$E$5="",S84=0,B84="",B84&gt;'Example Outstanding'!$E$5),0,MAX(0,MIN(S84,U84-V84)))</f>
        <v/>
      </c>
      <c r="X84">
        <f>IF(C84="",0,IFERROR(VLOOKUP(C84,'Example Parties'!$B$13:$Q$112,15,FALSE),0))</f>
        <v/>
      </c>
      <c r="Y84">
        <f>IF(C84="","",IFERROR(VLOOKUP(C84,'Example Parties'!$B$13:$Q$112,16,FALSE),0))</f>
        <v/>
      </c>
      <c r="Z84">
        <f>IF(OR(S84=0,B84="",Y84=""),"",IF(AND(F84&lt;&gt;"",D84="Purchase bill"),F84,B84)+Y84)</f>
        <v/>
      </c>
      <c r="AA84">
        <f>IF(OR(W84=0,Z84=""),0,MAX(0,'Example Outstanding'!$E$5-Z84))</f>
        <v/>
      </c>
      <c r="AB84">
        <f>IF(AND(X84=1,AA84&gt;0),W84*((1+3*N('Example Parties'!$E$10)/12)^(AA84*12/365)-1),0)</f>
        <v/>
      </c>
      <c r="AC84">
        <f>IF(W84=0,"",'Example Outstanding'!$E$5-B84)</f>
        <v/>
      </c>
      <c r="AD84">
        <f>IF(S84=0,0,IFERROR(VLOOKUP(C84,'Example Parties'!$B$13:$Q$112,14,FALSE),0)+SUMIFS($T$7:$T$506,$C$7:$C$506,C84,$B$7:$B$506,"&lt;="&amp;'Example Parties'!$E$8))</f>
        <v/>
      </c>
      <c r="AE84">
        <f>IF(OR('Example Parties'!$E$8="",S84=0,B84="",B84&gt;'Example Parties'!$E$8),0,MAX(0,MIN(S84,U84-AD84)))</f>
        <v/>
      </c>
      <c r="AF84">
        <f>IF(AND(P84="Creditor",X84=1,AE84&gt;0,Z84&lt;&gt;""),IF(Z84&lt;='Example Parties'!$E$8,AE84,0),0)</f>
        <v/>
      </c>
      <c r="AG84">
        <f>IF(OR(AE84=0,Z84=""),0,MAX(0,'Example Parties'!$E$8-Z84))</f>
        <v/>
      </c>
      <c r="AH84">
        <f>IF(AND(P84="Creditor",X84=1,AG84&gt;0),AE84*((1+3*N('Example Parties'!$E$10)/12)^(AG84*12/365)-1),0)</f>
        <v/>
      </c>
      <c r="AI84">
        <f>IF(AND(C84&lt;&gt;"",C84='Example Ledger'!$D$4,B84&lt;&gt;"",B84&gt;='Example Ledger'!$D$5,B84&lt;='Example Ledger'!$D$6),1,0)</f>
        <v/>
      </c>
      <c r="AJ84">
        <f>IF(AI84=1,SUM(AI$7:AI84),"")</f>
        <v/>
      </c>
      <c r="AK84">
        <f>IF(OR(N84="",N84="OK"),0,1)</f>
        <v/>
      </c>
    </row>
    <row r="85">
      <c r="B85" s="24" t="n"/>
      <c r="C85" s="14" t="n"/>
      <c r="D85" s="14" t="n"/>
      <c r="E85" s="20" t="n"/>
      <c r="F85" s="24" t="n"/>
      <c r="G85" s="14" t="n"/>
      <c r="H85" s="22" t="n"/>
      <c r="I85" s="25">
        <f>IF(Q85="D",N(H85),0)</f>
        <v/>
      </c>
      <c r="J85" s="25">
        <f>IF(Q85="C",N(H85),0)</f>
        <v/>
      </c>
      <c r="K85" s="26">
        <f>IF(Z85="","",Z85)</f>
        <v/>
      </c>
      <c r="L85" s="27">
        <f>W85</f>
        <v/>
      </c>
      <c r="M85" s="28">
        <f>AA85</f>
        <v/>
      </c>
      <c r="N85" s="23">
        <f>IF(AND(B85="",C85="",D85="",N(H85)=0),"",IF(B85="","Enter the date",IF(C85="","Pick the party",IF(P85="?","Add this party on the Parties sheet first",IF(D85="","Pick the entry type",IF(Q85="?","Pick the entry type from the list",IF(N(H85)=0,"Enter the amount",IF(AND(R85&lt;&gt;"Any",R85&lt;&gt;P85),"Sales, receipts and credit notes are for debtors; purchases, payments and debit notes for creditors",IF(AND(F85&lt;&gt;"",D85&lt;&gt;"Purchase bill"),"The received-on date is only for purchase bills",IF(AND(P85="Creditor",X85=1,AA85&gt;0),"Past due to a micro or small supplier: interest runs under MSMED s.16, and if unpaid at year end it is not deductible that year, s.37(2)(g)",IF(AND(P85="Debtor",X85=1,AA85&gt;0),"Past due to you: as a micro or small supplier you can claim interest under MSMED s.16","OK")))))))))))</f>
        <v/>
      </c>
      <c r="P85">
        <f>IF(C85="","",IFERROR(VLOOKUP(C85,'Example Parties'!$B$13:$Q$112,2,FALSE),"?"))</f>
        <v/>
      </c>
      <c r="Q85">
        <f>IF(D85="","",IFERROR(VLOOKUP(D85,Lists!$A$2:$D$9,3,FALSE),"?"))</f>
        <v/>
      </c>
      <c r="R85">
        <f>IF(D85="","",IFERROR(VLOOKUP(D85,Lists!$A$2:$D$9,4,FALSE),"?"))</f>
        <v/>
      </c>
      <c r="S85">
        <f>IF(P85="Debtor",I85,IF(P85="Creditor",J85,0))</f>
        <v/>
      </c>
      <c r="T85">
        <f>IF(P85="Debtor",J85,IF(P85="Creditor",I85,0))</f>
        <v/>
      </c>
      <c r="U85">
        <f>IF(OR(S85=0,B85=""),0,IFERROR(VLOOKUP(C85,'Example Parties'!$B$13:$Q$112,13,FALSE),0)+SUMIFS($S$7:$S$506,$C$7:$C$506,C85,$B$7:$B$506,"&lt;"&amp;B85)+SUMIFS(S$7:S85,C$7:C85,C85,B$7:B85,B85))</f>
        <v/>
      </c>
      <c r="V85">
        <f>IF(S85=0,0,IFERROR(VLOOKUP(C85,'Example Parties'!$B$13:$Q$112,14,FALSE),0)+SUMIFS($T$7:$T$506,$C$7:$C$506,C85,$B$7:$B$506,"&lt;="&amp;'Example Outstanding'!$E$5))</f>
        <v/>
      </c>
      <c r="W85">
        <f>IF(OR('Example Outstanding'!$E$5="",S85=0,B85="",B85&gt;'Example Outstanding'!$E$5),0,MAX(0,MIN(S85,U85-V85)))</f>
        <v/>
      </c>
      <c r="X85">
        <f>IF(C85="",0,IFERROR(VLOOKUP(C85,'Example Parties'!$B$13:$Q$112,15,FALSE),0))</f>
        <v/>
      </c>
      <c r="Y85">
        <f>IF(C85="","",IFERROR(VLOOKUP(C85,'Example Parties'!$B$13:$Q$112,16,FALSE),0))</f>
        <v/>
      </c>
      <c r="Z85">
        <f>IF(OR(S85=0,B85="",Y85=""),"",IF(AND(F85&lt;&gt;"",D85="Purchase bill"),F85,B85)+Y85)</f>
        <v/>
      </c>
      <c r="AA85">
        <f>IF(OR(W85=0,Z85=""),0,MAX(0,'Example Outstanding'!$E$5-Z85))</f>
        <v/>
      </c>
      <c r="AB85">
        <f>IF(AND(X85=1,AA85&gt;0),W85*((1+3*N('Example Parties'!$E$10)/12)^(AA85*12/365)-1),0)</f>
        <v/>
      </c>
      <c r="AC85">
        <f>IF(W85=0,"",'Example Outstanding'!$E$5-B85)</f>
        <v/>
      </c>
      <c r="AD85">
        <f>IF(S85=0,0,IFERROR(VLOOKUP(C85,'Example Parties'!$B$13:$Q$112,14,FALSE),0)+SUMIFS($T$7:$T$506,$C$7:$C$506,C85,$B$7:$B$506,"&lt;="&amp;'Example Parties'!$E$8))</f>
        <v/>
      </c>
      <c r="AE85">
        <f>IF(OR('Example Parties'!$E$8="",S85=0,B85="",B85&gt;'Example Parties'!$E$8),0,MAX(0,MIN(S85,U85-AD85)))</f>
        <v/>
      </c>
      <c r="AF85">
        <f>IF(AND(P85="Creditor",X85=1,AE85&gt;0,Z85&lt;&gt;""),IF(Z85&lt;='Example Parties'!$E$8,AE85,0),0)</f>
        <v/>
      </c>
      <c r="AG85">
        <f>IF(OR(AE85=0,Z85=""),0,MAX(0,'Example Parties'!$E$8-Z85))</f>
        <v/>
      </c>
      <c r="AH85">
        <f>IF(AND(P85="Creditor",X85=1,AG85&gt;0),AE85*((1+3*N('Example Parties'!$E$10)/12)^(AG85*12/365)-1),0)</f>
        <v/>
      </c>
      <c r="AI85">
        <f>IF(AND(C85&lt;&gt;"",C85='Example Ledger'!$D$4,B85&lt;&gt;"",B85&gt;='Example Ledger'!$D$5,B85&lt;='Example Ledger'!$D$6),1,0)</f>
        <v/>
      </c>
      <c r="AJ85">
        <f>IF(AI85=1,SUM(AI$7:AI85),"")</f>
        <v/>
      </c>
      <c r="AK85">
        <f>IF(OR(N85="",N85="OK"),0,1)</f>
        <v/>
      </c>
    </row>
    <row r="86">
      <c r="B86" s="24" t="n"/>
      <c r="C86" s="14" t="n"/>
      <c r="D86" s="14" t="n"/>
      <c r="E86" s="20" t="n"/>
      <c r="F86" s="24" t="n"/>
      <c r="G86" s="14" t="n"/>
      <c r="H86" s="22" t="n"/>
      <c r="I86" s="25">
        <f>IF(Q86="D",N(H86),0)</f>
        <v/>
      </c>
      <c r="J86" s="25">
        <f>IF(Q86="C",N(H86),0)</f>
        <v/>
      </c>
      <c r="K86" s="26">
        <f>IF(Z86="","",Z86)</f>
        <v/>
      </c>
      <c r="L86" s="27">
        <f>W86</f>
        <v/>
      </c>
      <c r="M86" s="28">
        <f>AA86</f>
        <v/>
      </c>
      <c r="N86" s="23">
        <f>IF(AND(B86="",C86="",D86="",N(H86)=0),"",IF(B86="","Enter the date",IF(C86="","Pick the party",IF(P86="?","Add this party on the Parties sheet first",IF(D86="","Pick the entry type",IF(Q86="?","Pick the entry type from the list",IF(N(H86)=0,"Enter the amount",IF(AND(R86&lt;&gt;"Any",R86&lt;&gt;P86),"Sales, receipts and credit notes are for debtors; purchases, payments and debit notes for creditors",IF(AND(F86&lt;&gt;"",D86&lt;&gt;"Purchase bill"),"The received-on date is only for purchase bills",IF(AND(P86="Creditor",X86=1,AA86&gt;0),"Past due to a micro or small supplier: interest runs under MSMED s.16, and if unpaid at year end it is not deductible that year, s.37(2)(g)",IF(AND(P86="Debtor",X86=1,AA86&gt;0),"Past due to you: as a micro or small supplier you can claim interest under MSMED s.16","OK")))))))))))</f>
        <v/>
      </c>
      <c r="P86">
        <f>IF(C86="","",IFERROR(VLOOKUP(C86,'Example Parties'!$B$13:$Q$112,2,FALSE),"?"))</f>
        <v/>
      </c>
      <c r="Q86">
        <f>IF(D86="","",IFERROR(VLOOKUP(D86,Lists!$A$2:$D$9,3,FALSE),"?"))</f>
        <v/>
      </c>
      <c r="R86">
        <f>IF(D86="","",IFERROR(VLOOKUP(D86,Lists!$A$2:$D$9,4,FALSE),"?"))</f>
        <v/>
      </c>
      <c r="S86">
        <f>IF(P86="Debtor",I86,IF(P86="Creditor",J86,0))</f>
        <v/>
      </c>
      <c r="T86">
        <f>IF(P86="Debtor",J86,IF(P86="Creditor",I86,0))</f>
        <v/>
      </c>
      <c r="U86">
        <f>IF(OR(S86=0,B86=""),0,IFERROR(VLOOKUP(C86,'Example Parties'!$B$13:$Q$112,13,FALSE),0)+SUMIFS($S$7:$S$506,$C$7:$C$506,C86,$B$7:$B$506,"&lt;"&amp;B86)+SUMIFS(S$7:S86,C$7:C86,C86,B$7:B86,B86))</f>
        <v/>
      </c>
      <c r="V86">
        <f>IF(S86=0,0,IFERROR(VLOOKUP(C86,'Example Parties'!$B$13:$Q$112,14,FALSE),0)+SUMIFS($T$7:$T$506,$C$7:$C$506,C86,$B$7:$B$506,"&lt;="&amp;'Example Outstanding'!$E$5))</f>
        <v/>
      </c>
      <c r="W86">
        <f>IF(OR('Example Outstanding'!$E$5="",S86=0,B86="",B86&gt;'Example Outstanding'!$E$5),0,MAX(0,MIN(S86,U86-V86)))</f>
        <v/>
      </c>
      <c r="X86">
        <f>IF(C86="",0,IFERROR(VLOOKUP(C86,'Example Parties'!$B$13:$Q$112,15,FALSE),0))</f>
        <v/>
      </c>
      <c r="Y86">
        <f>IF(C86="","",IFERROR(VLOOKUP(C86,'Example Parties'!$B$13:$Q$112,16,FALSE),0))</f>
        <v/>
      </c>
      <c r="Z86">
        <f>IF(OR(S86=0,B86="",Y86=""),"",IF(AND(F86&lt;&gt;"",D86="Purchase bill"),F86,B86)+Y86)</f>
        <v/>
      </c>
      <c r="AA86">
        <f>IF(OR(W86=0,Z86=""),0,MAX(0,'Example Outstanding'!$E$5-Z86))</f>
        <v/>
      </c>
      <c r="AB86">
        <f>IF(AND(X86=1,AA86&gt;0),W86*((1+3*N('Example Parties'!$E$10)/12)^(AA86*12/365)-1),0)</f>
        <v/>
      </c>
      <c r="AC86">
        <f>IF(W86=0,"",'Example Outstanding'!$E$5-B86)</f>
        <v/>
      </c>
      <c r="AD86">
        <f>IF(S86=0,0,IFERROR(VLOOKUP(C86,'Example Parties'!$B$13:$Q$112,14,FALSE),0)+SUMIFS($T$7:$T$506,$C$7:$C$506,C86,$B$7:$B$506,"&lt;="&amp;'Example Parties'!$E$8))</f>
        <v/>
      </c>
      <c r="AE86">
        <f>IF(OR('Example Parties'!$E$8="",S86=0,B86="",B86&gt;'Example Parties'!$E$8),0,MAX(0,MIN(S86,U86-AD86)))</f>
        <v/>
      </c>
      <c r="AF86">
        <f>IF(AND(P86="Creditor",X86=1,AE86&gt;0,Z86&lt;&gt;""),IF(Z86&lt;='Example Parties'!$E$8,AE86,0),0)</f>
        <v/>
      </c>
      <c r="AG86">
        <f>IF(OR(AE86=0,Z86=""),0,MAX(0,'Example Parties'!$E$8-Z86))</f>
        <v/>
      </c>
      <c r="AH86">
        <f>IF(AND(P86="Creditor",X86=1,AG86&gt;0),AE86*((1+3*N('Example Parties'!$E$10)/12)^(AG86*12/365)-1),0)</f>
        <v/>
      </c>
      <c r="AI86">
        <f>IF(AND(C86&lt;&gt;"",C86='Example Ledger'!$D$4,B86&lt;&gt;"",B86&gt;='Example Ledger'!$D$5,B86&lt;='Example Ledger'!$D$6),1,0)</f>
        <v/>
      </c>
      <c r="AJ86">
        <f>IF(AI86=1,SUM(AI$7:AI86),"")</f>
        <v/>
      </c>
      <c r="AK86">
        <f>IF(OR(N86="",N86="OK"),0,1)</f>
        <v/>
      </c>
    </row>
    <row r="87">
      <c r="B87" s="24" t="n"/>
      <c r="C87" s="14" t="n"/>
      <c r="D87" s="14" t="n"/>
      <c r="E87" s="20" t="n"/>
      <c r="F87" s="24" t="n"/>
      <c r="G87" s="14" t="n"/>
      <c r="H87" s="22" t="n"/>
      <c r="I87" s="25">
        <f>IF(Q87="D",N(H87),0)</f>
        <v/>
      </c>
      <c r="J87" s="25">
        <f>IF(Q87="C",N(H87),0)</f>
        <v/>
      </c>
      <c r="K87" s="26">
        <f>IF(Z87="","",Z87)</f>
        <v/>
      </c>
      <c r="L87" s="27">
        <f>W87</f>
        <v/>
      </c>
      <c r="M87" s="28">
        <f>AA87</f>
        <v/>
      </c>
      <c r="N87" s="23">
        <f>IF(AND(B87="",C87="",D87="",N(H87)=0),"",IF(B87="","Enter the date",IF(C87="","Pick the party",IF(P87="?","Add this party on the Parties sheet first",IF(D87="","Pick the entry type",IF(Q87="?","Pick the entry type from the list",IF(N(H87)=0,"Enter the amount",IF(AND(R87&lt;&gt;"Any",R87&lt;&gt;P87),"Sales, receipts and credit notes are for debtors; purchases, payments and debit notes for creditors",IF(AND(F87&lt;&gt;"",D87&lt;&gt;"Purchase bill"),"The received-on date is only for purchase bills",IF(AND(P87="Creditor",X87=1,AA87&gt;0),"Past due to a micro or small supplier: interest runs under MSMED s.16, and if unpaid at year end it is not deductible that year, s.37(2)(g)",IF(AND(P87="Debtor",X87=1,AA87&gt;0),"Past due to you: as a micro or small supplier you can claim interest under MSMED s.16","OK")))))))))))</f>
        <v/>
      </c>
      <c r="P87">
        <f>IF(C87="","",IFERROR(VLOOKUP(C87,'Example Parties'!$B$13:$Q$112,2,FALSE),"?"))</f>
        <v/>
      </c>
      <c r="Q87">
        <f>IF(D87="","",IFERROR(VLOOKUP(D87,Lists!$A$2:$D$9,3,FALSE),"?"))</f>
        <v/>
      </c>
      <c r="R87">
        <f>IF(D87="","",IFERROR(VLOOKUP(D87,Lists!$A$2:$D$9,4,FALSE),"?"))</f>
        <v/>
      </c>
      <c r="S87">
        <f>IF(P87="Debtor",I87,IF(P87="Creditor",J87,0))</f>
        <v/>
      </c>
      <c r="T87">
        <f>IF(P87="Debtor",J87,IF(P87="Creditor",I87,0))</f>
        <v/>
      </c>
      <c r="U87">
        <f>IF(OR(S87=0,B87=""),0,IFERROR(VLOOKUP(C87,'Example Parties'!$B$13:$Q$112,13,FALSE),0)+SUMIFS($S$7:$S$506,$C$7:$C$506,C87,$B$7:$B$506,"&lt;"&amp;B87)+SUMIFS(S$7:S87,C$7:C87,C87,B$7:B87,B87))</f>
        <v/>
      </c>
      <c r="V87">
        <f>IF(S87=0,0,IFERROR(VLOOKUP(C87,'Example Parties'!$B$13:$Q$112,14,FALSE),0)+SUMIFS($T$7:$T$506,$C$7:$C$506,C87,$B$7:$B$506,"&lt;="&amp;'Example Outstanding'!$E$5))</f>
        <v/>
      </c>
      <c r="W87">
        <f>IF(OR('Example Outstanding'!$E$5="",S87=0,B87="",B87&gt;'Example Outstanding'!$E$5),0,MAX(0,MIN(S87,U87-V87)))</f>
        <v/>
      </c>
      <c r="X87">
        <f>IF(C87="",0,IFERROR(VLOOKUP(C87,'Example Parties'!$B$13:$Q$112,15,FALSE),0))</f>
        <v/>
      </c>
      <c r="Y87">
        <f>IF(C87="","",IFERROR(VLOOKUP(C87,'Example Parties'!$B$13:$Q$112,16,FALSE),0))</f>
        <v/>
      </c>
      <c r="Z87">
        <f>IF(OR(S87=0,B87="",Y87=""),"",IF(AND(F87&lt;&gt;"",D87="Purchase bill"),F87,B87)+Y87)</f>
        <v/>
      </c>
      <c r="AA87">
        <f>IF(OR(W87=0,Z87=""),0,MAX(0,'Example Outstanding'!$E$5-Z87))</f>
        <v/>
      </c>
      <c r="AB87">
        <f>IF(AND(X87=1,AA87&gt;0),W87*((1+3*N('Example Parties'!$E$10)/12)^(AA87*12/365)-1),0)</f>
        <v/>
      </c>
      <c r="AC87">
        <f>IF(W87=0,"",'Example Outstanding'!$E$5-B87)</f>
        <v/>
      </c>
      <c r="AD87">
        <f>IF(S87=0,0,IFERROR(VLOOKUP(C87,'Example Parties'!$B$13:$Q$112,14,FALSE),0)+SUMIFS($T$7:$T$506,$C$7:$C$506,C87,$B$7:$B$506,"&lt;="&amp;'Example Parties'!$E$8))</f>
        <v/>
      </c>
      <c r="AE87">
        <f>IF(OR('Example Parties'!$E$8="",S87=0,B87="",B87&gt;'Example Parties'!$E$8),0,MAX(0,MIN(S87,U87-AD87)))</f>
        <v/>
      </c>
      <c r="AF87">
        <f>IF(AND(P87="Creditor",X87=1,AE87&gt;0,Z87&lt;&gt;""),IF(Z87&lt;='Example Parties'!$E$8,AE87,0),0)</f>
        <v/>
      </c>
      <c r="AG87">
        <f>IF(OR(AE87=0,Z87=""),0,MAX(0,'Example Parties'!$E$8-Z87))</f>
        <v/>
      </c>
      <c r="AH87">
        <f>IF(AND(P87="Creditor",X87=1,AG87&gt;0),AE87*((1+3*N('Example Parties'!$E$10)/12)^(AG87*12/365)-1),0)</f>
        <v/>
      </c>
      <c r="AI87">
        <f>IF(AND(C87&lt;&gt;"",C87='Example Ledger'!$D$4,B87&lt;&gt;"",B87&gt;='Example Ledger'!$D$5,B87&lt;='Example Ledger'!$D$6),1,0)</f>
        <v/>
      </c>
      <c r="AJ87">
        <f>IF(AI87=1,SUM(AI$7:AI87),"")</f>
        <v/>
      </c>
      <c r="AK87">
        <f>IF(OR(N87="",N87="OK"),0,1)</f>
        <v/>
      </c>
    </row>
    <row r="88">
      <c r="B88" s="24" t="n"/>
      <c r="C88" s="14" t="n"/>
      <c r="D88" s="14" t="n"/>
      <c r="E88" s="20" t="n"/>
      <c r="F88" s="24" t="n"/>
      <c r="G88" s="14" t="n"/>
      <c r="H88" s="22" t="n"/>
      <c r="I88" s="25">
        <f>IF(Q88="D",N(H88),0)</f>
        <v/>
      </c>
      <c r="J88" s="25">
        <f>IF(Q88="C",N(H88),0)</f>
        <v/>
      </c>
      <c r="K88" s="26">
        <f>IF(Z88="","",Z88)</f>
        <v/>
      </c>
      <c r="L88" s="27">
        <f>W88</f>
        <v/>
      </c>
      <c r="M88" s="28">
        <f>AA88</f>
        <v/>
      </c>
      <c r="N88" s="23">
        <f>IF(AND(B88="",C88="",D88="",N(H88)=0),"",IF(B88="","Enter the date",IF(C88="","Pick the party",IF(P88="?","Add this party on the Parties sheet first",IF(D88="","Pick the entry type",IF(Q88="?","Pick the entry type from the list",IF(N(H88)=0,"Enter the amount",IF(AND(R88&lt;&gt;"Any",R88&lt;&gt;P88),"Sales, receipts and credit notes are for debtors; purchases, payments and debit notes for creditors",IF(AND(F88&lt;&gt;"",D88&lt;&gt;"Purchase bill"),"The received-on date is only for purchase bills",IF(AND(P88="Creditor",X88=1,AA88&gt;0),"Past due to a micro or small supplier: interest runs under MSMED s.16, and if unpaid at year end it is not deductible that year, s.37(2)(g)",IF(AND(P88="Debtor",X88=1,AA88&gt;0),"Past due to you: as a micro or small supplier you can claim interest under MSMED s.16","OK")))))))))))</f>
        <v/>
      </c>
      <c r="P88">
        <f>IF(C88="","",IFERROR(VLOOKUP(C88,'Example Parties'!$B$13:$Q$112,2,FALSE),"?"))</f>
        <v/>
      </c>
      <c r="Q88">
        <f>IF(D88="","",IFERROR(VLOOKUP(D88,Lists!$A$2:$D$9,3,FALSE),"?"))</f>
        <v/>
      </c>
      <c r="R88">
        <f>IF(D88="","",IFERROR(VLOOKUP(D88,Lists!$A$2:$D$9,4,FALSE),"?"))</f>
        <v/>
      </c>
      <c r="S88">
        <f>IF(P88="Debtor",I88,IF(P88="Creditor",J88,0))</f>
        <v/>
      </c>
      <c r="T88">
        <f>IF(P88="Debtor",J88,IF(P88="Creditor",I88,0))</f>
        <v/>
      </c>
      <c r="U88">
        <f>IF(OR(S88=0,B88=""),0,IFERROR(VLOOKUP(C88,'Example Parties'!$B$13:$Q$112,13,FALSE),0)+SUMIFS($S$7:$S$506,$C$7:$C$506,C88,$B$7:$B$506,"&lt;"&amp;B88)+SUMIFS(S$7:S88,C$7:C88,C88,B$7:B88,B88))</f>
        <v/>
      </c>
      <c r="V88">
        <f>IF(S88=0,0,IFERROR(VLOOKUP(C88,'Example Parties'!$B$13:$Q$112,14,FALSE),0)+SUMIFS($T$7:$T$506,$C$7:$C$506,C88,$B$7:$B$506,"&lt;="&amp;'Example Outstanding'!$E$5))</f>
        <v/>
      </c>
      <c r="W88">
        <f>IF(OR('Example Outstanding'!$E$5="",S88=0,B88="",B88&gt;'Example Outstanding'!$E$5),0,MAX(0,MIN(S88,U88-V88)))</f>
        <v/>
      </c>
      <c r="X88">
        <f>IF(C88="",0,IFERROR(VLOOKUP(C88,'Example Parties'!$B$13:$Q$112,15,FALSE),0))</f>
        <v/>
      </c>
      <c r="Y88">
        <f>IF(C88="","",IFERROR(VLOOKUP(C88,'Example Parties'!$B$13:$Q$112,16,FALSE),0))</f>
        <v/>
      </c>
      <c r="Z88">
        <f>IF(OR(S88=0,B88="",Y88=""),"",IF(AND(F88&lt;&gt;"",D88="Purchase bill"),F88,B88)+Y88)</f>
        <v/>
      </c>
      <c r="AA88">
        <f>IF(OR(W88=0,Z88=""),0,MAX(0,'Example Outstanding'!$E$5-Z88))</f>
        <v/>
      </c>
      <c r="AB88">
        <f>IF(AND(X88=1,AA88&gt;0),W88*((1+3*N('Example Parties'!$E$10)/12)^(AA88*12/365)-1),0)</f>
        <v/>
      </c>
      <c r="AC88">
        <f>IF(W88=0,"",'Example Outstanding'!$E$5-B88)</f>
        <v/>
      </c>
      <c r="AD88">
        <f>IF(S88=0,0,IFERROR(VLOOKUP(C88,'Example Parties'!$B$13:$Q$112,14,FALSE),0)+SUMIFS($T$7:$T$506,$C$7:$C$506,C88,$B$7:$B$506,"&lt;="&amp;'Example Parties'!$E$8))</f>
        <v/>
      </c>
      <c r="AE88">
        <f>IF(OR('Example Parties'!$E$8="",S88=0,B88="",B88&gt;'Example Parties'!$E$8),0,MAX(0,MIN(S88,U88-AD88)))</f>
        <v/>
      </c>
      <c r="AF88">
        <f>IF(AND(P88="Creditor",X88=1,AE88&gt;0,Z88&lt;&gt;""),IF(Z88&lt;='Example Parties'!$E$8,AE88,0),0)</f>
        <v/>
      </c>
      <c r="AG88">
        <f>IF(OR(AE88=0,Z88=""),0,MAX(0,'Example Parties'!$E$8-Z88))</f>
        <v/>
      </c>
      <c r="AH88">
        <f>IF(AND(P88="Creditor",X88=1,AG88&gt;0),AE88*((1+3*N('Example Parties'!$E$10)/12)^(AG88*12/365)-1),0)</f>
        <v/>
      </c>
      <c r="AI88">
        <f>IF(AND(C88&lt;&gt;"",C88='Example Ledger'!$D$4,B88&lt;&gt;"",B88&gt;='Example Ledger'!$D$5,B88&lt;='Example Ledger'!$D$6),1,0)</f>
        <v/>
      </c>
      <c r="AJ88">
        <f>IF(AI88=1,SUM(AI$7:AI88),"")</f>
        <v/>
      </c>
      <c r="AK88">
        <f>IF(OR(N88="",N88="OK"),0,1)</f>
        <v/>
      </c>
    </row>
    <row r="89">
      <c r="B89" s="24" t="n"/>
      <c r="C89" s="14" t="n"/>
      <c r="D89" s="14" t="n"/>
      <c r="E89" s="20" t="n"/>
      <c r="F89" s="24" t="n"/>
      <c r="G89" s="14" t="n"/>
      <c r="H89" s="22" t="n"/>
      <c r="I89" s="25">
        <f>IF(Q89="D",N(H89),0)</f>
        <v/>
      </c>
      <c r="J89" s="25">
        <f>IF(Q89="C",N(H89),0)</f>
        <v/>
      </c>
      <c r="K89" s="26">
        <f>IF(Z89="","",Z89)</f>
        <v/>
      </c>
      <c r="L89" s="27">
        <f>W89</f>
        <v/>
      </c>
      <c r="M89" s="28">
        <f>AA89</f>
        <v/>
      </c>
      <c r="N89" s="23">
        <f>IF(AND(B89="",C89="",D89="",N(H89)=0),"",IF(B89="","Enter the date",IF(C89="","Pick the party",IF(P89="?","Add this party on the Parties sheet first",IF(D89="","Pick the entry type",IF(Q89="?","Pick the entry type from the list",IF(N(H89)=0,"Enter the amount",IF(AND(R89&lt;&gt;"Any",R89&lt;&gt;P89),"Sales, receipts and credit notes are for debtors; purchases, payments and debit notes for creditors",IF(AND(F89&lt;&gt;"",D89&lt;&gt;"Purchase bill"),"The received-on date is only for purchase bills",IF(AND(P89="Creditor",X89=1,AA89&gt;0),"Past due to a micro or small supplier: interest runs under MSMED s.16, and if unpaid at year end it is not deductible that year, s.37(2)(g)",IF(AND(P89="Debtor",X89=1,AA89&gt;0),"Past due to you: as a micro or small supplier you can claim interest under MSMED s.16","OK")))))))))))</f>
        <v/>
      </c>
      <c r="P89">
        <f>IF(C89="","",IFERROR(VLOOKUP(C89,'Example Parties'!$B$13:$Q$112,2,FALSE),"?"))</f>
        <v/>
      </c>
      <c r="Q89">
        <f>IF(D89="","",IFERROR(VLOOKUP(D89,Lists!$A$2:$D$9,3,FALSE),"?"))</f>
        <v/>
      </c>
      <c r="R89">
        <f>IF(D89="","",IFERROR(VLOOKUP(D89,Lists!$A$2:$D$9,4,FALSE),"?"))</f>
        <v/>
      </c>
      <c r="S89">
        <f>IF(P89="Debtor",I89,IF(P89="Creditor",J89,0))</f>
        <v/>
      </c>
      <c r="T89">
        <f>IF(P89="Debtor",J89,IF(P89="Creditor",I89,0))</f>
        <v/>
      </c>
      <c r="U89">
        <f>IF(OR(S89=0,B89=""),0,IFERROR(VLOOKUP(C89,'Example Parties'!$B$13:$Q$112,13,FALSE),0)+SUMIFS($S$7:$S$506,$C$7:$C$506,C89,$B$7:$B$506,"&lt;"&amp;B89)+SUMIFS(S$7:S89,C$7:C89,C89,B$7:B89,B89))</f>
        <v/>
      </c>
      <c r="V89">
        <f>IF(S89=0,0,IFERROR(VLOOKUP(C89,'Example Parties'!$B$13:$Q$112,14,FALSE),0)+SUMIFS($T$7:$T$506,$C$7:$C$506,C89,$B$7:$B$506,"&lt;="&amp;'Example Outstanding'!$E$5))</f>
        <v/>
      </c>
      <c r="W89">
        <f>IF(OR('Example Outstanding'!$E$5="",S89=0,B89="",B89&gt;'Example Outstanding'!$E$5),0,MAX(0,MIN(S89,U89-V89)))</f>
        <v/>
      </c>
      <c r="X89">
        <f>IF(C89="",0,IFERROR(VLOOKUP(C89,'Example Parties'!$B$13:$Q$112,15,FALSE),0))</f>
        <v/>
      </c>
      <c r="Y89">
        <f>IF(C89="","",IFERROR(VLOOKUP(C89,'Example Parties'!$B$13:$Q$112,16,FALSE),0))</f>
        <v/>
      </c>
      <c r="Z89">
        <f>IF(OR(S89=0,B89="",Y89=""),"",IF(AND(F89&lt;&gt;"",D89="Purchase bill"),F89,B89)+Y89)</f>
        <v/>
      </c>
      <c r="AA89">
        <f>IF(OR(W89=0,Z89=""),0,MAX(0,'Example Outstanding'!$E$5-Z89))</f>
        <v/>
      </c>
      <c r="AB89">
        <f>IF(AND(X89=1,AA89&gt;0),W89*((1+3*N('Example Parties'!$E$10)/12)^(AA89*12/365)-1),0)</f>
        <v/>
      </c>
      <c r="AC89">
        <f>IF(W89=0,"",'Example Outstanding'!$E$5-B89)</f>
        <v/>
      </c>
      <c r="AD89">
        <f>IF(S89=0,0,IFERROR(VLOOKUP(C89,'Example Parties'!$B$13:$Q$112,14,FALSE),0)+SUMIFS($T$7:$T$506,$C$7:$C$506,C89,$B$7:$B$506,"&lt;="&amp;'Example Parties'!$E$8))</f>
        <v/>
      </c>
      <c r="AE89">
        <f>IF(OR('Example Parties'!$E$8="",S89=0,B89="",B89&gt;'Example Parties'!$E$8),0,MAX(0,MIN(S89,U89-AD89)))</f>
        <v/>
      </c>
      <c r="AF89">
        <f>IF(AND(P89="Creditor",X89=1,AE89&gt;0,Z89&lt;&gt;""),IF(Z89&lt;='Example Parties'!$E$8,AE89,0),0)</f>
        <v/>
      </c>
      <c r="AG89">
        <f>IF(OR(AE89=0,Z89=""),0,MAX(0,'Example Parties'!$E$8-Z89))</f>
        <v/>
      </c>
      <c r="AH89">
        <f>IF(AND(P89="Creditor",X89=1,AG89&gt;0),AE89*((1+3*N('Example Parties'!$E$10)/12)^(AG89*12/365)-1),0)</f>
        <v/>
      </c>
      <c r="AI89">
        <f>IF(AND(C89&lt;&gt;"",C89='Example Ledger'!$D$4,B89&lt;&gt;"",B89&gt;='Example Ledger'!$D$5,B89&lt;='Example Ledger'!$D$6),1,0)</f>
        <v/>
      </c>
      <c r="AJ89">
        <f>IF(AI89=1,SUM(AI$7:AI89),"")</f>
        <v/>
      </c>
      <c r="AK89">
        <f>IF(OR(N89="",N89="OK"),0,1)</f>
        <v/>
      </c>
    </row>
    <row r="90">
      <c r="B90" s="24" t="n"/>
      <c r="C90" s="14" t="n"/>
      <c r="D90" s="14" t="n"/>
      <c r="E90" s="20" t="n"/>
      <c r="F90" s="24" t="n"/>
      <c r="G90" s="14" t="n"/>
      <c r="H90" s="22" t="n"/>
      <c r="I90" s="25">
        <f>IF(Q90="D",N(H90),0)</f>
        <v/>
      </c>
      <c r="J90" s="25">
        <f>IF(Q90="C",N(H90),0)</f>
        <v/>
      </c>
      <c r="K90" s="26">
        <f>IF(Z90="","",Z90)</f>
        <v/>
      </c>
      <c r="L90" s="27">
        <f>W90</f>
        <v/>
      </c>
      <c r="M90" s="28">
        <f>AA90</f>
        <v/>
      </c>
      <c r="N90" s="23">
        <f>IF(AND(B90="",C90="",D90="",N(H90)=0),"",IF(B90="","Enter the date",IF(C90="","Pick the party",IF(P90="?","Add this party on the Parties sheet first",IF(D90="","Pick the entry type",IF(Q90="?","Pick the entry type from the list",IF(N(H90)=0,"Enter the amount",IF(AND(R90&lt;&gt;"Any",R90&lt;&gt;P90),"Sales, receipts and credit notes are for debtors; purchases, payments and debit notes for creditors",IF(AND(F90&lt;&gt;"",D90&lt;&gt;"Purchase bill"),"The received-on date is only for purchase bills",IF(AND(P90="Creditor",X90=1,AA90&gt;0),"Past due to a micro or small supplier: interest runs under MSMED s.16, and if unpaid at year end it is not deductible that year, s.37(2)(g)",IF(AND(P90="Debtor",X90=1,AA90&gt;0),"Past due to you: as a micro or small supplier you can claim interest under MSMED s.16","OK")))))))))))</f>
        <v/>
      </c>
      <c r="P90">
        <f>IF(C90="","",IFERROR(VLOOKUP(C90,'Example Parties'!$B$13:$Q$112,2,FALSE),"?"))</f>
        <v/>
      </c>
      <c r="Q90">
        <f>IF(D90="","",IFERROR(VLOOKUP(D90,Lists!$A$2:$D$9,3,FALSE),"?"))</f>
        <v/>
      </c>
      <c r="R90">
        <f>IF(D90="","",IFERROR(VLOOKUP(D90,Lists!$A$2:$D$9,4,FALSE),"?"))</f>
        <v/>
      </c>
      <c r="S90">
        <f>IF(P90="Debtor",I90,IF(P90="Creditor",J90,0))</f>
        <v/>
      </c>
      <c r="T90">
        <f>IF(P90="Debtor",J90,IF(P90="Creditor",I90,0))</f>
        <v/>
      </c>
      <c r="U90">
        <f>IF(OR(S90=0,B90=""),0,IFERROR(VLOOKUP(C90,'Example Parties'!$B$13:$Q$112,13,FALSE),0)+SUMIFS($S$7:$S$506,$C$7:$C$506,C90,$B$7:$B$506,"&lt;"&amp;B90)+SUMIFS(S$7:S90,C$7:C90,C90,B$7:B90,B90))</f>
        <v/>
      </c>
      <c r="V90">
        <f>IF(S90=0,0,IFERROR(VLOOKUP(C90,'Example Parties'!$B$13:$Q$112,14,FALSE),0)+SUMIFS($T$7:$T$506,$C$7:$C$506,C90,$B$7:$B$506,"&lt;="&amp;'Example Outstanding'!$E$5))</f>
        <v/>
      </c>
      <c r="W90">
        <f>IF(OR('Example Outstanding'!$E$5="",S90=0,B90="",B90&gt;'Example Outstanding'!$E$5),0,MAX(0,MIN(S90,U90-V90)))</f>
        <v/>
      </c>
      <c r="X90">
        <f>IF(C90="",0,IFERROR(VLOOKUP(C90,'Example Parties'!$B$13:$Q$112,15,FALSE),0))</f>
        <v/>
      </c>
      <c r="Y90">
        <f>IF(C90="","",IFERROR(VLOOKUP(C90,'Example Parties'!$B$13:$Q$112,16,FALSE),0))</f>
        <v/>
      </c>
      <c r="Z90">
        <f>IF(OR(S90=0,B90="",Y90=""),"",IF(AND(F90&lt;&gt;"",D90="Purchase bill"),F90,B90)+Y90)</f>
        <v/>
      </c>
      <c r="AA90">
        <f>IF(OR(W90=0,Z90=""),0,MAX(0,'Example Outstanding'!$E$5-Z90))</f>
        <v/>
      </c>
      <c r="AB90">
        <f>IF(AND(X90=1,AA90&gt;0),W90*((1+3*N('Example Parties'!$E$10)/12)^(AA90*12/365)-1),0)</f>
        <v/>
      </c>
      <c r="AC90">
        <f>IF(W90=0,"",'Example Outstanding'!$E$5-B90)</f>
        <v/>
      </c>
      <c r="AD90">
        <f>IF(S90=0,0,IFERROR(VLOOKUP(C90,'Example Parties'!$B$13:$Q$112,14,FALSE),0)+SUMIFS($T$7:$T$506,$C$7:$C$506,C90,$B$7:$B$506,"&lt;="&amp;'Example Parties'!$E$8))</f>
        <v/>
      </c>
      <c r="AE90">
        <f>IF(OR('Example Parties'!$E$8="",S90=0,B90="",B90&gt;'Example Parties'!$E$8),0,MAX(0,MIN(S90,U90-AD90)))</f>
        <v/>
      </c>
      <c r="AF90">
        <f>IF(AND(P90="Creditor",X90=1,AE90&gt;0,Z90&lt;&gt;""),IF(Z90&lt;='Example Parties'!$E$8,AE90,0),0)</f>
        <v/>
      </c>
      <c r="AG90">
        <f>IF(OR(AE90=0,Z90=""),0,MAX(0,'Example Parties'!$E$8-Z90))</f>
        <v/>
      </c>
      <c r="AH90">
        <f>IF(AND(P90="Creditor",X90=1,AG90&gt;0),AE90*((1+3*N('Example Parties'!$E$10)/12)^(AG90*12/365)-1),0)</f>
        <v/>
      </c>
      <c r="AI90">
        <f>IF(AND(C90&lt;&gt;"",C90='Example Ledger'!$D$4,B90&lt;&gt;"",B90&gt;='Example Ledger'!$D$5,B90&lt;='Example Ledger'!$D$6),1,0)</f>
        <v/>
      </c>
      <c r="AJ90">
        <f>IF(AI90=1,SUM(AI$7:AI90),"")</f>
        <v/>
      </c>
      <c r="AK90">
        <f>IF(OR(N90="",N90="OK"),0,1)</f>
        <v/>
      </c>
    </row>
    <row r="91">
      <c r="B91" s="24" t="n"/>
      <c r="C91" s="14" t="n"/>
      <c r="D91" s="14" t="n"/>
      <c r="E91" s="20" t="n"/>
      <c r="F91" s="24" t="n"/>
      <c r="G91" s="14" t="n"/>
      <c r="H91" s="22" t="n"/>
      <c r="I91" s="25">
        <f>IF(Q91="D",N(H91),0)</f>
        <v/>
      </c>
      <c r="J91" s="25">
        <f>IF(Q91="C",N(H91),0)</f>
        <v/>
      </c>
      <c r="K91" s="26">
        <f>IF(Z91="","",Z91)</f>
        <v/>
      </c>
      <c r="L91" s="27">
        <f>W91</f>
        <v/>
      </c>
      <c r="M91" s="28">
        <f>AA91</f>
        <v/>
      </c>
      <c r="N91" s="23">
        <f>IF(AND(B91="",C91="",D91="",N(H91)=0),"",IF(B91="","Enter the date",IF(C91="","Pick the party",IF(P91="?","Add this party on the Parties sheet first",IF(D91="","Pick the entry type",IF(Q91="?","Pick the entry type from the list",IF(N(H91)=0,"Enter the amount",IF(AND(R91&lt;&gt;"Any",R91&lt;&gt;P91),"Sales, receipts and credit notes are for debtors; purchases, payments and debit notes for creditors",IF(AND(F91&lt;&gt;"",D91&lt;&gt;"Purchase bill"),"The received-on date is only for purchase bills",IF(AND(P91="Creditor",X91=1,AA91&gt;0),"Past due to a micro or small supplier: interest runs under MSMED s.16, and if unpaid at year end it is not deductible that year, s.37(2)(g)",IF(AND(P91="Debtor",X91=1,AA91&gt;0),"Past due to you: as a micro or small supplier you can claim interest under MSMED s.16","OK")))))))))))</f>
        <v/>
      </c>
      <c r="P91">
        <f>IF(C91="","",IFERROR(VLOOKUP(C91,'Example Parties'!$B$13:$Q$112,2,FALSE),"?"))</f>
        <v/>
      </c>
      <c r="Q91">
        <f>IF(D91="","",IFERROR(VLOOKUP(D91,Lists!$A$2:$D$9,3,FALSE),"?"))</f>
        <v/>
      </c>
      <c r="R91">
        <f>IF(D91="","",IFERROR(VLOOKUP(D91,Lists!$A$2:$D$9,4,FALSE),"?"))</f>
        <v/>
      </c>
      <c r="S91">
        <f>IF(P91="Debtor",I91,IF(P91="Creditor",J91,0))</f>
        <v/>
      </c>
      <c r="T91">
        <f>IF(P91="Debtor",J91,IF(P91="Creditor",I91,0))</f>
        <v/>
      </c>
      <c r="U91">
        <f>IF(OR(S91=0,B91=""),0,IFERROR(VLOOKUP(C91,'Example Parties'!$B$13:$Q$112,13,FALSE),0)+SUMIFS($S$7:$S$506,$C$7:$C$506,C91,$B$7:$B$506,"&lt;"&amp;B91)+SUMIFS(S$7:S91,C$7:C91,C91,B$7:B91,B91))</f>
        <v/>
      </c>
      <c r="V91">
        <f>IF(S91=0,0,IFERROR(VLOOKUP(C91,'Example Parties'!$B$13:$Q$112,14,FALSE),0)+SUMIFS($T$7:$T$506,$C$7:$C$506,C91,$B$7:$B$506,"&lt;="&amp;'Example Outstanding'!$E$5))</f>
        <v/>
      </c>
      <c r="W91">
        <f>IF(OR('Example Outstanding'!$E$5="",S91=0,B91="",B91&gt;'Example Outstanding'!$E$5),0,MAX(0,MIN(S91,U91-V91)))</f>
        <v/>
      </c>
      <c r="X91">
        <f>IF(C91="",0,IFERROR(VLOOKUP(C91,'Example Parties'!$B$13:$Q$112,15,FALSE),0))</f>
        <v/>
      </c>
      <c r="Y91">
        <f>IF(C91="","",IFERROR(VLOOKUP(C91,'Example Parties'!$B$13:$Q$112,16,FALSE),0))</f>
        <v/>
      </c>
      <c r="Z91">
        <f>IF(OR(S91=0,B91="",Y91=""),"",IF(AND(F91&lt;&gt;"",D91="Purchase bill"),F91,B91)+Y91)</f>
        <v/>
      </c>
      <c r="AA91">
        <f>IF(OR(W91=0,Z91=""),0,MAX(0,'Example Outstanding'!$E$5-Z91))</f>
        <v/>
      </c>
      <c r="AB91">
        <f>IF(AND(X91=1,AA91&gt;0),W91*((1+3*N('Example Parties'!$E$10)/12)^(AA91*12/365)-1),0)</f>
        <v/>
      </c>
      <c r="AC91">
        <f>IF(W91=0,"",'Example Outstanding'!$E$5-B91)</f>
        <v/>
      </c>
      <c r="AD91">
        <f>IF(S91=0,0,IFERROR(VLOOKUP(C91,'Example Parties'!$B$13:$Q$112,14,FALSE),0)+SUMIFS($T$7:$T$506,$C$7:$C$506,C91,$B$7:$B$506,"&lt;="&amp;'Example Parties'!$E$8))</f>
        <v/>
      </c>
      <c r="AE91">
        <f>IF(OR('Example Parties'!$E$8="",S91=0,B91="",B91&gt;'Example Parties'!$E$8),0,MAX(0,MIN(S91,U91-AD91)))</f>
        <v/>
      </c>
      <c r="AF91">
        <f>IF(AND(P91="Creditor",X91=1,AE91&gt;0,Z91&lt;&gt;""),IF(Z91&lt;='Example Parties'!$E$8,AE91,0),0)</f>
        <v/>
      </c>
      <c r="AG91">
        <f>IF(OR(AE91=0,Z91=""),0,MAX(0,'Example Parties'!$E$8-Z91))</f>
        <v/>
      </c>
      <c r="AH91">
        <f>IF(AND(P91="Creditor",X91=1,AG91&gt;0),AE91*((1+3*N('Example Parties'!$E$10)/12)^(AG91*12/365)-1),0)</f>
        <v/>
      </c>
      <c r="AI91">
        <f>IF(AND(C91&lt;&gt;"",C91='Example Ledger'!$D$4,B91&lt;&gt;"",B91&gt;='Example Ledger'!$D$5,B91&lt;='Example Ledger'!$D$6),1,0)</f>
        <v/>
      </c>
      <c r="AJ91">
        <f>IF(AI91=1,SUM(AI$7:AI91),"")</f>
        <v/>
      </c>
      <c r="AK91">
        <f>IF(OR(N91="",N91="OK"),0,1)</f>
        <v/>
      </c>
    </row>
    <row r="92">
      <c r="B92" s="24" t="n"/>
      <c r="C92" s="14" t="n"/>
      <c r="D92" s="14" t="n"/>
      <c r="E92" s="20" t="n"/>
      <c r="F92" s="24" t="n"/>
      <c r="G92" s="14" t="n"/>
      <c r="H92" s="22" t="n"/>
      <c r="I92" s="25">
        <f>IF(Q92="D",N(H92),0)</f>
        <v/>
      </c>
      <c r="J92" s="25">
        <f>IF(Q92="C",N(H92),0)</f>
        <v/>
      </c>
      <c r="K92" s="26">
        <f>IF(Z92="","",Z92)</f>
        <v/>
      </c>
      <c r="L92" s="27">
        <f>W92</f>
        <v/>
      </c>
      <c r="M92" s="28">
        <f>AA92</f>
        <v/>
      </c>
      <c r="N92" s="23">
        <f>IF(AND(B92="",C92="",D92="",N(H92)=0),"",IF(B92="","Enter the date",IF(C92="","Pick the party",IF(P92="?","Add this party on the Parties sheet first",IF(D92="","Pick the entry type",IF(Q92="?","Pick the entry type from the list",IF(N(H92)=0,"Enter the amount",IF(AND(R92&lt;&gt;"Any",R92&lt;&gt;P92),"Sales, receipts and credit notes are for debtors; purchases, payments and debit notes for creditors",IF(AND(F92&lt;&gt;"",D92&lt;&gt;"Purchase bill"),"The received-on date is only for purchase bills",IF(AND(P92="Creditor",X92=1,AA92&gt;0),"Past due to a micro or small supplier: interest runs under MSMED s.16, and if unpaid at year end it is not deductible that year, s.37(2)(g)",IF(AND(P92="Debtor",X92=1,AA92&gt;0),"Past due to you: as a micro or small supplier you can claim interest under MSMED s.16","OK")))))))))))</f>
        <v/>
      </c>
      <c r="P92">
        <f>IF(C92="","",IFERROR(VLOOKUP(C92,'Example Parties'!$B$13:$Q$112,2,FALSE),"?"))</f>
        <v/>
      </c>
      <c r="Q92">
        <f>IF(D92="","",IFERROR(VLOOKUP(D92,Lists!$A$2:$D$9,3,FALSE),"?"))</f>
        <v/>
      </c>
      <c r="R92">
        <f>IF(D92="","",IFERROR(VLOOKUP(D92,Lists!$A$2:$D$9,4,FALSE),"?"))</f>
        <v/>
      </c>
      <c r="S92">
        <f>IF(P92="Debtor",I92,IF(P92="Creditor",J92,0))</f>
        <v/>
      </c>
      <c r="T92">
        <f>IF(P92="Debtor",J92,IF(P92="Creditor",I92,0))</f>
        <v/>
      </c>
      <c r="U92">
        <f>IF(OR(S92=0,B92=""),0,IFERROR(VLOOKUP(C92,'Example Parties'!$B$13:$Q$112,13,FALSE),0)+SUMIFS($S$7:$S$506,$C$7:$C$506,C92,$B$7:$B$506,"&lt;"&amp;B92)+SUMIFS(S$7:S92,C$7:C92,C92,B$7:B92,B92))</f>
        <v/>
      </c>
      <c r="V92">
        <f>IF(S92=0,0,IFERROR(VLOOKUP(C92,'Example Parties'!$B$13:$Q$112,14,FALSE),0)+SUMIFS($T$7:$T$506,$C$7:$C$506,C92,$B$7:$B$506,"&lt;="&amp;'Example Outstanding'!$E$5))</f>
        <v/>
      </c>
      <c r="W92">
        <f>IF(OR('Example Outstanding'!$E$5="",S92=0,B92="",B92&gt;'Example Outstanding'!$E$5),0,MAX(0,MIN(S92,U92-V92)))</f>
        <v/>
      </c>
      <c r="X92">
        <f>IF(C92="",0,IFERROR(VLOOKUP(C92,'Example Parties'!$B$13:$Q$112,15,FALSE),0))</f>
        <v/>
      </c>
      <c r="Y92">
        <f>IF(C92="","",IFERROR(VLOOKUP(C92,'Example Parties'!$B$13:$Q$112,16,FALSE),0))</f>
        <v/>
      </c>
      <c r="Z92">
        <f>IF(OR(S92=0,B92="",Y92=""),"",IF(AND(F92&lt;&gt;"",D92="Purchase bill"),F92,B92)+Y92)</f>
        <v/>
      </c>
      <c r="AA92">
        <f>IF(OR(W92=0,Z92=""),0,MAX(0,'Example Outstanding'!$E$5-Z92))</f>
        <v/>
      </c>
      <c r="AB92">
        <f>IF(AND(X92=1,AA92&gt;0),W92*((1+3*N('Example Parties'!$E$10)/12)^(AA92*12/365)-1),0)</f>
        <v/>
      </c>
      <c r="AC92">
        <f>IF(W92=0,"",'Example Outstanding'!$E$5-B92)</f>
        <v/>
      </c>
      <c r="AD92">
        <f>IF(S92=0,0,IFERROR(VLOOKUP(C92,'Example Parties'!$B$13:$Q$112,14,FALSE),0)+SUMIFS($T$7:$T$506,$C$7:$C$506,C92,$B$7:$B$506,"&lt;="&amp;'Example Parties'!$E$8))</f>
        <v/>
      </c>
      <c r="AE92">
        <f>IF(OR('Example Parties'!$E$8="",S92=0,B92="",B92&gt;'Example Parties'!$E$8),0,MAX(0,MIN(S92,U92-AD92)))</f>
        <v/>
      </c>
      <c r="AF92">
        <f>IF(AND(P92="Creditor",X92=1,AE92&gt;0,Z92&lt;&gt;""),IF(Z92&lt;='Example Parties'!$E$8,AE92,0),0)</f>
        <v/>
      </c>
      <c r="AG92">
        <f>IF(OR(AE92=0,Z92=""),0,MAX(0,'Example Parties'!$E$8-Z92))</f>
        <v/>
      </c>
      <c r="AH92">
        <f>IF(AND(P92="Creditor",X92=1,AG92&gt;0),AE92*((1+3*N('Example Parties'!$E$10)/12)^(AG92*12/365)-1),0)</f>
        <v/>
      </c>
      <c r="AI92">
        <f>IF(AND(C92&lt;&gt;"",C92='Example Ledger'!$D$4,B92&lt;&gt;"",B92&gt;='Example Ledger'!$D$5,B92&lt;='Example Ledger'!$D$6),1,0)</f>
        <v/>
      </c>
      <c r="AJ92">
        <f>IF(AI92=1,SUM(AI$7:AI92),"")</f>
        <v/>
      </c>
      <c r="AK92">
        <f>IF(OR(N92="",N92="OK"),0,1)</f>
        <v/>
      </c>
    </row>
    <row r="93">
      <c r="B93" s="24" t="n"/>
      <c r="C93" s="14" t="n"/>
      <c r="D93" s="14" t="n"/>
      <c r="E93" s="20" t="n"/>
      <c r="F93" s="24" t="n"/>
      <c r="G93" s="14" t="n"/>
      <c r="H93" s="22" t="n"/>
      <c r="I93" s="25">
        <f>IF(Q93="D",N(H93),0)</f>
        <v/>
      </c>
      <c r="J93" s="25">
        <f>IF(Q93="C",N(H93),0)</f>
        <v/>
      </c>
      <c r="K93" s="26">
        <f>IF(Z93="","",Z93)</f>
        <v/>
      </c>
      <c r="L93" s="27">
        <f>W93</f>
        <v/>
      </c>
      <c r="M93" s="28">
        <f>AA93</f>
        <v/>
      </c>
      <c r="N93" s="23">
        <f>IF(AND(B93="",C93="",D93="",N(H93)=0),"",IF(B93="","Enter the date",IF(C93="","Pick the party",IF(P93="?","Add this party on the Parties sheet first",IF(D93="","Pick the entry type",IF(Q93="?","Pick the entry type from the list",IF(N(H93)=0,"Enter the amount",IF(AND(R93&lt;&gt;"Any",R93&lt;&gt;P93),"Sales, receipts and credit notes are for debtors; purchases, payments and debit notes for creditors",IF(AND(F93&lt;&gt;"",D93&lt;&gt;"Purchase bill"),"The received-on date is only for purchase bills",IF(AND(P93="Creditor",X93=1,AA93&gt;0),"Past due to a micro or small supplier: interest runs under MSMED s.16, and if unpaid at year end it is not deductible that year, s.37(2)(g)",IF(AND(P93="Debtor",X93=1,AA93&gt;0),"Past due to you: as a micro or small supplier you can claim interest under MSMED s.16","OK")))))))))))</f>
        <v/>
      </c>
      <c r="P93">
        <f>IF(C93="","",IFERROR(VLOOKUP(C93,'Example Parties'!$B$13:$Q$112,2,FALSE),"?"))</f>
        <v/>
      </c>
      <c r="Q93">
        <f>IF(D93="","",IFERROR(VLOOKUP(D93,Lists!$A$2:$D$9,3,FALSE),"?"))</f>
        <v/>
      </c>
      <c r="R93">
        <f>IF(D93="","",IFERROR(VLOOKUP(D93,Lists!$A$2:$D$9,4,FALSE),"?"))</f>
        <v/>
      </c>
      <c r="S93">
        <f>IF(P93="Debtor",I93,IF(P93="Creditor",J93,0))</f>
        <v/>
      </c>
      <c r="T93">
        <f>IF(P93="Debtor",J93,IF(P93="Creditor",I93,0))</f>
        <v/>
      </c>
      <c r="U93">
        <f>IF(OR(S93=0,B93=""),0,IFERROR(VLOOKUP(C93,'Example Parties'!$B$13:$Q$112,13,FALSE),0)+SUMIFS($S$7:$S$506,$C$7:$C$506,C93,$B$7:$B$506,"&lt;"&amp;B93)+SUMIFS(S$7:S93,C$7:C93,C93,B$7:B93,B93))</f>
        <v/>
      </c>
      <c r="V93">
        <f>IF(S93=0,0,IFERROR(VLOOKUP(C93,'Example Parties'!$B$13:$Q$112,14,FALSE),0)+SUMIFS($T$7:$T$506,$C$7:$C$506,C93,$B$7:$B$506,"&lt;="&amp;'Example Outstanding'!$E$5))</f>
        <v/>
      </c>
      <c r="W93">
        <f>IF(OR('Example Outstanding'!$E$5="",S93=0,B93="",B93&gt;'Example Outstanding'!$E$5),0,MAX(0,MIN(S93,U93-V93)))</f>
        <v/>
      </c>
      <c r="X93">
        <f>IF(C93="",0,IFERROR(VLOOKUP(C93,'Example Parties'!$B$13:$Q$112,15,FALSE),0))</f>
        <v/>
      </c>
      <c r="Y93">
        <f>IF(C93="","",IFERROR(VLOOKUP(C93,'Example Parties'!$B$13:$Q$112,16,FALSE),0))</f>
        <v/>
      </c>
      <c r="Z93">
        <f>IF(OR(S93=0,B93="",Y93=""),"",IF(AND(F93&lt;&gt;"",D93="Purchase bill"),F93,B93)+Y93)</f>
        <v/>
      </c>
      <c r="AA93">
        <f>IF(OR(W93=0,Z93=""),0,MAX(0,'Example Outstanding'!$E$5-Z93))</f>
        <v/>
      </c>
      <c r="AB93">
        <f>IF(AND(X93=1,AA93&gt;0),W93*((1+3*N('Example Parties'!$E$10)/12)^(AA93*12/365)-1),0)</f>
        <v/>
      </c>
      <c r="AC93">
        <f>IF(W93=0,"",'Example Outstanding'!$E$5-B93)</f>
        <v/>
      </c>
      <c r="AD93">
        <f>IF(S93=0,0,IFERROR(VLOOKUP(C93,'Example Parties'!$B$13:$Q$112,14,FALSE),0)+SUMIFS($T$7:$T$506,$C$7:$C$506,C93,$B$7:$B$506,"&lt;="&amp;'Example Parties'!$E$8))</f>
        <v/>
      </c>
      <c r="AE93">
        <f>IF(OR('Example Parties'!$E$8="",S93=0,B93="",B93&gt;'Example Parties'!$E$8),0,MAX(0,MIN(S93,U93-AD93)))</f>
        <v/>
      </c>
      <c r="AF93">
        <f>IF(AND(P93="Creditor",X93=1,AE93&gt;0,Z93&lt;&gt;""),IF(Z93&lt;='Example Parties'!$E$8,AE93,0),0)</f>
        <v/>
      </c>
      <c r="AG93">
        <f>IF(OR(AE93=0,Z93=""),0,MAX(0,'Example Parties'!$E$8-Z93))</f>
        <v/>
      </c>
      <c r="AH93">
        <f>IF(AND(P93="Creditor",X93=1,AG93&gt;0),AE93*((1+3*N('Example Parties'!$E$10)/12)^(AG93*12/365)-1),0)</f>
        <v/>
      </c>
      <c r="AI93">
        <f>IF(AND(C93&lt;&gt;"",C93='Example Ledger'!$D$4,B93&lt;&gt;"",B93&gt;='Example Ledger'!$D$5,B93&lt;='Example Ledger'!$D$6),1,0)</f>
        <v/>
      </c>
      <c r="AJ93">
        <f>IF(AI93=1,SUM(AI$7:AI93),"")</f>
        <v/>
      </c>
      <c r="AK93">
        <f>IF(OR(N93="",N93="OK"),0,1)</f>
        <v/>
      </c>
    </row>
    <row r="94">
      <c r="B94" s="24" t="n"/>
      <c r="C94" s="14" t="n"/>
      <c r="D94" s="14" t="n"/>
      <c r="E94" s="20" t="n"/>
      <c r="F94" s="24" t="n"/>
      <c r="G94" s="14" t="n"/>
      <c r="H94" s="22" t="n"/>
      <c r="I94" s="25">
        <f>IF(Q94="D",N(H94),0)</f>
        <v/>
      </c>
      <c r="J94" s="25">
        <f>IF(Q94="C",N(H94),0)</f>
        <v/>
      </c>
      <c r="K94" s="26">
        <f>IF(Z94="","",Z94)</f>
        <v/>
      </c>
      <c r="L94" s="27">
        <f>W94</f>
        <v/>
      </c>
      <c r="M94" s="28">
        <f>AA94</f>
        <v/>
      </c>
      <c r="N94" s="23">
        <f>IF(AND(B94="",C94="",D94="",N(H94)=0),"",IF(B94="","Enter the date",IF(C94="","Pick the party",IF(P94="?","Add this party on the Parties sheet first",IF(D94="","Pick the entry type",IF(Q94="?","Pick the entry type from the list",IF(N(H94)=0,"Enter the amount",IF(AND(R94&lt;&gt;"Any",R94&lt;&gt;P94),"Sales, receipts and credit notes are for debtors; purchases, payments and debit notes for creditors",IF(AND(F94&lt;&gt;"",D94&lt;&gt;"Purchase bill"),"The received-on date is only for purchase bills",IF(AND(P94="Creditor",X94=1,AA94&gt;0),"Past due to a micro or small supplier: interest runs under MSMED s.16, and if unpaid at year end it is not deductible that year, s.37(2)(g)",IF(AND(P94="Debtor",X94=1,AA94&gt;0),"Past due to you: as a micro or small supplier you can claim interest under MSMED s.16","OK")))))))))))</f>
        <v/>
      </c>
      <c r="P94">
        <f>IF(C94="","",IFERROR(VLOOKUP(C94,'Example Parties'!$B$13:$Q$112,2,FALSE),"?"))</f>
        <v/>
      </c>
      <c r="Q94">
        <f>IF(D94="","",IFERROR(VLOOKUP(D94,Lists!$A$2:$D$9,3,FALSE),"?"))</f>
        <v/>
      </c>
      <c r="R94">
        <f>IF(D94="","",IFERROR(VLOOKUP(D94,Lists!$A$2:$D$9,4,FALSE),"?"))</f>
        <v/>
      </c>
      <c r="S94">
        <f>IF(P94="Debtor",I94,IF(P94="Creditor",J94,0))</f>
        <v/>
      </c>
      <c r="T94">
        <f>IF(P94="Debtor",J94,IF(P94="Creditor",I94,0))</f>
        <v/>
      </c>
      <c r="U94">
        <f>IF(OR(S94=0,B94=""),0,IFERROR(VLOOKUP(C94,'Example Parties'!$B$13:$Q$112,13,FALSE),0)+SUMIFS($S$7:$S$506,$C$7:$C$506,C94,$B$7:$B$506,"&lt;"&amp;B94)+SUMIFS(S$7:S94,C$7:C94,C94,B$7:B94,B94))</f>
        <v/>
      </c>
      <c r="V94">
        <f>IF(S94=0,0,IFERROR(VLOOKUP(C94,'Example Parties'!$B$13:$Q$112,14,FALSE),0)+SUMIFS($T$7:$T$506,$C$7:$C$506,C94,$B$7:$B$506,"&lt;="&amp;'Example Outstanding'!$E$5))</f>
        <v/>
      </c>
      <c r="W94">
        <f>IF(OR('Example Outstanding'!$E$5="",S94=0,B94="",B94&gt;'Example Outstanding'!$E$5),0,MAX(0,MIN(S94,U94-V94)))</f>
        <v/>
      </c>
      <c r="X94">
        <f>IF(C94="",0,IFERROR(VLOOKUP(C94,'Example Parties'!$B$13:$Q$112,15,FALSE),0))</f>
        <v/>
      </c>
      <c r="Y94">
        <f>IF(C94="","",IFERROR(VLOOKUP(C94,'Example Parties'!$B$13:$Q$112,16,FALSE),0))</f>
        <v/>
      </c>
      <c r="Z94">
        <f>IF(OR(S94=0,B94="",Y94=""),"",IF(AND(F94&lt;&gt;"",D94="Purchase bill"),F94,B94)+Y94)</f>
        <v/>
      </c>
      <c r="AA94">
        <f>IF(OR(W94=0,Z94=""),0,MAX(0,'Example Outstanding'!$E$5-Z94))</f>
        <v/>
      </c>
      <c r="AB94">
        <f>IF(AND(X94=1,AA94&gt;0),W94*((1+3*N('Example Parties'!$E$10)/12)^(AA94*12/365)-1),0)</f>
        <v/>
      </c>
      <c r="AC94">
        <f>IF(W94=0,"",'Example Outstanding'!$E$5-B94)</f>
        <v/>
      </c>
      <c r="AD94">
        <f>IF(S94=0,0,IFERROR(VLOOKUP(C94,'Example Parties'!$B$13:$Q$112,14,FALSE),0)+SUMIFS($T$7:$T$506,$C$7:$C$506,C94,$B$7:$B$506,"&lt;="&amp;'Example Parties'!$E$8))</f>
        <v/>
      </c>
      <c r="AE94">
        <f>IF(OR('Example Parties'!$E$8="",S94=0,B94="",B94&gt;'Example Parties'!$E$8),0,MAX(0,MIN(S94,U94-AD94)))</f>
        <v/>
      </c>
      <c r="AF94">
        <f>IF(AND(P94="Creditor",X94=1,AE94&gt;0,Z94&lt;&gt;""),IF(Z94&lt;='Example Parties'!$E$8,AE94,0),0)</f>
        <v/>
      </c>
      <c r="AG94">
        <f>IF(OR(AE94=0,Z94=""),0,MAX(0,'Example Parties'!$E$8-Z94))</f>
        <v/>
      </c>
      <c r="AH94">
        <f>IF(AND(P94="Creditor",X94=1,AG94&gt;0),AE94*((1+3*N('Example Parties'!$E$10)/12)^(AG94*12/365)-1),0)</f>
        <v/>
      </c>
      <c r="AI94">
        <f>IF(AND(C94&lt;&gt;"",C94='Example Ledger'!$D$4,B94&lt;&gt;"",B94&gt;='Example Ledger'!$D$5,B94&lt;='Example Ledger'!$D$6),1,0)</f>
        <v/>
      </c>
      <c r="AJ94">
        <f>IF(AI94=1,SUM(AI$7:AI94),"")</f>
        <v/>
      </c>
      <c r="AK94">
        <f>IF(OR(N94="",N94="OK"),0,1)</f>
        <v/>
      </c>
    </row>
    <row r="95">
      <c r="B95" s="24" t="n"/>
      <c r="C95" s="14" t="n"/>
      <c r="D95" s="14" t="n"/>
      <c r="E95" s="20" t="n"/>
      <c r="F95" s="24" t="n"/>
      <c r="G95" s="14" t="n"/>
      <c r="H95" s="22" t="n"/>
      <c r="I95" s="25">
        <f>IF(Q95="D",N(H95),0)</f>
        <v/>
      </c>
      <c r="J95" s="25">
        <f>IF(Q95="C",N(H95),0)</f>
        <v/>
      </c>
      <c r="K95" s="26">
        <f>IF(Z95="","",Z95)</f>
        <v/>
      </c>
      <c r="L95" s="27">
        <f>W95</f>
        <v/>
      </c>
      <c r="M95" s="28">
        <f>AA95</f>
        <v/>
      </c>
      <c r="N95" s="23">
        <f>IF(AND(B95="",C95="",D95="",N(H95)=0),"",IF(B95="","Enter the date",IF(C95="","Pick the party",IF(P95="?","Add this party on the Parties sheet first",IF(D95="","Pick the entry type",IF(Q95="?","Pick the entry type from the list",IF(N(H95)=0,"Enter the amount",IF(AND(R95&lt;&gt;"Any",R95&lt;&gt;P95),"Sales, receipts and credit notes are for debtors; purchases, payments and debit notes for creditors",IF(AND(F95&lt;&gt;"",D95&lt;&gt;"Purchase bill"),"The received-on date is only for purchase bills",IF(AND(P95="Creditor",X95=1,AA95&gt;0),"Past due to a micro or small supplier: interest runs under MSMED s.16, and if unpaid at year end it is not deductible that year, s.37(2)(g)",IF(AND(P95="Debtor",X95=1,AA95&gt;0),"Past due to you: as a micro or small supplier you can claim interest under MSMED s.16","OK")))))))))))</f>
        <v/>
      </c>
      <c r="P95">
        <f>IF(C95="","",IFERROR(VLOOKUP(C95,'Example Parties'!$B$13:$Q$112,2,FALSE),"?"))</f>
        <v/>
      </c>
      <c r="Q95">
        <f>IF(D95="","",IFERROR(VLOOKUP(D95,Lists!$A$2:$D$9,3,FALSE),"?"))</f>
        <v/>
      </c>
      <c r="R95">
        <f>IF(D95="","",IFERROR(VLOOKUP(D95,Lists!$A$2:$D$9,4,FALSE),"?"))</f>
        <v/>
      </c>
      <c r="S95">
        <f>IF(P95="Debtor",I95,IF(P95="Creditor",J95,0))</f>
        <v/>
      </c>
      <c r="T95">
        <f>IF(P95="Debtor",J95,IF(P95="Creditor",I95,0))</f>
        <v/>
      </c>
      <c r="U95">
        <f>IF(OR(S95=0,B95=""),0,IFERROR(VLOOKUP(C95,'Example Parties'!$B$13:$Q$112,13,FALSE),0)+SUMIFS($S$7:$S$506,$C$7:$C$506,C95,$B$7:$B$506,"&lt;"&amp;B95)+SUMIFS(S$7:S95,C$7:C95,C95,B$7:B95,B95))</f>
        <v/>
      </c>
      <c r="V95">
        <f>IF(S95=0,0,IFERROR(VLOOKUP(C95,'Example Parties'!$B$13:$Q$112,14,FALSE),0)+SUMIFS($T$7:$T$506,$C$7:$C$506,C95,$B$7:$B$506,"&lt;="&amp;'Example Outstanding'!$E$5))</f>
        <v/>
      </c>
      <c r="W95">
        <f>IF(OR('Example Outstanding'!$E$5="",S95=0,B95="",B95&gt;'Example Outstanding'!$E$5),0,MAX(0,MIN(S95,U95-V95)))</f>
        <v/>
      </c>
      <c r="X95">
        <f>IF(C95="",0,IFERROR(VLOOKUP(C95,'Example Parties'!$B$13:$Q$112,15,FALSE),0))</f>
        <v/>
      </c>
      <c r="Y95">
        <f>IF(C95="","",IFERROR(VLOOKUP(C95,'Example Parties'!$B$13:$Q$112,16,FALSE),0))</f>
        <v/>
      </c>
      <c r="Z95">
        <f>IF(OR(S95=0,B95="",Y95=""),"",IF(AND(F95&lt;&gt;"",D95="Purchase bill"),F95,B95)+Y95)</f>
        <v/>
      </c>
      <c r="AA95">
        <f>IF(OR(W95=0,Z95=""),0,MAX(0,'Example Outstanding'!$E$5-Z95))</f>
        <v/>
      </c>
      <c r="AB95">
        <f>IF(AND(X95=1,AA95&gt;0),W95*((1+3*N('Example Parties'!$E$10)/12)^(AA95*12/365)-1),0)</f>
        <v/>
      </c>
      <c r="AC95">
        <f>IF(W95=0,"",'Example Outstanding'!$E$5-B95)</f>
        <v/>
      </c>
      <c r="AD95">
        <f>IF(S95=0,0,IFERROR(VLOOKUP(C95,'Example Parties'!$B$13:$Q$112,14,FALSE),0)+SUMIFS($T$7:$T$506,$C$7:$C$506,C95,$B$7:$B$506,"&lt;="&amp;'Example Parties'!$E$8))</f>
        <v/>
      </c>
      <c r="AE95">
        <f>IF(OR('Example Parties'!$E$8="",S95=0,B95="",B95&gt;'Example Parties'!$E$8),0,MAX(0,MIN(S95,U95-AD95)))</f>
        <v/>
      </c>
      <c r="AF95">
        <f>IF(AND(P95="Creditor",X95=1,AE95&gt;0,Z95&lt;&gt;""),IF(Z95&lt;='Example Parties'!$E$8,AE95,0),0)</f>
        <v/>
      </c>
      <c r="AG95">
        <f>IF(OR(AE95=0,Z95=""),0,MAX(0,'Example Parties'!$E$8-Z95))</f>
        <v/>
      </c>
      <c r="AH95">
        <f>IF(AND(P95="Creditor",X95=1,AG95&gt;0),AE95*((1+3*N('Example Parties'!$E$10)/12)^(AG95*12/365)-1),0)</f>
        <v/>
      </c>
      <c r="AI95">
        <f>IF(AND(C95&lt;&gt;"",C95='Example Ledger'!$D$4,B95&lt;&gt;"",B95&gt;='Example Ledger'!$D$5,B95&lt;='Example Ledger'!$D$6),1,0)</f>
        <v/>
      </c>
      <c r="AJ95">
        <f>IF(AI95=1,SUM(AI$7:AI95),"")</f>
        <v/>
      </c>
      <c r="AK95">
        <f>IF(OR(N95="",N95="OK"),0,1)</f>
        <v/>
      </c>
    </row>
    <row r="96">
      <c r="B96" s="24" t="n"/>
      <c r="C96" s="14" t="n"/>
      <c r="D96" s="14" t="n"/>
      <c r="E96" s="20" t="n"/>
      <c r="F96" s="24" t="n"/>
      <c r="G96" s="14" t="n"/>
      <c r="H96" s="22" t="n"/>
      <c r="I96" s="25">
        <f>IF(Q96="D",N(H96),0)</f>
        <v/>
      </c>
      <c r="J96" s="25">
        <f>IF(Q96="C",N(H96),0)</f>
        <v/>
      </c>
      <c r="K96" s="26">
        <f>IF(Z96="","",Z96)</f>
        <v/>
      </c>
      <c r="L96" s="27">
        <f>W96</f>
        <v/>
      </c>
      <c r="M96" s="28">
        <f>AA96</f>
        <v/>
      </c>
      <c r="N96" s="23">
        <f>IF(AND(B96="",C96="",D96="",N(H96)=0),"",IF(B96="","Enter the date",IF(C96="","Pick the party",IF(P96="?","Add this party on the Parties sheet first",IF(D96="","Pick the entry type",IF(Q96="?","Pick the entry type from the list",IF(N(H96)=0,"Enter the amount",IF(AND(R96&lt;&gt;"Any",R96&lt;&gt;P96),"Sales, receipts and credit notes are for debtors; purchases, payments and debit notes for creditors",IF(AND(F96&lt;&gt;"",D96&lt;&gt;"Purchase bill"),"The received-on date is only for purchase bills",IF(AND(P96="Creditor",X96=1,AA96&gt;0),"Past due to a micro or small supplier: interest runs under MSMED s.16, and if unpaid at year end it is not deductible that year, s.37(2)(g)",IF(AND(P96="Debtor",X96=1,AA96&gt;0),"Past due to you: as a micro or small supplier you can claim interest under MSMED s.16","OK")))))))))))</f>
        <v/>
      </c>
      <c r="P96">
        <f>IF(C96="","",IFERROR(VLOOKUP(C96,'Example Parties'!$B$13:$Q$112,2,FALSE),"?"))</f>
        <v/>
      </c>
      <c r="Q96">
        <f>IF(D96="","",IFERROR(VLOOKUP(D96,Lists!$A$2:$D$9,3,FALSE),"?"))</f>
        <v/>
      </c>
      <c r="R96">
        <f>IF(D96="","",IFERROR(VLOOKUP(D96,Lists!$A$2:$D$9,4,FALSE),"?"))</f>
        <v/>
      </c>
      <c r="S96">
        <f>IF(P96="Debtor",I96,IF(P96="Creditor",J96,0))</f>
        <v/>
      </c>
      <c r="T96">
        <f>IF(P96="Debtor",J96,IF(P96="Creditor",I96,0))</f>
        <v/>
      </c>
      <c r="U96">
        <f>IF(OR(S96=0,B96=""),0,IFERROR(VLOOKUP(C96,'Example Parties'!$B$13:$Q$112,13,FALSE),0)+SUMIFS($S$7:$S$506,$C$7:$C$506,C96,$B$7:$B$506,"&lt;"&amp;B96)+SUMIFS(S$7:S96,C$7:C96,C96,B$7:B96,B96))</f>
        <v/>
      </c>
      <c r="V96">
        <f>IF(S96=0,0,IFERROR(VLOOKUP(C96,'Example Parties'!$B$13:$Q$112,14,FALSE),0)+SUMIFS($T$7:$T$506,$C$7:$C$506,C96,$B$7:$B$506,"&lt;="&amp;'Example Outstanding'!$E$5))</f>
        <v/>
      </c>
      <c r="W96">
        <f>IF(OR('Example Outstanding'!$E$5="",S96=0,B96="",B96&gt;'Example Outstanding'!$E$5),0,MAX(0,MIN(S96,U96-V96)))</f>
        <v/>
      </c>
      <c r="X96">
        <f>IF(C96="",0,IFERROR(VLOOKUP(C96,'Example Parties'!$B$13:$Q$112,15,FALSE),0))</f>
        <v/>
      </c>
      <c r="Y96">
        <f>IF(C96="","",IFERROR(VLOOKUP(C96,'Example Parties'!$B$13:$Q$112,16,FALSE),0))</f>
        <v/>
      </c>
      <c r="Z96">
        <f>IF(OR(S96=0,B96="",Y96=""),"",IF(AND(F96&lt;&gt;"",D96="Purchase bill"),F96,B96)+Y96)</f>
        <v/>
      </c>
      <c r="AA96">
        <f>IF(OR(W96=0,Z96=""),0,MAX(0,'Example Outstanding'!$E$5-Z96))</f>
        <v/>
      </c>
      <c r="AB96">
        <f>IF(AND(X96=1,AA96&gt;0),W96*((1+3*N('Example Parties'!$E$10)/12)^(AA96*12/365)-1),0)</f>
        <v/>
      </c>
      <c r="AC96">
        <f>IF(W96=0,"",'Example Outstanding'!$E$5-B96)</f>
        <v/>
      </c>
      <c r="AD96">
        <f>IF(S96=0,0,IFERROR(VLOOKUP(C96,'Example Parties'!$B$13:$Q$112,14,FALSE),0)+SUMIFS($T$7:$T$506,$C$7:$C$506,C96,$B$7:$B$506,"&lt;="&amp;'Example Parties'!$E$8))</f>
        <v/>
      </c>
      <c r="AE96">
        <f>IF(OR('Example Parties'!$E$8="",S96=0,B96="",B96&gt;'Example Parties'!$E$8),0,MAX(0,MIN(S96,U96-AD96)))</f>
        <v/>
      </c>
      <c r="AF96">
        <f>IF(AND(P96="Creditor",X96=1,AE96&gt;0,Z96&lt;&gt;""),IF(Z96&lt;='Example Parties'!$E$8,AE96,0),0)</f>
        <v/>
      </c>
      <c r="AG96">
        <f>IF(OR(AE96=0,Z96=""),0,MAX(0,'Example Parties'!$E$8-Z96))</f>
        <v/>
      </c>
      <c r="AH96">
        <f>IF(AND(P96="Creditor",X96=1,AG96&gt;0),AE96*((1+3*N('Example Parties'!$E$10)/12)^(AG96*12/365)-1),0)</f>
        <v/>
      </c>
      <c r="AI96">
        <f>IF(AND(C96&lt;&gt;"",C96='Example Ledger'!$D$4,B96&lt;&gt;"",B96&gt;='Example Ledger'!$D$5,B96&lt;='Example Ledger'!$D$6),1,0)</f>
        <v/>
      </c>
      <c r="AJ96">
        <f>IF(AI96=1,SUM(AI$7:AI96),"")</f>
        <v/>
      </c>
      <c r="AK96">
        <f>IF(OR(N96="",N96="OK"),0,1)</f>
        <v/>
      </c>
    </row>
    <row r="97">
      <c r="B97" s="24" t="n"/>
      <c r="C97" s="14" t="n"/>
      <c r="D97" s="14" t="n"/>
      <c r="E97" s="20" t="n"/>
      <c r="F97" s="24" t="n"/>
      <c r="G97" s="14" t="n"/>
      <c r="H97" s="22" t="n"/>
      <c r="I97" s="25">
        <f>IF(Q97="D",N(H97),0)</f>
        <v/>
      </c>
      <c r="J97" s="25">
        <f>IF(Q97="C",N(H97),0)</f>
        <v/>
      </c>
      <c r="K97" s="26">
        <f>IF(Z97="","",Z97)</f>
        <v/>
      </c>
      <c r="L97" s="27">
        <f>W97</f>
        <v/>
      </c>
      <c r="M97" s="28">
        <f>AA97</f>
        <v/>
      </c>
      <c r="N97" s="23">
        <f>IF(AND(B97="",C97="",D97="",N(H97)=0),"",IF(B97="","Enter the date",IF(C97="","Pick the party",IF(P97="?","Add this party on the Parties sheet first",IF(D97="","Pick the entry type",IF(Q97="?","Pick the entry type from the list",IF(N(H97)=0,"Enter the amount",IF(AND(R97&lt;&gt;"Any",R97&lt;&gt;P97),"Sales, receipts and credit notes are for debtors; purchases, payments and debit notes for creditors",IF(AND(F97&lt;&gt;"",D97&lt;&gt;"Purchase bill"),"The received-on date is only for purchase bills",IF(AND(P97="Creditor",X97=1,AA97&gt;0),"Past due to a micro or small supplier: interest runs under MSMED s.16, and if unpaid at year end it is not deductible that year, s.37(2)(g)",IF(AND(P97="Debtor",X97=1,AA97&gt;0),"Past due to you: as a micro or small supplier you can claim interest under MSMED s.16","OK")))))))))))</f>
        <v/>
      </c>
      <c r="P97">
        <f>IF(C97="","",IFERROR(VLOOKUP(C97,'Example Parties'!$B$13:$Q$112,2,FALSE),"?"))</f>
        <v/>
      </c>
      <c r="Q97">
        <f>IF(D97="","",IFERROR(VLOOKUP(D97,Lists!$A$2:$D$9,3,FALSE),"?"))</f>
        <v/>
      </c>
      <c r="R97">
        <f>IF(D97="","",IFERROR(VLOOKUP(D97,Lists!$A$2:$D$9,4,FALSE),"?"))</f>
        <v/>
      </c>
      <c r="S97">
        <f>IF(P97="Debtor",I97,IF(P97="Creditor",J97,0))</f>
        <v/>
      </c>
      <c r="T97">
        <f>IF(P97="Debtor",J97,IF(P97="Creditor",I97,0))</f>
        <v/>
      </c>
      <c r="U97">
        <f>IF(OR(S97=0,B97=""),0,IFERROR(VLOOKUP(C97,'Example Parties'!$B$13:$Q$112,13,FALSE),0)+SUMIFS($S$7:$S$506,$C$7:$C$506,C97,$B$7:$B$506,"&lt;"&amp;B97)+SUMIFS(S$7:S97,C$7:C97,C97,B$7:B97,B97))</f>
        <v/>
      </c>
      <c r="V97">
        <f>IF(S97=0,0,IFERROR(VLOOKUP(C97,'Example Parties'!$B$13:$Q$112,14,FALSE),0)+SUMIFS($T$7:$T$506,$C$7:$C$506,C97,$B$7:$B$506,"&lt;="&amp;'Example Outstanding'!$E$5))</f>
        <v/>
      </c>
      <c r="W97">
        <f>IF(OR('Example Outstanding'!$E$5="",S97=0,B97="",B97&gt;'Example Outstanding'!$E$5),0,MAX(0,MIN(S97,U97-V97)))</f>
        <v/>
      </c>
      <c r="X97">
        <f>IF(C97="",0,IFERROR(VLOOKUP(C97,'Example Parties'!$B$13:$Q$112,15,FALSE),0))</f>
        <v/>
      </c>
      <c r="Y97">
        <f>IF(C97="","",IFERROR(VLOOKUP(C97,'Example Parties'!$B$13:$Q$112,16,FALSE),0))</f>
        <v/>
      </c>
      <c r="Z97">
        <f>IF(OR(S97=0,B97="",Y97=""),"",IF(AND(F97&lt;&gt;"",D97="Purchase bill"),F97,B97)+Y97)</f>
        <v/>
      </c>
      <c r="AA97">
        <f>IF(OR(W97=0,Z97=""),0,MAX(0,'Example Outstanding'!$E$5-Z97))</f>
        <v/>
      </c>
      <c r="AB97">
        <f>IF(AND(X97=1,AA97&gt;0),W97*((1+3*N('Example Parties'!$E$10)/12)^(AA97*12/365)-1),0)</f>
        <v/>
      </c>
      <c r="AC97">
        <f>IF(W97=0,"",'Example Outstanding'!$E$5-B97)</f>
        <v/>
      </c>
      <c r="AD97">
        <f>IF(S97=0,0,IFERROR(VLOOKUP(C97,'Example Parties'!$B$13:$Q$112,14,FALSE),0)+SUMIFS($T$7:$T$506,$C$7:$C$506,C97,$B$7:$B$506,"&lt;="&amp;'Example Parties'!$E$8))</f>
        <v/>
      </c>
      <c r="AE97">
        <f>IF(OR('Example Parties'!$E$8="",S97=0,B97="",B97&gt;'Example Parties'!$E$8),0,MAX(0,MIN(S97,U97-AD97)))</f>
        <v/>
      </c>
      <c r="AF97">
        <f>IF(AND(P97="Creditor",X97=1,AE97&gt;0,Z97&lt;&gt;""),IF(Z97&lt;='Example Parties'!$E$8,AE97,0),0)</f>
        <v/>
      </c>
      <c r="AG97">
        <f>IF(OR(AE97=0,Z97=""),0,MAX(0,'Example Parties'!$E$8-Z97))</f>
        <v/>
      </c>
      <c r="AH97">
        <f>IF(AND(P97="Creditor",X97=1,AG97&gt;0),AE97*((1+3*N('Example Parties'!$E$10)/12)^(AG97*12/365)-1),0)</f>
        <v/>
      </c>
      <c r="AI97">
        <f>IF(AND(C97&lt;&gt;"",C97='Example Ledger'!$D$4,B97&lt;&gt;"",B97&gt;='Example Ledger'!$D$5,B97&lt;='Example Ledger'!$D$6),1,0)</f>
        <v/>
      </c>
      <c r="AJ97">
        <f>IF(AI97=1,SUM(AI$7:AI97),"")</f>
        <v/>
      </c>
      <c r="AK97">
        <f>IF(OR(N97="",N97="OK"),0,1)</f>
        <v/>
      </c>
    </row>
    <row r="98">
      <c r="B98" s="24" t="n"/>
      <c r="C98" s="14" t="n"/>
      <c r="D98" s="14" t="n"/>
      <c r="E98" s="20" t="n"/>
      <c r="F98" s="24" t="n"/>
      <c r="G98" s="14" t="n"/>
      <c r="H98" s="22" t="n"/>
      <c r="I98" s="25">
        <f>IF(Q98="D",N(H98),0)</f>
        <v/>
      </c>
      <c r="J98" s="25">
        <f>IF(Q98="C",N(H98),0)</f>
        <v/>
      </c>
      <c r="K98" s="26">
        <f>IF(Z98="","",Z98)</f>
        <v/>
      </c>
      <c r="L98" s="27">
        <f>W98</f>
        <v/>
      </c>
      <c r="M98" s="28">
        <f>AA98</f>
        <v/>
      </c>
      <c r="N98" s="23">
        <f>IF(AND(B98="",C98="",D98="",N(H98)=0),"",IF(B98="","Enter the date",IF(C98="","Pick the party",IF(P98="?","Add this party on the Parties sheet first",IF(D98="","Pick the entry type",IF(Q98="?","Pick the entry type from the list",IF(N(H98)=0,"Enter the amount",IF(AND(R98&lt;&gt;"Any",R98&lt;&gt;P98),"Sales, receipts and credit notes are for debtors; purchases, payments and debit notes for creditors",IF(AND(F98&lt;&gt;"",D98&lt;&gt;"Purchase bill"),"The received-on date is only for purchase bills",IF(AND(P98="Creditor",X98=1,AA98&gt;0),"Past due to a micro or small supplier: interest runs under MSMED s.16, and if unpaid at year end it is not deductible that year, s.37(2)(g)",IF(AND(P98="Debtor",X98=1,AA98&gt;0),"Past due to you: as a micro or small supplier you can claim interest under MSMED s.16","OK")))))))))))</f>
        <v/>
      </c>
      <c r="P98">
        <f>IF(C98="","",IFERROR(VLOOKUP(C98,'Example Parties'!$B$13:$Q$112,2,FALSE),"?"))</f>
        <v/>
      </c>
      <c r="Q98">
        <f>IF(D98="","",IFERROR(VLOOKUP(D98,Lists!$A$2:$D$9,3,FALSE),"?"))</f>
        <v/>
      </c>
      <c r="R98">
        <f>IF(D98="","",IFERROR(VLOOKUP(D98,Lists!$A$2:$D$9,4,FALSE),"?"))</f>
        <v/>
      </c>
      <c r="S98">
        <f>IF(P98="Debtor",I98,IF(P98="Creditor",J98,0))</f>
        <v/>
      </c>
      <c r="T98">
        <f>IF(P98="Debtor",J98,IF(P98="Creditor",I98,0))</f>
        <v/>
      </c>
      <c r="U98">
        <f>IF(OR(S98=0,B98=""),0,IFERROR(VLOOKUP(C98,'Example Parties'!$B$13:$Q$112,13,FALSE),0)+SUMIFS($S$7:$S$506,$C$7:$C$506,C98,$B$7:$B$506,"&lt;"&amp;B98)+SUMIFS(S$7:S98,C$7:C98,C98,B$7:B98,B98))</f>
        <v/>
      </c>
      <c r="V98">
        <f>IF(S98=0,0,IFERROR(VLOOKUP(C98,'Example Parties'!$B$13:$Q$112,14,FALSE),0)+SUMIFS($T$7:$T$506,$C$7:$C$506,C98,$B$7:$B$506,"&lt;="&amp;'Example Outstanding'!$E$5))</f>
        <v/>
      </c>
      <c r="W98">
        <f>IF(OR('Example Outstanding'!$E$5="",S98=0,B98="",B98&gt;'Example Outstanding'!$E$5),0,MAX(0,MIN(S98,U98-V98)))</f>
        <v/>
      </c>
      <c r="X98">
        <f>IF(C98="",0,IFERROR(VLOOKUP(C98,'Example Parties'!$B$13:$Q$112,15,FALSE),0))</f>
        <v/>
      </c>
      <c r="Y98">
        <f>IF(C98="","",IFERROR(VLOOKUP(C98,'Example Parties'!$B$13:$Q$112,16,FALSE),0))</f>
        <v/>
      </c>
      <c r="Z98">
        <f>IF(OR(S98=0,B98="",Y98=""),"",IF(AND(F98&lt;&gt;"",D98="Purchase bill"),F98,B98)+Y98)</f>
        <v/>
      </c>
      <c r="AA98">
        <f>IF(OR(W98=0,Z98=""),0,MAX(0,'Example Outstanding'!$E$5-Z98))</f>
        <v/>
      </c>
      <c r="AB98">
        <f>IF(AND(X98=1,AA98&gt;0),W98*((1+3*N('Example Parties'!$E$10)/12)^(AA98*12/365)-1),0)</f>
        <v/>
      </c>
      <c r="AC98">
        <f>IF(W98=0,"",'Example Outstanding'!$E$5-B98)</f>
        <v/>
      </c>
      <c r="AD98">
        <f>IF(S98=0,0,IFERROR(VLOOKUP(C98,'Example Parties'!$B$13:$Q$112,14,FALSE),0)+SUMIFS($T$7:$T$506,$C$7:$C$506,C98,$B$7:$B$506,"&lt;="&amp;'Example Parties'!$E$8))</f>
        <v/>
      </c>
      <c r="AE98">
        <f>IF(OR('Example Parties'!$E$8="",S98=0,B98="",B98&gt;'Example Parties'!$E$8),0,MAX(0,MIN(S98,U98-AD98)))</f>
        <v/>
      </c>
      <c r="AF98">
        <f>IF(AND(P98="Creditor",X98=1,AE98&gt;0,Z98&lt;&gt;""),IF(Z98&lt;='Example Parties'!$E$8,AE98,0),0)</f>
        <v/>
      </c>
      <c r="AG98">
        <f>IF(OR(AE98=0,Z98=""),0,MAX(0,'Example Parties'!$E$8-Z98))</f>
        <v/>
      </c>
      <c r="AH98">
        <f>IF(AND(P98="Creditor",X98=1,AG98&gt;0),AE98*((1+3*N('Example Parties'!$E$10)/12)^(AG98*12/365)-1),0)</f>
        <v/>
      </c>
      <c r="AI98">
        <f>IF(AND(C98&lt;&gt;"",C98='Example Ledger'!$D$4,B98&lt;&gt;"",B98&gt;='Example Ledger'!$D$5,B98&lt;='Example Ledger'!$D$6),1,0)</f>
        <v/>
      </c>
      <c r="AJ98">
        <f>IF(AI98=1,SUM(AI$7:AI98),"")</f>
        <v/>
      </c>
      <c r="AK98">
        <f>IF(OR(N98="",N98="OK"),0,1)</f>
        <v/>
      </c>
    </row>
    <row r="99">
      <c r="B99" s="24" t="n"/>
      <c r="C99" s="14" t="n"/>
      <c r="D99" s="14" t="n"/>
      <c r="E99" s="20" t="n"/>
      <c r="F99" s="24" t="n"/>
      <c r="G99" s="14" t="n"/>
      <c r="H99" s="22" t="n"/>
      <c r="I99" s="25">
        <f>IF(Q99="D",N(H99),0)</f>
        <v/>
      </c>
      <c r="J99" s="25">
        <f>IF(Q99="C",N(H99),0)</f>
        <v/>
      </c>
      <c r="K99" s="26">
        <f>IF(Z99="","",Z99)</f>
        <v/>
      </c>
      <c r="L99" s="27">
        <f>W99</f>
        <v/>
      </c>
      <c r="M99" s="28">
        <f>AA99</f>
        <v/>
      </c>
      <c r="N99" s="23">
        <f>IF(AND(B99="",C99="",D99="",N(H99)=0),"",IF(B99="","Enter the date",IF(C99="","Pick the party",IF(P99="?","Add this party on the Parties sheet first",IF(D99="","Pick the entry type",IF(Q99="?","Pick the entry type from the list",IF(N(H99)=0,"Enter the amount",IF(AND(R99&lt;&gt;"Any",R99&lt;&gt;P99),"Sales, receipts and credit notes are for debtors; purchases, payments and debit notes for creditors",IF(AND(F99&lt;&gt;"",D99&lt;&gt;"Purchase bill"),"The received-on date is only for purchase bills",IF(AND(P99="Creditor",X99=1,AA99&gt;0),"Past due to a micro or small supplier: interest runs under MSMED s.16, and if unpaid at year end it is not deductible that year, s.37(2)(g)",IF(AND(P99="Debtor",X99=1,AA99&gt;0),"Past due to you: as a micro or small supplier you can claim interest under MSMED s.16","OK")))))))))))</f>
        <v/>
      </c>
      <c r="P99">
        <f>IF(C99="","",IFERROR(VLOOKUP(C99,'Example Parties'!$B$13:$Q$112,2,FALSE),"?"))</f>
        <v/>
      </c>
      <c r="Q99">
        <f>IF(D99="","",IFERROR(VLOOKUP(D99,Lists!$A$2:$D$9,3,FALSE),"?"))</f>
        <v/>
      </c>
      <c r="R99">
        <f>IF(D99="","",IFERROR(VLOOKUP(D99,Lists!$A$2:$D$9,4,FALSE),"?"))</f>
        <v/>
      </c>
      <c r="S99">
        <f>IF(P99="Debtor",I99,IF(P99="Creditor",J99,0))</f>
        <v/>
      </c>
      <c r="T99">
        <f>IF(P99="Debtor",J99,IF(P99="Creditor",I99,0))</f>
        <v/>
      </c>
      <c r="U99">
        <f>IF(OR(S99=0,B99=""),0,IFERROR(VLOOKUP(C99,'Example Parties'!$B$13:$Q$112,13,FALSE),0)+SUMIFS($S$7:$S$506,$C$7:$C$506,C99,$B$7:$B$506,"&lt;"&amp;B99)+SUMIFS(S$7:S99,C$7:C99,C99,B$7:B99,B99))</f>
        <v/>
      </c>
      <c r="V99">
        <f>IF(S99=0,0,IFERROR(VLOOKUP(C99,'Example Parties'!$B$13:$Q$112,14,FALSE),0)+SUMIFS($T$7:$T$506,$C$7:$C$506,C99,$B$7:$B$506,"&lt;="&amp;'Example Outstanding'!$E$5))</f>
        <v/>
      </c>
      <c r="W99">
        <f>IF(OR('Example Outstanding'!$E$5="",S99=0,B99="",B99&gt;'Example Outstanding'!$E$5),0,MAX(0,MIN(S99,U99-V99)))</f>
        <v/>
      </c>
      <c r="X99">
        <f>IF(C99="",0,IFERROR(VLOOKUP(C99,'Example Parties'!$B$13:$Q$112,15,FALSE),0))</f>
        <v/>
      </c>
      <c r="Y99">
        <f>IF(C99="","",IFERROR(VLOOKUP(C99,'Example Parties'!$B$13:$Q$112,16,FALSE),0))</f>
        <v/>
      </c>
      <c r="Z99">
        <f>IF(OR(S99=0,B99="",Y99=""),"",IF(AND(F99&lt;&gt;"",D99="Purchase bill"),F99,B99)+Y99)</f>
        <v/>
      </c>
      <c r="AA99">
        <f>IF(OR(W99=0,Z99=""),0,MAX(0,'Example Outstanding'!$E$5-Z99))</f>
        <v/>
      </c>
      <c r="AB99">
        <f>IF(AND(X99=1,AA99&gt;0),W99*((1+3*N('Example Parties'!$E$10)/12)^(AA99*12/365)-1),0)</f>
        <v/>
      </c>
      <c r="AC99">
        <f>IF(W99=0,"",'Example Outstanding'!$E$5-B99)</f>
        <v/>
      </c>
      <c r="AD99">
        <f>IF(S99=0,0,IFERROR(VLOOKUP(C99,'Example Parties'!$B$13:$Q$112,14,FALSE),0)+SUMIFS($T$7:$T$506,$C$7:$C$506,C99,$B$7:$B$506,"&lt;="&amp;'Example Parties'!$E$8))</f>
        <v/>
      </c>
      <c r="AE99">
        <f>IF(OR('Example Parties'!$E$8="",S99=0,B99="",B99&gt;'Example Parties'!$E$8),0,MAX(0,MIN(S99,U99-AD99)))</f>
        <v/>
      </c>
      <c r="AF99">
        <f>IF(AND(P99="Creditor",X99=1,AE99&gt;0,Z99&lt;&gt;""),IF(Z99&lt;='Example Parties'!$E$8,AE99,0),0)</f>
        <v/>
      </c>
      <c r="AG99">
        <f>IF(OR(AE99=0,Z99=""),0,MAX(0,'Example Parties'!$E$8-Z99))</f>
        <v/>
      </c>
      <c r="AH99">
        <f>IF(AND(P99="Creditor",X99=1,AG99&gt;0),AE99*((1+3*N('Example Parties'!$E$10)/12)^(AG99*12/365)-1),0)</f>
        <v/>
      </c>
      <c r="AI99">
        <f>IF(AND(C99&lt;&gt;"",C99='Example Ledger'!$D$4,B99&lt;&gt;"",B99&gt;='Example Ledger'!$D$5,B99&lt;='Example Ledger'!$D$6),1,0)</f>
        <v/>
      </c>
      <c r="AJ99">
        <f>IF(AI99=1,SUM(AI$7:AI99),"")</f>
        <v/>
      </c>
      <c r="AK99">
        <f>IF(OR(N99="",N99="OK"),0,1)</f>
        <v/>
      </c>
    </row>
    <row r="100">
      <c r="B100" s="24" t="n"/>
      <c r="C100" s="14" t="n"/>
      <c r="D100" s="14" t="n"/>
      <c r="E100" s="20" t="n"/>
      <c r="F100" s="24" t="n"/>
      <c r="G100" s="14" t="n"/>
      <c r="H100" s="22" t="n"/>
      <c r="I100" s="25">
        <f>IF(Q100="D",N(H100),0)</f>
        <v/>
      </c>
      <c r="J100" s="25">
        <f>IF(Q100="C",N(H100),0)</f>
        <v/>
      </c>
      <c r="K100" s="26">
        <f>IF(Z100="","",Z100)</f>
        <v/>
      </c>
      <c r="L100" s="27">
        <f>W100</f>
        <v/>
      </c>
      <c r="M100" s="28">
        <f>AA100</f>
        <v/>
      </c>
      <c r="N100" s="23">
        <f>IF(AND(B100="",C100="",D100="",N(H100)=0),"",IF(B100="","Enter the date",IF(C100="","Pick the party",IF(P100="?","Add this party on the Parties sheet first",IF(D100="","Pick the entry type",IF(Q100="?","Pick the entry type from the list",IF(N(H100)=0,"Enter the amount",IF(AND(R100&lt;&gt;"Any",R100&lt;&gt;P100),"Sales, receipts and credit notes are for debtors; purchases, payments and debit notes for creditors",IF(AND(F100&lt;&gt;"",D100&lt;&gt;"Purchase bill"),"The received-on date is only for purchase bills",IF(AND(P100="Creditor",X100=1,AA100&gt;0),"Past due to a micro or small supplier: interest runs under MSMED s.16, and if unpaid at year end it is not deductible that year, s.37(2)(g)",IF(AND(P100="Debtor",X100=1,AA100&gt;0),"Past due to you: as a micro or small supplier you can claim interest under MSMED s.16","OK")))))))))))</f>
        <v/>
      </c>
      <c r="P100">
        <f>IF(C100="","",IFERROR(VLOOKUP(C100,'Example Parties'!$B$13:$Q$112,2,FALSE),"?"))</f>
        <v/>
      </c>
      <c r="Q100">
        <f>IF(D100="","",IFERROR(VLOOKUP(D100,Lists!$A$2:$D$9,3,FALSE),"?"))</f>
        <v/>
      </c>
      <c r="R100">
        <f>IF(D100="","",IFERROR(VLOOKUP(D100,Lists!$A$2:$D$9,4,FALSE),"?"))</f>
        <v/>
      </c>
      <c r="S100">
        <f>IF(P100="Debtor",I100,IF(P100="Creditor",J100,0))</f>
        <v/>
      </c>
      <c r="T100">
        <f>IF(P100="Debtor",J100,IF(P100="Creditor",I100,0))</f>
        <v/>
      </c>
      <c r="U100">
        <f>IF(OR(S100=0,B100=""),0,IFERROR(VLOOKUP(C100,'Example Parties'!$B$13:$Q$112,13,FALSE),0)+SUMIFS($S$7:$S$506,$C$7:$C$506,C100,$B$7:$B$506,"&lt;"&amp;B100)+SUMIFS(S$7:S100,C$7:C100,C100,B$7:B100,B100))</f>
        <v/>
      </c>
      <c r="V100">
        <f>IF(S100=0,0,IFERROR(VLOOKUP(C100,'Example Parties'!$B$13:$Q$112,14,FALSE),0)+SUMIFS($T$7:$T$506,$C$7:$C$506,C100,$B$7:$B$506,"&lt;="&amp;'Example Outstanding'!$E$5))</f>
        <v/>
      </c>
      <c r="W100">
        <f>IF(OR('Example Outstanding'!$E$5="",S100=0,B100="",B100&gt;'Example Outstanding'!$E$5),0,MAX(0,MIN(S100,U100-V100)))</f>
        <v/>
      </c>
      <c r="X100">
        <f>IF(C100="",0,IFERROR(VLOOKUP(C100,'Example Parties'!$B$13:$Q$112,15,FALSE),0))</f>
        <v/>
      </c>
      <c r="Y100">
        <f>IF(C100="","",IFERROR(VLOOKUP(C100,'Example Parties'!$B$13:$Q$112,16,FALSE),0))</f>
        <v/>
      </c>
      <c r="Z100">
        <f>IF(OR(S100=0,B100="",Y100=""),"",IF(AND(F100&lt;&gt;"",D100="Purchase bill"),F100,B100)+Y100)</f>
        <v/>
      </c>
      <c r="AA100">
        <f>IF(OR(W100=0,Z100=""),0,MAX(0,'Example Outstanding'!$E$5-Z100))</f>
        <v/>
      </c>
      <c r="AB100">
        <f>IF(AND(X100=1,AA100&gt;0),W100*((1+3*N('Example Parties'!$E$10)/12)^(AA100*12/365)-1),0)</f>
        <v/>
      </c>
      <c r="AC100">
        <f>IF(W100=0,"",'Example Outstanding'!$E$5-B100)</f>
        <v/>
      </c>
      <c r="AD100">
        <f>IF(S100=0,0,IFERROR(VLOOKUP(C100,'Example Parties'!$B$13:$Q$112,14,FALSE),0)+SUMIFS($T$7:$T$506,$C$7:$C$506,C100,$B$7:$B$506,"&lt;="&amp;'Example Parties'!$E$8))</f>
        <v/>
      </c>
      <c r="AE100">
        <f>IF(OR('Example Parties'!$E$8="",S100=0,B100="",B100&gt;'Example Parties'!$E$8),0,MAX(0,MIN(S100,U100-AD100)))</f>
        <v/>
      </c>
      <c r="AF100">
        <f>IF(AND(P100="Creditor",X100=1,AE100&gt;0,Z100&lt;&gt;""),IF(Z100&lt;='Example Parties'!$E$8,AE100,0),0)</f>
        <v/>
      </c>
      <c r="AG100">
        <f>IF(OR(AE100=0,Z100=""),0,MAX(0,'Example Parties'!$E$8-Z100))</f>
        <v/>
      </c>
      <c r="AH100">
        <f>IF(AND(P100="Creditor",X100=1,AG100&gt;0),AE100*((1+3*N('Example Parties'!$E$10)/12)^(AG100*12/365)-1),0)</f>
        <v/>
      </c>
      <c r="AI100">
        <f>IF(AND(C100&lt;&gt;"",C100='Example Ledger'!$D$4,B100&lt;&gt;"",B100&gt;='Example Ledger'!$D$5,B100&lt;='Example Ledger'!$D$6),1,0)</f>
        <v/>
      </c>
      <c r="AJ100">
        <f>IF(AI100=1,SUM(AI$7:AI100),"")</f>
        <v/>
      </c>
      <c r="AK100">
        <f>IF(OR(N100="",N100="OK"),0,1)</f>
        <v/>
      </c>
    </row>
    <row r="101">
      <c r="B101" s="24" t="n"/>
      <c r="C101" s="14" t="n"/>
      <c r="D101" s="14" t="n"/>
      <c r="E101" s="20" t="n"/>
      <c r="F101" s="24" t="n"/>
      <c r="G101" s="14" t="n"/>
      <c r="H101" s="22" t="n"/>
      <c r="I101" s="25">
        <f>IF(Q101="D",N(H101),0)</f>
        <v/>
      </c>
      <c r="J101" s="25">
        <f>IF(Q101="C",N(H101),0)</f>
        <v/>
      </c>
      <c r="K101" s="26">
        <f>IF(Z101="","",Z101)</f>
        <v/>
      </c>
      <c r="L101" s="27">
        <f>W101</f>
        <v/>
      </c>
      <c r="M101" s="28">
        <f>AA101</f>
        <v/>
      </c>
      <c r="N101" s="23">
        <f>IF(AND(B101="",C101="",D101="",N(H101)=0),"",IF(B101="","Enter the date",IF(C101="","Pick the party",IF(P101="?","Add this party on the Parties sheet first",IF(D101="","Pick the entry type",IF(Q101="?","Pick the entry type from the list",IF(N(H101)=0,"Enter the amount",IF(AND(R101&lt;&gt;"Any",R101&lt;&gt;P101),"Sales, receipts and credit notes are for debtors; purchases, payments and debit notes for creditors",IF(AND(F101&lt;&gt;"",D101&lt;&gt;"Purchase bill"),"The received-on date is only for purchase bills",IF(AND(P101="Creditor",X101=1,AA101&gt;0),"Past due to a micro or small supplier: interest runs under MSMED s.16, and if unpaid at year end it is not deductible that year, s.37(2)(g)",IF(AND(P101="Debtor",X101=1,AA101&gt;0),"Past due to you: as a micro or small supplier you can claim interest under MSMED s.16","OK")))))))))))</f>
        <v/>
      </c>
      <c r="P101">
        <f>IF(C101="","",IFERROR(VLOOKUP(C101,'Example Parties'!$B$13:$Q$112,2,FALSE),"?"))</f>
        <v/>
      </c>
      <c r="Q101">
        <f>IF(D101="","",IFERROR(VLOOKUP(D101,Lists!$A$2:$D$9,3,FALSE),"?"))</f>
        <v/>
      </c>
      <c r="R101">
        <f>IF(D101="","",IFERROR(VLOOKUP(D101,Lists!$A$2:$D$9,4,FALSE),"?"))</f>
        <v/>
      </c>
      <c r="S101">
        <f>IF(P101="Debtor",I101,IF(P101="Creditor",J101,0))</f>
        <v/>
      </c>
      <c r="T101">
        <f>IF(P101="Debtor",J101,IF(P101="Creditor",I101,0))</f>
        <v/>
      </c>
      <c r="U101">
        <f>IF(OR(S101=0,B101=""),0,IFERROR(VLOOKUP(C101,'Example Parties'!$B$13:$Q$112,13,FALSE),0)+SUMIFS($S$7:$S$506,$C$7:$C$506,C101,$B$7:$B$506,"&lt;"&amp;B101)+SUMIFS(S$7:S101,C$7:C101,C101,B$7:B101,B101))</f>
        <v/>
      </c>
      <c r="V101">
        <f>IF(S101=0,0,IFERROR(VLOOKUP(C101,'Example Parties'!$B$13:$Q$112,14,FALSE),0)+SUMIFS($T$7:$T$506,$C$7:$C$506,C101,$B$7:$B$506,"&lt;="&amp;'Example Outstanding'!$E$5))</f>
        <v/>
      </c>
      <c r="W101">
        <f>IF(OR('Example Outstanding'!$E$5="",S101=0,B101="",B101&gt;'Example Outstanding'!$E$5),0,MAX(0,MIN(S101,U101-V101)))</f>
        <v/>
      </c>
      <c r="X101">
        <f>IF(C101="",0,IFERROR(VLOOKUP(C101,'Example Parties'!$B$13:$Q$112,15,FALSE),0))</f>
        <v/>
      </c>
      <c r="Y101">
        <f>IF(C101="","",IFERROR(VLOOKUP(C101,'Example Parties'!$B$13:$Q$112,16,FALSE),0))</f>
        <v/>
      </c>
      <c r="Z101">
        <f>IF(OR(S101=0,B101="",Y101=""),"",IF(AND(F101&lt;&gt;"",D101="Purchase bill"),F101,B101)+Y101)</f>
        <v/>
      </c>
      <c r="AA101">
        <f>IF(OR(W101=0,Z101=""),0,MAX(0,'Example Outstanding'!$E$5-Z101))</f>
        <v/>
      </c>
      <c r="AB101">
        <f>IF(AND(X101=1,AA101&gt;0),W101*((1+3*N('Example Parties'!$E$10)/12)^(AA101*12/365)-1),0)</f>
        <v/>
      </c>
      <c r="AC101">
        <f>IF(W101=0,"",'Example Outstanding'!$E$5-B101)</f>
        <v/>
      </c>
      <c r="AD101">
        <f>IF(S101=0,0,IFERROR(VLOOKUP(C101,'Example Parties'!$B$13:$Q$112,14,FALSE),0)+SUMIFS($T$7:$T$506,$C$7:$C$506,C101,$B$7:$B$506,"&lt;="&amp;'Example Parties'!$E$8))</f>
        <v/>
      </c>
      <c r="AE101">
        <f>IF(OR('Example Parties'!$E$8="",S101=0,B101="",B101&gt;'Example Parties'!$E$8),0,MAX(0,MIN(S101,U101-AD101)))</f>
        <v/>
      </c>
      <c r="AF101">
        <f>IF(AND(P101="Creditor",X101=1,AE101&gt;0,Z101&lt;&gt;""),IF(Z101&lt;='Example Parties'!$E$8,AE101,0),0)</f>
        <v/>
      </c>
      <c r="AG101">
        <f>IF(OR(AE101=0,Z101=""),0,MAX(0,'Example Parties'!$E$8-Z101))</f>
        <v/>
      </c>
      <c r="AH101">
        <f>IF(AND(P101="Creditor",X101=1,AG101&gt;0),AE101*((1+3*N('Example Parties'!$E$10)/12)^(AG101*12/365)-1),0)</f>
        <v/>
      </c>
      <c r="AI101">
        <f>IF(AND(C101&lt;&gt;"",C101='Example Ledger'!$D$4,B101&lt;&gt;"",B101&gt;='Example Ledger'!$D$5,B101&lt;='Example Ledger'!$D$6),1,0)</f>
        <v/>
      </c>
      <c r="AJ101">
        <f>IF(AI101=1,SUM(AI$7:AI101),"")</f>
        <v/>
      </c>
      <c r="AK101">
        <f>IF(OR(N101="",N101="OK"),0,1)</f>
        <v/>
      </c>
    </row>
    <row r="102">
      <c r="B102" s="24" t="n"/>
      <c r="C102" s="14" t="n"/>
      <c r="D102" s="14" t="n"/>
      <c r="E102" s="20" t="n"/>
      <c r="F102" s="24" t="n"/>
      <c r="G102" s="14" t="n"/>
      <c r="H102" s="22" t="n"/>
      <c r="I102" s="25">
        <f>IF(Q102="D",N(H102),0)</f>
        <v/>
      </c>
      <c r="J102" s="25">
        <f>IF(Q102="C",N(H102),0)</f>
        <v/>
      </c>
      <c r="K102" s="26">
        <f>IF(Z102="","",Z102)</f>
        <v/>
      </c>
      <c r="L102" s="27">
        <f>W102</f>
        <v/>
      </c>
      <c r="M102" s="28">
        <f>AA102</f>
        <v/>
      </c>
      <c r="N102" s="23">
        <f>IF(AND(B102="",C102="",D102="",N(H102)=0),"",IF(B102="","Enter the date",IF(C102="","Pick the party",IF(P102="?","Add this party on the Parties sheet first",IF(D102="","Pick the entry type",IF(Q102="?","Pick the entry type from the list",IF(N(H102)=0,"Enter the amount",IF(AND(R102&lt;&gt;"Any",R102&lt;&gt;P102),"Sales, receipts and credit notes are for debtors; purchases, payments and debit notes for creditors",IF(AND(F102&lt;&gt;"",D102&lt;&gt;"Purchase bill"),"The received-on date is only for purchase bills",IF(AND(P102="Creditor",X102=1,AA102&gt;0),"Past due to a micro or small supplier: interest runs under MSMED s.16, and if unpaid at year end it is not deductible that year, s.37(2)(g)",IF(AND(P102="Debtor",X102=1,AA102&gt;0),"Past due to you: as a micro or small supplier you can claim interest under MSMED s.16","OK")))))))))))</f>
        <v/>
      </c>
      <c r="P102">
        <f>IF(C102="","",IFERROR(VLOOKUP(C102,'Example Parties'!$B$13:$Q$112,2,FALSE),"?"))</f>
        <v/>
      </c>
      <c r="Q102">
        <f>IF(D102="","",IFERROR(VLOOKUP(D102,Lists!$A$2:$D$9,3,FALSE),"?"))</f>
        <v/>
      </c>
      <c r="R102">
        <f>IF(D102="","",IFERROR(VLOOKUP(D102,Lists!$A$2:$D$9,4,FALSE),"?"))</f>
        <v/>
      </c>
      <c r="S102">
        <f>IF(P102="Debtor",I102,IF(P102="Creditor",J102,0))</f>
        <v/>
      </c>
      <c r="T102">
        <f>IF(P102="Debtor",J102,IF(P102="Creditor",I102,0))</f>
        <v/>
      </c>
      <c r="U102">
        <f>IF(OR(S102=0,B102=""),0,IFERROR(VLOOKUP(C102,'Example Parties'!$B$13:$Q$112,13,FALSE),0)+SUMIFS($S$7:$S$506,$C$7:$C$506,C102,$B$7:$B$506,"&lt;"&amp;B102)+SUMIFS(S$7:S102,C$7:C102,C102,B$7:B102,B102))</f>
        <v/>
      </c>
      <c r="V102">
        <f>IF(S102=0,0,IFERROR(VLOOKUP(C102,'Example Parties'!$B$13:$Q$112,14,FALSE),0)+SUMIFS($T$7:$T$506,$C$7:$C$506,C102,$B$7:$B$506,"&lt;="&amp;'Example Outstanding'!$E$5))</f>
        <v/>
      </c>
      <c r="W102">
        <f>IF(OR('Example Outstanding'!$E$5="",S102=0,B102="",B102&gt;'Example Outstanding'!$E$5),0,MAX(0,MIN(S102,U102-V102)))</f>
        <v/>
      </c>
      <c r="X102">
        <f>IF(C102="",0,IFERROR(VLOOKUP(C102,'Example Parties'!$B$13:$Q$112,15,FALSE),0))</f>
        <v/>
      </c>
      <c r="Y102">
        <f>IF(C102="","",IFERROR(VLOOKUP(C102,'Example Parties'!$B$13:$Q$112,16,FALSE),0))</f>
        <v/>
      </c>
      <c r="Z102">
        <f>IF(OR(S102=0,B102="",Y102=""),"",IF(AND(F102&lt;&gt;"",D102="Purchase bill"),F102,B102)+Y102)</f>
        <v/>
      </c>
      <c r="AA102">
        <f>IF(OR(W102=0,Z102=""),0,MAX(0,'Example Outstanding'!$E$5-Z102))</f>
        <v/>
      </c>
      <c r="AB102">
        <f>IF(AND(X102=1,AA102&gt;0),W102*((1+3*N('Example Parties'!$E$10)/12)^(AA102*12/365)-1),0)</f>
        <v/>
      </c>
      <c r="AC102">
        <f>IF(W102=0,"",'Example Outstanding'!$E$5-B102)</f>
        <v/>
      </c>
      <c r="AD102">
        <f>IF(S102=0,0,IFERROR(VLOOKUP(C102,'Example Parties'!$B$13:$Q$112,14,FALSE),0)+SUMIFS($T$7:$T$506,$C$7:$C$506,C102,$B$7:$B$506,"&lt;="&amp;'Example Parties'!$E$8))</f>
        <v/>
      </c>
      <c r="AE102">
        <f>IF(OR('Example Parties'!$E$8="",S102=0,B102="",B102&gt;'Example Parties'!$E$8),0,MAX(0,MIN(S102,U102-AD102)))</f>
        <v/>
      </c>
      <c r="AF102">
        <f>IF(AND(P102="Creditor",X102=1,AE102&gt;0,Z102&lt;&gt;""),IF(Z102&lt;='Example Parties'!$E$8,AE102,0),0)</f>
        <v/>
      </c>
      <c r="AG102">
        <f>IF(OR(AE102=0,Z102=""),0,MAX(0,'Example Parties'!$E$8-Z102))</f>
        <v/>
      </c>
      <c r="AH102">
        <f>IF(AND(P102="Creditor",X102=1,AG102&gt;0),AE102*((1+3*N('Example Parties'!$E$10)/12)^(AG102*12/365)-1),0)</f>
        <v/>
      </c>
      <c r="AI102">
        <f>IF(AND(C102&lt;&gt;"",C102='Example Ledger'!$D$4,B102&lt;&gt;"",B102&gt;='Example Ledger'!$D$5,B102&lt;='Example Ledger'!$D$6),1,0)</f>
        <v/>
      </c>
      <c r="AJ102">
        <f>IF(AI102=1,SUM(AI$7:AI102),"")</f>
        <v/>
      </c>
      <c r="AK102">
        <f>IF(OR(N102="",N102="OK"),0,1)</f>
        <v/>
      </c>
    </row>
    <row r="103">
      <c r="B103" s="24" t="n"/>
      <c r="C103" s="14" t="n"/>
      <c r="D103" s="14" t="n"/>
      <c r="E103" s="20" t="n"/>
      <c r="F103" s="24" t="n"/>
      <c r="G103" s="14" t="n"/>
      <c r="H103" s="22" t="n"/>
      <c r="I103" s="25">
        <f>IF(Q103="D",N(H103),0)</f>
        <v/>
      </c>
      <c r="J103" s="25">
        <f>IF(Q103="C",N(H103),0)</f>
        <v/>
      </c>
      <c r="K103" s="26">
        <f>IF(Z103="","",Z103)</f>
        <v/>
      </c>
      <c r="L103" s="27">
        <f>W103</f>
        <v/>
      </c>
      <c r="M103" s="28">
        <f>AA103</f>
        <v/>
      </c>
      <c r="N103" s="23">
        <f>IF(AND(B103="",C103="",D103="",N(H103)=0),"",IF(B103="","Enter the date",IF(C103="","Pick the party",IF(P103="?","Add this party on the Parties sheet first",IF(D103="","Pick the entry type",IF(Q103="?","Pick the entry type from the list",IF(N(H103)=0,"Enter the amount",IF(AND(R103&lt;&gt;"Any",R103&lt;&gt;P103),"Sales, receipts and credit notes are for debtors; purchases, payments and debit notes for creditors",IF(AND(F103&lt;&gt;"",D103&lt;&gt;"Purchase bill"),"The received-on date is only for purchase bills",IF(AND(P103="Creditor",X103=1,AA103&gt;0),"Past due to a micro or small supplier: interest runs under MSMED s.16, and if unpaid at year end it is not deductible that year, s.37(2)(g)",IF(AND(P103="Debtor",X103=1,AA103&gt;0),"Past due to you: as a micro or small supplier you can claim interest under MSMED s.16","OK")))))))))))</f>
        <v/>
      </c>
      <c r="P103">
        <f>IF(C103="","",IFERROR(VLOOKUP(C103,'Example Parties'!$B$13:$Q$112,2,FALSE),"?"))</f>
        <v/>
      </c>
      <c r="Q103">
        <f>IF(D103="","",IFERROR(VLOOKUP(D103,Lists!$A$2:$D$9,3,FALSE),"?"))</f>
        <v/>
      </c>
      <c r="R103">
        <f>IF(D103="","",IFERROR(VLOOKUP(D103,Lists!$A$2:$D$9,4,FALSE),"?"))</f>
        <v/>
      </c>
      <c r="S103">
        <f>IF(P103="Debtor",I103,IF(P103="Creditor",J103,0))</f>
        <v/>
      </c>
      <c r="T103">
        <f>IF(P103="Debtor",J103,IF(P103="Creditor",I103,0))</f>
        <v/>
      </c>
      <c r="U103">
        <f>IF(OR(S103=0,B103=""),0,IFERROR(VLOOKUP(C103,'Example Parties'!$B$13:$Q$112,13,FALSE),0)+SUMIFS($S$7:$S$506,$C$7:$C$506,C103,$B$7:$B$506,"&lt;"&amp;B103)+SUMIFS(S$7:S103,C$7:C103,C103,B$7:B103,B103))</f>
        <v/>
      </c>
      <c r="V103">
        <f>IF(S103=0,0,IFERROR(VLOOKUP(C103,'Example Parties'!$B$13:$Q$112,14,FALSE),0)+SUMIFS($T$7:$T$506,$C$7:$C$506,C103,$B$7:$B$506,"&lt;="&amp;'Example Outstanding'!$E$5))</f>
        <v/>
      </c>
      <c r="W103">
        <f>IF(OR('Example Outstanding'!$E$5="",S103=0,B103="",B103&gt;'Example Outstanding'!$E$5),0,MAX(0,MIN(S103,U103-V103)))</f>
        <v/>
      </c>
      <c r="X103">
        <f>IF(C103="",0,IFERROR(VLOOKUP(C103,'Example Parties'!$B$13:$Q$112,15,FALSE),0))</f>
        <v/>
      </c>
      <c r="Y103">
        <f>IF(C103="","",IFERROR(VLOOKUP(C103,'Example Parties'!$B$13:$Q$112,16,FALSE),0))</f>
        <v/>
      </c>
      <c r="Z103">
        <f>IF(OR(S103=0,B103="",Y103=""),"",IF(AND(F103&lt;&gt;"",D103="Purchase bill"),F103,B103)+Y103)</f>
        <v/>
      </c>
      <c r="AA103">
        <f>IF(OR(W103=0,Z103=""),0,MAX(0,'Example Outstanding'!$E$5-Z103))</f>
        <v/>
      </c>
      <c r="AB103">
        <f>IF(AND(X103=1,AA103&gt;0),W103*((1+3*N('Example Parties'!$E$10)/12)^(AA103*12/365)-1),0)</f>
        <v/>
      </c>
      <c r="AC103">
        <f>IF(W103=0,"",'Example Outstanding'!$E$5-B103)</f>
        <v/>
      </c>
      <c r="AD103">
        <f>IF(S103=0,0,IFERROR(VLOOKUP(C103,'Example Parties'!$B$13:$Q$112,14,FALSE),0)+SUMIFS($T$7:$T$506,$C$7:$C$506,C103,$B$7:$B$506,"&lt;="&amp;'Example Parties'!$E$8))</f>
        <v/>
      </c>
      <c r="AE103">
        <f>IF(OR('Example Parties'!$E$8="",S103=0,B103="",B103&gt;'Example Parties'!$E$8),0,MAX(0,MIN(S103,U103-AD103)))</f>
        <v/>
      </c>
      <c r="AF103">
        <f>IF(AND(P103="Creditor",X103=1,AE103&gt;0,Z103&lt;&gt;""),IF(Z103&lt;='Example Parties'!$E$8,AE103,0),0)</f>
        <v/>
      </c>
      <c r="AG103">
        <f>IF(OR(AE103=0,Z103=""),0,MAX(0,'Example Parties'!$E$8-Z103))</f>
        <v/>
      </c>
      <c r="AH103">
        <f>IF(AND(P103="Creditor",X103=1,AG103&gt;0),AE103*((1+3*N('Example Parties'!$E$10)/12)^(AG103*12/365)-1),0)</f>
        <v/>
      </c>
      <c r="AI103">
        <f>IF(AND(C103&lt;&gt;"",C103='Example Ledger'!$D$4,B103&lt;&gt;"",B103&gt;='Example Ledger'!$D$5,B103&lt;='Example Ledger'!$D$6),1,0)</f>
        <v/>
      </c>
      <c r="AJ103">
        <f>IF(AI103=1,SUM(AI$7:AI103),"")</f>
        <v/>
      </c>
      <c r="AK103">
        <f>IF(OR(N103="",N103="OK"),0,1)</f>
        <v/>
      </c>
    </row>
    <row r="104">
      <c r="B104" s="24" t="n"/>
      <c r="C104" s="14" t="n"/>
      <c r="D104" s="14" t="n"/>
      <c r="E104" s="20" t="n"/>
      <c r="F104" s="24" t="n"/>
      <c r="G104" s="14" t="n"/>
      <c r="H104" s="22" t="n"/>
      <c r="I104" s="25">
        <f>IF(Q104="D",N(H104),0)</f>
        <v/>
      </c>
      <c r="J104" s="25">
        <f>IF(Q104="C",N(H104),0)</f>
        <v/>
      </c>
      <c r="K104" s="26">
        <f>IF(Z104="","",Z104)</f>
        <v/>
      </c>
      <c r="L104" s="27">
        <f>W104</f>
        <v/>
      </c>
      <c r="M104" s="28">
        <f>AA104</f>
        <v/>
      </c>
      <c r="N104" s="23">
        <f>IF(AND(B104="",C104="",D104="",N(H104)=0),"",IF(B104="","Enter the date",IF(C104="","Pick the party",IF(P104="?","Add this party on the Parties sheet first",IF(D104="","Pick the entry type",IF(Q104="?","Pick the entry type from the list",IF(N(H104)=0,"Enter the amount",IF(AND(R104&lt;&gt;"Any",R104&lt;&gt;P104),"Sales, receipts and credit notes are for debtors; purchases, payments and debit notes for creditors",IF(AND(F104&lt;&gt;"",D104&lt;&gt;"Purchase bill"),"The received-on date is only for purchase bills",IF(AND(P104="Creditor",X104=1,AA104&gt;0),"Past due to a micro or small supplier: interest runs under MSMED s.16, and if unpaid at year end it is not deductible that year, s.37(2)(g)",IF(AND(P104="Debtor",X104=1,AA104&gt;0),"Past due to you: as a micro or small supplier you can claim interest under MSMED s.16","OK")))))))))))</f>
        <v/>
      </c>
      <c r="P104">
        <f>IF(C104="","",IFERROR(VLOOKUP(C104,'Example Parties'!$B$13:$Q$112,2,FALSE),"?"))</f>
        <v/>
      </c>
      <c r="Q104">
        <f>IF(D104="","",IFERROR(VLOOKUP(D104,Lists!$A$2:$D$9,3,FALSE),"?"))</f>
        <v/>
      </c>
      <c r="R104">
        <f>IF(D104="","",IFERROR(VLOOKUP(D104,Lists!$A$2:$D$9,4,FALSE),"?"))</f>
        <v/>
      </c>
      <c r="S104">
        <f>IF(P104="Debtor",I104,IF(P104="Creditor",J104,0))</f>
        <v/>
      </c>
      <c r="T104">
        <f>IF(P104="Debtor",J104,IF(P104="Creditor",I104,0))</f>
        <v/>
      </c>
      <c r="U104">
        <f>IF(OR(S104=0,B104=""),0,IFERROR(VLOOKUP(C104,'Example Parties'!$B$13:$Q$112,13,FALSE),0)+SUMIFS($S$7:$S$506,$C$7:$C$506,C104,$B$7:$B$506,"&lt;"&amp;B104)+SUMIFS(S$7:S104,C$7:C104,C104,B$7:B104,B104))</f>
        <v/>
      </c>
      <c r="V104">
        <f>IF(S104=0,0,IFERROR(VLOOKUP(C104,'Example Parties'!$B$13:$Q$112,14,FALSE),0)+SUMIFS($T$7:$T$506,$C$7:$C$506,C104,$B$7:$B$506,"&lt;="&amp;'Example Outstanding'!$E$5))</f>
        <v/>
      </c>
      <c r="W104">
        <f>IF(OR('Example Outstanding'!$E$5="",S104=0,B104="",B104&gt;'Example Outstanding'!$E$5),0,MAX(0,MIN(S104,U104-V104)))</f>
        <v/>
      </c>
      <c r="X104">
        <f>IF(C104="",0,IFERROR(VLOOKUP(C104,'Example Parties'!$B$13:$Q$112,15,FALSE),0))</f>
        <v/>
      </c>
      <c r="Y104">
        <f>IF(C104="","",IFERROR(VLOOKUP(C104,'Example Parties'!$B$13:$Q$112,16,FALSE),0))</f>
        <v/>
      </c>
      <c r="Z104">
        <f>IF(OR(S104=0,B104="",Y104=""),"",IF(AND(F104&lt;&gt;"",D104="Purchase bill"),F104,B104)+Y104)</f>
        <v/>
      </c>
      <c r="AA104">
        <f>IF(OR(W104=0,Z104=""),0,MAX(0,'Example Outstanding'!$E$5-Z104))</f>
        <v/>
      </c>
      <c r="AB104">
        <f>IF(AND(X104=1,AA104&gt;0),W104*((1+3*N('Example Parties'!$E$10)/12)^(AA104*12/365)-1),0)</f>
        <v/>
      </c>
      <c r="AC104">
        <f>IF(W104=0,"",'Example Outstanding'!$E$5-B104)</f>
        <v/>
      </c>
      <c r="AD104">
        <f>IF(S104=0,0,IFERROR(VLOOKUP(C104,'Example Parties'!$B$13:$Q$112,14,FALSE),0)+SUMIFS($T$7:$T$506,$C$7:$C$506,C104,$B$7:$B$506,"&lt;="&amp;'Example Parties'!$E$8))</f>
        <v/>
      </c>
      <c r="AE104">
        <f>IF(OR('Example Parties'!$E$8="",S104=0,B104="",B104&gt;'Example Parties'!$E$8),0,MAX(0,MIN(S104,U104-AD104)))</f>
        <v/>
      </c>
      <c r="AF104">
        <f>IF(AND(P104="Creditor",X104=1,AE104&gt;0,Z104&lt;&gt;""),IF(Z104&lt;='Example Parties'!$E$8,AE104,0),0)</f>
        <v/>
      </c>
      <c r="AG104">
        <f>IF(OR(AE104=0,Z104=""),0,MAX(0,'Example Parties'!$E$8-Z104))</f>
        <v/>
      </c>
      <c r="AH104">
        <f>IF(AND(P104="Creditor",X104=1,AG104&gt;0),AE104*((1+3*N('Example Parties'!$E$10)/12)^(AG104*12/365)-1),0)</f>
        <v/>
      </c>
      <c r="AI104">
        <f>IF(AND(C104&lt;&gt;"",C104='Example Ledger'!$D$4,B104&lt;&gt;"",B104&gt;='Example Ledger'!$D$5,B104&lt;='Example Ledger'!$D$6),1,0)</f>
        <v/>
      </c>
      <c r="AJ104">
        <f>IF(AI104=1,SUM(AI$7:AI104),"")</f>
        <v/>
      </c>
      <c r="AK104">
        <f>IF(OR(N104="",N104="OK"),0,1)</f>
        <v/>
      </c>
    </row>
    <row r="105">
      <c r="B105" s="24" t="n"/>
      <c r="C105" s="14" t="n"/>
      <c r="D105" s="14" t="n"/>
      <c r="E105" s="20" t="n"/>
      <c r="F105" s="24" t="n"/>
      <c r="G105" s="14" t="n"/>
      <c r="H105" s="22" t="n"/>
      <c r="I105" s="25">
        <f>IF(Q105="D",N(H105),0)</f>
        <v/>
      </c>
      <c r="J105" s="25">
        <f>IF(Q105="C",N(H105),0)</f>
        <v/>
      </c>
      <c r="K105" s="26">
        <f>IF(Z105="","",Z105)</f>
        <v/>
      </c>
      <c r="L105" s="27">
        <f>W105</f>
        <v/>
      </c>
      <c r="M105" s="28">
        <f>AA105</f>
        <v/>
      </c>
      <c r="N105" s="23">
        <f>IF(AND(B105="",C105="",D105="",N(H105)=0),"",IF(B105="","Enter the date",IF(C105="","Pick the party",IF(P105="?","Add this party on the Parties sheet first",IF(D105="","Pick the entry type",IF(Q105="?","Pick the entry type from the list",IF(N(H105)=0,"Enter the amount",IF(AND(R105&lt;&gt;"Any",R105&lt;&gt;P105),"Sales, receipts and credit notes are for debtors; purchases, payments and debit notes for creditors",IF(AND(F105&lt;&gt;"",D105&lt;&gt;"Purchase bill"),"The received-on date is only for purchase bills",IF(AND(P105="Creditor",X105=1,AA105&gt;0),"Past due to a micro or small supplier: interest runs under MSMED s.16, and if unpaid at year end it is not deductible that year, s.37(2)(g)",IF(AND(P105="Debtor",X105=1,AA105&gt;0),"Past due to you: as a micro or small supplier you can claim interest under MSMED s.16","OK")))))))))))</f>
        <v/>
      </c>
      <c r="P105">
        <f>IF(C105="","",IFERROR(VLOOKUP(C105,'Example Parties'!$B$13:$Q$112,2,FALSE),"?"))</f>
        <v/>
      </c>
      <c r="Q105">
        <f>IF(D105="","",IFERROR(VLOOKUP(D105,Lists!$A$2:$D$9,3,FALSE),"?"))</f>
        <v/>
      </c>
      <c r="R105">
        <f>IF(D105="","",IFERROR(VLOOKUP(D105,Lists!$A$2:$D$9,4,FALSE),"?"))</f>
        <v/>
      </c>
      <c r="S105">
        <f>IF(P105="Debtor",I105,IF(P105="Creditor",J105,0))</f>
        <v/>
      </c>
      <c r="T105">
        <f>IF(P105="Debtor",J105,IF(P105="Creditor",I105,0))</f>
        <v/>
      </c>
      <c r="U105">
        <f>IF(OR(S105=0,B105=""),0,IFERROR(VLOOKUP(C105,'Example Parties'!$B$13:$Q$112,13,FALSE),0)+SUMIFS($S$7:$S$506,$C$7:$C$506,C105,$B$7:$B$506,"&lt;"&amp;B105)+SUMIFS(S$7:S105,C$7:C105,C105,B$7:B105,B105))</f>
        <v/>
      </c>
      <c r="V105">
        <f>IF(S105=0,0,IFERROR(VLOOKUP(C105,'Example Parties'!$B$13:$Q$112,14,FALSE),0)+SUMIFS($T$7:$T$506,$C$7:$C$506,C105,$B$7:$B$506,"&lt;="&amp;'Example Outstanding'!$E$5))</f>
        <v/>
      </c>
      <c r="W105">
        <f>IF(OR('Example Outstanding'!$E$5="",S105=0,B105="",B105&gt;'Example Outstanding'!$E$5),0,MAX(0,MIN(S105,U105-V105)))</f>
        <v/>
      </c>
      <c r="X105">
        <f>IF(C105="",0,IFERROR(VLOOKUP(C105,'Example Parties'!$B$13:$Q$112,15,FALSE),0))</f>
        <v/>
      </c>
      <c r="Y105">
        <f>IF(C105="","",IFERROR(VLOOKUP(C105,'Example Parties'!$B$13:$Q$112,16,FALSE),0))</f>
        <v/>
      </c>
      <c r="Z105">
        <f>IF(OR(S105=0,B105="",Y105=""),"",IF(AND(F105&lt;&gt;"",D105="Purchase bill"),F105,B105)+Y105)</f>
        <v/>
      </c>
      <c r="AA105">
        <f>IF(OR(W105=0,Z105=""),0,MAX(0,'Example Outstanding'!$E$5-Z105))</f>
        <v/>
      </c>
      <c r="AB105">
        <f>IF(AND(X105=1,AA105&gt;0),W105*((1+3*N('Example Parties'!$E$10)/12)^(AA105*12/365)-1),0)</f>
        <v/>
      </c>
      <c r="AC105">
        <f>IF(W105=0,"",'Example Outstanding'!$E$5-B105)</f>
        <v/>
      </c>
      <c r="AD105">
        <f>IF(S105=0,0,IFERROR(VLOOKUP(C105,'Example Parties'!$B$13:$Q$112,14,FALSE),0)+SUMIFS($T$7:$T$506,$C$7:$C$506,C105,$B$7:$B$506,"&lt;="&amp;'Example Parties'!$E$8))</f>
        <v/>
      </c>
      <c r="AE105">
        <f>IF(OR('Example Parties'!$E$8="",S105=0,B105="",B105&gt;'Example Parties'!$E$8),0,MAX(0,MIN(S105,U105-AD105)))</f>
        <v/>
      </c>
      <c r="AF105">
        <f>IF(AND(P105="Creditor",X105=1,AE105&gt;0,Z105&lt;&gt;""),IF(Z105&lt;='Example Parties'!$E$8,AE105,0),0)</f>
        <v/>
      </c>
      <c r="AG105">
        <f>IF(OR(AE105=0,Z105=""),0,MAX(0,'Example Parties'!$E$8-Z105))</f>
        <v/>
      </c>
      <c r="AH105">
        <f>IF(AND(P105="Creditor",X105=1,AG105&gt;0),AE105*((1+3*N('Example Parties'!$E$10)/12)^(AG105*12/365)-1),0)</f>
        <v/>
      </c>
      <c r="AI105">
        <f>IF(AND(C105&lt;&gt;"",C105='Example Ledger'!$D$4,B105&lt;&gt;"",B105&gt;='Example Ledger'!$D$5,B105&lt;='Example Ledger'!$D$6),1,0)</f>
        <v/>
      </c>
      <c r="AJ105">
        <f>IF(AI105=1,SUM(AI$7:AI105),"")</f>
        <v/>
      </c>
      <c r="AK105">
        <f>IF(OR(N105="",N105="OK"),0,1)</f>
        <v/>
      </c>
    </row>
    <row r="106">
      <c r="B106" s="24" t="n"/>
      <c r="C106" s="14" t="n"/>
      <c r="D106" s="14" t="n"/>
      <c r="E106" s="20" t="n"/>
      <c r="F106" s="24" t="n"/>
      <c r="G106" s="14" t="n"/>
      <c r="H106" s="22" t="n"/>
      <c r="I106" s="25">
        <f>IF(Q106="D",N(H106),0)</f>
        <v/>
      </c>
      <c r="J106" s="25">
        <f>IF(Q106="C",N(H106),0)</f>
        <v/>
      </c>
      <c r="K106" s="26">
        <f>IF(Z106="","",Z106)</f>
        <v/>
      </c>
      <c r="L106" s="27">
        <f>W106</f>
        <v/>
      </c>
      <c r="M106" s="28">
        <f>AA106</f>
        <v/>
      </c>
      <c r="N106" s="23">
        <f>IF(AND(B106="",C106="",D106="",N(H106)=0),"",IF(B106="","Enter the date",IF(C106="","Pick the party",IF(P106="?","Add this party on the Parties sheet first",IF(D106="","Pick the entry type",IF(Q106="?","Pick the entry type from the list",IF(N(H106)=0,"Enter the amount",IF(AND(R106&lt;&gt;"Any",R106&lt;&gt;P106),"Sales, receipts and credit notes are for debtors; purchases, payments and debit notes for creditors",IF(AND(F106&lt;&gt;"",D106&lt;&gt;"Purchase bill"),"The received-on date is only for purchase bills",IF(AND(P106="Creditor",X106=1,AA106&gt;0),"Past due to a micro or small supplier: interest runs under MSMED s.16, and if unpaid at year end it is not deductible that year, s.37(2)(g)",IF(AND(P106="Debtor",X106=1,AA106&gt;0),"Past due to you: as a micro or small supplier you can claim interest under MSMED s.16","OK")))))))))))</f>
        <v/>
      </c>
      <c r="P106">
        <f>IF(C106="","",IFERROR(VLOOKUP(C106,'Example Parties'!$B$13:$Q$112,2,FALSE),"?"))</f>
        <v/>
      </c>
      <c r="Q106">
        <f>IF(D106="","",IFERROR(VLOOKUP(D106,Lists!$A$2:$D$9,3,FALSE),"?"))</f>
        <v/>
      </c>
      <c r="R106">
        <f>IF(D106="","",IFERROR(VLOOKUP(D106,Lists!$A$2:$D$9,4,FALSE),"?"))</f>
        <v/>
      </c>
      <c r="S106">
        <f>IF(P106="Debtor",I106,IF(P106="Creditor",J106,0))</f>
        <v/>
      </c>
      <c r="T106">
        <f>IF(P106="Debtor",J106,IF(P106="Creditor",I106,0))</f>
        <v/>
      </c>
      <c r="U106">
        <f>IF(OR(S106=0,B106=""),0,IFERROR(VLOOKUP(C106,'Example Parties'!$B$13:$Q$112,13,FALSE),0)+SUMIFS($S$7:$S$506,$C$7:$C$506,C106,$B$7:$B$506,"&lt;"&amp;B106)+SUMIFS(S$7:S106,C$7:C106,C106,B$7:B106,B106))</f>
        <v/>
      </c>
      <c r="V106">
        <f>IF(S106=0,0,IFERROR(VLOOKUP(C106,'Example Parties'!$B$13:$Q$112,14,FALSE),0)+SUMIFS($T$7:$T$506,$C$7:$C$506,C106,$B$7:$B$506,"&lt;="&amp;'Example Outstanding'!$E$5))</f>
        <v/>
      </c>
      <c r="W106">
        <f>IF(OR('Example Outstanding'!$E$5="",S106=0,B106="",B106&gt;'Example Outstanding'!$E$5),0,MAX(0,MIN(S106,U106-V106)))</f>
        <v/>
      </c>
      <c r="X106">
        <f>IF(C106="",0,IFERROR(VLOOKUP(C106,'Example Parties'!$B$13:$Q$112,15,FALSE),0))</f>
        <v/>
      </c>
      <c r="Y106">
        <f>IF(C106="","",IFERROR(VLOOKUP(C106,'Example Parties'!$B$13:$Q$112,16,FALSE),0))</f>
        <v/>
      </c>
      <c r="Z106">
        <f>IF(OR(S106=0,B106="",Y106=""),"",IF(AND(F106&lt;&gt;"",D106="Purchase bill"),F106,B106)+Y106)</f>
        <v/>
      </c>
      <c r="AA106">
        <f>IF(OR(W106=0,Z106=""),0,MAX(0,'Example Outstanding'!$E$5-Z106))</f>
        <v/>
      </c>
      <c r="AB106">
        <f>IF(AND(X106=1,AA106&gt;0),W106*((1+3*N('Example Parties'!$E$10)/12)^(AA106*12/365)-1),0)</f>
        <v/>
      </c>
      <c r="AC106">
        <f>IF(W106=0,"",'Example Outstanding'!$E$5-B106)</f>
        <v/>
      </c>
      <c r="AD106">
        <f>IF(S106=0,0,IFERROR(VLOOKUP(C106,'Example Parties'!$B$13:$Q$112,14,FALSE),0)+SUMIFS($T$7:$T$506,$C$7:$C$506,C106,$B$7:$B$506,"&lt;="&amp;'Example Parties'!$E$8))</f>
        <v/>
      </c>
      <c r="AE106">
        <f>IF(OR('Example Parties'!$E$8="",S106=0,B106="",B106&gt;'Example Parties'!$E$8),0,MAX(0,MIN(S106,U106-AD106)))</f>
        <v/>
      </c>
      <c r="AF106">
        <f>IF(AND(P106="Creditor",X106=1,AE106&gt;0,Z106&lt;&gt;""),IF(Z106&lt;='Example Parties'!$E$8,AE106,0),0)</f>
        <v/>
      </c>
      <c r="AG106">
        <f>IF(OR(AE106=0,Z106=""),0,MAX(0,'Example Parties'!$E$8-Z106))</f>
        <v/>
      </c>
      <c r="AH106">
        <f>IF(AND(P106="Creditor",X106=1,AG106&gt;0),AE106*((1+3*N('Example Parties'!$E$10)/12)^(AG106*12/365)-1),0)</f>
        <v/>
      </c>
      <c r="AI106">
        <f>IF(AND(C106&lt;&gt;"",C106='Example Ledger'!$D$4,B106&lt;&gt;"",B106&gt;='Example Ledger'!$D$5,B106&lt;='Example Ledger'!$D$6),1,0)</f>
        <v/>
      </c>
      <c r="AJ106">
        <f>IF(AI106=1,SUM(AI$7:AI106),"")</f>
        <v/>
      </c>
      <c r="AK106">
        <f>IF(OR(N106="",N106="OK"),0,1)</f>
        <v/>
      </c>
    </row>
    <row r="107">
      <c r="B107" s="24" t="n"/>
      <c r="C107" s="14" t="n"/>
      <c r="D107" s="14" t="n"/>
      <c r="E107" s="20" t="n"/>
      <c r="F107" s="24" t="n"/>
      <c r="G107" s="14" t="n"/>
      <c r="H107" s="22" t="n"/>
      <c r="I107" s="25">
        <f>IF(Q107="D",N(H107),0)</f>
        <v/>
      </c>
      <c r="J107" s="25">
        <f>IF(Q107="C",N(H107),0)</f>
        <v/>
      </c>
      <c r="K107" s="26">
        <f>IF(Z107="","",Z107)</f>
        <v/>
      </c>
      <c r="L107" s="27">
        <f>W107</f>
        <v/>
      </c>
      <c r="M107" s="28">
        <f>AA107</f>
        <v/>
      </c>
      <c r="N107" s="23">
        <f>IF(AND(B107="",C107="",D107="",N(H107)=0),"",IF(B107="","Enter the date",IF(C107="","Pick the party",IF(P107="?","Add this party on the Parties sheet first",IF(D107="","Pick the entry type",IF(Q107="?","Pick the entry type from the list",IF(N(H107)=0,"Enter the amount",IF(AND(R107&lt;&gt;"Any",R107&lt;&gt;P107),"Sales, receipts and credit notes are for debtors; purchases, payments and debit notes for creditors",IF(AND(F107&lt;&gt;"",D107&lt;&gt;"Purchase bill"),"The received-on date is only for purchase bills",IF(AND(P107="Creditor",X107=1,AA107&gt;0),"Past due to a micro or small supplier: interest runs under MSMED s.16, and if unpaid at year end it is not deductible that year, s.37(2)(g)",IF(AND(P107="Debtor",X107=1,AA107&gt;0),"Past due to you: as a micro or small supplier you can claim interest under MSMED s.16","OK")))))))))))</f>
        <v/>
      </c>
      <c r="P107">
        <f>IF(C107="","",IFERROR(VLOOKUP(C107,'Example Parties'!$B$13:$Q$112,2,FALSE),"?"))</f>
        <v/>
      </c>
      <c r="Q107">
        <f>IF(D107="","",IFERROR(VLOOKUP(D107,Lists!$A$2:$D$9,3,FALSE),"?"))</f>
        <v/>
      </c>
      <c r="R107">
        <f>IF(D107="","",IFERROR(VLOOKUP(D107,Lists!$A$2:$D$9,4,FALSE),"?"))</f>
        <v/>
      </c>
      <c r="S107">
        <f>IF(P107="Debtor",I107,IF(P107="Creditor",J107,0))</f>
        <v/>
      </c>
      <c r="T107">
        <f>IF(P107="Debtor",J107,IF(P107="Creditor",I107,0))</f>
        <v/>
      </c>
      <c r="U107">
        <f>IF(OR(S107=0,B107=""),0,IFERROR(VLOOKUP(C107,'Example Parties'!$B$13:$Q$112,13,FALSE),0)+SUMIFS($S$7:$S$506,$C$7:$C$506,C107,$B$7:$B$506,"&lt;"&amp;B107)+SUMIFS(S$7:S107,C$7:C107,C107,B$7:B107,B107))</f>
        <v/>
      </c>
      <c r="V107">
        <f>IF(S107=0,0,IFERROR(VLOOKUP(C107,'Example Parties'!$B$13:$Q$112,14,FALSE),0)+SUMIFS($T$7:$T$506,$C$7:$C$506,C107,$B$7:$B$506,"&lt;="&amp;'Example Outstanding'!$E$5))</f>
        <v/>
      </c>
      <c r="W107">
        <f>IF(OR('Example Outstanding'!$E$5="",S107=0,B107="",B107&gt;'Example Outstanding'!$E$5),0,MAX(0,MIN(S107,U107-V107)))</f>
        <v/>
      </c>
      <c r="X107">
        <f>IF(C107="",0,IFERROR(VLOOKUP(C107,'Example Parties'!$B$13:$Q$112,15,FALSE),0))</f>
        <v/>
      </c>
      <c r="Y107">
        <f>IF(C107="","",IFERROR(VLOOKUP(C107,'Example Parties'!$B$13:$Q$112,16,FALSE),0))</f>
        <v/>
      </c>
      <c r="Z107">
        <f>IF(OR(S107=0,B107="",Y107=""),"",IF(AND(F107&lt;&gt;"",D107="Purchase bill"),F107,B107)+Y107)</f>
        <v/>
      </c>
      <c r="AA107">
        <f>IF(OR(W107=0,Z107=""),0,MAX(0,'Example Outstanding'!$E$5-Z107))</f>
        <v/>
      </c>
      <c r="AB107">
        <f>IF(AND(X107=1,AA107&gt;0),W107*((1+3*N('Example Parties'!$E$10)/12)^(AA107*12/365)-1),0)</f>
        <v/>
      </c>
      <c r="AC107">
        <f>IF(W107=0,"",'Example Outstanding'!$E$5-B107)</f>
        <v/>
      </c>
      <c r="AD107">
        <f>IF(S107=0,0,IFERROR(VLOOKUP(C107,'Example Parties'!$B$13:$Q$112,14,FALSE),0)+SUMIFS($T$7:$T$506,$C$7:$C$506,C107,$B$7:$B$506,"&lt;="&amp;'Example Parties'!$E$8))</f>
        <v/>
      </c>
      <c r="AE107">
        <f>IF(OR('Example Parties'!$E$8="",S107=0,B107="",B107&gt;'Example Parties'!$E$8),0,MAX(0,MIN(S107,U107-AD107)))</f>
        <v/>
      </c>
      <c r="AF107">
        <f>IF(AND(P107="Creditor",X107=1,AE107&gt;0,Z107&lt;&gt;""),IF(Z107&lt;='Example Parties'!$E$8,AE107,0),0)</f>
        <v/>
      </c>
      <c r="AG107">
        <f>IF(OR(AE107=0,Z107=""),0,MAX(0,'Example Parties'!$E$8-Z107))</f>
        <v/>
      </c>
      <c r="AH107">
        <f>IF(AND(P107="Creditor",X107=1,AG107&gt;0),AE107*((1+3*N('Example Parties'!$E$10)/12)^(AG107*12/365)-1),0)</f>
        <v/>
      </c>
      <c r="AI107">
        <f>IF(AND(C107&lt;&gt;"",C107='Example Ledger'!$D$4,B107&lt;&gt;"",B107&gt;='Example Ledger'!$D$5,B107&lt;='Example Ledger'!$D$6),1,0)</f>
        <v/>
      </c>
      <c r="AJ107">
        <f>IF(AI107=1,SUM(AI$7:AI107),"")</f>
        <v/>
      </c>
      <c r="AK107">
        <f>IF(OR(N107="",N107="OK"),0,1)</f>
        <v/>
      </c>
    </row>
    <row r="108">
      <c r="B108" s="24" t="n"/>
      <c r="C108" s="14" t="n"/>
      <c r="D108" s="14" t="n"/>
      <c r="E108" s="20" t="n"/>
      <c r="F108" s="24" t="n"/>
      <c r="G108" s="14" t="n"/>
      <c r="H108" s="22" t="n"/>
      <c r="I108" s="25">
        <f>IF(Q108="D",N(H108),0)</f>
        <v/>
      </c>
      <c r="J108" s="25">
        <f>IF(Q108="C",N(H108),0)</f>
        <v/>
      </c>
      <c r="K108" s="26">
        <f>IF(Z108="","",Z108)</f>
        <v/>
      </c>
      <c r="L108" s="27">
        <f>W108</f>
        <v/>
      </c>
      <c r="M108" s="28">
        <f>AA108</f>
        <v/>
      </c>
      <c r="N108" s="23">
        <f>IF(AND(B108="",C108="",D108="",N(H108)=0),"",IF(B108="","Enter the date",IF(C108="","Pick the party",IF(P108="?","Add this party on the Parties sheet first",IF(D108="","Pick the entry type",IF(Q108="?","Pick the entry type from the list",IF(N(H108)=0,"Enter the amount",IF(AND(R108&lt;&gt;"Any",R108&lt;&gt;P108),"Sales, receipts and credit notes are for debtors; purchases, payments and debit notes for creditors",IF(AND(F108&lt;&gt;"",D108&lt;&gt;"Purchase bill"),"The received-on date is only for purchase bills",IF(AND(P108="Creditor",X108=1,AA108&gt;0),"Past due to a micro or small supplier: interest runs under MSMED s.16, and if unpaid at year end it is not deductible that year, s.37(2)(g)",IF(AND(P108="Debtor",X108=1,AA108&gt;0),"Past due to you: as a micro or small supplier you can claim interest under MSMED s.16","OK")))))))))))</f>
        <v/>
      </c>
      <c r="P108">
        <f>IF(C108="","",IFERROR(VLOOKUP(C108,'Example Parties'!$B$13:$Q$112,2,FALSE),"?"))</f>
        <v/>
      </c>
      <c r="Q108">
        <f>IF(D108="","",IFERROR(VLOOKUP(D108,Lists!$A$2:$D$9,3,FALSE),"?"))</f>
        <v/>
      </c>
      <c r="R108">
        <f>IF(D108="","",IFERROR(VLOOKUP(D108,Lists!$A$2:$D$9,4,FALSE),"?"))</f>
        <v/>
      </c>
      <c r="S108">
        <f>IF(P108="Debtor",I108,IF(P108="Creditor",J108,0))</f>
        <v/>
      </c>
      <c r="T108">
        <f>IF(P108="Debtor",J108,IF(P108="Creditor",I108,0))</f>
        <v/>
      </c>
      <c r="U108">
        <f>IF(OR(S108=0,B108=""),0,IFERROR(VLOOKUP(C108,'Example Parties'!$B$13:$Q$112,13,FALSE),0)+SUMIFS($S$7:$S$506,$C$7:$C$506,C108,$B$7:$B$506,"&lt;"&amp;B108)+SUMIFS(S$7:S108,C$7:C108,C108,B$7:B108,B108))</f>
        <v/>
      </c>
      <c r="V108">
        <f>IF(S108=0,0,IFERROR(VLOOKUP(C108,'Example Parties'!$B$13:$Q$112,14,FALSE),0)+SUMIFS($T$7:$T$506,$C$7:$C$506,C108,$B$7:$B$506,"&lt;="&amp;'Example Outstanding'!$E$5))</f>
        <v/>
      </c>
      <c r="W108">
        <f>IF(OR('Example Outstanding'!$E$5="",S108=0,B108="",B108&gt;'Example Outstanding'!$E$5),0,MAX(0,MIN(S108,U108-V108)))</f>
        <v/>
      </c>
      <c r="X108">
        <f>IF(C108="",0,IFERROR(VLOOKUP(C108,'Example Parties'!$B$13:$Q$112,15,FALSE),0))</f>
        <v/>
      </c>
      <c r="Y108">
        <f>IF(C108="","",IFERROR(VLOOKUP(C108,'Example Parties'!$B$13:$Q$112,16,FALSE),0))</f>
        <v/>
      </c>
      <c r="Z108">
        <f>IF(OR(S108=0,B108="",Y108=""),"",IF(AND(F108&lt;&gt;"",D108="Purchase bill"),F108,B108)+Y108)</f>
        <v/>
      </c>
      <c r="AA108">
        <f>IF(OR(W108=0,Z108=""),0,MAX(0,'Example Outstanding'!$E$5-Z108))</f>
        <v/>
      </c>
      <c r="AB108">
        <f>IF(AND(X108=1,AA108&gt;0),W108*((1+3*N('Example Parties'!$E$10)/12)^(AA108*12/365)-1),0)</f>
        <v/>
      </c>
      <c r="AC108">
        <f>IF(W108=0,"",'Example Outstanding'!$E$5-B108)</f>
        <v/>
      </c>
      <c r="AD108">
        <f>IF(S108=0,0,IFERROR(VLOOKUP(C108,'Example Parties'!$B$13:$Q$112,14,FALSE),0)+SUMIFS($T$7:$T$506,$C$7:$C$506,C108,$B$7:$B$506,"&lt;="&amp;'Example Parties'!$E$8))</f>
        <v/>
      </c>
      <c r="AE108">
        <f>IF(OR('Example Parties'!$E$8="",S108=0,B108="",B108&gt;'Example Parties'!$E$8),0,MAX(0,MIN(S108,U108-AD108)))</f>
        <v/>
      </c>
      <c r="AF108">
        <f>IF(AND(P108="Creditor",X108=1,AE108&gt;0,Z108&lt;&gt;""),IF(Z108&lt;='Example Parties'!$E$8,AE108,0),0)</f>
        <v/>
      </c>
      <c r="AG108">
        <f>IF(OR(AE108=0,Z108=""),0,MAX(0,'Example Parties'!$E$8-Z108))</f>
        <v/>
      </c>
      <c r="AH108">
        <f>IF(AND(P108="Creditor",X108=1,AG108&gt;0),AE108*((1+3*N('Example Parties'!$E$10)/12)^(AG108*12/365)-1),0)</f>
        <v/>
      </c>
      <c r="AI108">
        <f>IF(AND(C108&lt;&gt;"",C108='Example Ledger'!$D$4,B108&lt;&gt;"",B108&gt;='Example Ledger'!$D$5,B108&lt;='Example Ledger'!$D$6),1,0)</f>
        <v/>
      </c>
      <c r="AJ108">
        <f>IF(AI108=1,SUM(AI$7:AI108),"")</f>
        <v/>
      </c>
      <c r="AK108">
        <f>IF(OR(N108="",N108="OK"),0,1)</f>
        <v/>
      </c>
    </row>
    <row r="109">
      <c r="B109" s="24" t="n"/>
      <c r="C109" s="14" t="n"/>
      <c r="D109" s="14" t="n"/>
      <c r="E109" s="20" t="n"/>
      <c r="F109" s="24" t="n"/>
      <c r="G109" s="14" t="n"/>
      <c r="H109" s="22" t="n"/>
      <c r="I109" s="25">
        <f>IF(Q109="D",N(H109),0)</f>
        <v/>
      </c>
      <c r="J109" s="25">
        <f>IF(Q109="C",N(H109),0)</f>
        <v/>
      </c>
      <c r="K109" s="26">
        <f>IF(Z109="","",Z109)</f>
        <v/>
      </c>
      <c r="L109" s="27">
        <f>W109</f>
        <v/>
      </c>
      <c r="M109" s="28">
        <f>AA109</f>
        <v/>
      </c>
      <c r="N109" s="23">
        <f>IF(AND(B109="",C109="",D109="",N(H109)=0),"",IF(B109="","Enter the date",IF(C109="","Pick the party",IF(P109="?","Add this party on the Parties sheet first",IF(D109="","Pick the entry type",IF(Q109="?","Pick the entry type from the list",IF(N(H109)=0,"Enter the amount",IF(AND(R109&lt;&gt;"Any",R109&lt;&gt;P109),"Sales, receipts and credit notes are for debtors; purchases, payments and debit notes for creditors",IF(AND(F109&lt;&gt;"",D109&lt;&gt;"Purchase bill"),"The received-on date is only for purchase bills",IF(AND(P109="Creditor",X109=1,AA109&gt;0),"Past due to a micro or small supplier: interest runs under MSMED s.16, and if unpaid at year end it is not deductible that year, s.37(2)(g)",IF(AND(P109="Debtor",X109=1,AA109&gt;0),"Past due to you: as a micro or small supplier you can claim interest under MSMED s.16","OK")))))))))))</f>
        <v/>
      </c>
      <c r="P109">
        <f>IF(C109="","",IFERROR(VLOOKUP(C109,'Example Parties'!$B$13:$Q$112,2,FALSE),"?"))</f>
        <v/>
      </c>
      <c r="Q109">
        <f>IF(D109="","",IFERROR(VLOOKUP(D109,Lists!$A$2:$D$9,3,FALSE),"?"))</f>
        <v/>
      </c>
      <c r="R109">
        <f>IF(D109="","",IFERROR(VLOOKUP(D109,Lists!$A$2:$D$9,4,FALSE),"?"))</f>
        <v/>
      </c>
      <c r="S109">
        <f>IF(P109="Debtor",I109,IF(P109="Creditor",J109,0))</f>
        <v/>
      </c>
      <c r="T109">
        <f>IF(P109="Debtor",J109,IF(P109="Creditor",I109,0))</f>
        <v/>
      </c>
      <c r="U109">
        <f>IF(OR(S109=0,B109=""),0,IFERROR(VLOOKUP(C109,'Example Parties'!$B$13:$Q$112,13,FALSE),0)+SUMIFS($S$7:$S$506,$C$7:$C$506,C109,$B$7:$B$506,"&lt;"&amp;B109)+SUMIFS(S$7:S109,C$7:C109,C109,B$7:B109,B109))</f>
        <v/>
      </c>
      <c r="V109">
        <f>IF(S109=0,0,IFERROR(VLOOKUP(C109,'Example Parties'!$B$13:$Q$112,14,FALSE),0)+SUMIFS($T$7:$T$506,$C$7:$C$506,C109,$B$7:$B$506,"&lt;="&amp;'Example Outstanding'!$E$5))</f>
        <v/>
      </c>
      <c r="W109">
        <f>IF(OR('Example Outstanding'!$E$5="",S109=0,B109="",B109&gt;'Example Outstanding'!$E$5),0,MAX(0,MIN(S109,U109-V109)))</f>
        <v/>
      </c>
      <c r="X109">
        <f>IF(C109="",0,IFERROR(VLOOKUP(C109,'Example Parties'!$B$13:$Q$112,15,FALSE),0))</f>
        <v/>
      </c>
      <c r="Y109">
        <f>IF(C109="","",IFERROR(VLOOKUP(C109,'Example Parties'!$B$13:$Q$112,16,FALSE),0))</f>
        <v/>
      </c>
      <c r="Z109">
        <f>IF(OR(S109=0,B109="",Y109=""),"",IF(AND(F109&lt;&gt;"",D109="Purchase bill"),F109,B109)+Y109)</f>
        <v/>
      </c>
      <c r="AA109">
        <f>IF(OR(W109=0,Z109=""),0,MAX(0,'Example Outstanding'!$E$5-Z109))</f>
        <v/>
      </c>
      <c r="AB109">
        <f>IF(AND(X109=1,AA109&gt;0),W109*((1+3*N('Example Parties'!$E$10)/12)^(AA109*12/365)-1),0)</f>
        <v/>
      </c>
      <c r="AC109">
        <f>IF(W109=0,"",'Example Outstanding'!$E$5-B109)</f>
        <v/>
      </c>
      <c r="AD109">
        <f>IF(S109=0,0,IFERROR(VLOOKUP(C109,'Example Parties'!$B$13:$Q$112,14,FALSE),0)+SUMIFS($T$7:$T$506,$C$7:$C$506,C109,$B$7:$B$506,"&lt;="&amp;'Example Parties'!$E$8))</f>
        <v/>
      </c>
      <c r="AE109">
        <f>IF(OR('Example Parties'!$E$8="",S109=0,B109="",B109&gt;'Example Parties'!$E$8),0,MAX(0,MIN(S109,U109-AD109)))</f>
        <v/>
      </c>
      <c r="AF109">
        <f>IF(AND(P109="Creditor",X109=1,AE109&gt;0,Z109&lt;&gt;""),IF(Z109&lt;='Example Parties'!$E$8,AE109,0),0)</f>
        <v/>
      </c>
      <c r="AG109">
        <f>IF(OR(AE109=0,Z109=""),0,MAX(0,'Example Parties'!$E$8-Z109))</f>
        <v/>
      </c>
      <c r="AH109">
        <f>IF(AND(P109="Creditor",X109=1,AG109&gt;0),AE109*((1+3*N('Example Parties'!$E$10)/12)^(AG109*12/365)-1),0)</f>
        <v/>
      </c>
      <c r="AI109">
        <f>IF(AND(C109&lt;&gt;"",C109='Example Ledger'!$D$4,B109&lt;&gt;"",B109&gt;='Example Ledger'!$D$5,B109&lt;='Example Ledger'!$D$6),1,0)</f>
        <v/>
      </c>
      <c r="AJ109">
        <f>IF(AI109=1,SUM(AI$7:AI109),"")</f>
        <v/>
      </c>
      <c r="AK109">
        <f>IF(OR(N109="",N109="OK"),0,1)</f>
        <v/>
      </c>
    </row>
    <row r="110">
      <c r="B110" s="24" t="n"/>
      <c r="C110" s="14" t="n"/>
      <c r="D110" s="14" t="n"/>
      <c r="E110" s="20" t="n"/>
      <c r="F110" s="24" t="n"/>
      <c r="G110" s="14" t="n"/>
      <c r="H110" s="22" t="n"/>
      <c r="I110" s="25">
        <f>IF(Q110="D",N(H110),0)</f>
        <v/>
      </c>
      <c r="J110" s="25">
        <f>IF(Q110="C",N(H110),0)</f>
        <v/>
      </c>
      <c r="K110" s="26">
        <f>IF(Z110="","",Z110)</f>
        <v/>
      </c>
      <c r="L110" s="27">
        <f>W110</f>
        <v/>
      </c>
      <c r="M110" s="28">
        <f>AA110</f>
        <v/>
      </c>
      <c r="N110" s="23">
        <f>IF(AND(B110="",C110="",D110="",N(H110)=0),"",IF(B110="","Enter the date",IF(C110="","Pick the party",IF(P110="?","Add this party on the Parties sheet first",IF(D110="","Pick the entry type",IF(Q110="?","Pick the entry type from the list",IF(N(H110)=0,"Enter the amount",IF(AND(R110&lt;&gt;"Any",R110&lt;&gt;P110),"Sales, receipts and credit notes are for debtors; purchases, payments and debit notes for creditors",IF(AND(F110&lt;&gt;"",D110&lt;&gt;"Purchase bill"),"The received-on date is only for purchase bills",IF(AND(P110="Creditor",X110=1,AA110&gt;0),"Past due to a micro or small supplier: interest runs under MSMED s.16, and if unpaid at year end it is not deductible that year, s.37(2)(g)",IF(AND(P110="Debtor",X110=1,AA110&gt;0),"Past due to you: as a micro or small supplier you can claim interest under MSMED s.16","OK")))))))))))</f>
        <v/>
      </c>
      <c r="P110">
        <f>IF(C110="","",IFERROR(VLOOKUP(C110,'Example Parties'!$B$13:$Q$112,2,FALSE),"?"))</f>
        <v/>
      </c>
      <c r="Q110">
        <f>IF(D110="","",IFERROR(VLOOKUP(D110,Lists!$A$2:$D$9,3,FALSE),"?"))</f>
        <v/>
      </c>
      <c r="R110">
        <f>IF(D110="","",IFERROR(VLOOKUP(D110,Lists!$A$2:$D$9,4,FALSE),"?"))</f>
        <v/>
      </c>
      <c r="S110">
        <f>IF(P110="Debtor",I110,IF(P110="Creditor",J110,0))</f>
        <v/>
      </c>
      <c r="T110">
        <f>IF(P110="Debtor",J110,IF(P110="Creditor",I110,0))</f>
        <v/>
      </c>
      <c r="U110">
        <f>IF(OR(S110=0,B110=""),0,IFERROR(VLOOKUP(C110,'Example Parties'!$B$13:$Q$112,13,FALSE),0)+SUMIFS($S$7:$S$506,$C$7:$C$506,C110,$B$7:$B$506,"&lt;"&amp;B110)+SUMIFS(S$7:S110,C$7:C110,C110,B$7:B110,B110))</f>
        <v/>
      </c>
      <c r="V110">
        <f>IF(S110=0,0,IFERROR(VLOOKUP(C110,'Example Parties'!$B$13:$Q$112,14,FALSE),0)+SUMIFS($T$7:$T$506,$C$7:$C$506,C110,$B$7:$B$506,"&lt;="&amp;'Example Outstanding'!$E$5))</f>
        <v/>
      </c>
      <c r="W110">
        <f>IF(OR('Example Outstanding'!$E$5="",S110=0,B110="",B110&gt;'Example Outstanding'!$E$5),0,MAX(0,MIN(S110,U110-V110)))</f>
        <v/>
      </c>
      <c r="X110">
        <f>IF(C110="",0,IFERROR(VLOOKUP(C110,'Example Parties'!$B$13:$Q$112,15,FALSE),0))</f>
        <v/>
      </c>
      <c r="Y110">
        <f>IF(C110="","",IFERROR(VLOOKUP(C110,'Example Parties'!$B$13:$Q$112,16,FALSE),0))</f>
        <v/>
      </c>
      <c r="Z110">
        <f>IF(OR(S110=0,B110="",Y110=""),"",IF(AND(F110&lt;&gt;"",D110="Purchase bill"),F110,B110)+Y110)</f>
        <v/>
      </c>
      <c r="AA110">
        <f>IF(OR(W110=0,Z110=""),0,MAX(0,'Example Outstanding'!$E$5-Z110))</f>
        <v/>
      </c>
      <c r="AB110">
        <f>IF(AND(X110=1,AA110&gt;0),W110*((1+3*N('Example Parties'!$E$10)/12)^(AA110*12/365)-1),0)</f>
        <v/>
      </c>
      <c r="AC110">
        <f>IF(W110=0,"",'Example Outstanding'!$E$5-B110)</f>
        <v/>
      </c>
      <c r="AD110">
        <f>IF(S110=0,0,IFERROR(VLOOKUP(C110,'Example Parties'!$B$13:$Q$112,14,FALSE),0)+SUMIFS($T$7:$T$506,$C$7:$C$506,C110,$B$7:$B$506,"&lt;="&amp;'Example Parties'!$E$8))</f>
        <v/>
      </c>
      <c r="AE110">
        <f>IF(OR('Example Parties'!$E$8="",S110=0,B110="",B110&gt;'Example Parties'!$E$8),0,MAX(0,MIN(S110,U110-AD110)))</f>
        <v/>
      </c>
      <c r="AF110">
        <f>IF(AND(P110="Creditor",X110=1,AE110&gt;0,Z110&lt;&gt;""),IF(Z110&lt;='Example Parties'!$E$8,AE110,0),0)</f>
        <v/>
      </c>
      <c r="AG110">
        <f>IF(OR(AE110=0,Z110=""),0,MAX(0,'Example Parties'!$E$8-Z110))</f>
        <v/>
      </c>
      <c r="AH110">
        <f>IF(AND(P110="Creditor",X110=1,AG110&gt;0),AE110*((1+3*N('Example Parties'!$E$10)/12)^(AG110*12/365)-1),0)</f>
        <v/>
      </c>
      <c r="AI110">
        <f>IF(AND(C110&lt;&gt;"",C110='Example Ledger'!$D$4,B110&lt;&gt;"",B110&gt;='Example Ledger'!$D$5,B110&lt;='Example Ledger'!$D$6),1,0)</f>
        <v/>
      </c>
      <c r="AJ110">
        <f>IF(AI110=1,SUM(AI$7:AI110),"")</f>
        <v/>
      </c>
      <c r="AK110">
        <f>IF(OR(N110="",N110="OK"),0,1)</f>
        <v/>
      </c>
    </row>
    <row r="111">
      <c r="B111" s="24" t="n"/>
      <c r="C111" s="14" t="n"/>
      <c r="D111" s="14" t="n"/>
      <c r="E111" s="20" t="n"/>
      <c r="F111" s="24" t="n"/>
      <c r="G111" s="14" t="n"/>
      <c r="H111" s="22" t="n"/>
      <c r="I111" s="25">
        <f>IF(Q111="D",N(H111),0)</f>
        <v/>
      </c>
      <c r="J111" s="25">
        <f>IF(Q111="C",N(H111),0)</f>
        <v/>
      </c>
      <c r="K111" s="26">
        <f>IF(Z111="","",Z111)</f>
        <v/>
      </c>
      <c r="L111" s="27">
        <f>W111</f>
        <v/>
      </c>
      <c r="M111" s="28">
        <f>AA111</f>
        <v/>
      </c>
      <c r="N111" s="23">
        <f>IF(AND(B111="",C111="",D111="",N(H111)=0),"",IF(B111="","Enter the date",IF(C111="","Pick the party",IF(P111="?","Add this party on the Parties sheet first",IF(D111="","Pick the entry type",IF(Q111="?","Pick the entry type from the list",IF(N(H111)=0,"Enter the amount",IF(AND(R111&lt;&gt;"Any",R111&lt;&gt;P111),"Sales, receipts and credit notes are for debtors; purchases, payments and debit notes for creditors",IF(AND(F111&lt;&gt;"",D111&lt;&gt;"Purchase bill"),"The received-on date is only for purchase bills",IF(AND(P111="Creditor",X111=1,AA111&gt;0),"Past due to a micro or small supplier: interest runs under MSMED s.16, and if unpaid at year end it is not deductible that year, s.37(2)(g)",IF(AND(P111="Debtor",X111=1,AA111&gt;0),"Past due to you: as a micro or small supplier you can claim interest under MSMED s.16","OK")))))))))))</f>
        <v/>
      </c>
      <c r="P111">
        <f>IF(C111="","",IFERROR(VLOOKUP(C111,'Example Parties'!$B$13:$Q$112,2,FALSE),"?"))</f>
        <v/>
      </c>
      <c r="Q111">
        <f>IF(D111="","",IFERROR(VLOOKUP(D111,Lists!$A$2:$D$9,3,FALSE),"?"))</f>
        <v/>
      </c>
      <c r="R111">
        <f>IF(D111="","",IFERROR(VLOOKUP(D111,Lists!$A$2:$D$9,4,FALSE),"?"))</f>
        <v/>
      </c>
      <c r="S111">
        <f>IF(P111="Debtor",I111,IF(P111="Creditor",J111,0))</f>
        <v/>
      </c>
      <c r="T111">
        <f>IF(P111="Debtor",J111,IF(P111="Creditor",I111,0))</f>
        <v/>
      </c>
      <c r="U111">
        <f>IF(OR(S111=0,B111=""),0,IFERROR(VLOOKUP(C111,'Example Parties'!$B$13:$Q$112,13,FALSE),0)+SUMIFS($S$7:$S$506,$C$7:$C$506,C111,$B$7:$B$506,"&lt;"&amp;B111)+SUMIFS(S$7:S111,C$7:C111,C111,B$7:B111,B111))</f>
        <v/>
      </c>
      <c r="V111">
        <f>IF(S111=0,0,IFERROR(VLOOKUP(C111,'Example Parties'!$B$13:$Q$112,14,FALSE),0)+SUMIFS($T$7:$T$506,$C$7:$C$506,C111,$B$7:$B$506,"&lt;="&amp;'Example Outstanding'!$E$5))</f>
        <v/>
      </c>
      <c r="W111">
        <f>IF(OR('Example Outstanding'!$E$5="",S111=0,B111="",B111&gt;'Example Outstanding'!$E$5),0,MAX(0,MIN(S111,U111-V111)))</f>
        <v/>
      </c>
      <c r="X111">
        <f>IF(C111="",0,IFERROR(VLOOKUP(C111,'Example Parties'!$B$13:$Q$112,15,FALSE),0))</f>
        <v/>
      </c>
      <c r="Y111">
        <f>IF(C111="","",IFERROR(VLOOKUP(C111,'Example Parties'!$B$13:$Q$112,16,FALSE),0))</f>
        <v/>
      </c>
      <c r="Z111">
        <f>IF(OR(S111=0,B111="",Y111=""),"",IF(AND(F111&lt;&gt;"",D111="Purchase bill"),F111,B111)+Y111)</f>
        <v/>
      </c>
      <c r="AA111">
        <f>IF(OR(W111=0,Z111=""),0,MAX(0,'Example Outstanding'!$E$5-Z111))</f>
        <v/>
      </c>
      <c r="AB111">
        <f>IF(AND(X111=1,AA111&gt;0),W111*((1+3*N('Example Parties'!$E$10)/12)^(AA111*12/365)-1),0)</f>
        <v/>
      </c>
      <c r="AC111">
        <f>IF(W111=0,"",'Example Outstanding'!$E$5-B111)</f>
        <v/>
      </c>
      <c r="AD111">
        <f>IF(S111=0,0,IFERROR(VLOOKUP(C111,'Example Parties'!$B$13:$Q$112,14,FALSE),0)+SUMIFS($T$7:$T$506,$C$7:$C$506,C111,$B$7:$B$506,"&lt;="&amp;'Example Parties'!$E$8))</f>
        <v/>
      </c>
      <c r="AE111">
        <f>IF(OR('Example Parties'!$E$8="",S111=0,B111="",B111&gt;'Example Parties'!$E$8),0,MAX(0,MIN(S111,U111-AD111)))</f>
        <v/>
      </c>
      <c r="AF111">
        <f>IF(AND(P111="Creditor",X111=1,AE111&gt;0,Z111&lt;&gt;""),IF(Z111&lt;='Example Parties'!$E$8,AE111,0),0)</f>
        <v/>
      </c>
      <c r="AG111">
        <f>IF(OR(AE111=0,Z111=""),0,MAX(0,'Example Parties'!$E$8-Z111))</f>
        <v/>
      </c>
      <c r="AH111">
        <f>IF(AND(P111="Creditor",X111=1,AG111&gt;0),AE111*((1+3*N('Example Parties'!$E$10)/12)^(AG111*12/365)-1),0)</f>
        <v/>
      </c>
      <c r="AI111">
        <f>IF(AND(C111&lt;&gt;"",C111='Example Ledger'!$D$4,B111&lt;&gt;"",B111&gt;='Example Ledger'!$D$5,B111&lt;='Example Ledger'!$D$6),1,0)</f>
        <v/>
      </c>
      <c r="AJ111">
        <f>IF(AI111=1,SUM(AI$7:AI111),"")</f>
        <v/>
      </c>
      <c r="AK111">
        <f>IF(OR(N111="",N111="OK"),0,1)</f>
        <v/>
      </c>
    </row>
    <row r="112">
      <c r="B112" s="24" t="n"/>
      <c r="C112" s="14" t="n"/>
      <c r="D112" s="14" t="n"/>
      <c r="E112" s="20" t="n"/>
      <c r="F112" s="24" t="n"/>
      <c r="G112" s="14" t="n"/>
      <c r="H112" s="22" t="n"/>
      <c r="I112" s="25">
        <f>IF(Q112="D",N(H112),0)</f>
        <v/>
      </c>
      <c r="J112" s="25">
        <f>IF(Q112="C",N(H112),0)</f>
        <v/>
      </c>
      <c r="K112" s="26">
        <f>IF(Z112="","",Z112)</f>
        <v/>
      </c>
      <c r="L112" s="27">
        <f>W112</f>
        <v/>
      </c>
      <c r="M112" s="28">
        <f>AA112</f>
        <v/>
      </c>
      <c r="N112" s="23">
        <f>IF(AND(B112="",C112="",D112="",N(H112)=0),"",IF(B112="","Enter the date",IF(C112="","Pick the party",IF(P112="?","Add this party on the Parties sheet first",IF(D112="","Pick the entry type",IF(Q112="?","Pick the entry type from the list",IF(N(H112)=0,"Enter the amount",IF(AND(R112&lt;&gt;"Any",R112&lt;&gt;P112),"Sales, receipts and credit notes are for debtors; purchases, payments and debit notes for creditors",IF(AND(F112&lt;&gt;"",D112&lt;&gt;"Purchase bill"),"The received-on date is only for purchase bills",IF(AND(P112="Creditor",X112=1,AA112&gt;0),"Past due to a micro or small supplier: interest runs under MSMED s.16, and if unpaid at year end it is not deductible that year, s.37(2)(g)",IF(AND(P112="Debtor",X112=1,AA112&gt;0),"Past due to you: as a micro or small supplier you can claim interest under MSMED s.16","OK")))))))))))</f>
        <v/>
      </c>
      <c r="P112">
        <f>IF(C112="","",IFERROR(VLOOKUP(C112,'Example Parties'!$B$13:$Q$112,2,FALSE),"?"))</f>
        <v/>
      </c>
      <c r="Q112">
        <f>IF(D112="","",IFERROR(VLOOKUP(D112,Lists!$A$2:$D$9,3,FALSE),"?"))</f>
        <v/>
      </c>
      <c r="R112">
        <f>IF(D112="","",IFERROR(VLOOKUP(D112,Lists!$A$2:$D$9,4,FALSE),"?"))</f>
        <v/>
      </c>
      <c r="S112">
        <f>IF(P112="Debtor",I112,IF(P112="Creditor",J112,0))</f>
        <v/>
      </c>
      <c r="T112">
        <f>IF(P112="Debtor",J112,IF(P112="Creditor",I112,0))</f>
        <v/>
      </c>
      <c r="U112">
        <f>IF(OR(S112=0,B112=""),0,IFERROR(VLOOKUP(C112,'Example Parties'!$B$13:$Q$112,13,FALSE),0)+SUMIFS($S$7:$S$506,$C$7:$C$506,C112,$B$7:$B$506,"&lt;"&amp;B112)+SUMIFS(S$7:S112,C$7:C112,C112,B$7:B112,B112))</f>
        <v/>
      </c>
      <c r="V112">
        <f>IF(S112=0,0,IFERROR(VLOOKUP(C112,'Example Parties'!$B$13:$Q$112,14,FALSE),0)+SUMIFS($T$7:$T$506,$C$7:$C$506,C112,$B$7:$B$506,"&lt;="&amp;'Example Outstanding'!$E$5))</f>
        <v/>
      </c>
      <c r="W112">
        <f>IF(OR('Example Outstanding'!$E$5="",S112=0,B112="",B112&gt;'Example Outstanding'!$E$5),0,MAX(0,MIN(S112,U112-V112)))</f>
        <v/>
      </c>
      <c r="X112">
        <f>IF(C112="",0,IFERROR(VLOOKUP(C112,'Example Parties'!$B$13:$Q$112,15,FALSE),0))</f>
        <v/>
      </c>
      <c r="Y112">
        <f>IF(C112="","",IFERROR(VLOOKUP(C112,'Example Parties'!$B$13:$Q$112,16,FALSE),0))</f>
        <v/>
      </c>
      <c r="Z112">
        <f>IF(OR(S112=0,B112="",Y112=""),"",IF(AND(F112&lt;&gt;"",D112="Purchase bill"),F112,B112)+Y112)</f>
        <v/>
      </c>
      <c r="AA112">
        <f>IF(OR(W112=0,Z112=""),0,MAX(0,'Example Outstanding'!$E$5-Z112))</f>
        <v/>
      </c>
      <c r="AB112">
        <f>IF(AND(X112=1,AA112&gt;0),W112*((1+3*N('Example Parties'!$E$10)/12)^(AA112*12/365)-1),0)</f>
        <v/>
      </c>
      <c r="AC112">
        <f>IF(W112=0,"",'Example Outstanding'!$E$5-B112)</f>
        <v/>
      </c>
      <c r="AD112">
        <f>IF(S112=0,0,IFERROR(VLOOKUP(C112,'Example Parties'!$B$13:$Q$112,14,FALSE),0)+SUMIFS($T$7:$T$506,$C$7:$C$506,C112,$B$7:$B$506,"&lt;="&amp;'Example Parties'!$E$8))</f>
        <v/>
      </c>
      <c r="AE112">
        <f>IF(OR('Example Parties'!$E$8="",S112=0,B112="",B112&gt;'Example Parties'!$E$8),0,MAX(0,MIN(S112,U112-AD112)))</f>
        <v/>
      </c>
      <c r="AF112">
        <f>IF(AND(P112="Creditor",X112=1,AE112&gt;0,Z112&lt;&gt;""),IF(Z112&lt;='Example Parties'!$E$8,AE112,0),0)</f>
        <v/>
      </c>
      <c r="AG112">
        <f>IF(OR(AE112=0,Z112=""),0,MAX(0,'Example Parties'!$E$8-Z112))</f>
        <v/>
      </c>
      <c r="AH112">
        <f>IF(AND(P112="Creditor",X112=1,AG112&gt;0),AE112*((1+3*N('Example Parties'!$E$10)/12)^(AG112*12/365)-1),0)</f>
        <v/>
      </c>
      <c r="AI112">
        <f>IF(AND(C112&lt;&gt;"",C112='Example Ledger'!$D$4,B112&lt;&gt;"",B112&gt;='Example Ledger'!$D$5,B112&lt;='Example Ledger'!$D$6),1,0)</f>
        <v/>
      </c>
      <c r="AJ112">
        <f>IF(AI112=1,SUM(AI$7:AI112),"")</f>
        <v/>
      </c>
      <c r="AK112">
        <f>IF(OR(N112="",N112="OK"),0,1)</f>
        <v/>
      </c>
    </row>
    <row r="113">
      <c r="B113" s="24" t="n"/>
      <c r="C113" s="14" t="n"/>
      <c r="D113" s="14" t="n"/>
      <c r="E113" s="20" t="n"/>
      <c r="F113" s="24" t="n"/>
      <c r="G113" s="14" t="n"/>
      <c r="H113" s="22" t="n"/>
      <c r="I113" s="25">
        <f>IF(Q113="D",N(H113),0)</f>
        <v/>
      </c>
      <c r="J113" s="25">
        <f>IF(Q113="C",N(H113),0)</f>
        <v/>
      </c>
      <c r="K113" s="26">
        <f>IF(Z113="","",Z113)</f>
        <v/>
      </c>
      <c r="L113" s="27">
        <f>W113</f>
        <v/>
      </c>
      <c r="M113" s="28">
        <f>AA113</f>
        <v/>
      </c>
      <c r="N113" s="23">
        <f>IF(AND(B113="",C113="",D113="",N(H113)=0),"",IF(B113="","Enter the date",IF(C113="","Pick the party",IF(P113="?","Add this party on the Parties sheet first",IF(D113="","Pick the entry type",IF(Q113="?","Pick the entry type from the list",IF(N(H113)=0,"Enter the amount",IF(AND(R113&lt;&gt;"Any",R113&lt;&gt;P113),"Sales, receipts and credit notes are for debtors; purchases, payments and debit notes for creditors",IF(AND(F113&lt;&gt;"",D113&lt;&gt;"Purchase bill"),"The received-on date is only for purchase bills",IF(AND(P113="Creditor",X113=1,AA113&gt;0),"Past due to a micro or small supplier: interest runs under MSMED s.16, and if unpaid at year end it is not deductible that year, s.37(2)(g)",IF(AND(P113="Debtor",X113=1,AA113&gt;0),"Past due to you: as a micro or small supplier you can claim interest under MSMED s.16","OK")))))))))))</f>
        <v/>
      </c>
      <c r="P113">
        <f>IF(C113="","",IFERROR(VLOOKUP(C113,'Example Parties'!$B$13:$Q$112,2,FALSE),"?"))</f>
        <v/>
      </c>
      <c r="Q113">
        <f>IF(D113="","",IFERROR(VLOOKUP(D113,Lists!$A$2:$D$9,3,FALSE),"?"))</f>
        <v/>
      </c>
      <c r="R113">
        <f>IF(D113="","",IFERROR(VLOOKUP(D113,Lists!$A$2:$D$9,4,FALSE),"?"))</f>
        <v/>
      </c>
      <c r="S113">
        <f>IF(P113="Debtor",I113,IF(P113="Creditor",J113,0))</f>
        <v/>
      </c>
      <c r="T113">
        <f>IF(P113="Debtor",J113,IF(P113="Creditor",I113,0))</f>
        <v/>
      </c>
      <c r="U113">
        <f>IF(OR(S113=0,B113=""),0,IFERROR(VLOOKUP(C113,'Example Parties'!$B$13:$Q$112,13,FALSE),0)+SUMIFS($S$7:$S$506,$C$7:$C$506,C113,$B$7:$B$506,"&lt;"&amp;B113)+SUMIFS(S$7:S113,C$7:C113,C113,B$7:B113,B113))</f>
        <v/>
      </c>
      <c r="V113">
        <f>IF(S113=0,0,IFERROR(VLOOKUP(C113,'Example Parties'!$B$13:$Q$112,14,FALSE),0)+SUMIFS($T$7:$T$506,$C$7:$C$506,C113,$B$7:$B$506,"&lt;="&amp;'Example Outstanding'!$E$5))</f>
        <v/>
      </c>
      <c r="W113">
        <f>IF(OR('Example Outstanding'!$E$5="",S113=0,B113="",B113&gt;'Example Outstanding'!$E$5),0,MAX(0,MIN(S113,U113-V113)))</f>
        <v/>
      </c>
      <c r="X113">
        <f>IF(C113="",0,IFERROR(VLOOKUP(C113,'Example Parties'!$B$13:$Q$112,15,FALSE),0))</f>
        <v/>
      </c>
      <c r="Y113">
        <f>IF(C113="","",IFERROR(VLOOKUP(C113,'Example Parties'!$B$13:$Q$112,16,FALSE),0))</f>
        <v/>
      </c>
      <c r="Z113">
        <f>IF(OR(S113=0,B113="",Y113=""),"",IF(AND(F113&lt;&gt;"",D113="Purchase bill"),F113,B113)+Y113)</f>
        <v/>
      </c>
      <c r="AA113">
        <f>IF(OR(W113=0,Z113=""),0,MAX(0,'Example Outstanding'!$E$5-Z113))</f>
        <v/>
      </c>
      <c r="AB113">
        <f>IF(AND(X113=1,AA113&gt;0),W113*((1+3*N('Example Parties'!$E$10)/12)^(AA113*12/365)-1),0)</f>
        <v/>
      </c>
      <c r="AC113">
        <f>IF(W113=0,"",'Example Outstanding'!$E$5-B113)</f>
        <v/>
      </c>
      <c r="AD113">
        <f>IF(S113=0,0,IFERROR(VLOOKUP(C113,'Example Parties'!$B$13:$Q$112,14,FALSE),0)+SUMIFS($T$7:$T$506,$C$7:$C$506,C113,$B$7:$B$506,"&lt;="&amp;'Example Parties'!$E$8))</f>
        <v/>
      </c>
      <c r="AE113">
        <f>IF(OR('Example Parties'!$E$8="",S113=0,B113="",B113&gt;'Example Parties'!$E$8),0,MAX(0,MIN(S113,U113-AD113)))</f>
        <v/>
      </c>
      <c r="AF113">
        <f>IF(AND(P113="Creditor",X113=1,AE113&gt;0,Z113&lt;&gt;""),IF(Z113&lt;='Example Parties'!$E$8,AE113,0),0)</f>
        <v/>
      </c>
      <c r="AG113">
        <f>IF(OR(AE113=0,Z113=""),0,MAX(0,'Example Parties'!$E$8-Z113))</f>
        <v/>
      </c>
      <c r="AH113">
        <f>IF(AND(P113="Creditor",X113=1,AG113&gt;0),AE113*((1+3*N('Example Parties'!$E$10)/12)^(AG113*12/365)-1),0)</f>
        <v/>
      </c>
      <c r="AI113">
        <f>IF(AND(C113&lt;&gt;"",C113='Example Ledger'!$D$4,B113&lt;&gt;"",B113&gt;='Example Ledger'!$D$5,B113&lt;='Example Ledger'!$D$6),1,0)</f>
        <v/>
      </c>
      <c r="AJ113">
        <f>IF(AI113=1,SUM(AI$7:AI113),"")</f>
        <v/>
      </c>
      <c r="AK113">
        <f>IF(OR(N113="",N113="OK"),0,1)</f>
        <v/>
      </c>
    </row>
    <row r="114">
      <c r="B114" s="24" t="n"/>
      <c r="C114" s="14" t="n"/>
      <c r="D114" s="14" t="n"/>
      <c r="E114" s="20" t="n"/>
      <c r="F114" s="24" t="n"/>
      <c r="G114" s="14" t="n"/>
      <c r="H114" s="22" t="n"/>
      <c r="I114" s="25">
        <f>IF(Q114="D",N(H114),0)</f>
        <v/>
      </c>
      <c r="J114" s="25">
        <f>IF(Q114="C",N(H114),0)</f>
        <v/>
      </c>
      <c r="K114" s="26">
        <f>IF(Z114="","",Z114)</f>
        <v/>
      </c>
      <c r="L114" s="27">
        <f>W114</f>
        <v/>
      </c>
      <c r="M114" s="28">
        <f>AA114</f>
        <v/>
      </c>
      <c r="N114" s="23">
        <f>IF(AND(B114="",C114="",D114="",N(H114)=0),"",IF(B114="","Enter the date",IF(C114="","Pick the party",IF(P114="?","Add this party on the Parties sheet first",IF(D114="","Pick the entry type",IF(Q114="?","Pick the entry type from the list",IF(N(H114)=0,"Enter the amount",IF(AND(R114&lt;&gt;"Any",R114&lt;&gt;P114),"Sales, receipts and credit notes are for debtors; purchases, payments and debit notes for creditors",IF(AND(F114&lt;&gt;"",D114&lt;&gt;"Purchase bill"),"The received-on date is only for purchase bills",IF(AND(P114="Creditor",X114=1,AA114&gt;0),"Past due to a micro or small supplier: interest runs under MSMED s.16, and if unpaid at year end it is not deductible that year, s.37(2)(g)",IF(AND(P114="Debtor",X114=1,AA114&gt;0),"Past due to you: as a micro or small supplier you can claim interest under MSMED s.16","OK")))))))))))</f>
        <v/>
      </c>
      <c r="P114">
        <f>IF(C114="","",IFERROR(VLOOKUP(C114,'Example Parties'!$B$13:$Q$112,2,FALSE),"?"))</f>
        <v/>
      </c>
      <c r="Q114">
        <f>IF(D114="","",IFERROR(VLOOKUP(D114,Lists!$A$2:$D$9,3,FALSE),"?"))</f>
        <v/>
      </c>
      <c r="R114">
        <f>IF(D114="","",IFERROR(VLOOKUP(D114,Lists!$A$2:$D$9,4,FALSE),"?"))</f>
        <v/>
      </c>
      <c r="S114">
        <f>IF(P114="Debtor",I114,IF(P114="Creditor",J114,0))</f>
        <v/>
      </c>
      <c r="T114">
        <f>IF(P114="Debtor",J114,IF(P114="Creditor",I114,0))</f>
        <v/>
      </c>
      <c r="U114">
        <f>IF(OR(S114=0,B114=""),0,IFERROR(VLOOKUP(C114,'Example Parties'!$B$13:$Q$112,13,FALSE),0)+SUMIFS($S$7:$S$506,$C$7:$C$506,C114,$B$7:$B$506,"&lt;"&amp;B114)+SUMIFS(S$7:S114,C$7:C114,C114,B$7:B114,B114))</f>
        <v/>
      </c>
      <c r="V114">
        <f>IF(S114=0,0,IFERROR(VLOOKUP(C114,'Example Parties'!$B$13:$Q$112,14,FALSE),0)+SUMIFS($T$7:$T$506,$C$7:$C$506,C114,$B$7:$B$506,"&lt;="&amp;'Example Outstanding'!$E$5))</f>
        <v/>
      </c>
      <c r="W114">
        <f>IF(OR('Example Outstanding'!$E$5="",S114=0,B114="",B114&gt;'Example Outstanding'!$E$5),0,MAX(0,MIN(S114,U114-V114)))</f>
        <v/>
      </c>
      <c r="X114">
        <f>IF(C114="",0,IFERROR(VLOOKUP(C114,'Example Parties'!$B$13:$Q$112,15,FALSE),0))</f>
        <v/>
      </c>
      <c r="Y114">
        <f>IF(C114="","",IFERROR(VLOOKUP(C114,'Example Parties'!$B$13:$Q$112,16,FALSE),0))</f>
        <v/>
      </c>
      <c r="Z114">
        <f>IF(OR(S114=0,B114="",Y114=""),"",IF(AND(F114&lt;&gt;"",D114="Purchase bill"),F114,B114)+Y114)</f>
        <v/>
      </c>
      <c r="AA114">
        <f>IF(OR(W114=0,Z114=""),0,MAX(0,'Example Outstanding'!$E$5-Z114))</f>
        <v/>
      </c>
      <c r="AB114">
        <f>IF(AND(X114=1,AA114&gt;0),W114*((1+3*N('Example Parties'!$E$10)/12)^(AA114*12/365)-1),0)</f>
        <v/>
      </c>
      <c r="AC114">
        <f>IF(W114=0,"",'Example Outstanding'!$E$5-B114)</f>
        <v/>
      </c>
      <c r="AD114">
        <f>IF(S114=0,0,IFERROR(VLOOKUP(C114,'Example Parties'!$B$13:$Q$112,14,FALSE),0)+SUMIFS($T$7:$T$506,$C$7:$C$506,C114,$B$7:$B$506,"&lt;="&amp;'Example Parties'!$E$8))</f>
        <v/>
      </c>
      <c r="AE114">
        <f>IF(OR('Example Parties'!$E$8="",S114=0,B114="",B114&gt;'Example Parties'!$E$8),0,MAX(0,MIN(S114,U114-AD114)))</f>
        <v/>
      </c>
      <c r="AF114">
        <f>IF(AND(P114="Creditor",X114=1,AE114&gt;0,Z114&lt;&gt;""),IF(Z114&lt;='Example Parties'!$E$8,AE114,0),0)</f>
        <v/>
      </c>
      <c r="AG114">
        <f>IF(OR(AE114=0,Z114=""),0,MAX(0,'Example Parties'!$E$8-Z114))</f>
        <v/>
      </c>
      <c r="AH114">
        <f>IF(AND(P114="Creditor",X114=1,AG114&gt;0),AE114*((1+3*N('Example Parties'!$E$10)/12)^(AG114*12/365)-1),0)</f>
        <v/>
      </c>
      <c r="AI114">
        <f>IF(AND(C114&lt;&gt;"",C114='Example Ledger'!$D$4,B114&lt;&gt;"",B114&gt;='Example Ledger'!$D$5,B114&lt;='Example Ledger'!$D$6),1,0)</f>
        <v/>
      </c>
      <c r="AJ114">
        <f>IF(AI114=1,SUM(AI$7:AI114),"")</f>
        <v/>
      </c>
      <c r="AK114">
        <f>IF(OR(N114="",N114="OK"),0,1)</f>
        <v/>
      </c>
    </row>
    <row r="115">
      <c r="B115" s="24" t="n"/>
      <c r="C115" s="14" t="n"/>
      <c r="D115" s="14" t="n"/>
      <c r="E115" s="20" t="n"/>
      <c r="F115" s="24" t="n"/>
      <c r="G115" s="14" t="n"/>
      <c r="H115" s="22" t="n"/>
      <c r="I115" s="25">
        <f>IF(Q115="D",N(H115),0)</f>
        <v/>
      </c>
      <c r="J115" s="25">
        <f>IF(Q115="C",N(H115),0)</f>
        <v/>
      </c>
      <c r="K115" s="26">
        <f>IF(Z115="","",Z115)</f>
        <v/>
      </c>
      <c r="L115" s="27">
        <f>W115</f>
        <v/>
      </c>
      <c r="M115" s="28">
        <f>AA115</f>
        <v/>
      </c>
      <c r="N115" s="23">
        <f>IF(AND(B115="",C115="",D115="",N(H115)=0),"",IF(B115="","Enter the date",IF(C115="","Pick the party",IF(P115="?","Add this party on the Parties sheet first",IF(D115="","Pick the entry type",IF(Q115="?","Pick the entry type from the list",IF(N(H115)=0,"Enter the amount",IF(AND(R115&lt;&gt;"Any",R115&lt;&gt;P115),"Sales, receipts and credit notes are for debtors; purchases, payments and debit notes for creditors",IF(AND(F115&lt;&gt;"",D115&lt;&gt;"Purchase bill"),"The received-on date is only for purchase bills",IF(AND(P115="Creditor",X115=1,AA115&gt;0),"Past due to a micro or small supplier: interest runs under MSMED s.16, and if unpaid at year end it is not deductible that year, s.37(2)(g)",IF(AND(P115="Debtor",X115=1,AA115&gt;0),"Past due to you: as a micro or small supplier you can claim interest under MSMED s.16","OK")))))))))))</f>
        <v/>
      </c>
      <c r="P115">
        <f>IF(C115="","",IFERROR(VLOOKUP(C115,'Example Parties'!$B$13:$Q$112,2,FALSE),"?"))</f>
        <v/>
      </c>
      <c r="Q115">
        <f>IF(D115="","",IFERROR(VLOOKUP(D115,Lists!$A$2:$D$9,3,FALSE),"?"))</f>
        <v/>
      </c>
      <c r="R115">
        <f>IF(D115="","",IFERROR(VLOOKUP(D115,Lists!$A$2:$D$9,4,FALSE),"?"))</f>
        <v/>
      </c>
      <c r="S115">
        <f>IF(P115="Debtor",I115,IF(P115="Creditor",J115,0))</f>
        <v/>
      </c>
      <c r="T115">
        <f>IF(P115="Debtor",J115,IF(P115="Creditor",I115,0))</f>
        <v/>
      </c>
      <c r="U115">
        <f>IF(OR(S115=0,B115=""),0,IFERROR(VLOOKUP(C115,'Example Parties'!$B$13:$Q$112,13,FALSE),0)+SUMIFS($S$7:$S$506,$C$7:$C$506,C115,$B$7:$B$506,"&lt;"&amp;B115)+SUMIFS(S$7:S115,C$7:C115,C115,B$7:B115,B115))</f>
        <v/>
      </c>
      <c r="V115">
        <f>IF(S115=0,0,IFERROR(VLOOKUP(C115,'Example Parties'!$B$13:$Q$112,14,FALSE),0)+SUMIFS($T$7:$T$506,$C$7:$C$506,C115,$B$7:$B$506,"&lt;="&amp;'Example Outstanding'!$E$5))</f>
        <v/>
      </c>
      <c r="W115">
        <f>IF(OR('Example Outstanding'!$E$5="",S115=0,B115="",B115&gt;'Example Outstanding'!$E$5),0,MAX(0,MIN(S115,U115-V115)))</f>
        <v/>
      </c>
      <c r="X115">
        <f>IF(C115="",0,IFERROR(VLOOKUP(C115,'Example Parties'!$B$13:$Q$112,15,FALSE),0))</f>
        <v/>
      </c>
      <c r="Y115">
        <f>IF(C115="","",IFERROR(VLOOKUP(C115,'Example Parties'!$B$13:$Q$112,16,FALSE),0))</f>
        <v/>
      </c>
      <c r="Z115">
        <f>IF(OR(S115=0,B115="",Y115=""),"",IF(AND(F115&lt;&gt;"",D115="Purchase bill"),F115,B115)+Y115)</f>
        <v/>
      </c>
      <c r="AA115">
        <f>IF(OR(W115=0,Z115=""),0,MAX(0,'Example Outstanding'!$E$5-Z115))</f>
        <v/>
      </c>
      <c r="AB115">
        <f>IF(AND(X115=1,AA115&gt;0),W115*((1+3*N('Example Parties'!$E$10)/12)^(AA115*12/365)-1),0)</f>
        <v/>
      </c>
      <c r="AC115">
        <f>IF(W115=0,"",'Example Outstanding'!$E$5-B115)</f>
        <v/>
      </c>
      <c r="AD115">
        <f>IF(S115=0,0,IFERROR(VLOOKUP(C115,'Example Parties'!$B$13:$Q$112,14,FALSE),0)+SUMIFS($T$7:$T$506,$C$7:$C$506,C115,$B$7:$B$506,"&lt;="&amp;'Example Parties'!$E$8))</f>
        <v/>
      </c>
      <c r="AE115">
        <f>IF(OR('Example Parties'!$E$8="",S115=0,B115="",B115&gt;'Example Parties'!$E$8),0,MAX(0,MIN(S115,U115-AD115)))</f>
        <v/>
      </c>
      <c r="AF115">
        <f>IF(AND(P115="Creditor",X115=1,AE115&gt;0,Z115&lt;&gt;""),IF(Z115&lt;='Example Parties'!$E$8,AE115,0),0)</f>
        <v/>
      </c>
      <c r="AG115">
        <f>IF(OR(AE115=0,Z115=""),0,MAX(0,'Example Parties'!$E$8-Z115))</f>
        <v/>
      </c>
      <c r="AH115">
        <f>IF(AND(P115="Creditor",X115=1,AG115&gt;0),AE115*((1+3*N('Example Parties'!$E$10)/12)^(AG115*12/365)-1),0)</f>
        <v/>
      </c>
      <c r="AI115">
        <f>IF(AND(C115&lt;&gt;"",C115='Example Ledger'!$D$4,B115&lt;&gt;"",B115&gt;='Example Ledger'!$D$5,B115&lt;='Example Ledger'!$D$6),1,0)</f>
        <v/>
      </c>
      <c r="AJ115">
        <f>IF(AI115=1,SUM(AI$7:AI115),"")</f>
        <v/>
      </c>
      <c r="AK115">
        <f>IF(OR(N115="",N115="OK"),0,1)</f>
        <v/>
      </c>
    </row>
    <row r="116">
      <c r="B116" s="24" t="n"/>
      <c r="C116" s="14" t="n"/>
      <c r="D116" s="14" t="n"/>
      <c r="E116" s="20" t="n"/>
      <c r="F116" s="24" t="n"/>
      <c r="G116" s="14" t="n"/>
      <c r="H116" s="22" t="n"/>
      <c r="I116" s="25">
        <f>IF(Q116="D",N(H116),0)</f>
        <v/>
      </c>
      <c r="J116" s="25">
        <f>IF(Q116="C",N(H116),0)</f>
        <v/>
      </c>
      <c r="K116" s="26">
        <f>IF(Z116="","",Z116)</f>
        <v/>
      </c>
      <c r="L116" s="27">
        <f>W116</f>
        <v/>
      </c>
      <c r="M116" s="28">
        <f>AA116</f>
        <v/>
      </c>
      <c r="N116" s="23">
        <f>IF(AND(B116="",C116="",D116="",N(H116)=0),"",IF(B116="","Enter the date",IF(C116="","Pick the party",IF(P116="?","Add this party on the Parties sheet first",IF(D116="","Pick the entry type",IF(Q116="?","Pick the entry type from the list",IF(N(H116)=0,"Enter the amount",IF(AND(R116&lt;&gt;"Any",R116&lt;&gt;P116),"Sales, receipts and credit notes are for debtors; purchases, payments and debit notes for creditors",IF(AND(F116&lt;&gt;"",D116&lt;&gt;"Purchase bill"),"The received-on date is only for purchase bills",IF(AND(P116="Creditor",X116=1,AA116&gt;0),"Past due to a micro or small supplier: interest runs under MSMED s.16, and if unpaid at year end it is not deductible that year, s.37(2)(g)",IF(AND(P116="Debtor",X116=1,AA116&gt;0),"Past due to you: as a micro or small supplier you can claim interest under MSMED s.16","OK")))))))))))</f>
        <v/>
      </c>
      <c r="P116">
        <f>IF(C116="","",IFERROR(VLOOKUP(C116,'Example Parties'!$B$13:$Q$112,2,FALSE),"?"))</f>
        <v/>
      </c>
      <c r="Q116">
        <f>IF(D116="","",IFERROR(VLOOKUP(D116,Lists!$A$2:$D$9,3,FALSE),"?"))</f>
        <v/>
      </c>
      <c r="R116">
        <f>IF(D116="","",IFERROR(VLOOKUP(D116,Lists!$A$2:$D$9,4,FALSE),"?"))</f>
        <v/>
      </c>
      <c r="S116">
        <f>IF(P116="Debtor",I116,IF(P116="Creditor",J116,0))</f>
        <v/>
      </c>
      <c r="T116">
        <f>IF(P116="Debtor",J116,IF(P116="Creditor",I116,0))</f>
        <v/>
      </c>
      <c r="U116">
        <f>IF(OR(S116=0,B116=""),0,IFERROR(VLOOKUP(C116,'Example Parties'!$B$13:$Q$112,13,FALSE),0)+SUMIFS($S$7:$S$506,$C$7:$C$506,C116,$B$7:$B$506,"&lt;"&amp;B116)+SUMIFS(S$7:S116,C$7:C116,C116,B$7:B116,B116))</f>
        <v/>
      </c>
      <c r="V116">
        <f>IF(S116=0,0,IFERROR(VLOOKUP(C116,'Example Parties'!$B$13:$Q$112,14,FALSE),0)+SUMIFS($T$7:$T$506,$C$7:$C$506,C116,$B$7:$B$506,"&lt;="&amp;'Example Outstanding'!$E$5))</f>
        <v/>
      </c>
      <c r="W116">
        <f>IF(OR('Example Outstanding'!$E$5="",S116=0,B116="",B116&gt;'Example Outstanding'!$E$5),0,MAX(0,MIN(S116,U116-V116)))</f>
        <v/>
      </c>
      <c r="X116">
        <f>IF(C116="",0,IFERROR(VLOOKUP(C116,'Example Parties'!$B$13:$Q$112,15,FALSE),0))</f>
        <v/>
      </c>
      <c r="Y116">
        <f>IF(C116="","",IFERROR(VLOOKUP(C116,'Example Parties'!$B$13:$Q$112,16,FALSE),0))</f>
        <v/>
      </c>
      <c r="Z116">
        <f>IF(OR(S116=0,B116="",Y116=""),"",IF(AND(F116&lt;&gt;"",D116="Purchase bill"),F116,B116)+Y116)</f>
        <v/>
      </c>
      <c r="AA116">
        <f>IF(OR(W116=0,Z116=""),0,MAX(0,'Example Outstanding'!$E$5-Z116))</f>
        <v/>
      </c>
      <c r="AB116">
        <f>IF(AND(X116=1,AA116&gt;0),W116*((1+3*N('Example Parties'!$E$10)/12)^(AA116*12/365)-1),0)</f>
        <v/>
      </c>
      <c r="AC116">
        <f>IF(W116=0,"",'Example Outstanding'!$E$5-B116)</f>
        <v/>
      </c>
      <c r="AD116">
        <f>IF(S116=0,0,IFERROR(VLOOKUP(C116,'Example Parties'!$B$13:$Q$112,14,FALSE),0)+SUMIFS($T$7:$T$506,$C$7:$C$506,C116,$B$7:$B$506,"&lt;="&amp;'Example Parties'!$E$8))</f>
        <v/>
      </c>
      <c r="AE116">
        <f>IF(OR('Example Parties'!$E$8="",S116=0,B116="",B116&gt;'Example Parties'!$E$8),0,MAX(0,MIN(S116,U116-AD116)))</f>
        <v/>
      </c>
      <c r="AF116">
        <f>IF(AND(P116="Creditor",X116=1,AE116&gt;0,Z116&lt;&gt;""),IF(Z116&lt;='Example Parties'!$E$8,AE116,0),0)</f>
        <v/>
      </c>
      <c r="AG116">
        <f>IF(OR(AE116=0,Z116=""),0,MAX(0,'Example Parties'!$E$8-Z116))</f>
        <v/>
      </c>
      <c r="AH116">
        <f>IF(AND(P116="Creditor",X116=1,AG116&gt;0),AE116*((1+3*N('Example Parties'!$E$10)/12)^(AG116*12/365)-1),0)</f>
        <v/>
      </c>
      <c r="AI116">
        <f>IF(AND(C116&lt;&gt;"",C116='Example Ledger'!$D$4,B116&lt;&gt;"",B116&gt;='Example Ledger'!$D$5,B116&lt;='Example Ledger'!$D$6),1,0)</f>
        <v/>
      </c>
      <c r="AJ116">
        <f>IF(AI116=1,SUM(AI$7:AI116),"")</f>
        <v/>
      </c>
      <c r="AK116">
        <f>IF(OR(N116="",N116="OK"),0,1)</f>
        <v/>
      </c>
    </row>
    <row r="117">
      <c r="B117" s="24" t="n"/>
      <c r="C117" s="14" t="n"/>
      <c r="D117" s="14" t="n"/>
      <c r="E117" s="20" t="n"/>
      <c r="F117" s="24" t="n"/>
      <c r="G117" s="14" t="n"/>
      <c r="H117" s="22" t="n"/>
      <c r="I117" s="25">
        <f>IF(Q117="D",N(H117),0)</f>
        <v/>
      </c>
      <c r="J117" s="25">
        <f>IF(Q117="C",N(H117),0)</f>
        <v/>
      </c>
      <c r="K117" s="26">
        <f>IF(Z117="","",Z117)</f>
        <v/>
      </c>
      <c r="L117" s="27">
        <f>W117</f>
        <v/>
      </c>
      <c r="M117" s="28">
        <f>AA117</f>
        <v/>
      </c>
      <c r="N117" s="23">
        <f>IF(AND(B117="",C117="",D117="",N(H117)=0),"",IF(B117="","Enter the date",IF(C117="","Pick the party",IF(P117="?","Add this party on the Parties sheet first",IF(D117="","Pick the entry type",IF(Q117="?","Pick the entry type from the list",IF(N(H117)=0,"Enter the amount",IF(AND(R117&lt;&gt;"Any",R117&lt;&gt;P117),"Sales, receipts and credit notes are for debtors; purchases, payments and debit notes for creditors",IF(AND(F117&lt;&gt;"",D117&lt;&gt;"Purchase bill"),"The received-on date is only for purchase bills",IF(AND(P117="Creditor",X117=1,AA117&gt;0),"Past due to a micro or small supplier: interest runs under MSMED s.16, and if unpaid at year end it is not deductible that year, s.37(2)(g)",IF(AND(P117="Debtor",X117=1,AA117&gt;0),"Past due to you: as a micro or small supplier you can claim interest under MSMED s.16","OK")))))))))))</f>
        <v/>
      </c>
      <c r="P117">
        <f>IF(C117="","",IFERROR(VLOOKUP(C117,'Example Parties'!$B$13:$Q$112,2,FALSE),"?"))</f>
        <v/>
      </c>
      <c r="Q117">
        <f>IF(D117="","",IFERROR(VLOOKUP(D117,Lists!$A$2:$D$9,3,FALSE),"?"))</f>
        <v/>
      </c>
      <c r="R117">
        <f>IF(D117="","",IFERROR(VLOOKUP(D117,Lists!$A$2:$D$9,4,FALSE),"?"))</f>
        <v/>
      </c>
      <c r="S117">
        <f>IF(P117="Debtor",I117,IF(P117="Creditor",J117,0))</f>
        <v/>
      </c>
      <c r="T117">
        <f>IF(P117="Debtor",J117,IF(P117="Creditor",I117,0))</f>
        <v/>
      </c>
      <c r="U117">
        <f>IF(OR(S117=0,B117=""),0,IFERROR(VLOOKUP(C117,'Example Parties'!$B$13:$Q$112,13,FALSE),0)+SUMIFS($S$7:$S$506,$C$7:$C$506,C117,$B$7:$B$506,"&lt;"&amp;B117)+SUMIFS(S$7:S117,C$7:C117,C117,B$7:B117,B117))</f>
        <v/>
      </c>
      <c r="V117">
        <f>IF(S117=0,0,IFERROR(VLOOKUP(C117,'Example Parties'!$B$13:$Q$112,14,FALSE),0)+SUMIFS($T$7:$T$506,$C$7:$C$506,C117,$B$7:$B$506,"&lt;="&amp;'Example Outstanding'!$E$5))</f>
        <v/>
      </c>
      <c r="W117">
        <f>IF(OR('Example Outstanding'!$E$5="",S117=0,B117="",B117&gt;'Example Outstanding'!$E$5),0,MAX(0,MIN(S117,U117-V117)))</f>
        <v/>
      </c>
      <c r="X117">
        <f>IF(C117="",0,IFERROR(VLOOKUP(C117,'Example Parties'!$B$13:$Q$112,15,FALSE),0))</f>
        <v/>
      </c>
      <c r="Y117">
        <f>IF(C117="","",IFERROR(VLOOKUP(C117,'Example Parties'!$B$13:$Q$112,16,FALSE),0))</f>
        <v/>
      </c>
      <c r="Z117">
        <f>IF(OR(S117=0,B117="",Y117=""),"",IF(AND(F117&lt;&gt;"",D117="Purchase bill"),F117,B117)+Y117)</f>
        <v/>
      </c>
      <c r="AA117">
        <f>IF(OR(W117=0,Z117=""),0,MAX(0,'Example Outstanding'!$E$5-Z117))</f>
        <v/>
      </c>
      <c r="AB117">
        <f>IF(AND(X117=1,AA117&gt;0),W117*((1+3*N('Example Parties'!$E$10)/12)^(AA117*12/365)-1),0)</f>
        <v/>
      </c>
      <c r="AC117">
        <f>IF(W117=0,"",'Example Outstanding'!$E$5-B117)</f>
        <v/>
      </c>
      <c r="AD117">
        <f>IF(S117=0,0,IFERROR(VLOOKUP(C117,'Example Parties'!$B$13:$Q$112,14,FALSE),0)+SUMIFS($T$7:$T$506,$C$7:$C$506,C117,$B$7:$B$506,"&lt;="&amp;'Example Parties'!$E$8))</f>
        <v/>
      </c>
      <c r="AE117">
        <f>IF(OR('Example Parties'!$E$8="",S117=0,B117="",B117&gt;'Example Parties'!$E$8),0,MAX(0,MIN(S117,U117-AD117)))</f>
        <v/>
      </c>
      <c r="AF117">
        <f>IF(AND(P117="Creditor",X117=1,AE117&gt;0,Z117&lt;&gt;""),IF(Z117&lt;='Example Parties'!$E$8,AE117,0),0)</f>
        <v/>
      </c>
      <c r="AG117">
        <f>IF(OR(AE117=0,Z117=""),0,MAX(0,'Example Parties'!$E$8-Z117))</f>
        <v/>
      </c>
      <c r="AH117">
        <f>IF(AND(P117="Creditor",X117=1,AG117&gt;0),AE117*((1+3*N('Example Parties'!$E$10)/12)^(AG117*12/365)-1),0)</f>
        <v/>
      </c>
      <c r="AI117">
        <f>IF(AND(C117&lt;&gt;"",C117='Example Ledger'!$D$4,B117&lt;&gt;"",B117&gt;='Example Ledger'!$D$5,B117&lt;='Example Ledger'!$D$6),1,0)</f>
        <v/>
      </c>
      <c r="AJ117">
        <f>IF(AI117=1,SUM(AI$7:AI117),"")</f>
        <v/>
      </c>
      <c r="AK117">
        <f>IF(OR(N117="",N117="OK"),0,1)</f>
        <v/>
      </c>
    </row>
    <row r="118">
      <c r="B118" s="24" t="n"/>
      <c r="C118" s="14" t="n"/>
      <c r="D118" s="14" t="n"/>
      <c r="E118" s="20" t="n"/>
      <c r="F118" s="24" t="n"/>
      <c r="G118" s="14" t="n"/>
      <c r="H118" s="22" t="n"/>
      <c r="I118" s="25">
        <f>IF(Q118="D",N(H118),0)</f>
        <v/>
      </c>
      <c r="J118" s="25">
        <f>IF(Q118="C",N(H118),0)</f>
        <v/>
      </c>
      <c r="K118" s="26">
        <f>IF(Z118="","",Z118)</f>
        <v/>
      </c>
      <c r="L118" s="27">
        <f>W118</f>
        <v/>
      </c>
      <c r="M118" s="28">
        <f>AA118</f>
        <v/>
      </c>
      <c r="N118" s="23">
        <f>IF(AND(B118="",C118="",D118="",N(H118)=0),"",IF(B118="","Enter the date",IF(C118="","Pick the party",IF(P118="?","Add this party on the Parties sheet first",IF(D118="","Pick the entry type",IF(Q118="?","Pick the entry type from the list",IF(N(H118)=0,"Enter the amount",IF(AND(R118&lt;&gt;"Any",R118&lt;&gt;P118),"Sales, receipts and credit notes are for debtors; purchases, payments and debit notes for creditors",IF(AND(F118&lt;&gt;"",D118&lt;&gt;"Purchase bill"),"The received-on date is only for purchase bills",IF(AND(P118="Creditor",X118=1,AA118&gt;0),"Past due to a micro or small supplier: interest runs under MSMED s.16, and if unpaid at year end it is not deductible that year, s.37(2)(g)",IF(AND(P118="Debtor",X118=1,AA118&gt;0),"Past due to you: as a micro or small supplier you can claim interest under MSMED s.16","OK")))))))))))</f>
        <v/>
      </c>
      <c r="P118">
        <f>IF(C118="","",IFERROR(VLOOKUP(C118,'Example Parties'!$B$13:$Q$112,2,FALSE),"?"))</f>
        <v/>
      </c>
      <c r="Q118">
        <f>IF(D118="","",IFERROR(VLOOKUP(D118,Lists!$A$2:$D$9,3,FALSE),"?"))</f>
        <v/>
      </c>
      <c r="R118">
        <f>IF(D118="","",IFERROR(VLOOKUP(D118,Lists!$A$2:$D$9,4,FALSE),"?"))</f>
        <v/>
      </c>
      <c r="S118">
        <f>IF(P118="Debtor",I118,IF(P118="Creditor",J118,0))</f>
        <v/>
      </c>
      <c r="T118">
        <f>IF(P118="Debtor",J118,IF(P118="Creditor",I118,0))</f>
        <v/>
      </c>
      <c r="U118">
        <f>IF(OR(S118=0,B118=""),0,IFERROR(VLOOKUP(C118,'Example Parties'!$B$13:$Q$112,13,FALSE),0)+SUMIFS($S$7:$S$506,$C$7:$C$506,C118,$B$7:$B$506,"&lt;"&amp;B118)+SUMIFS(S$7:S118,C$7:C118,C118,B$7:B118,B118))</f>
        <v/>
      </c>
      <c r="V118">
        <f>IF(S118=0,0,IFERROR(VLOOKUP(C118,'Example Parties'!$B$13:$Q$112,14,FALSE),0)+SUMIFS($T$7:$T$506,$C$7:$C$506,C118,$B$7:$B$506,"&lt;="&amp;'Example Outstanding'!$E$5))</f>
        <v/>
      </c>
      <c r="W118">
        <f>IF(OR('Example Outstanding'!$E$5="",S118=0,B118="",B118&gt;'Example Outstanding'!$E$5),0,MAX(0,MIN(S118,U118-V118)))</f>
        <v/>
      </c>
      <c r="X118">
        <f>IF(C118="",0,IFERROR(VLOOKUP(C118,'Example Parties'!$B$13:$Q$112,15,FALSE),0))</f>
        <v/>
      </c>
      <c r="Y118">
        <f>IF(C118="","",IFERROR(VLOOKUP(C118,'Example Parties'!$B$13:$Q$112,16,FALSE),0))</f>
        <v/>
      </c>
      <c r="Z118">
        <f>IF(OR(S118=0,B118="",Y118=""),"",IF(AND(F118&lt;&gt;"",D118="Purchase bill"),F118,B118)+Y118)</f>
        <v/>
      </c>
      <c r="AA118">
        <f>IF(OR(W118=0,Z118=""),0,MAX(0,'Example Outstanding'!$E$5-Z118))</f>
        <v/>
      </c>
      <c r="AB118">
        <f>IF(AND(X118=1,AA118&gt;0),W118*((1+3*N('Example Parties'!$E$10)/12)^(AA118*12/365)-1),0)</f>
        <v/>
      </c>
      <c r="AC118">
        <f>IF(W118=0,"",'Example Outstanding'!$E$5-B118)</f>
        <v/>
      </c>
      <c r="AD118">
        <f>IF(S118=0,0,IFERROR(VLOOKUP(C118,'Example Parties'!$B$13:$Q$112,14,FALSE),0)+SUMIFS($T$7:$T$506,$C$7:$C$506,C118,$B$7:$B$506,"&lt;="&amp;'Example Parties'!$E$8))</f>
        <v/>
      </c>
      <c r="AE118">
        <f>IF(OR('Example Parties'!$E$8="",S118=0,B118="",B118&gt;'Example Parties'!$E$8),0,MAX(0,MIN(S118,U118-AD118)))</f>
        <v/>
      </c>
      <c r="AF118">
        <f>IF(AND(P118="Creditor",X118=1,AE118&gt;0,Z118&lt;&gt;""),IF(Z118&lt;='Example Parties'!$E$8,AE118,0),0)</f>
        <v/>
      </c>
      <c r="AG118">
        <f>IF(OR(AE118=0,Z118=""),0,MAX(0,'Example Parties'!$E$8-Z118))</f>
        <v/>
      </c>
      <c r="AH118">
        <f>IF(AND(P118="Creditor",X118=1,AG118&gt;0),AE118*((1+3*N('Example Parties'!$E$10)/12)^(AG118*12/365)-1),0)</f>
        <v/>
      </c>
      <c r="AI118">
        <f>IF(AND(C118&lt;&gt;"",C118='Example Ledger'!$D$4,B118&lt;&gt;"",B118&gt;='Example Ledger'!$D$5,B118&lt;='Example Ledger'!$D$6),1,0)</f>
        <v/>
      </c>
      <c r="AJ118">
        <f>IF(AI118=1,SUM(AI$7:AI118),"")</f>
        <v/>
      </c>
      <c r="AK118">
        <f>IF(OR(N118="",N118="OK"),0,1)</f>
        <v/>
      </c>
    </row>
    <row r="119">
      <c r="B119" s="24" t="n"/>
      <c r="C119" s="14" t="n"/>
      <c r="D119" s="14" t="n"/>
      <c r="E119" s="20" t="n"/>
      <c r="F119" s="24" t="n"/>
      <c r="G119" s="14" t="n"/>
      <c r="H119" s="22" t="n"/>
      <c r="I119" s="25">
        <f>IF(Q119="D",N(H119),0)</f>
        <v/>
      </c>
      <c r="J119" s="25">
        <f>IF(Q119="C",N(H119),0)</f>
        <v/>
      </c>
      <c r="K119" s="26">
        <f>IF(Z119="","",Z119)</f>
        <v/>
      </c>
      <c r="L119" s="27">
        <f>W119</f>
        <v/>
      </c>
      <c r="M119" s="28">
        <f>AA119</f>
        <v/>
      </c>
      <c r="N119" s="23">
        <f>IF(AND(B119="",C119="",D119="",N(H119)=0),"",IF(B119="","Enter the date",IF(C119="","Pick the party",IF(P119="?","Add this party on the Parties sheet first",IF(D119="","Pick the entry type",IF(Q119="?","Pick the entry type from the list",IF(N(H119)=0,"Enter the amount",IF(AND(R119&lt;&gt;"Any",R119&lt;&gt;P119),"Sales, receipts and credit notes are for debtors; purchases, payments and debit notes for creditors",IF(AND(F119&lt;&gt;"",D119&lt;&gt;"Purchase bill"),"The received-on date is only for purchase bills",IF(AND(P119="Creditor",X119=1,AA119&gt;0),"Past due to a micro or small supplier: interest runs under MSMED s.16, and if unpaid at year end it is not deductible that year, s.37(2)(g)",IF(AND(P119="Debtor",X119=1,AA119&gt;0),"Past due to you: as a micro or small supplier you can claim interest under MSMED s.16","OK")))))))))))</f>
        <v/>
      </c>
      <c r="P119">
        <f>IF(C119="","",IFERROR(VLOOKUP(C119,'Example Parties'!$B$13:$Q$112,2,FALSE),"?"))</f>
        <v/>
      </c>
      <c r="Q119">
        <f>IF(D119="","",IFERROR(VLOOKUP(D119,Lists!$A$2:$D$9,3,FALSE),"?"))</f>
        <v/>
      </c>
      <c r="R119">
        <f>IF(D119="","",IFERROR(VLOOKUP(D119,Lists!$A$2:$D$9,4,FALSE),"?"))</f>
        <v/>
      </c>
      <c r="S119">
        <f>IF(P119="Debtor",I119,IF(P119="Creditor",J119,0))</f>
        <v/>
      </c>
      <c r="T119">
        <f>IF(P119="Debtor",J119,IF(P119="Creditor",I119,0))</f>
        <v/>
      </c>
      <c r="U119">
        <f>IF(OR(S119=0,B119=""),0,IFERROR(VLOOKUP(C119,'Example Parties'!$B$13:$Q$112,13,FALSE),0)+SUMIFS($S$7:$S$506,$C$7:$C$506,C119,$B$7:$B$506,"&lt;"&amp;B119)+SUMIFS(S$7:S119,C$7:C119,C119,B$7:B119,B119))</f>
        <v/>
      </c>
      <c r="V119">
        <f>IF(S119=0,0,IFERROR(VLOOKUP(C119,'Example Parties'!$B$13:$Q$112,14,FALSE),0)+SUMIFS($T$7:$T$506,$C$7:$C$506,C119,$B$7:$B$506,"&lt;="&amp;'Example Outstanding'!$E$5))</f>
        <v/>
      </c>
      <c r="W119">
        <f>IF(OR('Example Outstanding'!$E$5="",S119=0,B119="",B119&gt;'Example Outstanding'!$E$5),0,MAX(0,MIN(S119,U119-V119)))</f>
        <v/>
      </c>
      <c r="X119">
        <f>IF(C119="",0,IFERROR(VLOOKUP(C119,'Example Parties'!$B$13:$Q$112,15,FALSE),0))</f>
        <v/>
      </c>
      <c r="Y119">
        <f>IF(C119="","",IFERROR(VLOOKUP(C119,'Example Parties'!$B$13:$Q$112,16,FALSE),0))</f>
        <v/>
      </c>
      <c r="Z119">
        <f>IF(OR(S119=0,B119="",Y119=""),"",IF(AND(F119&lt;&gt;"",D119="Purchase bill"),F119,B119)+Y119)</f>
        <v/>
      </c>
      <c r="AA119">
        <f>IF(OR(W119=0,Z119=""),0,MAX(0,'Example Outstanding'!$E$5-Z119))</f>
        <v/>
      </c>
      <c r="AB119">
        <f>IF(AND(X119=1,AA119&gt;0),W119*((1+3*N('Example Parties'!$E$10)/12)^(AA119*12/365)-1),0)</f>
        <v/>
      </c>
      <c r="AC119">
        <f>IF(W119=0,"",'Example Outstanding'!$E$5-B119)</f>
        <v/>
      </c>
      <c r="AD119">
        <f>IF(S119=0,0,IFERROR(VLOOKUP(C119,'Example Parties'!$B$13:$Q$112,14,FALSE),0)+SUMIFS($T$7:$T$506,$C$7:$C$506,C119,$B$7:$B$506,"&lt;="&amp;'Example Parties'!$E$8))</f>
        <v/>
      </c>
      <c r="AE119">
        <f>IF(OR('Example Parties'!$E$8="",S119=0,B119="",B119&gt;'Example Parties'!$E$8),0,MAX(0,MIN(S119,U119-AD119)))</f>
        <v/>
      </c>
      <c r="AF119">
        <f>IF(AND(P119="Creditor",X119=1,AE119&gt;0,Z119&lt;&gt;""),IF(Z119&lt;='Example Parties'!$E$8,AE119,0),0)</f>
        <v/>
      </c>
      <c r="AG119">
        <f>IF(OR(AE119=0,Z119=""),0,MAX(0,'Example Parties'!$E$8-Z119))</f>
        <v/>
      </c>
      <c r="AH119">
        <f>IF(AND(P119="Creditor",X119=1,AG119&gt;0),AE119*((1+3*N('Example Parties'!$E$10)/12)^(AG119*12/365)-1),0)</f>
        <v/>
      </c>
      <c r="AI119">
        <f>IF(AND(C119&lt;&gt;"",C119='Example Ledger'!$D$4,B119&lt;&gt;"",B119&gt;='Example Ledger'!$D$5,B119&lt;='Example Ledger'!$D$6),1,0)</f>
        <v/>
      </c>
      <c r="AJ119">
        <f>IF(AI119=1,SUM(AI$7:AI119),"")</f>
        <v/>
      </c>
      <c r="AK119">
        <f>IF(OR(N119="",N119="OK"),0,1)</f>
        <v/>
      </c>
    </row>
    <row r="120">
      <c r="B120" s="24" t="n"/>
      <c r="C120" s="14" t="n"/>
      <c r="D120" s="14" t="n"/>
      <c r="E120" s="20" t="n"/>
      <c r="F120" s="24" t="n"/>
      <c r="G120" s="14" t="n"/>
      <c r="H120" s="22" t="n"/>
      <c r="I120" s="25">
        <f>IF(Q120="D",N(H120),0)</f>
        <v/>
      </c>
      <c r="J120" s="25">
        <f>IF(Q120="C",N(H120),0)</f>
        <v/>
      </c>
      <c r="K120" s="26">
        <f>IF(Z120="","",Z120)</f>
        <v/>
      </c>
      <c r="L120" s="27">
        <f>W120</f>
        <v/>
      </c>
      <c r="M120" s="28">
        <f>AA120</f>
        <v/>
      </c>
      <c r="N120" s="23">
        <f>IF(AND(B120="",C120="",D120="",N(H120)=0),"",IF(B120="","Enter the date",IF(C120="","Pick the party",IF(P120="?","Add this party on the Parties sheet first",IF(D120="","Pick the entry type",IF(Q120="?","Pick the entry type from the list",IF(N(H120)=0,"Enter the amount",IF(AND(R120&lt;&gt;"Any",R120&lt;&gt;P120),"Sales, receipts and credit notes are for debtors; purchases, payments and debit notes for creditors",IF(AND(F120&lt;&gt;"",D120&lt;&gt;"Purchase bill"),"The received-on date is only for purchase bills",IF(AND(P120="Creditor",X120=1,AA120&gt;0),"Past due to a micro or small supplier: interest runs under MSMED s.16, and if unpaid at year end it is not deductible that year, s.37(2)(g)",IF(AND(P120="Debtor",X120=1,AA120&gt;0),"Past due to you: as a micro or small supplier you can claim interest under MSMED s.16","OK")))))))))))</f>
        <v/>
      </c>
      <c r="P120">
        <f>IF(C120="","",IFERROR(VLOOKUP(C120,'Example Parties'!$B$13:$Q$112,2,FALSE),"?"))</f>
        <v/>
      </c>
      <c r="Q120">
        <f>IF(D120="","",IFERROR(VLOOKUP(D120,Lists!$A$2:$D$9,3,FALSE),"?"))</f>
        <v/>
      </c>
      <c r="R120">
        <f>IF(D120="","",IFERROR(VLOOKUP(D120,Lists!$A$2:$D$9,4,FALSE),"?"))</f>
        <v/>
      </c>
      <c r="S120">
        <f>IF(P120="Debtor",I120,IF(P120="Creditor",J120,0))</f>
        <v/>
      </c>
      <c r="T120">
        <f>IF(P120="Debtor",J120,IF(P120="Creditor",I120,0))</f>
        <v/>
      </c>
      <c r="U120">
        <f>IF(OR(S120=0,B120=""),0,IFERROR(VLOOKUP(C120,'Example Parties'!$B$13:$Q$112,13,FALSE),0)+SUMIFS($S$7:$S$506,$C$7:$C$506,C120,$B$7:$B$506,"&lt;"&amp;B120)+SUMIFS(S$7:S120,C$7:C120,C120,B$7:B120,B120))</f>
        <v/>
      </c>
      <c r="V120">
        <f>IF(S120=0,0,IFERROR(VLOOKUP(C120,'Example Parties'!$B$13:$Q$112,14,FALSE),0)+SUMIFS($T$7:$T$506,$C$7:$C$506,C120,$B$7:$B$506,"&lt;="&amp;'Example Outstanding'!$E$5))</f>
        <v/>
      </c>
      <c r="W120">
        <f>IF(OR('Example Outstanding'!$E$5="",S120=0,B120="",B120&gt;'Example Outstanding'!$E$5),0,MAX(0,MIN(S120,U120-V120)))</f>
        <v/>
      </c>
      <c r="X120">
        <f>IF(C120="",0,IFERROR(VLOOKUP(C120,'Example Parties'!$B$13:$Q$112,15,FALSE),0))</f>
        <v/>
      </c>
      <c r="Y120">
        <f>IF(C120="","",IFERROR(VLOOKUP(C120,'Example Parties'!$B$13:$Q$112,16,FALSE),0))</f>
        <v/>
      </c>
      <c r="Z120">
        <f>IF(OR(S120=0,B120="",Y120=""),"",IF(AND(F120&lt;&gt;"",D120="Purchase bill"),F120,B120)+Y120)</f>
        <v/>
      </c>
      <c r="AA120">
        <f>IF(OR(W120=0,Z120=""),0,MAX(0,'Example Outstanding'!$E$5-Z120))</f>
        <v/>
      </c>
      <c r="AB120">
        <f>IF(AND(X120=1,AA120&gt;0),W120*((1+3*N('Example Parties'!$E$10)/12)^(AA120*12/365)-1),0)</f>
        <v/>
      </c>
      <c r="AC120">
        <f>IF(W120=0,"",'Example Outstanding'!$E$5-B120)</f>
        <v/>
      </c>
      <c r="AD120">
        <f>IF(S120=0,0,IFERROR(VLOOKUP(C120,'Example Parties'!$B$13:$Q$112,14,FALSE),0)+SUMIFS($T$7:$T$506,$C$7:$C$506,C120,$B$7:$B$506,"&lt;="&amp;'Example Parties'!$E$8))</f>
        <v/>
      </c>
      <c r="AE120">
        <f>IF(OR('Example Parties'!$E$8="",S120=0,B120="",B120&gt;'Example Parties'!$E$8),0,MAX(0,MIN(S120,U120-AD120)))</f>
        <v/>
      </c>
      <c r="AF120">
        <f>IF(AND(P120="Creditor",X120=1,AE120&gt;0,Z120&lt;&gt;""),IF(Z120&lt;='Example Parties'!$E$8,AE120,0),0)</f>
        <v/>
      </c>
      <c r="AG120">
        <f>IF(OR(AE120=0,Z120=""),0,MAX(0,'Example Parties'!$E$8-Z120))</f>
        <v/>
      </c>
      <c r="AH120">
        <f>IF(AND(P120="Creditor",X120=1,AG120&gt;0),AE120*((1+3*N('Example Parties'!$E$10)/12)^(AG120*12/365)-1),0)</f>
        <v/>
      </c>
      <c r="AI120">
        <f>IF(AND(C120&lt;&gt;"",C120='Example Ledger'!$D$4,B120&lt;&gt;"",B120&gt;='Example Ledger'!$D$5,B120&lt;='Example Ledger'!$D$6),1,0)</f>
        <v/>
      </c>
      <c r="AJ120">
        <f>IF(AI120=1,SUM(AI$7:AI120),"")</f>
        <v/>
      </c>
      <c r="AK120">
        <f>IF(OR(N120="",N120="OK"),0,1)</f>
        <v/>
      </c>
    </row>
    <row r="121">
      <c r="B121" s="24" t="n"/>
      <c r="C121" s="14" t="n"/>
      <c r="D121" s="14" t="n"/>
      <c r="E121" s="20" t="n"/>
      <c r="F121" s="24" t="n"/>
      <c r="G121" s="14" t="n"/>
      <c r="H121" s="22" t="n"/>
      <c r="I121" s="25">
        <f>IF(Q121="D",N(H121),0)</f>
        <v/>
      </c>
      <c r="J121" s="25">
        <f>IF(Q121="C",N(H121),0)</f>
        <v/>
      </c>
      <c r="K121" s="26">
        <f>IF(Z121="","",Z121)</f>
        <v/>
      </c>
      <c r="L121" s="27">
        <f>W121</f>
        <v/>
      </c>
      <c r="M121" s="28">
        <f>AA121</f>
        <v/>
      </c>
      <c r="N121" s="23">
        <f>IF(AND(B121="",C121="",D121="",N(H121)=0),"",IF(B121="","Enter the date",IF(C121="","Pick the party",IF(P121="?","Add this party on the Parties sheet first",IF(D121="","Pick the entry type",IF(Q121="?","Pick the entry type from the list",IF(N(H121)=0,"Enter the amount",IF(AND(R121&lt;&gt;"Any",R121&lt;&gt;P121),"Sales, receipts and credit notes are for debtors; purchases, payments and debit notes for creditors",IF(AND(F121&lt;&gt;"",D121&lt;&gt;"Purchase bill"),"The received-on date is only for purchase bills",IF(AND(P121="Creditor",X121=1,AA121&gt;0),"Past due to a micro or small supplier: interest runs under MSMED s.16, and if unpaid at year end it is not deductible that year, s.37(2)(g)",IF(AND(P121="Debtor",X121=1,AA121&gt;0),"Past due to you: as a micro or small supplier you can claim interest under MSMED s.16","OK")))))))))))</f>
        <v/>
      </c>
      <c r="P121">
        <f>IF(C121="","",IFERROR(VLOOKUP(C121,'Example Parties'!$B$13:$Q$112,2,FALSE),"?"))</f>
        <v/>
      </c>
      <c r="Q121">
        <f>IF(D121="","",IFERROR(VLOOKUP(D121,Lists!$A$2:$D$9,3,FALSE),"?"))</f>
        <v/>
      </c>
      <c r="R121">
        <f>IF(D121="","",IFERROR(VLOOKUP(D121,Lists!$A$2:$D$9,4,FALSE),"?"))</f>
        <v/>
      </c>
      <c r="S121">
        <f>IF(P121="Debtor",I121,IF(P121="Creditor",J121,0))</f>
        <v/>
      </c>
      <c r="T121">
        <f>IF(P121="Debtor",J121,IF(P121="Creditor",I121,0))</f>
        <v/>
      </c>
      <c r="U121">
        <f>IF(OR(S121=0,B121=""),0,IFERROR(VLOOKUP(C121,'Example Parties'!$B$13:$Q$112,13,FALSE),0)+SUMIFS($S$7:$S$506,$C$7:$C$506,C121,$B$7:$B$506,"&lt;"&amp;B121)+SUMIFS(S$7:S121,C$7:C121,C121,B$7:B121,B121))</f>
        <v/>
      </c>
      <c r="V121">
        <f>IF(S121=0,0,IFERROR(VLOOKUP(C121,'Example Parties'!$B$13:$Q$112,14,FALSE),0)+SUMIFS($T$7:$T$506,$C$7:$C$506,C121,$B$7:$B$506,"&lt;="&amp;'Example Outstanding'!$E$5))</f>
        <v/>
      </c>
      <c r="W121">
        <f>IF(OR('Example Outstanding'!$E$5="",S121=0,B121="",B121&gt;'Example Outstanding'!$E$5),0,MAX(0,MIN(S121,U121-V121)))</f>
        <v/>
      </c>
      <c r="X121">
        <f>IF(C121="",0,IFERROR(VLOOKUP(C121,'Example Parties'!$B$13:$Q$112,15,FALSE),0))</f>
        <v/>
      </c>
      <c r="Y121">
        <f>IF(C121="","",IFERROR(VLOOKUP(C121,'Example Parties'!$B$13:$Q$112,16,FALSE),0))</f>
        <v/>
      </c>
      <c r="Z121">
        <f>IF(OR(S121=0,B121="",Y121=""),"",IF(AND(F121&lt;&gt;"",D121="Purchase bill"),F121,B121)+Y121)</f>
        <v/>
      </c>
      <c r="AA121">
        <f>IF(OR(W121=0,Z121=""),0,MAX(0,'Example Outstanding'!$E$5-Z121))</f>
        <v/>
      </c>
      <c r="AB121">
        <f>IF(AND(X121=1,AA121&gt;0),W121*((1+3*N('Example Parties'!$E$10)/12)^(AA121*12/365)-1),0)</f>
        <v/>
      </c>
      <c r="AC121">
        <f>IF(W121=0,"",'Example Outstanding'!$E$5-B121)</f>
        <v/>
      </c>
      <c r="AD121">
        <f>IF(S121=0,0,IFERROR(VLOOKUP(C121,'Example Parties'!$B$13:$Q$112,14,FALSE),0)+SUMIFS($T$7:$T$506,$C$7:$C$506,C121,$B$7:$B$506,"&lt;="&amp;'Example Parties'!$E$8))</f>
        <v/>
      </c>
      <c r="AE121">
        <f>IF(OR('Example Parties'!$E$8="",S121=0,B121="",B121&gt;'Example Parties'!$E$8),0,MAX(0,MIN(S121,U121-AD121)))</f>
        <v/>
      </c>
      <c r="AF121">
        <f>IF(AND(P121="Creditor",X121=1,AE121&gt;0,Z121&lt;&gt;""),IF(Z121&lt;='Example Parties'!$E$8,AE121,0),0)</f>
        <v/>
      </c>
      <c r="AG121">
        <f>IF(OR(AE121=0,Z121=""),0,MAX(0,'Example Parties'!$E$8-Z121))</f>
        <v/>
      </c>
      <c r="AH121">
        <f>IF(AND(P121="Creditor",X121=1,AG121&gt;0),AE121*((1+3*N('Example Parties'!$E$10)/12)^(AG121*12/365)-1),0)</f>
        <v/>
      </c>
      <c r="AI121">
        <f>IF(AND(C121&lt;&gt;"",C121='Example Ledger'!$D$4,B121&lt;&gt;"",B121&gt;='Example Ledger'!$D$5,B121&lt;='Example Ledger'!$D$6),1,0)</f>
        <v/>
      </c>
      <c r="AJ121">
        <f>IF(AI121=1,SUM(AI$7:AI121),"")</f>
        <v/>
      </c>
      <c r="AK121">
        <f>IF(OR(N121="",N121="OK"),0,1)</f>
        <v/>
      </c>
    </row>
    <row r="122">
      <c r="B122" s="24" t="n"/>
      <c r="C122" s="14" t="n"/>
      <c r="D122" s="14" t="n"/>
      <c r="E122" s="20" t="n"/>
      <c r="F122" s="24" t="n"/>
      <c r="G122" s="14" t="n"/>
      <c r="H122" s="22" t="n"/>
      <c r="I122" s="25">
        <f>IF(Q122="D",N(H122),0)</f>
        <v/>
      </c>
      <c r="J122" s="25">
        <f>IF(Q122="C",N(H122),0)</f>
        <v/>
      </c>
      <c r="K122" s="26">
        <f>IF(Z122="","",Z122)</f>
        <v/>
      </c>
      <c r="L122" s="27">
        <f>W122</f>
        <v/>
      </c>
      <c r="M122" s="28">
        <f>AA122</f>
        <v/>
      </c>
      <c r="N122" s="23">
        <f>IF(AND(B122="",C122="",D122="",N(H122)=0),"",IF(B122="","Enter the date",IF(C122="","Pick the party",IF(P122="?","Add this party on the Parties sheet first",IF(D122="","Pick the entry type",IF(Q122="?","Pick the entry type from the list",IF(N(H122)=0,"Enter the amount",IF(AND(R122&lt;&gt;"Any",R122&lt;&gt;P122),"Sales, receipts and credit notes are for debtors; purchases, payments and debit notes for creditors",IF(AND(F122&lt;&gt;"",D122&lt;&gt;"Purchase bill"),"The received-on date is only for purchase bills",IF(AND(P122="Creditor",X122=1,AA122&gt;0),"Past due to a micro or small supplier: interest runs under MSMED s.16, and if unpaid at year end it is not deductible that year, s.37(2)(g)",IF(AND(P122="Debtor",X122=1,AA122&gt;0),"Past due to you: as a micro or small supplier you can claim interest under MSMED s.16","OK")))))))))))</f>
        <v/>
      </c>
      <c r="P122">
        <f>IF(C122="","",IFERROR(VLOOKUP(C122,'Example Parties'!$B$13:$Q$112,2,FALSE),"?"))</f>
        <v/>
      </c>
      <c r="Q122">
        <f>IF(D122="","",IFERROR(VLOOKUP(D122,Lists!$A$2:$D$9,3,FALSE),"?"))</f>
        <v/>
      </c>
      <c r="R122">
        <f>IF(D122="","",IFERROR(VLOOKUP(D122,Lists!$A$2:$D$9,4,FALSE),"?"))</f>
        <v/>
      </c>
      <c r="S122">
        <f>IF(P122="Debtor",I122,IF(P122="Creditor",J122,0))</f>
        <v/>
      </c>
      <c r="T122">
        <f>IF(P122="Debtor",J122,IF(P122="Creditor",I122,0))</f>
        <v/>
      </c>
      <c r="U122">
        <f>IF(OR(S122=0,B122=""),0,IFERROR(VLOOKUP(C122,'Example Parties'!$B$13:$Q$112,13,FALSE),0)+SUMIFS($S$7:$S$506,$C$7:$C$506,C122,$B$7:$B$506,"&lt;"&amp;B122)+SUMIFS(S$7:S122,C$7:C122,C122,B$7:B122,B122))</f>
        <v/>
      </c>
      <c r="V122">
        <f>IF(S122=0,0,IFERROR(VLOOKUP(C122,'Example Parties'!$B$13:$Q$112,14,FALSE),0)+SUMIFS($T$7:$T$506,$C$7:$C$506,C122,$B$7:$B$506,"&lt;="&amp;'Example Outstanding'!$E$5))</f>
        <v/>
      </c>
      <c r="W122">
        <f>IF(OR('Example Outstanding'!$E$5="",S122=0,B122="",B122&gt;'Example Outstanding'!$E$5),0,MAX(0,MIN(S122,U122-V122)))</f>
        <v/>
      </c>
      <c r="X122">
        <f>IF(C122="",0,IFERROR(VLOOKUP(C122,'Example Parties'!$B$13:$Q$112,15,FALSE),0))</f>
        <v/>
      </c>
      <c r="Y122">
        <f>IF(C122="","",IFERROR(VLOOKUP(C122,'Example Parties'!$B$13:$Q$112,16,FALSE),0))</f>
        <v/>
      </c>
      <c r="Z122">
        <f>IF(OR(S122=0,B122="",Y122=""),"",IF(AND(F122&lt;&gt;"",D122="Purchase bill"),F122,B122)+Y122)</f>
        <v/>
      </c>
      <c r="AA122">
        <f>IF(OR(W122=0,Z122=""),0,MAX(0,'Example Outstanding'!$E$5-Z122))</f>
        <v/>
      </c>
      <c r="AB122">
        <f>IF(AND(X122=1,AA122&gt;0),W122*((1+3*N('Example Parties'!$E$10)/12)^(AA122*12/365)-1),0)</f>
        <v/>
      </c>
      <c r="AC122">
        <f>IF(W122=0,"",'Example Outstanding'!$E$5-B122)</f>
        <v/>
      </c>
      <c r="AD122">
        <f>IF(S122=0,0,IFERROR(VLOOKUP(C122,'Example Parties'!$B$13:$Q$112,14,FALSE),0)+SUMIFS($T$7:$T$506,$C$7:$C$506,C122,$B$7:$B$506,"&lt;="&amp;'Example Parties'!$E$8))</f>
        <v/>
      </c>
      <c r="AE122">
        <f>IF(OR('Example Parties'!$E$8="",S122=0,B122="",B122&gt;'Example Parties'!$E$8),0,MAX(0,MIN(S122,U122-AD122)))</f>
        <v/>
      </c>
      <c r="AF122">
        <f>IF(AND(P122="Creditor",X122=1,AE122&gt;0,Z122&lt;&gt;""),IF(Z122&lt;='Example Parties'!$E$8,AE122,0),0)</f>
        <v/>
      </c>
      <c r="AG122">
        <f>IF(OR(AE122=0,Z122=""),0,MAX(0,'Example Parties'!$E$8-Z122))</f>
        <v/>
      </c>
      <c r="AH122">
        <f>IF(AND(P122="Creditor",X122=1,AG122&gt;0),AE122*((1+3*N('Example Parties'!$E$10)/12)^(AG122*12/365)-1),0)</f>
        <v/>
      </c>
      <c r="AI122">
        <f>IF(AND(C122&lt;&gt;"",C122='Example Ledger'!$D$4,B122&lt;&gt;"",B122&gt;='Example Ledger'!$D$5,B122&lt;='Example Ledger'!$D$6),1,0)</f>
        <v/>
      </c>
      <c r="AJ122">
        <f>IF(AI122=1,SUM(AI$7:AI122),"")</f>
        <v/>
      </c>
      <c r="AK122">
        <f>IF(OR(N122="",N122="OK"),0,1)</f>
        <v/>
      </c>
    </row>
    <row r="123">
      <c r="B123" s="24" t="n"/>
      <c r="C123" s="14" t="n"/>
      <c r="D123" s="14" t="n"/>
      <c r="E123" s="20" t="n"/>
      <c r="F123" s="24" t="n"/>
      <c r="G123" s="14" t="n"/>
      <c r="H123" s="22" t="n"/>
      <c r="I123" s="25">
        <f>IF(Q123="D",N(H123),0)</f>
        <v/>
      </c>
      <c r="J123" s="25">
        <f>IF(Q123="C",N(H123),0)</f>
        <v/>
      </c>
      <c r="K123" s="26">
        <f>IF(Z123="","",Z123)</f>
        <v/>
      </c>
      <c r="L123" s="27">
        <f>W123</f>
        <v/>
      </c>
      <c r="M123" s="28">
        <f>AA123</f>
        <v/>
      </c>
      <c r="N123" s="23">
        <f>IF(AND(B123="",C123="",D123="",N(H123)=0),"",IF(B123="","Enter the date",IF(C123="","Pick the party",IF(P123="?","Add this party on the Parties sheet first",IF(D123="","Pick the entry type",IF(Q123="?","Pick the entry type from the list",IF(N(H123)=0,"Enter the amount",IF(AND(R123&lt;&gt;"Any",R123&lt;&gt;P123),"Sales, receipts and credit notes are for debtors; purchases, payments and debit notes for creditors",IF(AND(F123&lt;&gt;"",D123&lt;&gt;"Purchase bill"),"The received-on date is only for purchase bills",IF(AND(P123="Creditor",X123=1,AA123&gt;0),"Past due to a micro or small supplier: interest runs under MSMED s.16, and if unpaid at year end it is not deductible that year, s.37(2)(g)",IF(AND(P123="Debtor",X123=1,AA123&gt;0),"Past due to you: as a micro or small supplier you can claim interest under MSMED s.16","OK")))))))))))</f>
        <v/>
      </c>
      <c r="P123">
        <f>IF(C123="","",IFERROR(VLOOKUP(C123,'Example Parties'!$B$13:$Q$112,2,FALSE),"?"))</f>
        <v/>
      </c>
      <c r="Q123">
        <f>IF(D123="","",IFERROR(VLOOKUP(D123,Lists!$A$2:$D$9,3,FALSE),"?"))</f>
        <v/>
      </c>
      <c r="R123">
        <f>IF(D123="","",IFERROR(VLOOKUP(D123,Lists!$A$2:$D$9,4,FALSE),"?"))</f>
        <v/>
      </c>
      <c r="S123">
        <f>IF(P123="Debtor",I123,IF(P123="Creditor",J123,0))</f>
        <v/>
      </c>
      <c r="T123">
        <f>IF(P123="Debtor",J123,IF(P123="Creditor",I123,0))</f>
        <v/>
      </c>
      <c r="U123">
        <f>IF(OR(S123=0,B123=""),0,IFERROR(VLOOKUP(C123,'Example Parties'!$B$13:$Q$112,13,FALSE),0)+SUMIFS($S$7:$S$506,$C$7:$C$506,C123,$B$7:$B$506,"&lt;"&amp;B123)+SUMIFS(S$7:S123,C$7:C123,C123,B$7:B123,B123))</f>
        <v/>
      </c>
      <c r="V123">
        <f>IF(S123=0,0,IFERROR(VLOOKUP(C123,'Example Parties'!$B$13:$Q$112,14,FALSE),0)+SUMIFS($T$7:$T$506,$C$7:$C$506,C123,$B$7:$B$506,"&lt;="&amp;'Example Outstanding'!$E$5))</f>
        <v/>
      </c>
      <c r="W123">
        <f>IF(OR('Example Outstanding'!$E$5="",S123=0,B123="",B123&gt;'Example Outstanding'!$E$5),0,MAX(0,MIN(S123,U123-V123)))</f>
        <v/>
      </c>
      <c r="X123">
        <f>IF(C123="",0,IFERROR(VLOOKUP(C123,'Example Parties'!$B$13:$Q$112,15,FALSE),0))</f>
        <v/>
      </c>
      <c r="Y123">
        <f>IF(C123="","",IFERROR(VLOOKUP(C123,'Example Parties'!$B$13:$Q$112,16,FALSE),0))</f>
        <v/>
      </c>
      <c r="Z123">
        <f>IF(OR(S123=0,B123="",Y123=""),"",IF(AND(F123&lt;&gt;"",D123="Purchase bill"),F123,B123)+Y123)</f>
        <v/>
      </c>
      <c r="AA123">
        <f>IF(OR(W123=0,Z123=""),0,MAX(0,'Example Outstanding'!$E$5-Z123))</f>
        <v/>
      </c>
      <c r="AB123">
        <f>IF(AND(X123=1,AA123&gt;0),W123*((1+3*N('Example Parties'!$E$10)/12)^(AA123*12/365)-1),0)</f>
        <v/>
      </c>
      <c r="AC123">
        <f>IF(W123=0,"",'Example Outstanding'!$E$5-B123)</f>
        <v/>
      </c>
      <c r="AD123">
        <f>IF(S123=0,0,IFERROR(VLOOKUP(C123,'Example Parties'!$B$13:$Q$112,14,FALSE),0)+SUMIFS($T$7:$T$506,$C$7:$C$506,C123,$B$7:$B$506,"&lt;="&amp;'Example Parties'!$E$8))</f>
        <v/>
      </c>
      <c r="AE123">
        <f>IF(OR('Example Parties'!$E$8="",S123=0,B123="",B123&gt;'Example Parties'!$E$8),0,MAX(0,MIN(S123,U123-AD123)))</f>
        <v/>
      </c>
      <c r="AF123">
        <f>IF(AND(P123="Creditor",X123=1,AE123&gt;0,Z123&lt;&gt;""),IF(Z123&lt;='Example Parties'!$E$8,AE123,0),0)</f>
        <v/>
      </c>
      <c r="AG123">
        <f>IF(OR(AE123=0,Z123=""),0,MAX(0,'Example Parties'!$E$8-Z123))</f>
        <v/>
      </c>
      <c r="AH123">
        <f>IF(AND(P123="Creditor",X123=1,AG123&gt;0),AE123*((1+3*N('Example Parties'!$E$10)/12)^(AG123*12/365)-1),0)</f>
        <v/>
      </c>
      <c r="AI123">
        <f>IF(AND(C123&lt;&gt;"",C123='Example Ledger'!$D$4,B123&lt;&gt;"",B123&gt;='Example Ledger'!$D$5,B123&lt;='Example Ledger'!$D$6),1,0)</f>
        <v/>
      </c>
      <c r="AJ123">
        <f>IF(AI123=1,SUM(AI$7:AI123),"")</f>
        <v/>
      </c>
      <c r="AK123">
        <f>IF(OR(N123="",N123="OK"),0,1)</f>
        <v/>
      </c>
    </row>
    <row r="124">
      <c r="B124" s="24" t="n"/>
      <c r="C124" s="14" t="n"/>
      <c r="D124" s="14" t="n"/>
      <c r="E124" s="20" t="n"/>
      <c r="F124" s="24" t="n"/>
      <c r="G124" s="14" t="n"/>
      <c r="H124" s="22" t="n"/>
      <c r="I124" s="25">
        <f>IF(Q124="D",N(H124),0)</f>
        <v/>
      </c>
      <c r="J124" s="25">
        <f>IF(Q124="C",N(H124),0)</f>
        <v/>
      </c>
      <c r="K124" s="26">
        <f>IF(Z124="","",Z124)</f>
        <v/>
      </c>
      <c r="L124" s="27">
        <f>W124</f>
        <v/>
      </c>
      <c r="M124" s="28">
        <f>AA124</f>
        <v/>
      </c>
      <c r="N124" s="23">
        <f>IF(AND(B124="",C124="",D124="",N(H124)=0),"",IF(B124="","Enter the date",IF(C124="","Pick the party",IF(P124="?","Add this party on the Parties sheet first",IF(D124="","Pick the entry type",IF(Q124="?","Pick the entry type from the list",IF(N(H124)=0,"Enter the amount",IF(AND(R124&lt;&gt;"Any",R124&lt;&gt;P124),"Sales, receipts and credit notes are for debtors; purchases, payments and debit notes for creditors",IF(AND(F124&lt;&gt;"",D124&lt;&gt;"Purchase bill"),"The received-on date is only for purchase bills",IF(AND(P124="Creditor",X124=1,AA124&gt;0),"Past due to a micro or small supplier: interest runs under MSMED s.16, and if unpaid at year end it is not deductible that year, s.37(2)(g)",IF(AND(P124="Debtor",X124=1,AA124&gt;0),"Past due to you: as a micro or small supplier you can claim interest under MSMED s.16","OK")))))))))))</f>
        <v/>
      </c>
      <c r="P124">
        <f>IF(C124="","",IFERROR(VLOOKUP(C124,'Example Parties'!$B$13:$Q$112,2,FALSE),"?"))</f>
        <v/>
      </c>
      <c r="Q124">
        <f>IF(D124="","",IFERROR(VLOOKUP(D124,Lists!$A$2:$D$9,3,FALSE),"?"))</f>
        <v/>
      </c>
      <c r="R124">
        <f>IF(D124="","",IFERROR(VLOOKUP(D124,Lists!$A$2:$D$9,4,FALSE),"?"))</f>
        <v/>
      </c>
      <c r="S124">
        <f>IF(P124="Debtor",I124,IF(P124="Creditor",J124,0))</f>
        <v/>
      </c>
      <c r="T124">
        <f>IF(P124="Debtor",J124,IF(P124="Creditor",I124,0))</f>
        <v/>
      </c>
      <c r="U124">
        <f>IF(OR(S124=0,B124=""),0,IFERROR(VLOOKUP(C124,'Example Parties'!$B$13:$Q$112,13,FALSE),0)+SUMIFS($S$7:$S$506,$C$7:$C$506,C124,$B$7:$B$506,"&lt;"&amp;B124)+SUMIFS(S$7:S124,C$7:C124,C124,B$7:B124,B124))</f>
        <v/>
      </c>
      <c r="V124">
        <f>IF(S124=0,0,IFERROR(VLOOKUP(C124,'Example Parties'!$B$13:$Q$112,14,FALSE),0)+SUMIFS($T$7:$T$506,$C$7:$C$506,C124,$B$7:$B$506,"&lt;="&amp;'Example Outstanding'!$E$5))</f>
        <v/>
      </c>
      <c r="W124">
        <f>IF(OR('Example Outstanding'!$E$5="",S124=0,B124="",B124&gt;'Example Outstanding'!$E$5),0,MAX(0,MIN(S124,U124-V124)))</f>
        <v/>
      </c>
      <c r="X124">
        <f>IF(C124="",0,IFERROR(VLOOKUP(C124,'Example Parties'!$B$13:$Q$112,15,FALSE),0))</f>
        <v/>
      </c>
      <c r="Y124">
        <f>IF(C124="","",IFERROR(VLOOKUP(C124,'Example Parties'!$B$13:$Q$112,16,FALSE),0))</f>
        <v/>
      </c>
      <c r="Z124">
        <f>IF(OR(S124=0,B124="",Y124=""),"",IF(AND(F124&lt;&gt;"",D124="Purchase bill"),F124,B124)+Y124)</f>
        <v/>
      </c>
      <c r="AA124">
        <f>IF(OR(W124=0,Z124=""),0,MAX(0,'Example Outstanding'!$E$5-Z124))</f>
        <v/>
      </c>
      <c r="AB124">
        <f>IF(AND(X124=1,AA124&gt;0),W124*((1+3*N('Example Parties'!$E$10)/12)^(AA124*12/365)-1),0)</f>
        <v/>
      </c>
      <c r="AC124">
        <f>IF(W124=0,"",'Example Outstanding'!$E$5-B124)</f>
        <v/>
      </c>
      <c r="AD124">
        <f>IF(S124=0,0,IFERROR(VLOOKUP(C124,'Example Parties'!$B$13:$Q$112,14,FALSE),0)+SUMIFS($T$7:$T$506,$C$7:$C$506,C124,$B$7:$B$506,"&lt;="&amp;'Example Parties'!$E$8))</f>
        <v/>
      </c>
      <c r="AE124">
        <f>IF(OR('Example Parties'!$E$8="",S124=0,B124="",B124&gt;'Example Parties'!$E$8),0,MAX(0,MIN(S124,U124-AD124)))</f>
        <v/>
      </c>
      <c r="AF124">
        <f>IF(AND(P124="Creditor",X124=1,AE124&gt;0,Z124&lt;&gt;""),IF(Z124&lt;='Example Parties'!$E$8,AE124,0),0)</f>
        <v/>
      </c>
      <c r="AG124">
        <f>IF(OR(AE124=0,Z124=""),0,MAX(0,'Example Parties'!$E$8-Z124))</f>
        <v/>
      </c>
      <c r="AH124">
        <f>IF(AND(P124="Creditor",X124=1,AG124&gt;0),AE124*((1+3*N('Example Parties'!$E$10)/12)^(AG124*12/365)-1),0)</f>
        <v/>
      </c>
      <c r="AI124">
        <f>IF(AND(C124&lt;&gt;"",C124='Example Ledger'!$D$4,B124&lt;&gt;"",B124&gt;='Example Ledger'!$D$5,B124&lt;='Example Ledger'!$D$6),1,0)</f>
        <v/>
      </c>
      <c r="AJ124">
        <f>IF(AI124=1,SUM(AI$7:AI124),"")</f>
        <v/>
      </c>
      <c r="AK124">
        <f>IF(OR(N124="",N124="OK"),0,1)</f>
        <v/>
      </c>
    </row>
    <row r="125">
      <c r="B125" s="24" t="n"/>
      <c r="C125" s="14" t="n"/>
      <c r="D125" s="14" t="n"/>
      <c r="E125" s="20" t="n"/>
      <c r="F125" s="24" t="n"/>
      <c r="G125" s="14" t="n"/>
      <c r="H125" s="22" t="n"/>
      <c r="I125" s="25">
        <f>IF(Q125="D",N(H125),0)</f>
        <v/>
      </c>
      <c r="J125" s="25">
        <f>IF(Q125="C",N(H125),0)</f>
        <v/>
      </c>
      <c r="K125" s="26">
        <f>IF(Z125="","",Z125)</f>
        <v/>
      </c>
      <c r="L125" s="27">
        <f>W125</f>
        <v/>
      </c>
      <c r="M125" s="28">
        <f>AA125</f>
        <v/>
      </c>
      <c r="N125" s="23">
        <f>IF(AND(B125="",C125="",D125="",N(H125)=0),"",IF(B125="","Enter the date",IF(C125="","Pick the party",IF(P125="?","Add this party on the Parties sheet first",IF(D125="","Pick the entry type",IF(Q125="?","Pick the entry type from the list",IF(N(H125)=0,"Enter the amount",IF(AND(R125&lt;&gt;"Any",R125&lt;&gt;P125),"Sales, receipts and credit notes are for debtors; purchases, payments and debit notes for creditors",IF(AND(F125&lt;&gt;"",D125&lt;&gt;"Purchase bill"),"The received-on date is only for purchase bills",IF(AND(P125="Creditor",X125=1,AA125&gt;0),"Past due to a micro or small supplier: interest runs under MSMED s.16, and if unpaid at year end it is not deductible that year, s.37(2)(g)",IF(AND(P125="Debtor",X125=1,AA125&gt;0),"Past due to you: as a micro or small supplier you can claim interest under MSMED s.16","OK")))))))))))</f>
        <v/>
      </c>
      <c r="P125">
        <f>IF(C125="","",IFERROR(VLOOKUP(C125,'Example Parties'!$B$13:$Q$112,2,FALSE),"?"))</f>
        <v/>
      </c>
      <c r="Q125">
        <f>IF(D125="","",IFERROR(VLOOKUP(D125,Lists!$A$2:$D$9,3,FALSE),"?"))</f>
        <v/>
      </c>
      <c r="R125">
        <f>IF(D125="","",IFERROR(VLOOKUP(D125,Lists!$A$2:$D$9,4,FALSE),"?"))</f>
        <v/>
      </c>
      <c r="S125">
        <f>IF(P125="Debtor",I125,IF(P125="Creditor",J125,0))</f>
        <v/>
      </c>
      <c r="T125">
        <f>IF(P125="Debtor",J125,IF(P125="Creditor",I125,0))</f>
        <v/>
      </c>
      <c r="U125">
        <f>IF(OR(S125=0,B125=""),0,IFERROR(VLOOKUP(C125,'Example Parties'!$B$13:$Q$112,13,FALSE),0)+SUMIFS($S$7:$S$506,$C$7:$C$506,C125,$B$7:$B$506,"&lt;"&amp;B125)+SUMIFS(S$7:S125,C$7:C125,C125,B$7:B125,B125))</f>
        <v/>
      </c>
      <c r="V125">
        <f>IF(S125=0,0,IFERROR(VLOOKUP(C125,'Example Parties'!$B$13:$Q$112,14,FALSE),0)+SUMIFS($T$7:$T$506,$C$7:$C$506,C125,$B$7:$B$506,"&lt;="&amp;'Example Outstanding'!$E$5))</f>
        <v/>
      </c>
      <c r="W125">
        <f>IF(OR('Example Outstanding'!$E$5="",S125=0,B125="",B125&gt;'Example Outstanding'!$E$5),0,MAX(0,MIN(S125,U125-V125)))</f>
        <v/>
      </c>
      <c r="X125">
        <f>IF(C125="",0,IFERROR(VLOOKUP(C125,'Example Parties'!$B$13:$Q$112,15,FALSE),0))</f>
        <v/>
      </c>
      <c r="Y125">
        <f>IF(C125="","",IFERROR(VLOOKUP(C125,'Example Parties'!$B$13:$Q$112,16,FALSE),0))</f>
        <v/>
      </c>
      <c r="Z125">
        <f>IF(OR(S125=0,B125="",Y125=""),"",IF(AND(F125&lt;&gt;"",D125="Purchase bill"),F125,B125)+Y125)</f>
        <v/>
      </c>
      <c r="AA125">
        <f>IF(OR(W125=0,Z125=""),0,MAX(0,'Example Outstanding'!$E$5-Z125))</f>
        <v/>
      </c>
      <c r="AB125">
        <f>IF(AND(X125=1,AA125&gt;0),W125*((1+3*N('Example Parties'!$E$10)/12)^(AA125*12/365)-1),0)</f>
        <v/>
      </c>
      <c r="AC125">
        <f>IF(W125=0,"",'Example Outstanding'!$E$5-B125)</f>
        <v/>
      </c>
      <c r="AD125">
        <f>IF(S125=0,0,IFERROR(VLOOKUP(C125,'Example Parties'!$B$13:$Q$112,14,FALSE),0)+SUMIFS($T$7:$T$506,$C$7:$C$506,C125,$B$7:$B$506,"&lt;="&amp;'Example Parties'!$E$8))</f>
        <v/>
      </c>
      <c r="AE125">
        <f>IF(OR('Example Parties'!$E$8="",S125=0,B125="",B125&gt;'Example Parties'!$E$8),0,MAX(0,MIN(S125,U125-AD125)))</f>
        <v/>
      </c>
      <c r="AF125">
        <f>IF(AND(P125="Creditor",X125=1,AE125&gt;0,Z125&lt;&gt;""),IF(Z125&lt;='Example Parties'!$E$8,AE125,0),0)</f>
        <v/>
      </c>
      <c r="AG125">
        <f>IF(OR(AE125=0,Z125=""),0,MAX(0,'Example Parties'!$E$8-Z125))</f>
        <v/>
      </c>
      <c r="AH125">
        <f>IF(AND(P125="Creditor",X125=1,AG125&gt;0),AE125*((1+3*N('Example Parties'!$E$10)/12)^(AG125*12/365)-1),0)</f>
        <v/>
      </c>
      <c r="AI125">
        <f>IF(AND(C125&lt;&gt;"",C125='Example Ledger'!$D$4,B125&lt;&gt;"",B125&gt;='Example Ledger'!$D$5,B125&lt;='Example Ledger'!$D$6),1,0)</f>
        <v/>
      </c>
      <c r="AJ125">
        <f>IF(AI125=1,SUM(AI$7:AI125),"")</f>
        <v/>
      </c>
      <c r="AK125">
        <f>IF(OR(N125="",N125="OK"),0,1)</f>
        <v/>
      </c>
    </row>
    <row r="126">
      <c r="B126" s="24" t="n"/>
      <c r="C126" s="14" t="n"/>
      <c r="D126" s="14" t="n"/>
      <c r="E126" s="20" t="n"/>
      <c r="F126" s="24" t="n"/>
      <c r="G126" s="14" t="n"/>
      <c r="H126" s="22" t="n"/>
      <c r="I126" s="25">
        <f>IF(Q126="D",N(H126),0)</f>
        <v/>
      </c>
      <c r="J126" s="25">
        <f>IF(Q126="C",N(H126),0)</f>
        <v/>
      </c>
      <c r="K126" s="26">
        <f>IF(Z126="","",Z126)</f>
        <v/>
      </c>
      <c r="L126" s="27">
        <f>W126</f>
        <v/>
      </c>
      <c r="M126" s="28">
        <f>AA126</f>
        <v/>
      </c>
      <c r="N126" s="23">
        <f>IF(AND(B126="",C126="",D126="",N(H126)=0),"",IF(B126="","Enter the date",IF(C126="","Pick the party",IF(P126="?","Add this party on the Parties sheet first",IF(D126="","Pick the entry type",IF(Q126="?","Pick the entry type from the list",IF(N(H126)=0,"Enter the amount",IF(AND(R126&lt;&gt;"Any",R126&lt;&gt;P126),"Sales, receipts and credit notes are for debtors; purchases, payments and debit notes for creditors",IF(AND(F126&lt;&gt;"",D126&lt;&gt;"Purchase bill"),"The received-on date is only for purchase bills",IF(AND(P126="Creditor",X126=1,AA126&gt;0),"Past due to a micro or small supplier: interest runs under MSMED s.16, and if unpaid at year end it is not deductible that year, s.37(2)(g)",IF(AND(P126="Debtor",X126=1,AA126&gt;0),"Past due to you: as a micro or small supplier you can claim interest under MSMED s.16","OK")))))))))))</f>
        <v/>
      </c>
      <c r="P126">
        <f>IF(C126="","",IFERROR(VLOOKUP(C126,'Example Parties'!$B$13:$Q$112,2,FALSE),"?"))</f>
        <v/>
      </c>
      <c r="Q126">
        <f>IF(D126="","",IFERROR(VLOOKUP(D126,Lists!$A$2:$D$9,3,FALSE),"?"))</f>
        <v/>
      </c>
      <c r="R126">
        <f>IF(D126="","",IFERROR(VLOOKUP(D126,Lists!$A$2:$D$9,4,FALSE),"?"))</f>
        <v/>
      </c>
      <c r="S126">
        <f>IF(P126="Debtor",I126,IF(P126="Creditor",J126,0))</f>
        <v/>
      </c>
      <c r="T126">
        <f>IF(P126="Debtor",J126,IF(P126="Creditor",I126,0))</f>
        <v/>
      </c>
      <c r="U126">
        <f>IF(OR(S126=0,B126=""),0,IFERROR(VLOOKUP(C126,'Example Parties'!$B$13:$Q$112,13,FALSE),0)+SUMIFS($S$7:$S$506,$C$7:$C$506,C126,$B$7:$B$506,"&lt;"&amp;B126)+SUMIFS(S$7:S126,C$7:C126,C126,B$7:B126,B126))</f>
        <v/>
      </c>
      <c r="V126">
        <f>IF(S126=0,0,IFERROR(VLOOKUP(C126,'Example Parties'!$B$13:$Q$112,14,FALSE),0)+SUMIFS($T$7:$T$506,$C$7:$C$506,C126,$B$7:$B$506,"&lt;="&amp;'Example Outstanding'!$E$5))</f>
        <v/>
      </c>
      <c r="W126">
        <f>IF(OR('Example Outstanding'!$E$5="",S126=0,B126="",B126&gt;'Example Outstanding'!$E$5),0,MAX(0,MIN(S126,U126-V126)))</f>
        <v/>
      </c>
      <c r="X126">
        <f>IF(C126="",0,IFERROR(VLOOKUP(C126,'Example Parties'!$B$13:$Q$112,15,FALSE),0))</f>
        <v/>
      </c>
      <c r="Y126">
        <f>IF(C126="","",IFERROR(VLOOKUP(C126,'Example Parties'!$B$13:$Q$112,16,FALSE),0))</f>
        <v/>
      </c>
      <c r="Z126">
        <f>IF(OR(S126=0,B126="",Y126=""),"",IF(AND(F126&lt;&gt;"",D126="Purchase bill"),F126,B126)+Y126)</f>
        <v/>
      </c>
      <c r="AA126">
        <f>IF(OR(W126=0,Z126=""),0,MAX(0,'Example Outstanding'!$E$5-Z126))</f>
        <v/>
      </c>
      <c r="AB126">
        <f>IF(AND(X126=1,AA126&gt;0),W126*((1+3*N('Example Parties'!$E$10)/12)^(AA126*12/365)-1),0)</f>
        <v/>
      </c>
      <c r="AC126">
        <f>IF(W126=0,"",'Example Outstanding'!$E$5-B126)</f>
        <v/>
      </c>
      <c r="AD126">
        <f>IF(S126=0,0,IFERROR(VLOOKUP(C126,'Example Parties'!$B$13:$Q$112,14,FALSE),0)+SUMIFS($T$7:$T$506,$C$7:$C$506,C126,$B$7:$B$506,"&lt;="&amp;'Example Parties'!$E$8))</f>
        <v/>
      </c>
      <c r="AE126">
        <f>IF(OR('Example Parties'!$E$8="",S126=0,B126="",B126&gt;'Example Parties'!$E$8),0,MAX(0,MIN(S126,U126-AD126)))</f>
        <v/>
      </c>
      <c r="AF126">
        <f>IF(AND(P126="Creditor",X126=1,AE126&gt;0,Z126&lt;&gt;""),IF(Z126&lt;='Example Parties'!$E$8,AE126,0),0)</f>
        <v/>
      </c>
      <c r="AG126">
        <f>IF(OR(AE126=0,Z126=""),0,MAX(0,'Example Parties'!$E$8-Z126))</f>
        <v/>
      </c>
      <c r="AH126">
        <f>IF(AND(P126="Creditor",X126=1,AG126&gt;0),AE126*((1+3*N('Example Parties'!$E$10)/12)^(AG126*12/365)-1),0)</f>
        <v/>
      </c>
      <c r="AI126">
        <f>IF(AND(C126&lt;&gt;"",C126='Example Ledger'!$D$4,B126&lt;&gt;"",B126&gt;='Example Ledger'!$D$5,B126&lt;='Example Ledger'!$D$6),1,0)</f>
        <v/>
      </c>
      <c r="AJ126">
        <f>IF(AI126=1,SUM(AI$7:AI126),"")</f>
        <v/>
      </c>
      <c r="AK126">
        <f>IF(OR(N126="",N126="OK"),0,1)</f>
        <v/>
      </c>
    </row>
    <row r="127">
      <c r="B127" s="24" t="n"/>
      <c r="C127" s="14" t="n"/>
      <c r="D127" s="14" t="n"/>
      <c r="E127" s="20" t="n"/>
      <c r="F127" s="24" t="n"/>
      <c r="G127" s="14" t="n"/>
      <c r="H127" s="22" t="n"/>
      <c r="I127" s="25">
        <f>IF(Q127="D",N(H127),0)</f>
        <v/>
      </c>
      <c r="J127" s="25">
        <f>IF(Q127="C",N(H127),0)</f>
        <v/>
      </c>
      <c r="K127" s="26">
        <f>IF(Z127="","",Z127)</f>
        <v/>
      </c>
      <c r="L127" s="27">
        <f>W127</f>
        <v/>
      </c>
      <c r="M127" s="28">
        <f>AA127</f>
        <v/>
      </c>
      <c r="N127" s="23">
        <f>IF(AND(B127="",C127="",D127="",N(H127)=0),"",IF(B127="","Enter the date",IF(C127="","Pick the party",IF(P127="?","Add this party on the Parties sheet first",IF(D127="","Pick the entry type",IF(Q127="?","Pick the entry type from the list",IF(N(H127)=0,"Enter the amount",IF(AND(R127&lt;&gt;"Any",R127&lt;&gt;P127),"Sales, receipts and credit notes are for debtors; purchases, payments and debit notes for creditors",IF(AND(F127&lt;&gt;"",D127&lt;&gt;"Purchase bill"),"The received-on date is only for purchase bills",IF(AND(P127="Creditor",X127=1,AA127&gt;0),"Past due to a micro or small supplier: interest runs under MSMED s.16, and if unpaid at year end it is not deductible that year, s.37(2)(g)",IF(AND(P127="Debtor",X127=1,AA127&gt;0),"Past due to you: as a micro or small supplier you can claim interest under MSMED s.16","OK")))))))))))</f>
        <v/>
      </c>
      <c r="P127">
        <f>IF(C127="","",IFERROR(VLOOKUP(C127,'Example Parties'!$B$13:$Q$112,2,FALSE),"?"))</f>
        <v/>
      </c>
      <c r="Q127">
        <f>IF(D127="","",IFERROR(VLOOKUP(D127,Lists!$A$2:$D$9,3,FALSE),"?"))</f>
        <v/>
      </c>
      <c r="R127">
        <f>IF(D127="","",IFERROR(VLOOKUP(D127,Lists!$A$2:$D$9,4,FALSE),"?"))</f>
        <v/>
      </c>
      <c r="S127">
        <f>IF(P127="Debtor",I127,IF(P127="Creditor",J127,0))</f>
        <v/>
      </c>
      <c r="T127">
        <f>IF(P127="Debtor",J127,IF(P127="Creditor",I127,0))</f>
        <v/>
      </c>
      <c r="U127">
        <f>IF(OR(S127=0,B127=""),0,IFERROR(VLOOKUP(C127,'Example Parties'!$B$13:$Q$112,13,FALSE),0)+SUMIFS($S$7:$S$506,$C$7:$C$506,C127,$B$7:$B$506,"&lt;"&amp;B127)+SUMIFS(S$7:S127,C$7:C127,C127,B$7:B127,B127))</f>
        <v/>
      </c>
      <c r="V127">
        <f>IF(S127=0,0,IFERROR(VLOOKUP(C127,'Example Parties'!$B$13:$Q$112,14,FALSE),0)+SUMIFS($T$7:$T$506,$C$7:$C$506,C127,$B$7:$B$506,"&lt;="&amp;'Example Outstanding'!$E$5))</f>
        <v/>
      </c>
      <c r="W127">
        <f>IF(OR('Example Outstanding'!$E$5="",S127=0,B127="",B127&gt;'Example Outstanding'!$E$5),0,MAX(0,MIN(S127,U127-V127)))</f>
        <v/>
      </c>
      <c r="X127">
        <f>IF(C127="",0,IFERROR(VLOOKUP(C127,'Example Parties'!$B$13:$Q$112,15,FALSE),0))</f>
        <v/>
      </c>
      <c r="Y127">
        <f>IF(C127="","",IFERROR(VLOOKUP(C127,'Example Parties'!$B$13:$Q$112,16,FALSE),0))</f>
        <v/>
      </c>
      <c r="Z127">
        <f>IF(OR(S127=0,B127="",Y127=""),"",IF(AND(F127&lt;&gt;"",D127="Purchase bill"),F127,B127)+Y127)</f>
        <v/>
      </c>
      <c r="AA127">
        <f>IF(OR(W127=0,Z127=""),0,MAX(0,'Example Outstanding'!$E$5-Z127))</f>
        <v/>
      </c>
      <c r="AB127">
        <f>IF(AND(X127=1,AA127&gt;0),W127*((1+3*N('Example Parties'!$E$10)/12)^(AA127*12/365)-1),0)</f>
        <v/>
      </c>
      <c r="AC127">
        <f>IF(W127=0,"",'Example Outstanding'!$E$5-B127)</f>
        <v/>
      </c>
      <c r="AD127">
        <f>IF(S127=0,0,IFERROR(VLOOKUP(C127,'Example Parties'!$B$13:$Q$112,14,FALSE),0)+SUMIFS($T$7:$T$506,$C$7:$C$506,C127,$B$7:$B$506,"&lt;="&amp;'Example Parties'!$E$8))</f>
        <v/>
      </c>
      <c r="AE127">
        <f>IF(OR('Example Parties'!$E$8="",S127=0,B127="",B127&gt;'Example Parties'!$E$8),0,MAX(0,MIN(S127,U127-AD127)))</f>
        <v/>
      </c>
      <c r="AF127">
        <f>IF(AND(P127="Creditor",X127=1,AE127&gt;0,Z127&lt;&gt;""),IF(Z127&lt;='Example Parties'!$E$8,AE127,0),0)</f>
        <v/>
      </c>
      <c r="AG127">
        <f>IF(OR(AE127=0,Z127=""),0,MAX(0,'Example Parties'!$E$8-Z127))</f>
        <v/>
      </c>
      <c r="AH127">
        <f>IF(AND(P127="Creditor",X127=1,AG127&gt;0),AE127*((1+3*N('Example Parties'!$E$10)/12)^(AG127*12/365)-1),0)</f>
        <v/>
      </c>
      <c r="AI127">
        <f>IF(AND(C127&lt;&gt;"",C127='Example Ledger'!$D$4,B127&lt;&gt;"",B127&gt;='Example Ledger'!$D$5,B127&lt;='Example Ledger'!$D$6),1,0)</f>
        <v/>
      </c>
      <c r="AJ127">
        <f>IF(AI127=1,SUM(AI$7:AI127),"")</f>
        <v/>
      </c>
      <c r="AK127">
        <f>IF(OR(N127="",N127="OK"),0,1)</f>
        <v/>
      </c>
    </row>
    <row r="128">
      <c r="B128" s="24" t="n"/>
      <c r="C128" s="14" t="n"/>
      <c r="D128" s="14" t="n"/>
      <c r="E128" s="20" t="n"/>
      <c r="F128" s="24" t="n"/>
      <c r="G128" s="14" t="n"/>
      <c r="H128" s="22" t="n"/>
      <c r="I128" s="25">
        <f>IF(Q128="D",N(H128),0)</f>
        <v/>
      </c>
      <c r="J128" s="25">
        <f>IF(Q128="C",N(H128),0)</f>
        <v/>
      </c>
      <c r="K128" s="26">
        <f>IF(Z128="","",Z128)</f>
        <v/>
      </c>
      <c r="L128" s="27">
        <f>W128</f>
        <v/>
      </c>
      <c r="M128" s="28">
        <f>AA128</f>
        <v/>
      </c>
      <c r="N128" s="23">
        <f>IF(AND(B128="",C128="",D128="",N(H128)=0),"",IF(B128="","Enter the date",IF(C128="","Pick the party",IF(P128="?","Add this party on the Parties sheet first",IF(D128="","Pick the entry type",IF(Q128="?","Pick the entry type from the list",IF(N(H128)=0,"Enter the amount",IF(AND(R128&lt;&gt;"Any",R128&lt;&gt;P128),"Sales, receipts and credit notes are for debtors; purchases, payments and debit notes for creditors",IF(AND(F128&lt;&gt;"",D128&lt;&gt;"Purchase bill"),"The received-on date is only for purchase bills",IF(AND(P128="Creditor",X128=1,AA128&gt;0),"Past due to a micro or small supplier: interest runs under MSMED s.16, and if unpaid at year end it is not deductible that year, s.37(2)(g)",IF(AND(P128="Debtor",X128=1,AA128&gt;0),"Past due to you: as a micro or small supplier you can claim interest under MSMED s.16","OK")))))))))))</f>
        <v/>
      </c>
      <c r="P128">
        <f>IF(C128="","",IFERROR(VLOOKUP(C128,'Example Parties'!$B$13:$Q$112,2,FALSE),"?"))</f>
        <v/>
      </c>
      <c r="Q128">
        <f>IF(D128="","",IFERROR(VLOOKUP(D128,Lists!$A$2:$D$9,3,FALSE),"?"))</f>
        <v/>
      </c>
      <c r="R128">
        <f>IF(D128="","",IFERROR(VLOOKUP(D128,Lists!$A$2:$D$9,4,FALSE),"?"))</f>
        <v/>
      </c>
      <c r="S128">
        <f>IF(P128="Debtor",I128,IF(P128="Creditor",J128,0))</f>
        <v/>
      </c>
      <c r="T128">
        <f>IF(P128="Debtor",J128,IF(P128="Creditor",I128,0))</f>
        <v/>
      </c>
      <c r="U128">
        <f>IF(OR(S128=0,B128=""),0,IFERROR(VLOOKUP(C128,'Example Parties'!$B$13:$Q$112,13,FALSE),0)+SUMIFS($S$7:$S$506,$C$7:$C$506,C128,$B$7:$B$506,"&lt;"&amp;B128)+SUMIFS(S$7:S128,C$7:C128,C128,B$7:B128,B128))</f>
        <v/>
      </c>
      <c r="V128">
        <f>IF(S128=0,0,IFERROR(VLOOKUP(C128,'Example Parties'!$B$13:$Q$112,14,FALSE),0)+SUMIFS($T$7:$T$506,$C$7:$C$506,C128,$B$7:$B$506,"&lt;="&amp;'Example Outstanding'!$E$5))</f>
        <v/>
      </c>
      <c r="W128">
        <f>IF(OR('Example Outstanding'!$E$5="",S128=0,B128="",B128&gt;'Example Outstanding'!$E$5),0,MAX(0,MIN(S128,U128-V128)))</f>
        <v/>
      </c>
      <c r="X128">
        <f>IF(C128="",0,IFERROR(VLOOKUP(C128,'Example Parties'!$B$13:$Q$112,15,FALSE),0))</f>
        <v/>
      </c>
      <c r="Y128">
        <f>IF(C128="","",IFERROR(VLOOKUP(C128,'Example Parties'!$B$13:$Q$112,16,FALSE),0))</f>
        <v/>
      </c>
      <c r="Z128">
        <f>IF(OR(S128=0,B128="",Y128=""),"",IF(AND(F128&lt;&gt;"",D128="Purchase bill"),F128,B128)+Y128)</f>
        <v/>
      </c>
      <c r="AA128">
        <f>IF(OR(W128=0,Z128=""),0,MAX(0,'Example Outstanding'!$E$5-Z128))</f>
        <v/>
      </c>
      <c r="AB128">
        <f>IF(AND(X128=1,AA128&gt;0),W128*((1+3*N('Example Parties'!$E$10)/12)^(AA128*12/365)-1),0)</f>
        <v/>
      </c>
      <c r="AC128">
        <f>IF(W128=0,"",'Example Outstanding'!$E$5-B128)</f>
        <v/>
      </c>
      <c r="AD128">
        <f>IF(S128=0,0,IFERROR(VLOOKUP(C128,'Example Parties'!$B$13:$Q$112,14,FALSE),0)+SUMIFS($T$7:$T$506,$C$7:$C$506,C128,$B$7:$B$506,"&lt;="&amp;'Example Parties'!$E$8))</f>
        <v/>
      </c>
      <c r="AE128">
        <f>IF(OR('Example Parties'!$E$8="",S128=0,B128="",B128&gt;'Example Parties'!$E$8),0,MAX(0,MIN(S128,U128-AD128)))</f>
        <v/>
      </c>
      <c r="AF128">
        <f>IF(AND(P128="Creditor",X128=1,AE128&gt;0,Z128&lt;&gt;""),IF(Z128&lt;='Example Parties'!$E$8,AE128,0),0)</f>
        <v/>
      </c>
      <c r="AG128">
        <f>IF(OR(AE128=0,Z128=""),0,MAX(0,'Example Parties'!$E$8-Z128))</f>
        <v/>
      </c>
      <c r="AH128">
        <f>IF(AND(P128="Creditor",X128=1,AG128&gt;0),AE128*((1+3*N('Example Parties'!$E$10)/12)^(AG128*12/365)-1),0)</f>
        <v/>
      </c>
      <c r="AI128">
        <f>IF(AND(C128&lt;&gt;"",C128='Example Ledger'!$D$4,B128&lt;&gt;"",B128&gt;='Example Ledger'!$D$5,B128&lt;='Example Ledger'!$D$6),1,0)</f>
        <v/>
      </c>
      <c r="AJ128">
        <f>IF(AI128=1,SUM(AI$7:AI128),"")</f>
        <v/>
      </c>
      <c r="AK128">
        <f>IF(OR(N128="",N128="OK"),0,1)</f>
        <v/>
      </c>
    </row>
    <row r="129">
      <c r="B129" s="24" t="n"/>
      <c r="C129" s="14" t="n"/>
      <c r="D129" s="14" t="n"/>
      <c r="E129" s="20" t="n"/>
      <c r="F129" s="24" t="n"/>
      <c r="G129" s="14" t="n"/>
      <c r="H129" s="22" t="n"/>
      <c r="I129" s="25">
        <f>IF(Q129="D",N(H129),0)</f>
        <v/>
      </c>
      <c r="J129" s="25">
        <f>IF(Q129="C",N(H129),0)</f>
        <v/>
      </c>
      <c r="K129" s="26">
        <f>IF(Z129="","",Z129)</f>
        <v/>
      </c>
      <c r="L129" s="27">
        <f>W129</f>
        <v/>
      </c>
      <c r="M129" s="28">
        <f>AA129</f>
        <v/>
      </c>
      <c r="N129" s="23">
        <f>IF(AND(B129="",C129="",D129="",N(H129)=0),"",IF(B129="","Enter the date",IF(C129="","Pick the party",IF(P129="?","Add this party on the Parties sheet first",IF(D129="","Pick the entry type",IF(Q129="?","Pick the entry type from the list",IF(N(H129)=0,"Enter the amount",IF(AND(R129&lt;&gt;"Any",R129&lt;&gt;P129),"Sales, receipts and credit notes are for debtors; purchases, payments and debit notes for creditors",IF(AND(F129&lt;&gt;"",D129&lt;&gt;"Purchase bill"),"The received-on date is only for purchase bills",IF(AND(P129="Creditor",X129=1,AA129&gt;0),"Past due to a micro or small supplier: interest runs under MSMED s.16, and if unpaid at year end it is not deductible that year, s.37(2)(g)",IF(AND(P129="Debtor",X129=1,AA129&gt;0),"Past due to you: as a micro or small supplier you can claim interest under MSMED s.16","OK")))))))))))</f>
        <v/>
      </c>
      <c r="P129">
        <f>IF(C129="","",IFERROR(VLOOKUP(C129,'Example Parties'!$B$13:$Q$112,2,FALSE),"?"))</f>
        <v/>
      </c>
      <c r="Q129">
        <f>IF(D129="","",IFERROR(VLOOKUP(D129,Lists!$A$2:$D$9,3,FALSE),"?"))</f>
        <v/>
      </c>
      <c r="R129">
        <f>IF(D129="","",IFERROR(VLOOKUP(D129,Lists!$A$2:$D$9,4,FALSE),"?"))</f>
        <v/>
      </c>
      <c r="S129">
        <f>IF(P129="Debtor",I129,IF(P129="Creditor",J129,0))</f>
        <v/>
      </c>
      <c r="T129">
        <f>IF(P129="Debtor",J129,IF(P129="Creditor",I129,0))</f>
        <v/>
      </c>
      <c r="U129">
        <f>IF(OR(S129=0,B129=""),0,IFERROR(VLOOKUP(C129,'Example Parties'!$B$13:$Q$112,13,FALSE),0)+SUMIFS($S$7:$S$506,$C$7:$C$506,C129,$B$7:$B$506,"&lt;"&amp;B129)+SUMIFS(S$7:S129,C$7:C129,C129,B$7:B129,B129))</f>
        <v/>
      </c>
      <c r="V129">
        <f>IF(S129=0,0,IFERROR(VLOOKUP(C129,'Example Parties'!$B$13:$Q$112,14,FALSE),0)+SUMIFS($T$7:$T$506,$C$7:$C$506,C129,$B$7:$B$506,"&lt;="&amp;'Example Outstanding'!$E$5))</f>
        <v/>
      </c>
      <c r="W129">
        <f>IF(OR('Example Outstanding'!$E$5="",S129=0,B129="",B129&gt;'Example Outstanding'!$E$5),0,MAX(0,MIN(S129,U129-V129)))</f>
        <v/>
      </c>
      <c r="X129">
        <f>IF(C129="",0,IFERROR(VLOOKUP(C129,'Example Parties'!$B$13:$Q$112,15,FALSE),0))</f>
        <v/>
      </c>
      <c r="Y129">
        <f>IF(C129="","",IFERROR(VLOOKUP(C129,'Example Parties'!$B$13:$Q$112,16,FALSE),0))</f>
        <v/>
      </c>
      <c r="Z129">
        <f>IF(OR(S129=0,B129="",Y129=""),"",IF(AND(F129&lt;&gt;"",D129="Purchase bill"),F129,B129)+Y129)</f>
        <v/>
      </c>
      <c r="AA129">
        <f>IF(OR(W129=0,Z129=""),0,MAX(0,'Example Outstanding'!$E$5-Z129))</f>
        <v/>
      </c>
      <c r="AB129">
        <f>IF(AND(X129=1,AA129&gt;0),W129*((1+3*N('Example Parties'!$E$10)/12)^(AA129*12/365)-1),0)</f>
        <v/>
      </c>
      <c r="AC129">
        <f>IF(W129=0,"",'Example Outstanding'!$E$5-B129)</f>
        <v/>
      </c>
      <c r="AD129">
        <f>IF(S129=0,0,IFERROR(VLOOKUP(C129,'Example Parties'!$B$13:$Q$112,14,FALSE),0)+SUMIFS($T$7:$T$506,$C$7:$C$506,C129,$B$7:$B$506,"&lt;="&amp;'Example Parties'!$E$8))</f>
        <v/>
      </c>
      <c r="AE129">
        <f>IF(OR('Example Parties'!$E$8="",S129=0,B129="",B129&gt;'Example Parties'!$E$8),0,MAX(0,MIN(S129,U129-AD129)))</f>
        <v/>
      </c>
      <c r="AF129">
        <f>IF(AND(P129="Creditor",X129=1,AE129&gt;0,Z129&lt;&gt;""),IF(Z129&lt;='Example Parties'!$E$8,AE129,0),0)</f>
        <v/>
      </c>
      <c r="AG129">
        <f>IF(OR(AE129=0,Z129=""),0,MAX(0,'Example Parties'!$E$8-Z129))</f>
        <v/>
      </c>
      <c r="AH129">
        <f>IF(AND(P129="Creditor",X129=1,AG129&gt;0),AE129*((1+3*N('Example Parties'!$E$10)/12)^(AG129*12/365)-1),0)</f>
        <v/>
      </c>
      <c r="AI129">
        <f>IF(AND(C129&lt;&gt;"",C129='Example Ledger'!$D$4,B129&lt;&gt;"",B129&gt;='Example Ledger'!$D$5,B129&lt;='Example Ledger'!$D$6),1,0)</f>
        <v/>
      </c>
      <c r="AJ129">
        <f>IF(AI129=1,SUM(AI$7:AI129),"")</f>
        <v/>
      </c>
      <c r="AK129">
        <f>IF(OR(N129="",N129="OK"),0,1)</f>
        <v/>
      </c>
    </row>
    <row r="130">
      <c r="B130" s="24" t="n"/>
      <c r="C130" s="14" t="n"/>
      <c r="D130" s="14" t="n"/>
      <c r="E130" s="20" t="n"/>
      <c r="F130" s="24" t="n"/>
      <c r="G130" s="14" t="n"/>
      <c r="H130" s="22" t="n"/>
      <c r="I130" s="25">
        <f>IF(Q130="D",N(H130),0)</f>
        <v/>
      </c>
      <c r="J130" s="25">
        <f>IF(Q130="C",N(H130),0)</f>
        <v/>
      </c>
      <c r="K130" s="26">
        <f>IF(Z130="","",Z130)</f>
        <v/>
      </c>
      <c r="L130" s="27">
        <f>W130</f>
        <v/>
      </c>
      <c r="M130" s="28">
        <f>AA130</f>
        <v/>
      </c>
      <c r="N130" s="23">
        <f>IF(AND(B130="",C130="",D130="",N(H130)=0),"",IF(B130="","Enter the date",IF(C130="","Pick the party",IF(P130="?","Add this party on the Parties sheet first",IF(D130="","Pick the entry type",IF(Q130="?","Pick the entry type from the list",IF(N(H130)=0,"Enter the amount",IF(AND(R130&lt;&gt;"Any",R130&lt;&gt;P130),"Sales, receipts and credit notes are for debtors; purchases, payments and debit notes for creditors",IF(AND(F130&lt;&gt;"",D130&lt;&gt;"Purchase bill"),"The received-on date is only for purchase bills",IF(AND(P130="Creditor",X130=1,AA130&gt;0),"Past due to a micro or small supplier: interest runs under MSMED s.16, and if unpaid at year end it is not deductible that year, s.37(2)(g)",IF(AND(P130="Debtor",X130=1,AA130&gt;0),"Past due to you: as a micro or small supplier you can claim interest under MSMED s.16","OK")))))))))))</f>
        <v/>
      </c>
      <c r="P130">
        <f>IF(C130="","",IFERROR(VLOOKUP(C130,'Example Parties'!$B$13:$Q$112,2,FALSE),"?"))</f>
        <v/>
      </c>
      <c r="Q130">
        <f>IF(D130="","",IFERROR(VLOOKUP(D130,Lists!$A$2:$D$9,3,FALSE),"?"))</f>
        <v/>
      </c>
      <c r="R130">
        <f>IF(D130="","",IFERROR(VLOOKUP(D130,Lists!$A$2:$D$9,4,FALSE),"?"))</f>
        <v/>
      </c>
      <c r="S130">
        <f>IF(P130="Debtor",I130,IF(P130="Creditor",J130,0))</f>
        <v/>
      </c>
      <c r="T130">
        <f>IF(P130="Debtor",J130,IF(P130="Creditor",I130,0))</f>
        <v/>
      </c>
      <c r="U130">
        <f>IF(OR(S130=0,B130=""),0,IFERROR(VLOOKUP(C130,'Example Parties'!$B$13:$Q$112,13,FALSE),0)+SUMIFS($S$7:$S$506,$C$7:$C$506,C130,$B$7:$B$506,"&lt;"&amp;B130)+SUMIFS(S$7:S130,C$7:C130,C130,B$7:B130,B130))</f>
        <v/>
      </c>
      <c r="V130">
        <f>IF(S130=0,0,IFERROR(VLOOKUP(C130,'Example Parties'!$B$13:$Q$112,14,FALSE),0)+SUMIFS($T$7:$T$506,$C$7:$C$506,C130,$B$7:$B$506,"&lt;="&amp;'Example Outstanding'!$E$5))</f>
        <v/>
      </c>
      <c r="W130">
        <f>IF(OR('Example Outstanding'!$E$5="",S130=0,B130="",B130&gt;'Example Outstanding'!$E$5),0,MAX(0,MIN(S130,U130-V130)))</f>
        <v/>
      </c>
      <c r="X130">
        <f>IF(C130="",0,IFERROR(VLOOKUP(C130,'Example Parties'!$B$13:$Q$112,15,FALSE),0))</f>
        <v/>
      </c>
      <c r="Y130">
        <f>IF(C130="","",IFERROR(VLOOKUP(C130,'Example Parties'!$B$13:$Q$112,16,FALSE),0))</f>
        <v/>
      </c>
      <c r="Z130">
        <f>IF(OR(S130=0,B130="",Y130=""),"",IF(AND(F130&lt;&gt;"",D130="Purchase bill"),F130,B130)+Y130)</f>
        <v/>
      </c>
      <c r="AA130">
        <f>IF(OR(W130=0,Z130=""),0,MAX(0,'Example Outstanding'!$E$5-Z130))</f>
        <v/>
      </c>
      <c r="AB130">
        <f>IF(AND(X130=1,AA130&gt;0),W130*((1+3*N('Example Parties'!$E$10)/12)^(AA130*12/365)-1),0)</f>
        <v/>
      </c>
      <c r="AC130">
        <f>IF(W130=0,"",'Example Outstanding'!$E$5-B130)</f>
        <v/>
      </c>
      <c r="AD130">
        <f>IF(S130=0,0,IFERROR(VLOOKUP(C130,'Example Parties'!$B$13:$Q$112,14,FALSE),0)+SUMIFS($T$7:$T$506,$C$7:$C$506,C130,$B$7:$B$506,"&lt;="&amp;'Example Parties'!$E$8))</f>
        <v/>
      </c>
      <c r="AE130">
        <f>IF(OR('Example Parties'!$E$8="",S130=0,B130="",B130&gt;'Example Parties'!$E$8),0,MAX(0,MIN(S130,U130-AD130)))</f>
        <v/>
      </c>
      <c r="AF130">
        <f>IF(AND(P130="Creditor",X130=1,AE130&gt;0,Z130&lt;&gt;""),IF(Z130&lt;='Example Parties'!$E$8,AE130,0),0)</f>
        <v/>
      </c>
      <c r="AG130">
        <f>IF(OR(AE130=0,Z130=""),0,MAX(0,'Example Parties'!$E$8-Z130))</f>
        <v/>
      </c>
      <c r="AH130">
        <f>IF(AND(P130="Creditor",X130=1,AG130&gt;0),AE130*((1+3*N('Example Parties'!$E$10)/12)^(AG130*12/365)-1),0)</f>
        <v/>
      </c>
      <c r="AI130">
        <f>IF(AND(C130&lt;&gt;"",C130='Example Ledger'!$D$4,B130&lt;&gt;"",B130&gt;='Example Ledger'!$D$5,B130&lt;='Example Ledger'!$D$6),1,0)</f>
        <v/>
      </c>
      <c r="AJ130">
        <f>IF(AI130=1,SUM(AI$7:AI130),"")</f>
        <v/>
      </c>
      <c r="AK130">
        <f>IF(OR(N130="",N130="OK"),0,1)</f>
        <v/>
      </c>
    </row>
    <row r="131">
      <c r="B131" s="24" t="n"/>
      <c r="C131" s="14" t="n"/>
      <c r="D131" s="14" t="n"/>
      <c r="E131" s="20" t="n"/>
      <c r="F131" s="24" t="n"/>
      <c r="G131" s="14" t="n"/>
      <c r="H131" s="22" t="n"/>
      <c r="I131" s="25">
        <f>IF(Q131="D",N(H131),0)</f>
        <v/>
      </c>
      <c r="J131" s="25">
        <f>IF(Q131="C",N(H131),0)</f>
        <v/>
      </c>
      <c r="K131" s="26">
        <f>IF(Z131="","",Z131)</f>
        <v/>
      </c>
      <c r="L131" s="27">
        <f>W131</f>
        <v/>
      </c>
      <c r="M131" s="28">
        <f>AA131</f>
        <v/>
      </c>
      <c r="N131" s="23">
        <f>IF(AND(B131="",C131="",D131="",N(H131)=0),"",IF(B131="","Enter the date",IF(C131="","Pick the party",IF(P131="?","Add this party on the Parties sheet first",IF(D131="","Pick the entry type",IF(Q131="?","Pick the entry type from the list",IF(N(H131)=0,"Enter the amount",IF(AND(R131&lt;&gt;"Any",R131&lt;&gt;P131),"Sales, receipts and credit notes are for debtors; purchases, payments and debit notes for creditors",IF(AND(F131&lt;&gt;"",D131&lt;&gt;"Purchase bill"),"The received-on date is only for purchase bills",IF(AND(P131="Creditor",X131=1,AA131&gt;0),"Past due to a micro or small supplier: interest runs under MSMED s.16, and if unpaid at year end it is not deductible that year, s.37(2)(g)",IF(AND(P131="Debtor",X131=1,AA131&gt;0),"Past due to you: as a micro or small supplier you can claim interest under MSMED s.16","OK")))))))))))</f>
        <v/>
      </c>
      <c r="P131">
        <f>IF(C131="","",IFERROR(VLOOKUP(C131,'Example Parties'!$B$13:$Q$112,2,FALSE),"?"))</f>
        <v/>
      </c>
      <c r="Q131">
        <f>IF(D131="","",IFERROR(VLOOKUP(D131,Lists!$A$2:$D$9,3,FALSE),"?"))</f>
        <v/>
      </c>
      <c r="R131">
        <f>IF(D131="","",IFERROR(VLOOKUP(D131,Lists!$A$2:$D$9,4,FALSE),"?"))</f>
        <v/>
      </c>
      <c r="S131">
        <f>IF(P131="Debtor",I131,IF(P131="Creditor",J131,0))</f>
        <v/>
      </c>
      <c r="T131">
        <f>IF(P131="Debtor",J131,IF(P131="Creditor",I131,0))</f>
        <v/>
      </c>
      <c r="U131">
        <f>IF(OR(S131=0,B131=""),0,IFERROR(VLOOKUP(C131,'Example Parties'!$B$13:$Q$112,13,FALSE),0)+SUMIFS($S$7:$S$506,$C$7:$C$506,C131,$B$7:$B$506,"&lt;"&amp;B131)+SUMIFS(S$7:S131,C$7:C131,C131,B$7:B131,B131))</f>
        <v/>
      </c>
      <c r="V131">
        <f>IF(S131=0,0,IFERROR(VLOOKUP(C131,'Example Parties'!$B$13:$Q$112,14,FALSE),0)+SUMIFS($T$7:$T$506,$C$7:$C$506,C131,$B$7:$B$506,"&lt;="&amp;'Example Outstanding'!$E$5))</f>
        <v/>
      </c>
      <c r="W131">
        <f>IF(OR('Example Outstanding'!$E$5="",S131=0,B131="",B131&gt;'Example Outstanding'!$E$5),0,MAX(0,MIN(S131,U131-V131)))</f>
        <v/>
      </c>
      <c r="X131">
        <f>IF(C131="",0,IFERROR(VLOOKUP(C131,'Example Parties'!$B$13:$Q$112,15,FALSE),0))</f>
        <v/>
      </c>
      <c r="Y131">
        <f>IF(C131="","",IFERROR(VLOOKUP(C131,'Example Parties'!$B$13:$Q$112,16,FALSE),0))</f>
        <v/>
      </c>
      <c r="Z131">
        <f>IF(OR(S131=0,B131="",Y131=""),"",IF(AND(F131&lt;&gt;"",D131="Purchase bill"),F131,B131)+Y131)</f>
        <v/>
      </c>
      <c r="AA131">
        <f>IF(OR(W131=0,Z131=""),0,MAX(0,'Example Outstanding'!$E$5-Z131))</f>
        <v/>
      </c>
      <c r="AB131">
        <f>IF(AND(X131=1,AA131&gt;0),W131*((1+3*N('Example Parties'!$E$10)/12)^(AA131*12/365)-1),0)</f>
        <v/>
      </c>
      <c r="AC131">
        <f>IF(W131=0,"",'Example Outstanding'!$E$5-B131)</f>
        <v/>
      </c>
      <c r="AD131">
        <f>IF(S131=0,0,IFERROR(VLOOKUP(C131,'Example Parties'!$B$13:$Q$112,14,FALSE),0)+SUMIFS($T$7:$T$506,$C$7:$C$506,C131,$B$7:$B$506,"&lt;="&amp;'Example Parties'!$E$8))</f>
        <v/>
      </c>
      <c r="AE131">
        <f>IF(OR('Example Parties'!$E$8="",S131=0,B131="",B131&gt;'Example Parties'!$E$8),0,MAX(0,MIN(S131,U131-AD131)))</f>
        <v/>
      </c>
      <c r="AF131">
        <f>IF(AND(P131="Creditor",X131=1,AE131&gt;0,Z131&lt;&gt;""),IF(Z131&lt;='Example Parties'!$E$8,AE131,0),0)</f>
        <v/>
      </c>
      <c r="AG131">
        <f>IF(OR(AE131=0,Z131=""),0,MAX(0,'Example Parties'!$E$8-Z131))</f>
        <v/>
      </c>
      <c r="AH131">
        <f>IF(AND(P131="Creditor",X131=1,AG131&gt;0),AE131*((1+3*N('Example Parties'!$E$10)/12)^(AG131*12/365)-1),0)</f>
        <v/>
      </c>
      <c r="AI131">
        <f>IF(AND(C131&lt;&gt;"",C131='Example Ledger'!$D$4,B131&lt;&gt;"",B131&gt;='Example Ledger'!$D$5,B131&lt;='Example Ledger'!$D$6),1,0)</f>
        <v/>
      </c>
      <c r="AJ131">
        <f>IF(AI131=1,SUM(AI$7:AI131),"")</f>
        <v/>
      </c>
      <c r="AK131">
        <f>IF(OR(N131="",N131="OK"),0,1)</f>
        <v/>
      </c>
    </row>
    <row r="132">
      <c r="B132" s="24" t="n"/>
      <c r="C132" s="14" t="n"/>
      <c r="D132" s="14" t="n"/>
      <c r="E132" s="20" t="n"/>
      <c r="F132" s="24" t="n"/>
      <c r="G132" s="14" t="n"/>
      <c r="H132" s="22" t="n"/>
      <c r="I132" s="25">
        <f>IF(Q132="D",N(H132),0)</f>
        <v/>
      </c>
      <c r="J132" s="25">
        <f>IF(Q132="C",N(H132),0)</f>
        <v/>
      </c>
      <c r="K132" s="26">
        <f>IF(Z132="","",Z132)</f>
        <v/>
      </c>
      <c r="L132" s="27">
        <f>W132</f>
        <v/>
      </c>
      <c r="M132" s="28">
        <f>AA132</f>
        <v/>
      </c>
      <c r="N132" s="23">
        <f>IF(AND(B132="",C132="",D132="",N(H132)=0),"",IF(B132="","Enter the date",IF(C132="","Pick the party",IF(P132="?","Add this party on the Parties sheet first",IF(D132="","Pick the entry type",IF(Q132="?","Pick the entry type from the list",IF(N(H132)=0,"Enter the amount",IF(AND(R132&lt;&gt;"Any",R132&lt;&gt;P132),"Sales, receipts and credit notes are for debtors; purchases, payments and debit notes for creditors",IF(AND(F132&lt;&gt;"",D132&lt;&gt;"Purchase bill"),"The received-on date is only for purchase bills",IF(AND(P132="Creditor",X132=1,AA132&gt;0),"Past due to a micro or small supplier: interest runs under MSMED s.16, and if unpaid at year end it is not deductible that year, s.37(2)(g)",IF(AND(P132="Debtor",X132=1,AA132&gt;0),"Past due to you: as a micro or small supplier you can claim interest under MSMED s.16","OK")))))))))))</f>
        <v/>
      </c>
      <c r="P132">
        <f>IF(C132="","",IFERROR(VLOOKUP(C132,'Example Parties'!$B$13:$Q$112,2,FALSE),"?"))</f>
        <v/>
      </c>
      <c r="Q132">
        <f>IF(D132="","",IFERROR(VLOOKUP(D132,Lists!$A$2:$D$9,3,FALSE),"?"))</f>
        <v/>
      </c>
      <c r="R132">
        <f>IF(D132="","",IFERROR(VLOOKUP(D132,Lists!$A$2:$D$9,4,FALSE),"?"))</f>
        <v/>
      </c>
      <c r="S132">
        <f>IF(P132="Debtor",I132,IF(P132="Creditor",J132,0))</f>
        <v/>
      </c>
      <c r="T132">
        <f>IF(P132="Debtor",J132,IF(P132="Creditor",I132,0))</f>
        <v/>
      </c>
      <c r="U132">
        <f>IF(OR(S132=0,B132=""),0,IFERROR(VLOOKUP(C132,'Example Parties'!$B$13:$Q$112,13,FALSE),0)+SUMIFS($S$7:$S$506,$C$7:$C$506,C132,$B$7:$B$506,"&lt;"&amp;B132)+SUMIFS(S$7:S132,C$7:C132,C132,B$7:B132,B132))</f>
        <v/>
      </c>
      <c r="V132">
        <f>IF(S132=0,0,IFERROR(VLOOKUP(C132,'Example Parties'!$B$13:$Q$112,14,FALSE),0)+SUMIFS($T$7:$T$506,$C$7:$C$506,C132,$B$7:$B$506,"&lt;="&amp;'Example Outstanding'!$E$5))</f>
        <v/>
      </c>
      <c r="W132">
        <f>IF(OR('Example Outstanding'!$E$5="",S132=0,B132="",B132&gt;'Example Outstanding'!$E$5),0,MAX(0,MIN(S132,U132-V132)))</f>
        <v/>
      </c>
      <c r="X132">
        <f>IF(C132="",0,IFERROR(VLOOKUP(C132,'Example Parties'!$B$13:$Q$112,15,FALSE),0))</f>
        <v/>
      </c>
      <c r="Y132">
        <f>IF(C132="","",IFERROR(VLOOKUP(C132,'Example Parties'!$B$13:$Q$112,16,FALSE),0))</f>
        <v/>
      </c>
      <c r="Z132">
        <f>IF(OR(S132=0,B132="",Y132=""),"",IF(AND(F132&lt;&gt;"",D132="Purchase bill"),F132,B132)+Y132)</f>
        <v/>
      </c>
      <c r="AA132">
        <f>IF(OR(W132=0,Z132=""),0,MAX(0,'Example Outstanding'!$E$5-Z132))</f>
        <v/>
      </c>
      <c r="AB132">
        <f>IF(AND(X132=1,AA132&gt;0),W132*((1+3*N('Example Parties'!$E$10)/12)^(AA132*12/365)-1),0)</f>
        <v/>
      </c>
      <c r="AC132">
        <f>IF(W132=0,"",'Example Outstanding'!$E$5-B132)</f>
        <v/>
      </c>
      <c r="AD132">
        <f>IF(S132=0,0,IFERROR(VLOOKUP(C132,'Example Parties'!$B$13:$Q$112,14,FALSE),0)+SUMIFS($T$7:$T$506,$C$7:$C$506,C132,$B$7:$B$506,"&lt;="&amp;'Example Parties'!$E$8))</f>
        <v/>
      </c>
      <c r="AE132">
        <f>IF(OR('Example Parties'!$E$8="",S132=0,B132="",B132&gt;'Example Parties'!$E$8),0,MAX(0,MIN(S132,U132-AD132)))</f>
        <v/>
      </c>
      <c r="AF132">
        <f>IF(AND(P132="Creditor",X132=1,AE132&gt;0,Z132&lt;&gt;""),IF(Z132&lt;='Example Parties'!$E$8,AE132,0),0)</f>
        <v/>
      </c>
      <c r="AG132">
        <f>IF(OR(AE132=0,Z132=""),0,MAX(0,'Example Parties'!$E$8-Z132))</f>
        <v/>
      </c>
      <c r="AH132">
        <f>IF(AND(P132="Creditor",X132=1,AG132&gt;0),AE132*((1+3*N('Example Parties'!$E$10)/12)^(AG132*12/365)-1),0)</f>
        <v/>
      </c>
      <c r="AI132">
        <f>IF(AND(C132&lt;&gt;"",C132='Example Ledger'!$D$4,B132&lt;&gt;"",B132&gt;='Example Ledger'!$D$5,B132&lt;='Example Ledger'!$D$6),1,0)</f>
        <v/>
      </c>
      <c r="AJ132">
        <f>IF(AI132=1,SUM(AI$7:AI132),"")</f>
        <v/>
      </c>
      <c r="AK132">
        <f>IF(OR(N132="",N132="OK"),0,1)</f>
        <v/>
      </c>
    </row>
    <row r="133">
      <c r="B133" s="24" t="n"/>
      <c r="C133" s="14" t="n"/>
      <c r="D133" s="14" t="n"/>
      <c r="E133" s="20" t="n"/>
      <c r="F133" s="24" t="n"/>
      <c r="G133" s="14" t="n"/>
      <c r="H133" s="22" t="n"/>
      <c r="I133" s="25">
        <f>IF(Q133="D",N(H133),0)</f>
        <v/>
      </c>
      <c r="J133" s="25">
        <f>IF(Q133="C",N(H133),0)</f>
        <v/>
      </c>
      <c r="K133" s="26">
        <f>IF(Z133="","",Z133)</f>
        <v/>
      </c>
      <c r="L133" s="27">
        <f>W133</f>
        <v/>
      </c>
      <c r="M133" s="28">
        <f>AA133</f>
        <v/>
      </c>
      <c r="N133" s="23">
        <f>IF(AND(B133="",C133="",D133="",N(H133)=0),"",IF(B133="","Enter the date",IF(C133="","Pick the party",IF(P133="?","Add this party on the Parties sheet first",IF(D133="","Pick the entry type",IF(Q133="?","Pick the entry type from the list",IF(N(H133)=0,"Enter the amount",IF(AND(R133&lt;&gt;"Any",R133&lt;&gt;P133),"Sales, receipts and credit notes are for debtors; purchases, payments and debit notes for creditors",IF(AND(F133&lt;&gt;"",D133&lt;&gt;"Purchase bill"),"The received-on date is only for purchase bills",IF(AND(P133="Creditor",X133=1,AA133&gt;0),"Past due to a micro or small supplier: interest runs under MSMED s.16, and if unpaid at year end it is not deductible that year, s.37(2)(g)",IF(AND(P133="Debtor",X133=1,AA133&gt;0),"Past due to you: as a micro or small supplier you can claim interest under MSMED s.16","OK")))))))))))</f>
        <v/>
      </c>
      <c r="P133">
        <f>IF(C133="","",IFERROR(VLOOKUP(C133,'Example Parties'!$B$13:$Q$112,2,FALSE),"?"))</f>
        <v/>
      </c>
      <c r="Q133">
        <f>IF(D133="","",IFERROR(VLOOKUP(D133,Lists!$A$2:$D$9,3,FALSE),"?"))</f>
        <v/>
      </c>
      <c r="R133">
        <f>IF(D133="","",IFERROR(VLOOKUP(D133,Lists!$A$2:$D$9,4,FALSE),"?"))</f>
        <v/>
      </c>
      <c r="S133">
        <f>IF(P133="Debtor",I133,IF(P133="Creditor",J133,0))</f>
        <v/>
      </c>
      <c r="T133">
        <f>IF(P133="Debtor",J133,IF(P133="Creditor",I133,0))</f>
        <v/>
      </c>
      <c r="U133">
        <f>IF(OR(S133=0,B133=""),0,IFERROR(VLOOKUP(C133,'Example Parties'!$B$13:$Q$112,13,FALSE),0)+SUMIFS($S$7:$S$506,$C$7:$C$506,C133,$B$7:$B$506,"&lt;"&amp;B133)+SUMIFS(S$7:S133,C$7:C133,C133,B$7:B133,B133))</f>
        <v/>
      </c>
      <c r="V133">
        <f>IF(S133=0,0,IFERROR(VLOOKUP(C133,'Example Parties'!$B$13:$Q$112,14,FALSE),0)+SUMIFS($T$7:$T$506,$C$7:$C$506,C133,$B$7:$B$506,"&lt;="&amp;'Example Outstanding'!$E$5))</f>
        <v/>
      </c>
      <c r="W133">
        <f>IF(OR('Example Outstanding'!$E$5="",S133=0,B133="",B133&gt;'Example Outstanding'!$E$5),0,MAX(0,MIN(S133,U133-V133)))</f>
        <v/>
      </c>
      <c r="X133">
        <f>IF(C133="",0,IFERROR(VLOOKUP(C133,'Example Parties'!$B$13:$Q$112,15,FALSE),0))</f>
        <v/>
      </c>
      <c r="Y133">
        <f>IF(C133="","",IFERROR(VLOOKUP(C133,'Example Parties'!$B$13:$Q$112,16,FALSE),0))</f>
        <v/>
      </c>
      <c r="Z133">
        <f>IF(OR(S133=0,B133="",Y133=""),"",IF(AND(F133&lt;&gt;"",D133="Purchase bill"),F133,B133)+Y133)</f>
        <v/>
      </c>
      <c r="AA133">
        <f>IF(OR(W133=0,Z133=""),0,MAX(0,'Example Outstanding'!$E$5-Z133))</f>
        <v/>
      </c>
      <c r="AB133">
        <f>IF(AND(X133=1,AA133&gt;0),W133*((1+3*N('Example Parties'!$E$10)/12)^(AA133*12/365)-1),0)</f>
        <v/>
      </c>
      <c r="AC133">
        <f>IF(W133=0,"",'Example Outstanding'!$E$5-B133)</f>
        <v/>
      </c>
      <c r="AD133">
        <f>IF(S133=0,0,IFERROR(VLOOKUP(C133,'Example Parties'!$B$13:$Q$112,14,FALSE),0)+SUMIFS($T$7:$T$506,$C$7:$C$506,C133,$B$7:$B$506,"&lt;="&amp;'Example Parties'!$E$8))</f>
        <v/>
      </c>
      <c r="AE133">
        <f>IF(OR('Example Parties'!$E$8="",S133=0,B133="",B133&gt;'Example Parties'!$E$8),0,MAX(0,MIN(S133,U133-AD133)))</f>
        <v/>
      </c>
      <c r="AF133">
        <f>IF(AND(P133="Creditor",X133=1,AE133&gt;0,Z133&lt;&gt;""),IF(Z133&lt;='Example Parties'!$E$8,AE133,0),0)</f>
        <v/>
      </c>
      <c r="AG133">
        <f>IF(OR(AE133=0,Z133=""),0,MAX(0,'Example Parties'!$E$8-Z133))</f>
        <v/>
      </c>
      <c r="AH133">
        <f>IF(AND(P133="Creditor",X133=1,AG133&gt;0),AE133*((1+3*N('Example Parties'!$E$10)/12)^(AG133*12/365)-1),0)</f>
        <v/>
      </c>
      <c r="AI133">
        <f>IF(AND(C133&lt;&gt;"",C133='Example Ledger'!$D$4,B133&lt;&gt;"",B133&gt;='Example Ledger'!$D$5,B133&lt;='Example Ledger'!$D$6),1,0)</f>
        <v/>
      </c>
      <c r="AJ133">
        <f>IF(AI133=1,SUM(AI$7:AI133),"")</f>
        <v/>
      </c>
      <c r="AK133">
        <f>IF(OR(N133="",N133="OK"),0,1)</f>
        <v/>
      </c>
    </row>
    <row r="134">
      <c r="B134" s="24" t="n"/>
      <c r="C134" s="14" t="n"/>
      <c r="D134" s="14" t="n"/>
      <c r="E134" s="20" t="n"/>
      <c r="F134" s="24" t="n"/>
      <c r="G134" s="14" t="n"/>
      <c r="H134" s="22" t="n"/>
      <c r="I134" s="25">
        <f>IF(Q134="D",N(H134),0)</f>
        <v/>
      </c>
      <c r="J134" s="25">
        <f>IF(Q134="C",N(H134),0)</f>
        <v/>
      </c>
      <c r="K134" s="26">
        <f>IF(Z134="","",Z134)</f>
        <v/>
      </c>
      <c r="L134" s="27">
        <f>W134</f>
        <v/>
      </c>
      <c r="M134" s="28">
        <f>AA134</f>
        <v/>
      </c>
      <c r="N134" s="23">
        <f>IF(AND(B134="",C134="",D134="",N(H134)=0),"",IF(B134="","Enter the date",IF(C134="","Pick the party",IF(P134="?","Add this party on the Parties sheet first",IF(D134="","Pick the entry type",IF(Q134="?","Pick the entry type from the list",IF(N(H134)=0,"Enter the amount",IF(AND(R134&lt;&gt;"Any",R134&lt;&gt;P134),"Sales, receipts and credit notes are for debtors; purchases, payments and debit notes for creditors",IF(AND(F134&lt;&gt;"",D134&lt;&gt;"Purchase bill"),"The received-on date is only for purchase bills",IF(AND(P134="Creditor",X134=1,AA134&gt;0),"Past due to a micro or small supplier: interest runs under MSMED s.16, and if unpaid at year end it is not deductible that year, s.37(2)(g)",IF(AND(P134="Debtor",X134=1,AA134&gt;0),"Past due to you: as a micro or small supplier you can claim interest under MSMED s.16","OK")))))))))))</f>
        <v/>
      </c>
      <c r="P134">
        <f>IF(C134="","",IFERROR(VLOOKUP(C134,'Example Parties'!$B$13:$Q$112,2,FALSE),"?"))</f>
        <v/>
      </c>
      <c r="Q134">
        <f>IF(D134="","",IFERROR(VLOOKUP(D134,Lists!$A$2:$D$9,3,FALSE),"?"))</f>
        <v/>
      </c>
      <c r="R134">
        <f>IF(D134="","",IFERROR(VLOOKUP(D134,Lists!$A$2:$D$9,4,FALSE),"?"))</f>
        <v/>
      </c>
      <c r="S134">
        <f>IF(P134="Debtor",I134,IF(P134="Creditor",J134,0))</f>
        <v/>
      </c>
      <c r="T134">
        <f>IF(P134="Debtor",J134,IF(P134="Creditor",I134,0))</f>
        <v/>
      </c>
      <c r="U134">
        <f>IF(OR(S134=0,B134=""),0,IFERROR(VLOOKUP(C134,'Example Parties'!$B$13:$Q$112,13,FALSE),0)+SUMIFS($S$7:$S$506,$C$7:$C$506,C134,$B$7:$B$506,"&lt;"&amp;B134)+SUMIFS(S$7:S134,C$7:C134,C134,B$7:B134,B134))</f>
        <v/>
      </c>
      <c r="V134">
        <f>IF(S134=0,0,IFERROR(VLOOKUP(C134,'Example Parties'!$B$13:$Q$112,14,FALSE),0)+SUMIFS($T$7:$T$506,$C$7:$C$506,C134,$B$7:$B$506,"&lt;="&amp;'Example Outstanding'!$E$5))</f>
        <v/>
      </c>
      <c r="W134">
        <f>IF(OR('Example Outstanding'!$E$5="",S134=0,B134="",B134&gt;'Example Outstanding'!$E$5),0,MAX(0,MIN(S134,U134-V134)))</f>
        <v/>
      </c>
      <c r="X134">
        <f>IF(C134="",0,IFERROR(VLOOKUP(C134,'Example Parties'!$B$13:$Q$112,15,FALSE),0))</f>
        <v/>
      </c>
      <c r="Y134">
        <f>IF(C134="","",IFERROR(VLOOKUP(C134,'Example Parties'!$B$13:$Q$112,16,FALSE),0))</f>
        <v/>
      </c>
      <c r="Z134">
        <f>IF(OR(S134=0,B134="",Y134=""),"",IF(AND(F134&lt;&gt;"",D134="Purchase bill"),F134,B134)+Y134)</f>
        <v/>
      </c>
      <c r="AA134">
        <f>IF(OR(W134=0,Z134=""),0,MAX(0,'Example Outstanding'!$E$5-Z134))</f>
        <v/>
      </c>
      <c r="AB134">
        <f>IF(AND(X134=1,AA134&gt;0),W134*((1+3*N('Example Parties'!$E$10)/12)^(AA134*12/365)-1),0)</f>
        <v/>
      </c>
      <c r="AC134">
        <f>IF(W134=0,"",'Example Outstanding'!$E$5-B134)</f>
        <v/>
      </c>
      <c r="AD134">
        <f>IF(S134=0,0,IFERROR(VLOOKUP(C134,'Example Parties'!$B$13:$Q$112,14,FALSE),0)+SUMIFS($T$7:$T$506,$C$7:$C$506,C134,$B$7:$B$506,"&lt;="&amp;'Example Parties'!$E$8))</f>
        <v/>
      </c>
      <c r="AE134">
        <f>IF(OR('Example Parties'!$E$8="",S134=0,B134="",B134&gt;'Example Parties'!$E$8),0,MAX(0,MIN(S134,U134-AD134)))</f>
        <v/>
      </c>
      <c r="AF134">
        <f>IF(AND(P134="Creditor",X134=1,AE134&gt;0,Z134&lt;&gt;""),IF(Z134&lt;='Example Parties'!$E$8,AE134,0),0)</f>
        <v/>
      </c>
      <c r="AG134">
        <f>IF(OR(AE134=0,Z134=""),0,MAX(0,'Example Parties'!$E$8-Z134))</f>
        <v/>
      </c>
      <c r="AH134">
        <f>IF(AND(P134="Creditor",X134=1,AG134&gt;0),AE134*((1+3*N('Example Parties'!$E$10)/12)^(AG134*12/365)-1),0)</f>
        <v/>
      </c>
      <c r="AI134">
        <f>IF(AND(C134&lt;&gt;"",C134='Example Ledger'!$D$4,B134&lt;&gt;"",B134&gt;='Example Ledger'!$D$5,B134&lt;='Example Ledger'!$D$6),1,0)</f>
        <v/>
      </c>
      <c r="AJ134">
        <f>IF(AI134=1,SUM(AI$7:AI134),"")</f>
        <v/>
      </c>
      <c r="AK134">
        <f>IF(OR(N134="",N134="OK"),0,1)</f>
        <v/>
      </c>
    </row>
    <row r="135">
      <c r="B135" s="24" t="n"/>
      <c r="C135" s="14" t="n"/>
      <c r="D135" s="14" t="n"/>
      <c r="E135" s="20" t="n"/>
      <c r="F135" s="24" t="n"/>
      <c r="G135" s="14" t="n"/>
      <c r="H135" s="22" t="n"/>
      <c r="I135" s="25">
        <f>IF(Q135="D",N(H135),0)</f>
        <v/>
      </c>
      <c r="J135" s="25">
        <f>IF(Q135="C",N(H135),0)</f>
        <v/>
      </c>
      <c r="K135" s="26">
        <f>IF(Z135="","",Z135)</f>
        <v/>
      </c>
      <c r="L135" s="27">
        <f>W135</f>
        <v/>
      </c>
      <c r="M135" s="28">
        <f>AA135</f>
        <v/>
      </c>
      <c r="N135" s="23">
        <f>IF(AND(B135="",C135="",D135="",N(H135)=0),"",IF(B135="","Enter the date",IF(C135="","Pick the party",IF(P135="?","Add this party on the Parties sheet first",IF(D135="","Pick the entry type",IF(Q135="?","Pick the entry type from the list",IF(N(H135)=0,"Enter the amount",IF(AND(R135&lt;&gt;"Any",R135&lt;&gt;P135),"Sales, receipts and credit notes are for debtors; purchases, payments and debit notes for creditors",IF(AND(F135&lt;&gt;"",D135&lt;&gt;"Purchase bill"),"The received-on date is only for purchase bills",IF(AND(P135="Creditor",X135=1,AA135&gt;0),"Past due to a micro or small supplier: interest runs under MSMED s.16, and if unpaid at year end it is not deductible that year, s.37(2)(g)",IF(AND(P135="Debtor",X135=1,AA135&gt;0),"Past due to you: as a micro or small supplier you can claim interest under MSMED s.16","OK")))))))))))</f>
        <v/>
      </c>
      <c r="P135">
        <f>IF(C135="","",IFERROR(VLOOKUP(C135,'Example Parties'!$B$13:$Q$112,2,FALSE),"?"))</f>
        <v/>
      </c>
      <c r="Q135">
        <f>IF(D135="","",IFERROR(VLOOKUP(D135,Lists!$A$2:$D$9,3,FALSE),"?"))</f>
        <v/>
      </c>
      <c r="R135">
        <f>IF(D135="","",IFERROR(VLOOKUP(D135,Lists!$A$2:$D$9,4,FALSE),"?"))</f>
        <v/>
      </c>
      <c r="S135">
        <f>IF(P135="Debtor",I135,IF(P135="Creditor",J135,0))</f>
        <v/>
      </c>
      <c r="T135">
        <f>IF(P135="Debtor",J135,IF(P135="Creditor",I135,0))</f>
        <v/>
      </c>
      <c r="U135">
        <f>IF(OR(S135=0,B135=""),0,IFERROR(VLOOKUP(C135,'Example Parties'!$B$13:$Q$112,13,FALSE),0)+SUMIFS($S$7:$S$506,$C$7:$C$506,C135,$B$7:$B$506,"&lt;"&amp;B135)+SUMIFS(S$7:S135,C$7:C135,C135,B$7:B135,B135))</f>
        <v/>
      </c>
      <c r="V135">
        <f>IF(S135=0,0,IFERROR(VLOOKUP(C135,'Example Parties'!$B$13:$Q$112,14,FALSE),0)+SUMIFS($T$7:$T$506,$C$7:$C$506,C135,$B$7:$B$506,"&lt;="&amp;'Example Outstanding'!$E$5))</f>
        <v/>
      </c>
      <c r="W135">
        <f>IF(OR('Example Outstanding'!$E$5="",S135=0,B135="",B135&gt;'Example Outstanding'!$E$5),0,MAX(0,MIN(S135,U135-V135)))</f>
        <v/>
      </c>
      <c r="X135">
        <f>IF(C135="",0,IFERROR(VLOOKUP(C135,'Example Parties'!$B$13:$Q$112,15,FALSE),0))</f>
        <v/>
      </c>
      <c r="Y135">
        <f>IF(C135="","",IFERROR(VLOOKUP(C135,'Example Parties'!$B$13:$Q$112,16,FALSE),0))</f>
        <v/>
      </c>
      <c r="Z135">
        <f>IF(OR(S135=0,B135="",Y135=""),"",IF(AND(F135&lt;&gt;"",D135="Purchase bill"),F135,B135)+Y135)</f>
        <v/>
      </c>
      <c r="AA135">
        <f>IF(OR(W135=0,Z135=""),0,MAX(0,'Example Outstanding'!$E$5-Z135))</f>
        <v/>
      </c>
      <c r="AB135">
        <f>IF(AND(X135=1,AA135&gt;0),W135*((1+3*N('Example Parties'!$E$10)/12)^(AA135*12/365)-1),0)</f>
        <v/>
      </c>
      <c r="AC135">
        <f>IF(W135=0,"",'Example Outstanding'!$E$5-B135)</f>
        <v/>
      </c>
      <c r="AD135">
        <f>IF(S135=0,0,IFERROR(VLOOKUP(C135,'Example Parties'!$B$13:$Q$112,14,FALSE),0)+SUMIFS($T$7:$T$506,$C$7:$C$506,C135,$B$7:$B$506,"&lt;="&amp;'Example Parties'!$E$8))</f>
        <v/>
      </c>
      <c r="AE135">
        <f>IF(OR('Example Parties'!$E$8="",S135=0,B135="",B135&gt;'Example Parties'!$E$8),0,MAX(0,MIN(S135,U135-AD135)))</f>
        <v/>
      </c>
      <c r="AF135">
        <f>IF(AND(P135="Creditor",X135=1,AE135&gt;0,Z135&lt;&gt;""),IF(Z135&lt;='Example Parties'!$E$8,AE135,0),0)</f>
        <v/>
      </c>
      <c r="AG135">
        <f>IF(OR(AE135=0,Z135=""),0,MAX(0,'Example Parties'!$E$8-Z135))</f>
        <v/>
      </c>
      <c r="AH135">
        <f>IF(AND(P135="Creditor",X135=1,AG135&gt;0),AE135*((1+3*N('Example Parties'!$E$10)/12)^(AG135*12/365)-1),0)</f>
        <v/>
      </c>
      <c r="AI135">
        <f>IF(AND(C135&lt;&gt;"",C135='Example Ledger'!$D$4,B135&lt;&gt;"",B135&gt;='Example Ledger'!$D$5,B135&lt;='Example Ledger'!$D$6),1,0)</f>
        <v/>
      </c>
      <c r="AJ135">
        <f>IF(AI135=1,SUM(AI$7:AI135),"")</f>
        <v/>
      </c>
      <c r="AK135">
        <f>IF(OR(N135="",N135="OK"),0,1)</f>
        <v/>
      </c>
    </row>
    <row r="136">
      <c r="B136" s="24" t="n"/>
      <c r="C136" s="14" t="n"/>
      <c r="D136" s="14" t="n"/>
      <c r="E136" s="20" t="n"/>
      <c r="F136" s="24" t="n"/>
      <c r="G136" s="14" t="n"/>
      <c r="H136" s="22" t="n"/>
      <c r="I136" s="25">
        <f>IF(Q136="D",N(H136),0)</f>
        <v/>
      </c>
      <c r="J136" s="25">
        <f>IF(Q136="C",N(H136),0)</f>
        <v/>
      </c>
      <c r="K136" s="26">
        <f>IF(Z136="","",Z136)</f>
        <v/>
      </c>
      <c r="L136" s="27">
        <f>W136</f>
        <v/>
      </c>
      <c r="M136" s="28">
        <f>AA136</f>
        <v/>
      </c>
      <c r="N136" s="23">
        <f>IF(AND(B136="",C136="",D136="",N(H136)=0),"",IF(B136="","Enter the date",IF(C136="","Pick the party",IF(P136="?","Add this party on the Parties sheet first",IF(D136="","Pick the entry type",IF(Q136="?","Pick the entry type from the list",IF(N(H136)=0,"Enter the amount",IF(AND(R136&lt;&gt;"Any",R136&lt;&gt;P136),"Sales, receipts and credit notes are for debtors; purchases, payments and debit notes for creditors",IF(AND(F136&lt;&gt;"",D136&lt;&gt;"Purchase bill"),"The received-on date is only for purchase bills",IF(AND(P136="Creditor",X136=1,AA136&gt;0),"Past due to a micro or small supplier: interest runs under MSMED s.16, and if unpaid at year end it is not deductible that year, s.37(2)(g)",IF(AND(P136="Debtor",X136=1,AA136&gt;0),"Past due to you: as a micro or small supplier you can claim interest under MSMED s.16","OK")))))))))))</f>
        <v/>
      </c>
      <c r="P136">
        <f>IF(C136="","",IFERROR(VLOOKUP(C136,'Example Parties'!$B$13:$Q$112,2,FALSE),"?"))</f>
        <v/>
      </c>
      <c r="Q136">
        <f>IF(D136="","",IFERROR(VLOOKUP(D136,Lists!$A$2:$D$9,3,FALSE),"?"))</f>
        <v/>
      </c>
      <c r="R136">
        <f>IF(D136="","",IFERROR(VLOOKUP(D136,Lists!$A$2:$D$9,4,FALSE),"?"))</f>
        <v/>
      </c>
      <c r="S136">
        <f>IF(P136="Debtor",I136,IF(P136="Creditor",J136,0))</f>
        <v/>
      </c>
      <c r="T136">
        <f>IF(P136="Debtor",J136,IF(P136="Creditor",I136,0))</f>
        <v/>
      </c>
      <c r="U136">
        <f>IF(OR(S136=0,B136=""),0,IFERROR(VLOOKUP(C136,'Example Parties'!$B$13:$Q$112,13,FALSE),0)+SUMIFS($S$7:$S$506,$C$7:$C$506,C136,$B$7:$B$506,"&lt;"&amp;B136)+SUMIFS(S$7:S136,C$7:C136,C136,B$7:B136,B136))</f>
        <v/>
      </c>
      <c r="V136">
        <f>IF(S136=0,0,IFERROR(VLOOKUP(C136,'Example Parties'!$B$13:$Q$112,14,FALSE),0)+SUMIFS($T$7:$T$506,$C$7:$C$506,C136,$B$7:$B$506,"&lt;="&amp;'Example Outstanding'!$E$5))</f>
        <v/>
      </c>
      <c r="W136">
        <f>IF(OR('Example Outstanding'!$E$5="",S136=0,B136="",B136&gt;'Example Outstanding'!$E$5),0,MAX(0,MIN(S136,U136-V136)))</f>
        <v/>
      </c>
      <c r="X136">
        <f>IF(C136="",0,IFERROR(VLOOKUP(C136,'Example Parties'!$B$13:$Q$112,15,FALSE),0))</f>
        <v/>
      </c>
      <c r="Y136">
        <f>IF(C136="","",IFERROR(VLOOKUP(C136,'Example Parties'!$B$13:$Q$112,16,FALSE),0))</f>
        <v/>
      </c>
      <c r="Z136">
        <f>IF(OR(S136=0,B136="",Y136=""),"",IF(AND(F136&lt;&gt;"",D136="Purchase bill"),F136,B136)+Y136)</f>
        <v/>
      </c>
      <c r="AA136">
        <f>IF(OR(W136=0,Z136=""),0,MAX(0,'Example Outstanding'!$E$5-Z136))</f>
        <v/>
      </c>
      <c r="AB136">
        <f>IF(AND(X136=1,AA136&gt;0),W136*((1+3*N('Example Parties'!$E$10)/12)^(AA136*12/365)-1),0)</f>
        <v/>
      </c>
      <c r="AC136">
        <f>IF(W136=0,"",'Example Outstanding'!$E$5-B136)</f>
        <v/>
      </c>
      <c r="AD136">
        <f>IF(S136=0,0,IFERROR(VLOOKUP(C136,'Example Parties'!$B$13:$Q$112,14,FALSE),0)+SUMIFS($T$7:$T$506,$C$7:$C$506,C136,$B$7:$B$506,"&lt;="&amp;'Example Parties'!$E$8))</f>
        <v/>
      </c>
      <c r="AE136">
        <f>IF(OR('Example Parties'!$E$8="",S136=0,B136="",B136&gt;'Example Parties'!$E$8),0,MAX(0,MIN(S136,U136-AD136)))</f>
        <v/>
      </c>
      <c r="AF136">
        <f>IF(AND(P136="Creditor",X136=1,AE136&gt;0,Z136&lt;&gt;""),IF(Z136&lt;='Example Parties'!$E$8,AE136,0),0)</f>
        <v/>
      </c>
      <c r="AG136">
        <f>IF(OR(AE136=0,Z136=""),0,MAX(0,'Example Parties'!$E$8-Z136))</f>
        <v/>
      </c>
      <c r="AH136">
        <f>IF(AND(P136="Creditor",X136=1,AG136&gt;0),AE136*((1+3*N('Example Parties'!$E$10)/12)^(AG136*12/365)-1),0)</f>
        <v/>
      </c>
      <c r="AI136">
        <f>IF(AND(C136&lt;&gt;"",C136='Example Ledger'!$D$4,B136&lt;&gt;"",B136&gt;='Example Ledger'!$D$5,B136&lt;='Example Ledger'!$D$6),1,0)</f>
        <v/>
      </c>
      <c r="AJ136">
        <f>IF(AI136=1,SUM(AI$7:AI136),"")</f>
        <v/>
      </c>
      <c r="AK136">
        <f>IF(OR(N136="",N136="OK"),0,1)</f>
        <v/>
      </c>
    </row>
    <row r="137">
      <c r="B137" s="24" t="n"/>
      <c r="C137" s="14" t="n"/>
      <c r="D137" s="14" t="n"/>
      <c r="E137" s="20" t="n"/>
      <c r="F137" s="24" t="n"/>
      <c r="G137" s="14" t="n"/>
      <c r="H137" s="22" t="n"/>
      <c r="I137" s="25">
        <f>IF(Q137="D",N(H137),0)</f>
        <v/>
      </c>
      <c r="J137" s="25">
        <f>IF(Q137="C",N(H137),0)</f>
        <v/>
      </c>
      <c r="K137" s="26">
        <f>IF(Z137="","",Z137)</f>
        <v/>
      </c>
      <c r="L137" s="27">
        <f>W137</f>
        <v/>
      </c>
      <c r="M137" s="28">
        <f>AA137</f>
        <v/>
      </c>
      <c r="N137" s="23">
        <f>IF(AND(B137="",C137="",D137="",N(H137)=0),"",IF(B137="","Enter the date",IF(C137="","Pick the party",IF(P137="?","Add this party on the Parties sheet first",IF(D137="","Pick the entry type",IF(Q137="?","Pick the entry type from the list",IF(N(H137)=0,"Enter the amount",IF(AND(R137&lt;&gt;"Any",R137&lt;&gt;P137),"Sales, receipts and credit notes are for debtors; purchases, payments and debit notes for creditors",IF(AND(F137&lt;&gt;"",D137&lt;&gt;"Purchase bill"),"The received-on date is only for purchase bills",IF(AND(P137="Creditor",X137=1,AA137&gt;0),"Past due to a micro or small supplier: interest runs under MSMED s.16, and if unpaid at year end it is not deductible that year, s.37(2)(g)",IF(AND(P137="Debtor",X137=1,AA137&gt;0),"Past due to you: as a micro or small supplier you can claim interest under MSMED s.16","OK")))))))))))</f>
        <v/>
      </c>
      <c r="P137">
        <f>IF(C137="","",IFERROR(VLOOKUP(C137,'Example Parties'!$B$13:$Q$112,2,FALSE),"?"))</f>
        <v/>
      </c>
      <c r="Q137">
        <f>IF(D137="","",IFERROR(VLOOKUP(D137,Lists!$A$2:$D$9,3,FALSE),"?"))</f>
        <v/>
      </c>
      <c r="R137">
        <f>IF(D137="","",IFERROR(VLOOKUP(D137,Lists!$A$2:$D$9,4,FALSE),"?"))</f>
        <v/>
      </c>
      <c r="S137">
        <f>IF(P137="Debtor",I137,IF(P137="Creditor",J137,0))</f>
        <v/>
      </c>
      <c r="T137">
        <f>IF(P137="Debtor",J137,IF(P137="Creditor",I137,0))</f>
        <v/>
      </c>
      <c r="U137">
        <f>IF(OR(S137=0,B137=""),0,IFERROR(VLOOKUP(C137,'Example Parties'!$B$13:$Q$112,13,FALSE),0)+SUMIFS($S$7:$S$506,$C$7:$C$506,C137,$B$7:$B$506,"&lt;"&amp;B137)+SUMIFS(S$7:S137,C$7:C137,C137,B$7:B137,B137))</f>
        <v/>
      </c>
      <c r="V137">
        <f>IF(S137=0,0,IFERROR(VLOOKUP(C137,'Example Parties'!$B$13:$Q$112,14,FALSE),0)+SUMIFS($T$7:$T$506,$C$7:$C$506,C137,$B$7:$B$506,"&lt;="&amp;'Example Outstanding'!$E$5))</f>
        <v/>
      </c>
      <c r="W137">
        <f>IF(OR('Example Outstanding'!$E$5="",S137=0,B137="",B137&gt;'Example Outstanding'!$E$5),0,MAX(0,MIN(S137,U137-V137)))</f>
        <v/>
      </c>
      <c r="X137">
        <f>IF(C137="",0,IFERROR(VLOOKUP(C137,'Example Parties'!$B$13:$Q$112,15,FALSE),0))</f>
        <v/>
      </c>
      <c r="Y137">
        <f>IF(C137="","",IFERROR(VLOOKUP(C137,'Example Parties'!$B$13:$Q$112,16,FALSE),0))</f>
        <v/>
      </c>
      <c r="Z137">
        <f>IF(OR(S137=0,B137="",Y137=""),"",IF(AND(F137&lt;&gt;"",D137="Purchase bill"),F137,B137)+Y137)</f>
        <v/>
      </c>
      <c r="AA137">
        <f>IF(OR(W137=0,Z137=""),0,MAX(0,'Example Outstanding'!$E$5-Z137))</f>
        <v/>
      </c>
      <c r="AB137">
        <f>IF(AND(X137=1,AA137&gt;0),W137*((1+3*N('Example Parties'!$E$10)/12)^(AA137*12/365)-1),0)</f>
        <v/>
      </c>
      <c r="AC137">
        <f>IF(W137=0,"",'Example Outstanding'!$E$5-B137)</f>
        <v/>
      </c>
      <c r="AD137">
        <f>IF(S137=0,0,IFERROR(VLOOKUP(C137,'Example Parties'!$B$13:$Q$112,14,FALSE),0)+SUMIFS($T$7:$T$506,$C$7:$C$506,C137,$B$7:$B$506,"&lt;="&amp;'Example Parties'!$E$8))</f>
        <v/>
      </c>
      <c r="AE137">
        <f>IF(OR('Example Parties'!$E$8="",S137=0,B137="",B137&gt;'Example Parties'!$E$8),0,MAX(0,MIN(S137,U137-AD137)))</f>
        <v/>
      </c>
      <c r="AF137">
        <f>IF(AND(P137="Creditor",X137=1,AE137&gt;0,Z137&lt;&gt;""),IF(Z137&lt;='Example Parties'!$E$8,AE137,0),0)</f>
        <v/>
      </c>
      <c r="AG137">
        <f>IF(OR(AE137=0,Z137=""),0,MAX(0,'Example Parties'!$E$8-Z137))</f>
        <v/>
      </c>
      <c r="AH137">
        <f>IF(AND(P137="Creditor",X137=1,AG137&gt;0),AE137*((1+3*N('Example Parties'!$E$10)/12)^(AG137*12/365)-1),0)</f>
        <v/>
      </c>
      <c r="AI137">
        <f>IF(AND(C137&lt;&gt;"",C137='Example Ledger'!$D$4,B137&lt;&gt;"",B137&gt;='Example Ledger'!$D$5,B137&lt;='Example Ledger'!$D$6),1,0)</f>
        <v/>
      </c>
      <c r="AJ137">
        <f>IF(AI137=1,SUM(AI$7:AI137),"")</f>
        <v/>
      </c>
      <c r="AK137">
        <f>IF(OR(N137="",N137="OK"),0,1)</f>
        <v/>
      </c>
    </row>
    <row r="138">
      <c r="B138" s="24" t="n"/>
      <c r="C138" s="14" t="n"/>
      <c r="D138" s="14" t="n"/>
      <c r="E138" s="20" t="n"/>
      <c r="F138" s="24" t="n"/>
      <c r="G138" s="14" t="n"/>
      <c r="H138" s="22" t="n"/>
      <c r="I138" s="25">
        <f>IF(Q138="D",N(H138),0)</f>
        <v/>
      </c>
      <c r="J138" s="25">
        <f>IF(Q138="C",N(H138),0)</f>
        <v/>
      </c>
      <c r="K138" s="26">
        <f>IF(Z138="","",Z138)</f>
        <v/>
      </c>
      <c r="L138" s="27">
        <f>W138</f>
        <v/>
      </c>
      <c r="M138" s="28">
        <f>AA138</f>
        <v/>
      </c>
      <c r="N138" s="23">
        <f>IF(AND(B138="",C138="",D138="",N(H138)=0),"",IF(B138="","Enter the date",IF(C138="","Pick the party",IF(P138="?","Add this party on the Parties sheet first",IF(D138="","Pick the entry type",IF(Q138="?","Pick the entry type from the list",IF(N(H138)=0,"Enter the amount",IF(AND(R138&lt;&gt;"Any",R138&lt;&gt;P138),"Sales, receipts and credit notes are for debtors; purchases, payments and debit notes for creditors",IF(AND(F138&lt;&gt;"",D138&lt;&gt;"Purchase bill"),"The received-on date is only for purchase bills",IF(AND(P138="Creditor",X138=1,AA138&gt;0),"Past due to a micro or small supplier: interest runs under MSMED s.16, and if unpaid at year end it is not deductible that year, s.37(2)(g)",IF(AND(P138="Debtor",X138=1,AA138&gt;0),"Past due to you: as a micro or small supplier you can claim interest under MSMED s.16","OK")))))))))))</f>
        <v/>
      </c>
      <c r="P138">
        <f>IF(C138="","",IFERROR(VLOOKUP(C138,'Example Parties'!$B$13:$Q$112,2,FALSE),"?"))</f>
        <v/>
      </c>
      <c r="Q138">
        <f>IF(D138="","",IFERROR(VLOOKUP(D138,Lists!$A$2:$D$9,3,FALSE),"?"))</f>
        <v/>
      </c>
      <c r="R138">
        <f>IF(D138="","",IFERROR(VLOOKUP(D138,Lists!$A$2:$D$9,4,FALSE),"?"))</f>
        <v/>
      </c>
      <c r="S138">
        <f>IF(P138="Debtor",I138,IF(P138="Creditor",J138,0))</f>
        <v/>
      </c>
      <c r="T138">
        <f>IF(P138="Debtor",J138,IF(P138="Creditor",I138,0))</f>
        <v/>
      </c>
      <c r="U138">
        <f>IF(OR(S138=0,B138=""),0,IFERROR(VLOOKUP(C138,'Example Parties'!$B$13:$Q$112,13,FALSE),0)+SUMIFS($S$7:$S$506,$C$7:$C$506,C138,$B$7:$B$506,"&lt;"&amp;B138)+SUMIFS(S$7:S138,C$7:C138,C138,B$7:B138,B138))</f>
        <v/>
      </c>
      <c r="V138">
        <f>IF(S138=0,0,IFERROR(VLOOKUP(C138,'Example Parties'!$B$13:$Q$112,14,FALSE),0)+SUMIFS($T$7:$T$506,$C$7:$C$506,C138,$B$7:$B$506,"&lt;="&amp;'Example Outstanding'!$E$5))</f>
        <v/>
      </c>
      <c r="W138">
        <f>IF(OR('Example Outstanding'!$E$5="",S138=0,B138="",B138&gt;'Example Outstanding'!$E$5),0,MAX(0,MIN(S138,U138-V138)))</f>
        <v/>
      </c>
      <c r="X138">
        <f>IF(C138="",0,IFERROR(VLOOKUP(C138,'Example Parties'!$B$13:$Q$112,15,FALSE),0))</f>
        <v/>
      </c>
      <c r="Y138">
        <f>IF(C138="","",IFERROR(VLOOKUP(C138,'Example Parties'!$B$13:$Q$112,16,FALSE),0))</f>
        <v/>
      </c>
      <c r="Z138">
        <f>IF(OR(S138=0,B138="",Y138=""),"",IF(AND(F138&lt;&gt;"",D138="Purchase bill"),F138,B138)+Y138)</f>
        <v/>
      </c>
      <c r="AA138">
        <f>IF(OR(W138=0,Z138=""),0,MAX(0,'Example Outstanding'!$E$5-Z138))</f>
        <v/>
      </c>
      <c r="AB138">
        <f>IF(AND(X138=1,AA138&gt;0),W138*((1+3*N('Example Parties'!$E$10)/12)^(AA138*12/365)-1),0)</f>
        <v/>
      </c>
      <c r="AC138">
        <f>IF(W138=0,"",'Example Outstanding'!$E$5-B138)</f>
        <v/>
      </c>
      <c r="AD138">
        <f>IF(S138=0,0,IFERROR(VLOOKUP(C138,'Example Parties'!$B$13:$Q$112,14,FALSE),0)+SUMIFS($T$7:$T$506,$C$7:$C$506,C138,$B$7:$B$506,"&lt;="&amp;'Example Parties'!$E$8))</f>
        <v/>
      </c>
      <c r="AE138">
        <f>IF(OR('Example Parties'!$E$8="",S138=0,B138="",B138&gt;'Example Parties'!$E$8),0,MAX(0,MIN(S138,U138-AD138)))</f>
        <v/>
      </c>
      <c r="AF138">
        <f>IF(AND(P138="Creditor",X138=1,AE138&gt;0,Z138&lt;&gt;""),IF(Z138&lt;='Example Parties'!$E$8,AE138,0),0)</f>
        <v/>
      </c>
      <c r="AG138">
        <f>IF(OR(AE138=0,Z138=""),0,MAX(0,'Example Parties'!$E$8-Z138))</f>
        <v/>
      </c>
      <c r="AH138">
        <f>IF(AND(P138="Creditor",X138=1,AG138&gt;0),AE138*((1+3*N('Example Parties'!$E$10)/12)^(AG138*12/365)-1),0)</f>
        <v/>
      </c>
      <c r="AI138">
        <f>IF(AND(C138&lt;&gt;"",C138='Example Ledger'!$D$4,B138&lt;&gt;"",B138&gt;='Example Ledger'!$D$5,B138&lt;='Example Ledger'!$D$6),1,0)</f>
        <v/>
      </c>
      <c r="AJ138">
        <f>IF(AI138=1,SUM(AI$7:AI138),"")</f>
        <v/>
      </c>
      <c r="AK138">
        <f>IF(OR(N138="",N138="OK"),0,1)</f>
        <v/>
      </c>
    </row>
    <row r="139">
      <c r="B139" s="24" t="n"/>
      <c r="C139" s="14" t="n"/>
      <c r="D139" s="14" t="n"/>
      <c r="E139" s="20" t="n"/>
      <c r="F139" s="24" t="n"/>
      <c r="G139" s="14" t="n"/>
      <c r="H139" s="22" t="n"/>
      <c r="I139" s="25">
        <f>IF(Q139="D",N(H139),0)</f>
        <v/>
      </c>
      <c r="J139" s="25">
        <f>IF(Q139="C",N(H139),0)</f>
        <v/>
      </c>
      <c r="K139" s="26">
        <f>IF(Z139="","",Z139)</f>
        <v/>
      </c>
      <c r="L139" s="27">
        <f>W139</f>
        <v/>
      </c>
      <c r="M139" s="28">
        <f>AA139</f>
        <v/>
      </c>
      <c r="N139" s="23">
        <f>IF(AND(B139="",C139="",D139="",N(H139)=0),"",IF(B139="","Enter the date",IF(C139="","Pick the party",IF(P139="?","Add this party on the Parties sheet first",IF(D139="","Pick the entry type",IF(Q139="?","Pick the entry type from the list",IF(N(H139)=0,"Enter the amount",IF(AND(R139&lt;&gt;"Any",R139&lt;&gt;P139),"Sales, receipts and credit notes are for debtors; purchases, payments and debit notes for creditors",IF(AND(F139&lt;&gt;"",D139&lt;&gt;"Purchase bill"),"The received-on date is only for purchase bills",IF(AND(P139="Creditor",X139=1,AA139&gt;0),"Past due to a micro or small supplier: interest runs under MSMED s.16, and if unpaid at year end it is not deductible that year, s.37(2)(g)",IF(AND(P139="Debtor",X139=1,AA139&gt;0),"Past due to you: as a micro or small supplier you can claim interest under MSMED s.16","OK")))))))))))</f>
        <v/>
      </c>
      <c r="P139">
        <f>IF(C139="","",IFERROR(VLOOKUP(C139,'Example Parties'!$B$13:$Q$112,2,FALSE),"?"))</f>
        <v/>
      </c>
      <c r="Q139">
        <f>IF(D139="","",IFERROR(VLOOKUP(D139,Lists!$A$2:$D$9,3,FALSE),"?"))</f>
        <v/>
      </c>
      <c r="R139">
        <f>IF(D139="","",IFERROR(VLOOKUP(D139,Lists!$A$2:$D$9,4,FALSE),"?"))</f>
        <v/>
      </c>
      <c r="S139">
        <f>IF(P139="Debtor",I139,IF(P139="Creditor",J139,0))</f>
        <v/>
      </c>
      <c r="T139">
        <f>IF(P139="Debtor",J139,IF(P139="Creditor",I139,0))</f>
        <v/>
      </c>
      <c r="U139">
        <f>IF(OR(S139=0,B139=""),0,IFERROR(VLOOKUP(C139,'Example Parties'!$B$13:$Q$112,13,FALSE),0)+SUMIFS($S$7:$S$506,$C$7:$C$506,C139,$B$7:$B$506,"&lt;"&amp;B139)+SUMIFS(S$7:S139,C$7:C139,C139,B$7:B139,B139))</f>
        <v/>
      </c>
      <c r="V139">
        <f>IF(S139=0,0,IFERROR(VLOOKUP(C139,'Example Parties'!$B$13:$Q$112,14,FALSE),0)+SUMIFS($T$7:$T$506,$C$7:$C$506,C139,$B$7:$B$506,"&lt;="&amp;'Example Outstanding'!$E$5))</f>
        <v/>
      </c>
      <c r="W139">
        <f>IF(OR('Example Outstanding'!$E$5="",S139=0,B139="",B139&gt;'Example Outstanding'!$E$5),0,MAX(0,MIN(S139,U139-V139)))</f>
        <v/>
      </c>
      <c r="X139">
        <f>IF(C139="",0,IFERROR(VLOOKUP(C139,'Example Parties'!$B$13:$Q$112,15,FALSE),0))</f>
        <v/>
      </c>
      <c r="Y139">
        <f>IF(C139="","",IFERROR(VLOOKUP(C139,'Example Parties'!$B$13:$Q$112,16,FALSE),0))</f>
        <v/>
      </c>
      <c r="Z139">
        <f>IF(OR(S139=0,B139="",Y139=""),"",IF(AND(F139&lt;&gt;"",D139="Purchase bill"),F139,B139)+Y139)</f>
        <v/>
      </c>
      <c r="AA139">
        <f>IF(OR(W139=0,Z139=""),0,MAX(0,'Example Outstanding'!$E$5-Z139))</f>
        <v/>
      </c>
      <c r="AB139">
        <f>IF(AND(X139=1,AA139&gt;0),W139*((1+3*N('Example Parties'!$E$10)/12)^(AA139*12/365)-1),0)</f>
        <v/>
      </c>
      <c r="AC139">
        <f>IF(W139=0,"",'Example Outstanding'!$E$5-B139)</f>
        <v/>
      </c>
      <c r="AD139">
        <f>IF(S139=0,0,IFERROR(VLOOKUP(C139,'Example Parties'!$B$13:$Q$112,14,FALSE),0)+SUMIFS($T$7:$T$506,$C$7:$C$506,C139,$B$7:$B$506,"&lt;="&amp;'Example Parties'!$E$8))</f>
        <v/>
      </c>
      <c r="AE139">
        <f>IF(OR('Example Parties'!$E$8="",S139=0,B139="",B139&gt;'Example Parties'!$E$8),0,MAX(0,MIN(S139,U139-AD139)))</f>
        <v/>
      </c>
      <c r="AF139">
        <f>IF(AND(P139="Creditor",X139=1,AE139&gt;0,Z139&lt;&gt;""),IF(Z139&lt;='Example Parties'!$E$8,AE139,0),0)</f>
        <v/>
      </c>
      <c r="AG139">
        <f>IF(OR(AE139=0,Z139=""),0,MAX(0,'Example Parties'!$E$8-Z139))</f>
        <v/>
      </c>
      <c r="AH139">
        <f>IF(AND(P139="Creditor",X139=1,AG139&gt;0),AE139*((1+3*N('Example Parties'!$E$10)/12)^(AG139*12/365)-1),0)</f>
        <v/>
      </c>
      <c r="AI139">
        <f>IF(AND(C139&lt;&gt;"",C139='Example Ledger'!$D$4,B139&lt;&gt;"",B139&gt;='Example Ledger'!$D$5,B139&lt;='Example Ledger'!$D$6),1,0)</f>
        <v/>
      </c>
      <c r="AJ139">
        <f>IF(AI139=1,SUM(AI$7:AI139),"")</f>
        <v/>
      </c>
      <c r="AK139">
        <f>IF(OR(N139="",N139="OK"),0,1)</f>
        <v/>
      </c>
    </row>
    <row r="140">
      <c r="B140" s="24" t="n"/>
      <c r="C140" s="14" t="n"/>
      <c r="D140" s="14" t="n"/>
      <c r="E140" s="20" t="n"/>
      <c r="F140" s="24" t="n"/>
      <c r="G140" s="14" t="n"/>
      <c r="H140" s="22" t="n"/>
      <c r="I140" s="25">
        <f>IF(Q140="D",N(H140),0)</f>
        <v/>
      </c>
      <c r="J140" s="25">
        <f>IF(Q140="C",N(H140),0)</f>
        <v/>
      </c>
      <c r="K140" s="26">
        <f>IF(Z140="","",Z140)</f>
        <v/>
      </c>
      <c r="L140" s="27">
        <f>W140</f>
        <v/>
      </c>
      <c r="M140" s="28">
        <f>AA140</f>
        <v/>
      </c>
      <c r="N140" s="23">
        <f>IF(AND(B140="",C140="",D140="",N(H140)=0),"",IF(B140="","Enter the date",IF(C140="","Pick the party",IF(P140="?","Add this party on the Parties sheet first",IF(D140="","Pick the entry type",IF(Q140="?","Pick the entry type from the list",IF(N(H140)=0,"Enter the amount",IF(AND(R140&lt;&gt;"Any",R140&lt;&gt;P140),"Sales, receipts and credit notes are for debtors; purchases, payments and debit notes for creditors",IF(AND(F140&lt;&gt;"",D140&lt;&gt;"Purchase bill"),"The received-on date is only for purchase bills",IF(AND(P140="Creditor",X140=1,AA140&gt;0),"Past due to a micro or small supplier: interest runs under MSMED s.16, and if unpaid at year end it is not deductible that year, s.37(2)(g)",IF(AND(P140="Debtor",X140=1,AA140&gt;0),"Past due to you: as a micro or small supplier you can claim interest under MSMED s.16","OK")))))))))))</f>
        <v/>
      </c>
      <c r="P140">
        <f>IF(C140="","",IFERROR(VLOOKUP(C140,'Example Parties'!$B$13:$Q$112,2,FALSE),"?"))</f>
        <v/>
      </c>
      <c r="Q140">
        <f>IF(D140="","",IFERROR(VLOOKUP(D140,Lists!$A$2:$D$9,3,FALSE),"?"))</f>
        <v/>
      </c>
      <c r="R140">
        <f>IF(D140="","",IFERROR(VLOOKUP(D140,Lists!$A$2:$D$9,4,FALSE),"?"))</f>
        <v/>
      </c>
      <c r="S140">
        <f>IF(P140="Debtor",I140,IF(P140="Creditor",J140,0))</f>
        <v/>
      </c>
      <c r="T140">
        <f>IF(P140="Debtor",J140,IF(P140="Creditor",I140,0))</f>
        <v/>
      </c>
      <c r="U140">
        <f>IF(OR(S140=0,B140=""),0,IFERROR(VLOOKUP(C140,'Example Parties'!$B$13:$Q$112,13,FALSE),0)+SUMIFS($S$7:$S$506,$C$7:$C$506,C140,$B$7:$B$506,"&lt;"&amp;B140)+SUMIFS(S$7:S140,C$7:C140,C140,B$7:B140,B140))</f>
        <v/>
      </c>
      <c r="V140">
        <f>IF(S140=0,0,IFERROR(VLOOKUP(C140,'Example Parties'!$B$13:$Q$112,14,FALSE),0)+SUMIFS($T$7:$T$506,$C$7:$C$506,C140,$B$7:$B$506,"&lt;="&amp;'Example Outstanding'!$E$5))</f>
        <v/>
      </c>
      <c r="W140">
        <f>IF(OR('Example Outstanding'!$E$5="",S140=0,B140="",B140&gt;'Example Outstanding'!$E$5),0,MAX(0,MIN(S140,U140-V140)))</f>
        <v/>
      </c>
      <c r="X140">
        <f>IF(C140="",0,IFERROR(VLOOKUP(C140,'Example Parties'!$B$13:$Q$112,15,FALSE),0))</f>
        <v/>
      </c>
      <c r="Y140">
        <f>IF(C140="","",IFERROR(VLOOKUP(C140,'Example Parties'!$B$13:$Q$112,16,FALSE),0))</f>
        <v/>
      </c>
      <c r="Z140">
        <f>IF(OR(S140=0,B140="",Y140=""),"",IF(AND(F140&lt;&gt;"",D140="Purchase bill"),F140,B140)+Y140)</f>
        <v/>
      </c>
      <c r="AA140">
        <f>IF(OR(W140=0,Z140=""),0,MAX(0,'Example Outstanding'!$E$5-Z140))</f>
        <v/>
      </c>
      <c r="AB140">
        <f>IF(AND(X140=1,AA140&gt;0),W140*((1+3*N('Example Parties'!$E$10)/12)^(AA140*12/365)-1),0)</f>
        <v/>
      </c>
      <c r="AC140">
        <f>IF(W140=0,"",'Example Outstanding'!$E$5-B140)</f>
        <v/>
      </c>
      <c r="AD140">
        <f>IF(S140=0,0,IFERROR(VLOOKUP(C140,'Example Parties'!$B$13:$Q$112,14,FALSE),0)+SUMIFS($T$7:$T$506,$C$7:$C$506,C140,$B$7:$B$506,"&lt;="&amp;'Example Parties'!$E$8))</f>
        <v/>
      </c>
      <c r="AE140">
        <f>IF(OR('Example Parties'!$E$8="",S140=0,B140="",B140&gt;'Example Parties'!$E$8),0,MAX(0,MIN(S140,U140-AD140)))</f>
        <v/>
      </c>
      <c r="AF140">
        <f>IF(AND(P140="Creditor",X140=1,AE140&gt;0,Z140&lt;&gt;""),IF(Z140&lt;='Example Parties'!$E$8,AE140,0),0)</f>
        <v/>
      </c>
      <c r="AG140">
        <f>IF(OR(AE140=0,Z140=""),0,MAX(0,'Example Parties'!$E$8-Z140))</f>
        <v/>
      </c>
      <c r="AH140">
        <f>IF(AND(P140="Creditor",X140=1,AG140&gt;0),AE140*((1+3*N('Example Parties'!$E$10)/12)^(AG140*12/365)-1),0)</f>
        <v/>
      </c>
      <c r="AI140">
        <f>IF(AND(C140&lt;&gt;"",C140='Example Ledger'!$D$4,B140&lt;&gt;"",B140&gt;='Example Ledger'!$D$5,B140&lt;='Example Ledger'!$D$6),1,0)</f>
        <v/>
      </c>
      <c r="AJ140">
        <f>IF(AI140=1,SUM(AI$7:AI140),"")</f>
        <v/>
      </c>
      <c r="AK140">
        <f>IF(OR(N140="",N140="OK"),0,1)</f>
        <v/>
      </c>
    </row>
    <row r="141">
      <c r="B141" s="24" t="n"/>
      <c r="C141" s="14" t="n"/>
      <c r="D141" s="14" t="n"/>
      <c r="E141" s="20" t="n"/>
      <c r="F141" s="24" t="n"/>
      <c r="G141" s="14" t="n"/>
      <c r="H141" s="22" t="n"/>
      <c r="I141" s="25">
        <f>IF(Q141="D",N(H141),0)</f>
        <v/>
      </c>
      <c r="J141" s="25">
        <f>IF(Q141="C",N(H141),0)</f>
        <v/>
      </c>
      <c r="K141" s="26">
        <f>IF(Z141="","",Z141)</f>
        <v/>
      </c>
      <c r="L141" s="27">
        <f>W141</f>
        <v/>
      </c>
      <c r="M141" s="28">
        <f>AA141</f>
        <v/>
      </c>
      <c r="N141" s="23">
        <f>IF(AND(B141="",C141="",D141="",N(H141)=0),"",IF(B141="","Enter the date",IF(C141="","Pick the party",IF(P141="?","Add this party on the Parties sheet first",IF(D141="","Pick the entry type",IF(Q141="?","Pick the entry type from the list",IF(N(H141)=0,"Enter the amount",IF(AND(R141&lt;&gt;"Any",R141&lt;&gt;P141),"Sales, receipts and credit notes are for debtors; purchases, payments and debit notes for creditors",IF(AND(F141&lt;&gt;"",D141&lt;&gt;"Purchase bill"),"The received-on date is only for purchase bills",IF(AND(P141="Creditor",X141=1,AA141&gt;0),"Past due to a micro or small supplier: interest runs under MSMED s.16, and if unpaid at year end it is not deductible that year, s.37(2)(g)",IF(AND(P141="Debtor",X141=1,AA141&gt;0),"Past due to you: as a micro or small supplier you can claim interest under MSMED s.16","OK")))))))))))</f>
        <v/>
      </c>
      <c r="P141">
        <f>IF(C141="","",IFERROR(VLOOKUP(C141,'Example Parties'!$B$13:$Q$112,2,FALSE),"?"))</f>
        <v/>
      </c>
      <c r="Q141">
        <f>IF(D141="","",IFERROR(VLOOKUP(D141,Lists!$A$2:$D$9,3,FALSE),"?"))</f>
        <v/>
      </c>
      <c r="R141">
        <f>IF(D141="","",IFERROR(VLOOKUP(D141,Lists!$A$2:$D$9,4,FALSE),"?"))</f>
        <v/>
      </c>
      <c r="S141">
        <f>IF(P141="Debtor",I141,IF(P141="Creditor",J141,0))</f>
        <v/>
      </c>
      <c r="T141">
        <f>IF(P141="Debtor",J141,IF(P141="Creditor",I141,0))</f>
        <v/>
      </c>
      <c r="U141">
        <f>IF(OR(S141=0,B141=""),0,IFERROR(VLOOKUP(C141,'Example Parties'!$B$13:$Q$112,13,FALSE),0)+SUMIFS($S$7:$S$506,$C$7:$C$506,C141,$B$7:$B$506,"&lt;"&amp;B141)+SUMIFS(S$7:S141,C$7:C141,C141,B$7:B141,B141))</f>
        <v/>
      </c>
      <c r="V141">
        <f>IF(S141=0,0,IFERROR(VLOOKUP(C141,'Example Parties'!$B$13:$Q$112,14,FALSE),0)+SUMIFS($T$7:$T$506,$C$7:$C$506,C141,$B$7:$B$506,"&lt;="&amp;'Example Outstanding'!$E$5))</f>
        <v/>
      </c>
      <c r="W141">
        <f>IF(OR('Example Outstanding'!$E$5="",S141=0,B141="",B141&gt;'Example Outstanding'!$E$5),0,MAX(0,MIN(S141,U141-V141)))</f>
        <v/>
      </c>
      <c r="X141">
        <f>IF(C141="",0,IFERROR(VLOOKUP(C141,'Example Parties'!$B$13:$Q$112,15,FALSE),0))</f>
        <v/>
      </c>
      <c r="Y141">
        <f>IF(C141="","",IFERROR(VLOOKUP(C141,'Example Parties'!$B$13:$Q$112,16,FALSE),0))</f>
        <v/>
      </c>
      <c r="Z141">
        <f>IF(OR(S141=0,B141="",Y141=""),"",IF(AND(F141&lt;&gt;"",D141="Purchase bill"),F141,B141)+Y141)</f>
        <v/>
      </c>
      <c r="AA141">
        <f>IF(OR(W141=0,Z141=""),0,MAX(0,'Example Outstanding'!$E$5-Z141))</f>
        <v/>
      </c>
      <c r="AB141">
        <f>IF(AND(X141=1,AA141&gt;0),W141*((1+3*N('Example Parties'!$E$10)/12)^(AA141*12/365)-1),0)</f>
        <v/>
      </c>
      <c r="AC141">
        <f>IF(W141=0,"",'Example Outstanding'!$E$5-B141)</f>
        <v/>
      </c>
      <c r="AD141">
        <f>IF(S141=0,0,IFERROR(VLOOKUP(C141,'Example Parties'!$B$13:$Q$112,14,FALSE),0)+SUMIFS($T$7:$T$506,$C$7:$C$506,C141,$B$7:$B$506,"&lt;="&amp;'Example Parties'!$E$8))</f>
        <v/>
      </c>
      <c r="AE141">
        <f>IF(OR('Example Parties'!$E$8="",S141=0,B141="",B141&gt;'Example Parties'!$E$8),0,MAX(0,MIN(S141,U141-AD141)))</f>
        <v/>
      </c>
      <c r="AF141">
        <f>IF(AND(P141="Creditor",X141=1,AE141&gt;0,Z141&lt;&gt;""),IF(Z141&lt;='Example Parties'!$E$8,AE141,0),0)</f>
        <v/>
      </c>
      <c r="AG141">
        <f>IF(OR(AE141=0,Z141=""),0,MAX(0,'Example Parties'!$E$8-Z141))</f>
        <v/>
      </c>
      <c r="AH141">
        <f>IF(AND(P141="Creditor",X141=1,AG141&gt;0),AE141*((1+3*N('Example Parties'!$E$10)/12)^(AG141*12/365)-1),0)</f>
        <v/>
      </c>
      <c r="AI141">
        <f>IF(AND(C141&lt;&gt;"",C141='Example Ledger'!$D$4,B141&lt;&gt;"",B141&gt;='Example Ledger'!$D$5,B141&lt;='Example Ledger'!$D$6),1,0)</f>
        <v/>
      </c>
      <c r="AJ141">
        <f>IF(AI141=1,SUM(AI$7:AI141),"")</f>
        <v/>
      </c>
      <c r="AK141">
        <f>IF(OR(N141="",N141="OK"),0,1)</f>
        <v/>
      </c>
    </row>
    <row r="142">
      <c r="B142" s="24" t="n"/>
      <c r="C142" s="14" t="n"/>
      <c r="D142" s="14" t="n"/>
      <c r="E142" s="20" t="n"/>
      <c r="F142" s="24" t="n"/>
      <c r="G142" s="14" t="n"/>
      <c r="H142" s="22" t="n"/>
      <c r="I142" s="25">
        <f>IF(Q142="D",N(H142),0)</f>
        <v/>
      </c>
      <c r="J142" s="25">
        <f>IF(Q142="C",N(H142),0)</f>
        <v/>
      </c>
      <c r="K142" s="26">
        <f>IF(Z142="","",Z142)</f>
        <v/>
      </c>
      <c r="L142" s="27">
        <f>W142</f>
        <v/>
      </c>
      <c r="M142" s="28">
        <f>AA142</f>
        <v/>
      </c>
      <c r="N142" s="23">
        <f>IF(AND(B142="",C142="",D142="",N(H142)=0),"",IF(B142="","Enter the date",IF(C142="","Pick the party",IF(P142="?","Add this party on the Parties sheet first",IF(D142="","Pick the entry type",IF(Q142="?","Pick the entry type from the list",IF(N(H142)=0,"Enter the amount",IF(AND(R142&lt;&gt;"Any",R142&lt;&gt;P142),"Sales, receipts and credit notes are for debtors; purchases, payments and debit notes for creditors",IF(AND(F142&lt;&gt;"",D142&lt;&gt;"Purchase bill"),"The received-on date is only for purchase bills",IF(AND(P142="Creditor",X142=1,AA142&gt;0),"Past due to a micro or small supplier: interest runs under MSMED s.16, and if unpaid at year end it is not deductible that year, s.37(2)(g)",IF(AND(P142="Debtor",X142=1,AA142&gt;0),"Past due to you: as a micro or small supplier you can claim interest under MSMED s.16","OK")))))))))))</f>
        <v/>
      </c>
      <c r="P142">
        <f>IF(C142="","",IFERROR(VLOOKUP(C142,'Example Parties'!$B$13:$Q$112,2,FALSE),"?"))</f>
        <v/>
      </c>
      <c r="Q142">
        <f>IF(D142="","",IFERROR(VLOOKUP(D142,Lists!$A$2:$D$9,3,FALSE),"?"))</f>
        <v/>
      </c>
      <c r="R142">
        <f>IF(D142="","",IFERROR(VLOOKUP(D142,Lists!$A$2:$D$9,4,FALSE),"?"))</f>
        <v/>
      </c>
      <c r="S142">
        <f>IF(P142="Debtor",I142,IF(P142="Creditor",J142,0))</f>
        <v/>
      </c>
      <c r="T142">
        <f>IF(P142="Debtor",J142,IF(P142="Creditor",I142,0))</f>
        <v/>
      </c>
      <c r="U142">
        <f>IF(OR(S142=0,B142=""),0,IFERROR(VLOOKUP(C142,'Example Parties'!$B$13:$Q$112,13,FALSE),0)+SUMIFS($S$7:$S$506,$C$7:$C$506,C142,$B$7:$B$506,"&lt;"&amp;B142)+SUMIFS(S$7:S142,C$7:C142,C142,B$7:B142,B142))</f>
        <v/>
      </c>
      <c r="V142">
        <f>IF(S142=0,0,IFERROR(VLOOKUP(C142,'Example Parties'!$B$13:$Q$112,14,FALSE),0)+SUMIFS($T$7:$T$506,$C$7:$C$506,C142,$B$7:$B$506,"&lt;="&amp;'Example Outstanding'!$E$5))</f>
        <v/>
      </c>
      <c r="W142">
        <f>IF(OR('Example Outstanding'!$E$5="",S142=0,B142="",B142&gt;'Example Outstanding'!$E$5),0,MAX(0,MIN(S142,U142-V142)))</f>
        <v/>
      </c>
      <c r="X142">
        <f>IF(C142="",0,IFERROR(VLOOKUP(C142,'Example Parties'!$B$13:$Q$112,15,FALSE),0))</f>
        <v/>
      </c>
      <c r="Y142">
        <f>IF(C142="","",IFERROR(VLOOKUP(C142,'Example Parties'!$B$13:$Q$112,16,FALSE),0))</f>
        <v/>
      </c>
      <c r="Z142">
        <f>IF(OR(S142=0,B142="",Y142=""),"",IF(AND(F142&lt;&gt;"",D142="Purchase bill"),F142,B142)+Y142)</f>
        <v/>
      </c>
      <c r="AA142">
        <f>IF(OR(W142=0,Z142=""),0,MAX(0,'Example Outstanding'!$E$5-Z142))</f>
        <v/>
      </c>
      <c r="AB142">
        <f>IF(AND(X142=1,AA142&gt;0),W142*((1+3*N('Example Parties'!$E$10)/12)^(AA142*12/365)-1),0)</f>
        <v/>
      </c>
      <c r="AC142">
        <f>IF(W142=0,"",'Example Outstanding'!$E$5-B142)</f>
        <v/>
      </c>
      <c r="AD142">
        <f>IF(S142=0,0,IFERROR(VLOOKUP(C142,'Example Parties'!$B$13:$Q$112,14,FALSE),0)+SUMIFS($T$7:$T$506,$C$7:$C$506,C142,$B$7:$B$506,"&lt;="&amp;'Example Parties'!$E$8))</f>
        <v/>
      </c>
      <c r="AE142">
        <f>IF(OR('Example Parties'!$E$8="",S142=0,B142="",B142&gt;'Example Parties'!$E$8),0,MAX(0,MIN(S142,U142-AD142)))</f>
        <v/>
      </c>
      <c r="AF142">
        <f>IF(AND(P142="Creditor",X142=1,AE142&gt;0,Z142&lt;&gt;""),IF(Z142&lt;='Example Parties'!$E$8,AE142,0),0)</f>
        <v/>
      </c>
      <c r="AG142">
        <f>IF(OR(AE142=0,Z142=""),0,MAX(0,'Example Parties'!$E$8-Z142))</f>
        <v/>
      </c>
      <c r="AH142">
        <f>IF(AND(P142="Creditor",X142=1,AG142&gt;0),AE142*((1+3*N('Example Parties'!$E$10)/12)^(AG142*12/365)-1),0)</f>
        <v/>
      </c>
      <c r="AI142">
        <f>IF(AND(C142&lt;&gt;"",C142='Example Ledger'!$D$4,B142&lt;&gt;"",B142&gt;='Example Ledger'!$D$5,B142&lt;='Example Ledger'!$D$6),1,0)</f>
        <v/>
      </c>
      <c r="AJ142">
        <f>IF(AI142=1,SUM(AI$7:AI142),"")</f>
        <v/>
      </c>
      <c r="AK142">
        <f>IF(OR(N142="",N142="OK"),0,1)</f>
        <v/>
      </c>
    </row>
    <row r="143">
      <c r="B143" s="24" t="n"/>
      <c r="C143" s="14" t="n"/>
      <c r="D143" s="14" t="n"/>
      <c r="E143" s="20" t="n"/>
      <c r="F143" s="24" t="n"/>
      <c r="G143" s="14" t="n"/>
      <c r="H143" s="22" t="n"/>
      <c r="I143" s="25">
        <f>IF(Q143="D",N(H143),0)</f>
        <v/>
      </c>
      <c r="J143" s="25">
        <f>IF(Q143="C",N(H143),0)</f>
        <v/>
      </c>
      <c r="K143" s="26">
        <f>IF(Z143="","",Z143)</f>
        <v/>
      </c>
      <c r="L143" s="27">
        <f>W143</f>
        <v/>
      </c>
      <c r="M143" s="28">
        <f>AA143</f>
        <v/>
      </c>
      <c r="N143" s="23">
        <f>IF(AND(B143="",C143="",D143="",N(H143)=0),"",IF(B143="","Enter the date",IF(C143="","Pick the party",IF(P143="?","Add this party on the Parties sheet first",IF(D143="","Pick the entry type",IF(Q143="?","Pick the entry type from the list",IF(N(H143)=0,"Enter the amount",IF(AND(R143&lt;&gt;"Any",R143&lt;&gt;P143),"Sales, receipts and credit notes are for debtors; purchases, payments and debit notes for creditors",IF(AND(F143&lt;&gt;"",D143&lt;&gt;"Purchase bill"),"The received-on date is only for purchase bills",IF(AND(P143="Creditor",X143=1,AA143&gt;0),"Past due to a micro or small supplier: interest runs under MSMED s.16, and if unpaid at year end it is not deductible that year, s.37(2)(g)",IF(AND(P143="Debtor",X143=1,AA143&gt;0),"Past due to you: as a micro or small supplier you can claim interest under MSMED s.16","OK")))))))))))</f>
        <v/>
      </c>
      <c r="P143">
        <f>IF(C143="","",IFERROR(VLOOKUP(C143,'Example Parties'!$B$13:$Q$112,2,FALSE),"?"))</f>
        <v/>
      </c>
      <c r="Q143">
        <f>IF(D143="","",IFERROR(VLOOKUP(D143,Lists!$A$2:$D$9,3,FALSE),"?"))</f>
        <v/>
      </c>
      <c r="R143">
        <f>IF(D143="","",IFERROR(VLOOKUP(D143,Lists!$A$2:$D$9,4,FALSE),"?"))</f>
        <v/>
      </c>
      <c r="S143">
        <f>IF(P143="Debtor",I143,IF(P143="Creditor",J143,0))</f>
        <v/>
      </c>
      <c r="T143">
        <f>IF(P143="Debtor",J143,IF(P143="Creditor",I143,0))</f>
        <v/>
      </c>
      <c r="U143">
        <f>IF(OR(S143=0,B143=""),0,IFERROR(VLOOKUP(C143,'Example Parties'!$B$13:$Q$112,13,FALSE),0)+SUMIFS($S$7:$S$506,$C$7:$C$506,C143,$B$7:$B$506,"&lt;"&amp;B143)+SUMIFS(S$7:S143,C$7:C143,C143,B$7:B143,B143))</f>
        <v/>
      </c>
      <c r="V143">
        <f>IF(S143=0,0,IFERROR(VLOOKUP(C143,'Example Parties'!$B$13:$Q$112,14,FALSE),0)+SUMIFS($T$7:$T$506,$C$7:$C$506,C143,$B$7:$B$506,"&lt;="&amp;'Example Outstanding'!$E$5))</f>
        <v/>
      </c>
      <c r="W143">
        <f>IF(OR('Example Outstanding'!$E$5="",S143=0,B143="",B143&gt;'Example Outstanding'!$E$5),0,MAX(0,MIN(S143,U143-V143)))</f>
        <v/>
      </c>
      <c r="X143">
        <f>IF(C143="",0,IFERROR(VLOOKUP(C143,'Example Parties'!$B$13:$Q$112,15,FALSE),0))</f>
        <v/>
      </c>
      <c r="Y143">
        <f>IF(C143="","",IFERROR(VLOOKUP(C143,'Example Parties'!$B$13:$Q$112,16,FALSE),0))</f>
        <v/>
      </c>
      <c r="Z143">
        <f>IF(OR(S143=0,B143="",Y143=""),"",IF(AND(F143&lt;&gt;"",D143="Purchase bill"),F143,B143)+Y143)</f>
        <v/>
      </c>
      <c r="AA143">
        <f>IF(OR(W143=0,Z143=""),0,MAX(0,'Example Outstanding'!$E$5-Z143))</f>
        <v/>
      </c>
      <c r="AB143">
        <f>IF(AND(X143=1,AA143&gt;0),W143*((1+3*N('Example Parties'!$E$10)/12)^(AA143*12/365)-1),0)</f>
        <v/>
      </c>
      <c r="AC143">
        <f>IF(W143=0,"",'Example Outstanding'!$E$5-B143)</f>
        <v/>
      </c>
      <c r="AD143">
        <f>IF(S143=0,0,IFERROR(VLOOKUP(C143,'Example Parties'!$B$13:$Q$112,14,FALSE),0)+SUMIFS($T$7:$T$506,$C$7:$C$506,C143,$B$7:$B$506,"&lt;="&amp;'Example Parties'!$E$8))</f>
        <v/>
      </c>
      <c r="AE143">
        <f>IF(OR('Example Parties'!$E$8="",S143=0,B143="",B143&gt;'Example Parties'!$E$8),0,MAX(0,MIN(S143,U143-AD143)))</f>
        <v/>
      </c>
      <c r="AF143">
        <f>IF(AND(P143="Creditor",X143=1,AE143&gt;0,Z143&lt;&gt;""),IF(Z143&lt;='Example Parties'!$E$8,AE143,0),0)</f>
        <v/>
      </c>
      <c r="AG143">
        <f>IF(OR(AE143=0,Z143=""),0,MAX(0,'Example Parties'!$E$8-Z143))</f>
        <v/>
      </c>
      <c r="AH143">
        <f>IF(AND(P143="Creditor",X143=1,AG143&gt;0),AE143*((1+3*N('Example Parties'!$E$10)/12)^(AG143*12/365)-1),0)</f>
        <v/>
      </c>
      <c r="AI143">
        <f>IF(AND(C143&lt;&gt;"",C143='Example Ledger'!$D$4,B143&lt;&gt;"",B143&gt;='Example Ledger'!$D$5,B143&lt;='Example Ledger'!$D$6),1,0)</f>
        <v/>
      </c>
      <c r="AJ143">
        <f>IF(AI143=1,SUM(AI$7:AI143),"")</f>
        <v/>
      </c>
      <c r="AK143">
        <f>IF(OR(N143="",N143="OK"),0,1)</f>
        <v/>
      </c>
    </row>
    <row r="144">
      <c r="B144" s="24" t="n"/>
      <c r="C144" s="14" t="n"/>
      <c r="D144" s="14" t="n"/>
      <c r="E144" s="20" t="n"/>
      <c r="F144" s="24" t="n"/>
      <c r="G144" s="14" t="n"/>
      <c r="H144" s="22" t="n"/>
      <c r="I144" s="25">
        <f>IF(Q144="D",N(H144),0)</f>
        <v/>
      </c>
      <c r="J144" s="25">
        <f>IF(Q144="C",N(H144),0)</f>
        <v/>
      </c>
      <c r="K144" s="26">
        <f>IF(Z144="","",Z144)</f>
        <v/>
      </c>
      <c r="L144" s="27">
        <f>W144</f>
        <v/>
      </c>
      <c r="M144" s="28">
        <f>AA144</f>
        <v/>
      </c>
      <c r="N144" s="23">
        <f>IF(AND(B144="",C144="",D144="",N(H144)=0),"",IF(B144="","Enter the date",IF(C144="","Pick the party",IF(P144="?","Add this party on the Parties sheet first",IF(D144="","Pick the entry type",IF(Q144="?","Pick the entry type from the list",IF(N(H144)=0,"Enter the amount",IF(AND(R144&lt;&gt;"Any",R144&lt;&gt;P144),"Sales, receipts and credit notes are for debtors; purchases, payments and debit notes for creditors",IF(AND(F144&lt;&gt;"",D144&lt;&gt;"Purchase bill"),"The received-on date is only for purchase bills",IF(AND(P144="Creditor",X144=1,AA144&gt;0),"Past due to a micro or small supplier: interest runs under MSMED s.16, and if unpaid at year end it is not deductible that year, s.37(2)(g)",IF(AND(P144="Debtor",X144=1,AA144&gt;0),"Past due to you: as a micro or small supplier you can claim interest under MSMED s.16","OK")))))))))))</f>
        <v/>
      </c>
      <c r="P144">
        <f>IF(C144="","",IFERROR(VLOOKUP(C144,'Example Parties'!$B$13:$Q$112,2,FALSE),"?"))</f>
        <v/>
      </c>
      <c r="Q144">
        <f>IF(D144="","",IFERROR(VLOOKUP(D144,Lists!$A$2:$D$9,3,FALSE),"?"))</f>
        <v/>
      </c>
      <c r="R144">
        <f>IF(D144="","",IFERROR(VLOOKUP(D144,Lists!$A$2:$D$9,4,FALSE),"?"))</f>
        <v/>
      </c>
      <c r="S144">
        <f>IF(P144="Debtor",I144,IF(P144="Creditor",J144,0))</f>
        <v/>
      </c>
      <c r="T144">
        <f>IF(P144="Debtor",J144,IF(P144="Creditor",I144,0))</f>
        <v/>
      </c>
      <c r="U144">
        <f>IF(OR(S144=0,B144=""),0,IFERROR(VLOOKUP(C144,'Example Parties'!$B$13:$Q$112,13,FALSE),0)+SUMIFS($S$7:$S$506,$C$7:$C$506,C144,$B$7:$B$506,"&lt;"&amp;B144)+SUMIFS(S$7:S144,C$7:C144,C144,B$7:B144,B144))</f>
        <v/>
      </c>
      <c r="V144">
        <f>IF(S144=0,0,IFERROR(VLOOKUP(C144,'Example Parties'!$B$13:$Q$112,14,FALSE),0)+SUMIFS($T$7:$T$506,$C$7:$C$506,C144,$B$7:$B$506,"&lt;="&amp;'Example Outstanding'!$E$5))</f>
        <v/>
      </c>
      <c r="W144">
        <f>IF(OR('Example Outstanding'!$E$5="",S144=0,B144="",B144&gt;'Example Outstanding'!$E$5),0,MAX(0,MIN(S144,U144-V144)))</f>
        <v/>
      </c>
      <c r="X144">
        <f>IF(C144="",0,IFERROR(VLOOKUP(C144,'Example Parties'!$B$13:$Q$112,15,FALSE),0))</f>
        <v/>
      </c>
      <c r="Y144">
        <f>IF(C144="","",IFERROR(VLOOKUP(C144,'Example Parties'!$B$13:$Q$112,16,FALSE),0))</f>
        <v/>
      </c>
      <c r="Z144">
        <f>IF(OR(S144=0,B144="",Y144=""),"",IF(AND(F144&lt;&gt;"",D144="Purchase bill"),F144,B144)+Y144)</f>
        <v/>
      </c>
      <c r="AA144">
        <f>IF(OR(W144=0,Z144=""),0,MAX(0,'Example Outstanding'!$E$5-Z144))</f>
        <v/>
      </c>
      <c r="AB144">
        <f>IF(AND(X144=1,AA144&gt;0),W144*((1+3*N('Example Parties'!$E$10)/12)^(AA144*12/365)-1),0)</f>
        <v/>
      </c>
      <c r="AC144">
        <f>IF(W144=0,"",'Example Outstanding'!$E$5-B144)</f>
        <v/>
      </c>
      <c r="AD144">
        <f>IF(S144=0,0,IFERROR(VLOOKUP(C144,'Example Parties'!$B$13:$Q$112,14,FALSE),0)+SUMIFS($T$7:$T$506,$C$7:$C$506,C144,$B$7:$B$506,"&lt;="&amp;'Example Parties'!$E$8))</f>
        <v/>
      </c>
      <c r="AE144">
        <f>IF(OR('Example Parties'!$E$8="",S144=0,B144="",B144&gt;'Example Parties'!$E$8),0,MAX(0,MIN(S144,U144-AD144)))</f>
        <v/>
      </c>
      <c r="AF144">
        <f>IF(AND(P144="Creditor",X144=1,AE144&gt;0,Z144&lt;&gt;""),IF(Z144&lt;='Example Parties'!$E$8,AE144,0),0)</f>
        <v/>
      </c>
      <c r="AG144">
        <f>IF(OR(AE144=0,Z144=""),0,MAX(0,'Example Parties'!$E$8-Z144))</f>
        <v/>
      </c>
      <c r="AH144">
        <f>IF(AND(P144="Creditor",X144=1,AG144&gt;0),AE144*((1+3*N('Example Parties'!$E$10)/12)^(AG144*12/365)-1),0)</f>
        <v/>
      </c>
      <c r="AI144">
        <f>IF(AND(C144&lt;&gt;"",C144='Example Ledger'!$D$4,B144&lt;&gt;"",B144&gt;='Example Ledger'!$D$5,B144&lt;='Example Ledger'!$D$6),1,0)</f>
        <v/>
      </c>
      <c r="AJ144">
        <f>IF(AI144=1,SUM(AI$7:AI144),"")</f>
        <v/>
      </c>
      <c r="AK144">
        <f>IF(OR(N144="",N144="OK"),0,1)</f>
        <v/>
      </c>
    </row>
    <row r="145">
      <c r="B145" s="24" t="n"/>
      <c r="C145" s="14" t="n"/>
      <c r="D145" s="14" t="n"/>
      <c r="E145" s="20" t="n"/>
      <c r="F145" s="24" t="n"/>
      <c r="G145" s="14" t="n"/>
      <c r="H145" s="22" t="n"/>
      <c r="I145" s="25">
        <f>IF(Q145="D",N(H145),0)</f>
        <v/>
      </c>
      <c r="J145" s="25">
        <f>IF(Q145="C",N(H145),0)</f>
        <v/>
      </c>
      <c r="K145" s="26">
        <f>IF(Z145="","",Z145)</f>
        <v/>
      </c>
      <c r="L145" s="27">
        <f>W145</f>
        <v/>
      </c>
      <c r="M145" s="28">
        <f>AA145</f>
        <v/>
      </c>
      <c r="N145" s="23">
        <f>IF(AND(B145="",C145="",D145="",N(H145)=0),"",IF(B145="","Enter the date",IF(C145="","Pick the party",IF(P145="?","Add this party on the Parties sheet first",IF(D145="","Pick the entry type",IF(Q145="?","Pick the entry type from the list",IF(N(H145)=0,"Enter the amount",IF(AND(R145&lt;&gt;"Any",R145&lt;&gt;P145),"Sales, receipts and credit notes are for debtors; purchases, payments and debit notes for creditors",IF(AND(F145&lt;&gt;"",D145&lt;&gt;"Purchase bill"),"The received-on date is only for purchase bills",IF(AND(P145="Creditor",X145=1,AA145&gt;0),"Past due to a micro or small supplier: interest runs under MSMED s.16, and if unpaid at year end it is not deductible that year, s.37(2)(g)",IF(AND(P145="Debtor",X145=1,AA145&gt;0),"Past due to you: as a micro or small supplier you can claim interest under MSMED s.16","OK")))))))))))</f>
        <v/>
      </c>
      <c r="P145">
        <f>IF(C145="","",IFERROR(VLOOKUP(C145,'Example Parties'!$B$13:$Q$112,2,FALSE),"?"))</f>
        <v/>
      </c>
      <c r="Q145">
        <f>IF(D145="","",IFERROR(VLOOKUP(D145,Lists!$A$2:$D$9,3,FALSE),"?"))</f>
        <v/>
      </c>
      <c r="R145">
        <f>IF(D145="","",IFERROR(VLOOKUP(D145,Lists!$A$2:$D$9,4,FALSE),"?"))</f>
        <v/>
      </c>
      <c r="S145">
        <f>IF(P145="Debtor",I145,IF(P145="Creditor",J145,0))</f>
        <v/>
      </c>
      <c r="T145">
        <f>IF(P145="Debtor",J145,IF(P145="Creditor",I145,0))</f>
        <v/>
      </c>
      <c r="U145">
        <f>IF(OR(S145=0,B145=""),0,IFERROR(VLOOKUP(C145,'Example Parties'!$B$13:$Q$112,13,FALSE),0)+SUMIFS($S$7:$S$506,$C$7:$C$506,C145,$B$7:$B$506,"&lt;"&amp;B145)+SUMIFS(S$7:S145,C$7:C145,C145,B$7:B145,B145))</f>
        <v/>
      </c>
      <c r="V145">
        <f>IF(S145=0,0,IFERROR(VLOOKUP(C145,'Example Parties'!$B$13:$Q$112,14,FALSE),0)+SUMIFS($T$7:$T$506,$C$7:$C$506,C145,$B$7:$B$506,"&lt;="&amp;'Example Outstanding'!$E$5))</f>
        <v/>
      </c>
      <c r="W145">
        <f>IF(OR('Example Outstanding'!$E$5="",S145=0,B145="",B145&gt;'Example Outstanding'!$E$5),0,MAX(0,MIN(S145,U145-V145)))</f>
        <v/>
      </c>
      <c r="X145">
        <f>IF(C145="",0,IFERROR(VLOOKUP(C145,'Example Parties'!$B$13:$Q$112,15,FALSE),0))</f>
        <v/>
      </c>
      <c r="Y145">
        <f>IF(C145="","",IFERROR(VLOOKUP(C145,'Example Parties'!$B$13:$Q$112,16,FALSE),0))</f>
        <v/>
      </c>
      <c r="Z145">
        <f>IF(OR(S145=0,B145="",Y145=""),"",IF(AND(F145&lt;&gt;"",D145="Purchase bill"),F145,B145)+Y145)</f>
        <v/>
      </c>
      <c r="AA145">
        <f>IF(OR(W145=0,Z145=""),0,MAX(0,'Example Outstanding'!$E$5-Z145))</f>
        <v/>
      </c>
      <c r="AB145">
        <f>IF(AND(X145=1,AA145&gt;0),W145*((1+3*N('Example Parties'!$E$10)/12)^(AA145*12/365)-1),0)</f>
        <v/>
      </c>
      <c r="AC145">
        <f>IF(W145=0,"",'Example Outstanding'!$E$5-B145)</f>
        <v/>
      </c>
      <c r="AD145">
        <f>IF(S145=0,0,IFERROR(VLOOKUP(C145,'Example Parties'!$B$13:$Q$112,14,FALSE),0)+SUMIFS($T$7:$T$506,$C$7:$C$506,C145,$B$7:$B$506,"&lt;="&amp;'Example Parties'!$E$8))</f>
        <v/>
      </c>
      <c r="AE145">
        <f>IF(OR('Example Parties'!$E$8="",S145=0,B145="",B145&gt;'Example Parties'!$E$8),0,MAX(0,MIN(S145,U145-AD145)))</f>
        <v/>
      </c>
      <c r="AF145">
        <f>IF(AND(P145="Creditor",X145=1,AE145&gt;0,Z145&lt;&gt;""),IF(Z145&lt;='Example Parties'!$E$8,AE145,0),0)</f>
        <v/>
      </c>
      <c r="AG145">
        <f>IF(OR(AE145=0,Z145=""),0,MAX(0,'Example Parties'!$E$8-Z145))</f>
        <v/>
      </c>
      <c r="AH145">
        <f>IF(AND(P145="Creditor",X145=1,AG145&gt;0),AE145*((1+3*N('Example Parties'!$E$10)/12)^(AG145*12/365)-1),0)</f>
        <v/>
      </c>
      <c r="AI145">
        <f>IF(AND(C145&lt;&gt;"",C145='Example Ledger'!$D$4,B145&lt;&gt;"",B145&gt;='Example Ledger'!$D$5,B145&lt;='Example Ledger'!$D$6),1,0)</f>
        <v/>
      </c>
      <c r="AJ145">
        <f>IF(AI145=1,SUM(AI$7:AI145),"")</f>
        <v/>
      </c>
      <c r="AK145">
        <f>IF(OR(N145="",N145="OK"),0,1)</f>
        <v/>
      </c>
    </row>
    <row r="146">
      <c r="B146" s="24" t="n"/>
      <c r="C146" s="14" t="n"/>
      <c r="D146" s="14" t="n"/>
      <c r="E146" s="20" t="n"/>
      <c r="F146" s="24" t="n"/>
      <c r="G146" s="14" t="n"/>
      <c r="H146" s="22" t="n"/>
      <c r="I146" s="25">
        <f>IF(Q146="D",N(H146),0)</f>
        <v/>
      </c>
      <c r="J146" s="25">
        <f>IF(Q146="C",N(H146),0)</f>
        <v/>
      </c>
      <c r="K146" s="26">
        <f>IF(Z146="","",Z146)</f>
        <v/>
      </c>
      <c r="L146" s="27">
        <f>W146</f>
        <v/>
      </c>
      <c r="M146" s="28">
        <f>AA146</f>
        <v/>
      </c>
      <c r="N146" s="23">
        <f>IF(AND(B146="",C146="",D146="",N(H146)=0),"",IF(B146="","Enter the date",IF(C146="","Pick the party",IF(P146="?","Add this party on the Parties sheet first",IF(D146="","Pick the entry type",IF(Q146="?","Pick the entry type from the list",IF(N(H146)=0,"Enter the amount",IF(AND(R146&lt;&gt;"Any",R146&lt;&gt;P146),"Sales, receipts and credit notes are for debtors; purchases, payments and debit notes for creditors",IF(AND(F146&lt;&gt;"",D146&lt;&gt;"Purchase bill"),"The received-on date is only for purchase bills",IF(AND(P146="Creditor",X146=1,AA146&gt;0),"Past due to a micro or small supplier: interest runs under MSMED s.16, and if unpaid at year end it is not deductible that year, s.37(2)(g)",IF(AND(P146="Debtor",X146=1,AA146&gt;0),"Past due to you: as a micro or small supplier you can claim interest under MSMED s.16","OK")))))))))))</f>
        <v/>
      </c>
      <c r="P146">
        <f>IF(C146="","",IFERROR(VLOOKUP(C146,'Example Parties'!$B$13:$Q$112,2,FALSE),"?"))</f>
        <v/>
      </c>
      <c r="Q146">
        <f>IF(D146="","",IFERROR(VLOOKUP(D146,Lists!$A$2:$D$9,3,FALSE),"?"))</f>
        <v/>
      </c>
      <c r="R146">
        <f>IF(D146="","",IFERROR(VLOOKUP(D146,Lists!$A$2:$D$9,4,FALSE),"?"))</f>
        <v/>
      </c>
      <c r="S146">
        <f>IF(P146="Debtor",I146,IF(P146="Creditor",J146,0))</f>
        <v/>
      </c>
      <c r="T146">
        <f>IF(P146="Debtor",J146,IF(P146="Creditor",I146,0))</f>
        <v/>
      </c>
      <c r="U146">
        <f>IF(OR(S146=0,B146=""),0,IFERROR(VLOOKUP(C146,'Example Parties'!$B$13:$Q$112,13,FALSE),0)+SUMIFS($S$7:$S$506,$C$7:$C$506,C146,$B$7:$B$506,"&lt;"&amp;B146)+SUMIFS(S$7:S146,C$7:C146,C146,B$7:B146,B146))</f>
        <v/>
      </c>
      <c r="V146">
        <f>IF(S146=0,0,IFERROR(VLOOKUP(C146,'Example Parties'!$B$13:$Q$112,14,FALSE),0)+SUMIFS($T$7:$T$506,$C$7:$C$506,C146,$B$7:$B$506,"&lt;="&amp;'Example Outstanding'!$E$5))</f>
        <v/>
      </c>
      <c r="W146">
        <f>IF(OR('Example Outstanding'!$E$5="",S146=0,B146="",B146&gt;'Example Outstanding'!$E$5),0,MAX(0,MIN(S146,U146-V146)))</f>
        <v/>
      </c>
      <c r="X146">
        <f>IF(C146="",0,IFERROR(VLOOKUP(C146,'Example Parties'!$B$13:$Q$112,15,FALSE),0))</f>
        <v/>
      </c>
      <c r="Y146">
        <f>IF(C146="","",IFERROR(VLOOKUP(C146,'Example Parties'!$B$13:$Q$112,16,FALSE),0))</f>
        <v/>
      </c>
      <c r="Z146">
        <f>IF(OR(S146=0,B146="",Y146=""),"",IF(AND(F146&lt;&gt;"",D146="Purchase bill"),F146,B146)+Y146)</f>
        <v/>
      </c>
      <c r="AA146">
        <f>IF(OR(W146=0,Z146=""),0,MAX(0,'Example Outstanding'!$E$5-Z146))</f>
        <v/>
      </c>
      <c r="AB146">
        <f>IF(AND(X146=1,AA146&gt;0),W146*((1+3*N('Example Parties'!$E$10)/12)^(AA146*12/365)-1),0)</f>
        <v/>
      </c>
      <c r="AC146">
        <f>IF(W146=0,"",'Example Outstanding'!$E$5-B146)</f>
        <v/>
      </c>
      <c r="AD146">
        <f>IF(S146=0,0,IFERROR(VLOOKUP(C146,'Example Parties'!$B$13:$Q$112,14,FALSE),0)+SUMIFS($T$7:$T$506,$C$7:$C$506,C146,$B$7:$B$506,"&lt;="&amp;'Example Parties'!$E$8))</f>
        <v/>
      </c>
      <c r="AE146">
        <f>IF(OR('Example Parties'!$E$8="",S146=0,B146="",B146&gt;'Example Parties'!$E$8),0,MAX(0,MIN(S146,U146-AD146)))</f>
        <v/>
      </c>
      <c r="AF146">
        <f>IF(AND(P146="Creditor",X146=1,AE146&gt;0,Z146&lt;&gt;""),IF(Z146&lt;='Example Parties'!$E$8,AE146,0),0)</f>
        <v/>
      </c>
      <c r="AG146">
        <f>IF(OR(AE146=0,Z146=""),0,MAX(0,'Example Parties'!$E$8-Z146))</f>
        <v/>
      </c>
      <c r="AH146">
        <f>IF(AND(P146="Creditor",X146=1,AG146&gt;0),AE146*((1+3*N('Example Parties'!$E$10)/12)^(AG146*12/365)-1),0)</f>
        <v/>
      </c>
      <c r="AI146">
        <f>IF(AND(C146&lt;&gt;"",C146='Example Ledger'!$D$4,B146&lt;&gt;"",B146&gt;='Example Ledger'!$D$5,B146&lt;='Example Ledger'!$D$6),1,0)</f>
        <v/>
      </c>
      <c r="AJ146">
        <f>IF(AI146=1,SUM(AI$7:AI146),"")</f>
        <v/>
      </c>
      <c r="AK146">
        <f>IF(OR(N146="",N146="OK"),0,1)</f>
        <v/>
      </c>
    </row>
    <row r="147">
      <c r="B147" s="24" t="n"/>
      <c r="C147" s="14" t="n"/>
      <c r="D147" s="14" t="n"/>
      <c r="E147" s="20" t="n"/>
      <c r="F147" s="24" t="n"/>
      <c r="G147" s="14" t="n"/>
      <c r="H147" s="22" t="n"/>
      <c r="I147" s="25">
        <f>IF(Q147="D",N(H147),0)</f>
        <v/>
      </c>
      <c r="J147" s="25">
        <f>IF(Q147="C",N(H147),0)</f>
        <v/>
      </c>
      <c r="K147" s="26">
        <f>IF(Z147="","",Z147)</f>
        <v/>
      </c>
      <c r="L147" s="27">
        <f>W147</f>
        <v/>
      </c>
      <c r="M147" s="28">
        <f>AA147</f>
        <v/>
      </c>
      <c r="N147" s="23">
        <f>IF(AND(B147="",C147="",D147="",N(H147)=0),"",IF(B147="","Enter the date",IF(C147="","Pick the party",IF(P147="?","Add this party on the Parties sheet first",IF(D147="","Pick the entry type",IF(Q147="?","Pick the entry type from the list",IF(N(H147)=0,"Enter the amount",IF(AND(R147&lt;&gt;"Any",R147&lt;&gt;P147),"Sales, receipts and credit notes are for debtors; purchases, payments and debit notes for creditors",IF(AND(F147&lt;&gt;"",D147&lt;&gt;"Purchase bill"),"The received-on date is only for purchase bills",IF(AND(P147="Creditor",X147=1,AA147&gt;0),"Past due to a micro or small supplier: interest runs under MSMED s.16, and if unpaid at year end it is not deductible that year, s.37(2)(g)",IF(AND(P147="Debtor",X147=1,AA147&gt;0),"Past due to you: as a micro or small supplier you can claim interest under MSMED s.16","OK")))))))))))</f>
        <v/>
      </c>
      <c r="P147">
        <f>IF(C147="","",IFERROR(VLOOKUP(C147,'Example Parties'!$B$13:$Q$112,2,FALSE),"?"))</f>
        <v/>
      </c>
      <c r="Q147">
        <f>IF(D147="","",IFERROR(VLOOKUP(D147,Lists!$A$2:$D$9,3,FALSE),"?"))</f>
        <v/>
      </c>
      <c r="R147">
        <f>IF(D147="","",IFERROR(VLOOKUP(D147,Lists!$A$2:$D$9,4,FALSE),"?"))</f>
        <v/>
      </c>
      <c r="S147">
        <f>IF(P147="Debtor",I147,IF(P147="Creditor",J147,0))</f>
        <v/>
      </c>
      <c r="T147">
        <f>IF(P147="Debtor",J147,IF(P147="Creditor",I147,0))</f>
        <v/>
      </c>
      <c r="U147">
        <f>IF(OR(S147=0,B147=""),0,IFERROR(VLOOKUP(C147,'Example Parties'!$B$13:$Q$112,13,FALSE),0)+SUMIFS($S$7:$S$506,$C$7:$C$506,C147,$B$7:$B$506,"&lt;"&amp;B147)+SUMIFS(S$7:S147,C$7:C147,C147,B$7:B147,B147))</f>
        <v/>
      </c>
      <c r="V147">
        <f>IF(S147=0,0,IFERROR(VLOOKUP(C147,'Example Parties'!$B$13:$Q$112,14,FALSE),0)+SUMIFS($T$7:$T$506,$C$7:$C$506,C147,$B$7:$B$506,"&lt;="&amp;'Example Outstanding'!$E$5))</f>
        <v/>
      </c>
      <c r="W147">
        <f>IF(OR('Example Outstanding'!$E$5="",S147=0,B147="",B147&gt;'Example Outstanding'!$E$5),0,MAX(0,MIN(S147,U147-V147)))</f>
        <v/>
      </c>
      <c r="X147">
        <f>IF(C147="",0,IFERROR(VLOOKUP(C147,'Example Parties'!$B$13:$Q$112,15,FALSE),0))</f>
        <v/>
      </c>
      <c r="Y147">
        <f>IF(C147="","",IFERROR(VLOOKUP(C147,'Example Parties'!$B$13:$Q$112,16,FALSE),0))</f>
        <v/>
      </c>
      <c r="Z147">
        <f>IF(OR(S147=0,B147="",Y147=""),"",IF(AND(F147&lt;&gt;"",D147="Purchase bill"),F147,B147)+Y147)</f>
        <v/>
      </c>
      <c r="AA147">
        <f>IF(OR(W147=0,Z147=""),0,MAX(0,'Example Outstanding'!$E$5-Z147))</f>
        <v/>
      </c>
      <c r="AB147">
        <f>IF(AND(X147=1,AA147&gt;0),W147*((1+3*N('Example Parties'!$E$10)/12)^(AA147*12/365)-1),0)</f>
        <v/>
      </c>
      <c r="AC147">
        <f>IF(W147=0,"",'Example Outstanding'!$E$5-B147)</f>
        <v/>
      </c>
      <c r="AD147">
        <f>IF(S147=0,0,IFERROR(VLOOKUP(C147,'Example Parties'!$B$13:$Q$112,14,FALSE),0)+SUMIFS($T$7:$T$506,$C$7:$C$506,C147,$B$7:$B$506,"&lt;="&amp;'Example Parties'!$E$8))</f>
        <v/>
      </c>
      <c r="AE147">
        <f>IF(OR('Example Parties'!$E$8="",S147=0,B147="",B147&gt;'Example Parties'!$E$8),0,MAX(0,MIN(S147,U147-AD147)))</f>
        <v/>
      </c>
      <c r="AF147">
        <f>IF(AND(P147="Creditor",X147=1,AE147&gt;0,Z147&lt;&gt;""),IF(Z147&lt;='Example Parties'!$E$8,AE147,0),0)</f>
        <v/>
      </c>
      <c r="AG147">
        <f>IF(OR(AE147=0,Z147=""),0,MAX(0,'Example Parties'!$E$8-Z147))</f>
        <v/>
      </c>
      <c r="AH147">
        <f>IF(AND(P147="Creditor",X147=1,AG147&gt;0),AE147*((1+3*N('Example Parties'!$E$10)/12)^(AG147*12/365)-1),0)</f>
        <v/>
      </c>
      <c r="AI147">
        <f>IF(AND(C147&lt;&gt;"",C147='Example Ledger'!$D$4,B147&lt;&gt;"",B147&gt;='Example Ledger'!$D$5,B147&lt;='Example Ledger'!$D$6),1,0)</f>
        <v/>
      </c>
      <c r="AJ147">
        <f>IF(AI147=1,SUM(AI$7:AI147),"")</f>
        <v/>
      </c>
      <c r="AK147">
        <f>IF(OR(N147="",N147="OK"),0,1)</f>
        <v/>
      </c>
    </row>
    <row r="148">
      <c r="B148" s="24" t="n"/>
      <c r="C148" s="14" t="n"/>
      <c r="D148" s="14" t="n"/>
      <c r="E148" s="20" t="n"/>
      <c r="F148" s="24" t="n"/>
      <c r="G148" s="14" t="n"/>
      <c r="H148" s="22" t="n"/>
      <c r="I148" s="25">
        <f>IF(Q148="D",N(H148),0)</f>
        <v/>
      </c>
      <c r="J148" s="25">
        <f>IF(Q148="C",N(H148),0)</f>
        <v/>
      </c>
      <c r="K148" s="26">
        <f>IF(Z148="","",Z148)</f>
        <v/>
      </c>
      <c r="L148" s="27">
        <f>W148</f>
        <v/>
      </c>
      <c r="M148" s="28">
        <f>AA148</f>
        <v/>
      </c>
      <c r="N148" s="23">
        <f>IF(AND(B148="",C148="",D148="",N(H148)=0),"",IF(B148="","Enter the date",IF(C148="","Pick the party",IF(P148="?","Add this party on the Parties sheet first",IF(D148="","Pick the entry type",IF(Q148="?","Pick the entry type from the list",IF(N(H148)=0,"Enter the amount",IF(AND(R148&lt;&gt;"Any",R148&lt;&gt;P148),"Sales, receipts and credit notes are for debtors; purchases, payments and debit notes for creditors",IF(AND(F148&lt;&gt;"",D148&lt;&gt;"Purchase bill"),"The received-on date is only for purchase bills",IF(AND(P148="Creditor",X148=1,AA148&gt;0),"Past due to a micro or small supplier: interest runs under MSMED s.16, and if unpaid at year end it is not deductible that year, s.37(2)(g)",IF(AND(P148="Debtor",X148=1,AA148&gt;0),"Past due to you: as a micro or small supplier you can claim interest under MSMED s.16","OK")))))))))))</f>
        <v/>
      </c>
      <c r="P148">
        <f>IF(C148="","",IFERROR(VLOOKUP(C148,'Example Parties'!$B$13:$Q$112,2,FALSE),"?"))</f>
        <v/>
      </c>
      <c r="Q148">
        <f>IF(D148="","",IFERROR(VLOOKUP(D148,Lists!$A$2:$D$9,3,FALSE),"?"))</f>
        <v/>
      </c>
      <c r="R148">
        <f>IF(D148="","",IFERROR(VLOOKUP(D148,Lists!$A$2:$D$9,4,FALSE),"?"))</f>
        <v/>
      </c>
      <c r="S148">
        <f>IF(P148="Debtor",I148,IF(P148="Creditor",J148,0))</f>
        <v/>
      </c>
      <c r="T148">
        <f>IF(P148="Debtor",J148,IF(P148="Creditor",I148,0))</f>
        <v/>
      </c>
      <c r="U148">
        <f>IF(OR(S148=0,B148=""),0,IFERROR(VLOOKUP(C148,'Example Parties'!$B$13:$Q$112,13,FALSE),0)+SUMIFS($S$7:$S$506,$C$7:$C$506,C148,$B$7:$B$506,"&lt;"&amp;B148)+SUMIFS(S$7:S148,C$7:C148,C148,B$7:B148,B148))</f>
        <v/>
      </c>
      <c r="V148">
        <f>IF(S148=0,0,IFERROR(VLOOKUP(C148,'Example Parties'!$B$13:$Q$112,14,FALSE),0)+SUMIFS($T$7:$T$506,$C$7:$C$506,C148,$B$7:$B$506,"&lt;="&amp;'Example Outstanding'!$E$5))</f>
        <v/>
      </c>
      <c r="W148">
        <f>IF(OR('Example Outstanding'!$E$5="",S148=0,B148="",B148&gt;'Example Outstanding'!$E$5),0,MAX(0,MIN(S148,U148-V148)))</f>
        <v/>
      </c>
      <c r="X148">
        <f>IF(C148="",0,IFERROR(VLOOKUP(C148,'Example Parties'!$B$13:$Q$112,15,FALSE),0))</f>
        <v/>
      </c>
      <c r="Y148">
        <f>IF(C148="","",IFERROR(VLOOKUP(C148,'Example Parties'!$B$13:$Q$112,16,FALSE),0))</f>
        <v/>
      </c>
      <c r="Z148">
        <f>IF(OR(S148=0,B148="",Y148=""),"",IF(AND(F148&lt;&gt;"",D148="Purchase bill"),F148,B148)+Y148)</f>
        <v/>
      </c>
      <c r="AA148">
        <f>IF(OR(W148=0,Z148=""),0,MAX(0,'Example Outstanding'!$E$5-Z148))</f>
        <v/>
      </c>
      <c r="AB148">
        <f>IF(AND(X148=1,AA148&gt;0),W148*((1+3*N('Example Parties'!$E$10)/12)^(AA148*12/365)-1),0)</f>
        <v/>
      </c>
      <c r="AC148">
        <f>IF(W148=0,"",'Example Outstanding'!$E$5-B148)</f>
        <v/>
      </c>
      <c r="AD148">
        <f>IF(S148=0,0,IFERROR(VLOOKUP(C148,'Example Parties'!$B$13:$Q$112,14,FALSE),0)+SUMIFS($T$7:$T$506,$C$7:$C$506,C148,$B$7:$B$506,"&lt;="&amp;'Example Parties'!$E$8))</f>
        <v/>
      </c>
      <c r="AE148">
        <f>IF(OR('Example Parties'!$E$8="",S148=0,B148="",B148&gt;'Example Parties'!$E$8),0,MAX(0,MIN(S148,U148-AD148)))</f>
        <v/>
      </c>
      <c r="AF148">
        <f>IF(AND(P148="Creditor",X148=1,AE148&gt;0,Z148&lt;&gt;""),IF(Z148&lt;='Example Parties'!$E$8,AE148,0),0)</f>
        <v/>
      </c>
      <c r="AG148">
        <f>IF(OR(AE148=0,Z148=""),0,MAX(0,'Example Parties'!$E$8-Z148))</f>
        <v/>
      </c>
      <c r="AH148">
        <f>IF(AND(P148="Creditor",X148=1,AG148&gt;0),AE148*((1+3*N('Example Parties'!$E$10)/12)^(AG148*12/365)-1),0)</f>
        <v/>
      </c>
      <c r="AI148">
        <f>IF(AND(C148&lt;&gt;"",C148='Example Ledger'!$D$4,B148&lt;&gt;"",B148&gt;='Example Ledger'!$D$5,B148&lt;='Example Ledger'!$D$6),1,0)</f>
        <v/>
      </c>
      <c r="AJ148">
        <f>IF(AI148=1,SUM(AI$7:AI148),"")</f>
        <v/>
      </c>
      <c r="AK148">
        <f>IF(OR(N148="",N148="OK"),0,1)</f>
        <v/>
      </c>
    </row>
    <row r="149">
      <c r="B149" s="24" t="n"/>
      <c r="C149" s="14" t="n"/>
      <c r="D149" s="14" t="n"/>
      <c r="E149" s="20" t="n"/>
      <c r="F149" s="24" t="n"/>
      <c r="G149" s="14" t="n"/>
      <c r="H149" s="22" t="n"/>
      <c r="I149" s="25">
        <f>IF(Q149="D",N(H149),0)</f>
        <v/>
      </c>
      <c r="J149" s="25">
        <f>IF(Q149="C",N(H149),0)</f>
        <v/>
      </c>
      <c r="K149" s="26">
        <f>IF(Z149="","",Z149)</f>
        <v/>
      </c>
      <c r="L149" s="27">
        <f>W149</f>
        <v/>
      </c>
      <c r="M149" s="28">
        <f>AA149</f>
        <v/>
      </c>
      <c r="N149" s="23">
        <f>IF(AND(B149="",C149="",D149="",N(H149)=0),"",IF(B149="","Enter the date",IF(C149="","Pick the party",IF(P149="?","Add this party on the Parties sheet first",IF(D149="","Pick the entry type",IF(Q149="?","Pick the entry type from the list",IF(N(H149)=0,"Enter the amount",IF(AND(R149&lt;&gt;"Any",R149&lt;&gt;P149),"Sales, receipts and credit notes are for debtors; purchases, payments and debit notes for creditors",IF(AND(F149&lt;&gt;"",D149&lt;&gt;"Purchase bill"),"The received-on date is only for purchase bills",IF(AND(P149="Creditor",X149=1,AA149&gt;0),"Past due to a micro or small supplier: interest runs under MSMED s.16, and if unpaid at year end it is not deductible that year, s.37(2)(g)",IF(AND(P149="Debtor",X149=1,AA149&gt;0),"Past due to you: as a micro or small supplier you can claim interest under MSMED s.16","OK")))))))))))</f>
        <v/>
      </c>
      <c r="P149">
        <f>IF(C149="","",IFERROR(VLOOKUP(C149,'Example Parties'!$B$13:$Q$112,2,FALSE),"?"))</f>
        <v/>
      </c>
      <c r="Q149">
        <f>IF(D149="","",IFERROR(VLOOKUP(D149,Lists!$A$2:$D$9,3,FALSE),"?"))</f>
        <v/>
      </c>
      <c r="R149">
        <f>IF(D149="","",IFERROR(VLOOKUP(D149,Lists!$A$2:$D$9,4,FALSE),"?"))</f>
        <v/>
      </c>
      <c r="S149">
        <f>IF(P149="Debtor",I149,IF(P149="Creditor",J149,0))</f>
        <v/>
      </c>
      <c r="T149">
        <f>IF(P149="Debtor",J149,IF(P149="Creditor",I149,0))</f>
        <v/>
      </c>
      <c r="U149">
        <f>IF(OR(S149=0,B149=""),0,IFERROR(VLOOKUP(C149,'Example Parties'!$B$13:$Q$112,13,FALSE),0)+SUMIFS($S$7:$S$506,$C$7:$C$506,C149,$B$7:$B$506,"&lt;"&amp;B149)+SUMIFS(S$7:S149,C$7:C149,C149,B$7:B149,B149))</f>
        <v/>
      </c>
      <c r="V149">
        <f>IF(S149=0,0,IFERROR(VLOOKUP(C149,'Example Parties'!$B$13:$Q$112,14,FALSE),0)+SUMIFS($T$7:$T$506,$C$7:$C$506,C149,$B$7:$B$506,"&lt;="&amp;'Example Outstanding'!$E$5))</f>
        <v/>
      </c>
      <c r="W149">
        <f>IF(OR('Example Outstanding'!$E$5="",S149=0,B149="",B149&gt;'Example Outstanding'!$E$5),0,MAX(0,MIN(S149,U149-V149)))</f>
        <v/>
      </c>
      <c r="X149">
        <f>IF(C149="",0,IFERROR(VLOOKUP(C149,'Example Parties'!$B$13:$Q$112,15,FALSE),0))</f>
        <v/>
      </c>
      <c r="Y149">
        <f>IF(C149="","",IFERROR(VLOOKUP(C149,'Example Parties'!$B$13:$Q$112,16,FALSE),0))</f>
        <v/>
      </c>
      <c r="Z149">
        <f>IF(OR(S149=0,B149="",Y149=""),"",IF(AND(F149&lt;&gt;"",D149="Purchase bill"),F149,B149)+Y149)</f>
        <v/>
      </c>
      <c r="AA149">
        <f>IF(OR(W149=0,Z149=""),0,MAX(0,'Example Outstanding'!$E$5-Z149))</f>
        <v/>
      </c>
      <c r="AB149">
        <f>IF(AND(X149=1,AA149&gt;0),W149*((1+3*N('Example Parties'!$E$10)/12)^(AA149*12/365)-1),0)</f>
        <v/>
      </c>
      <c r="AC149">
        <f>IF(W149=0,"",'Example Outstanding'!$E$5-B149)</f>
        <v/>
      </c>
      <c r="AD149">
        <f>IF(S149=0,0,IFERROR(VLOOKUP(C149,'Example Parties'!$B$13:$Q$112,14,FALSE),0)+SUMIFS($T$7:$T$506,$C$7:$C$506,C149,$B$7:$B$506,"&lt;="&amp;'Example Parties'!$E$8))</f>
        <v/>
      </c>
      <c r="AE149">
        <f>IF(OR('Example Parties'!$E$8="",S149=0,B149="",B149&gt;'Example Parties'!$E$8),0,MAX(0,MIN(S149,U149-AD149)))</f>
        <v/>
      </c>
      <c r="AF149">
        <f>IF(AND(P149="Creditor",X149=1,AE149&gt;0,Z149&lt;&gt;""),IF(Z149&lt;='Example Parties'!$E$8,AE149,0),0)</f>
        <v/>
      </c>
      <c r="AG149">
        <f>IF(OR(AE149=0,Z149=""),0,MAX(0,'Example Parties'!$E$8-Z149))</f>
        <v/>
      </c>
      <c r="AH149">
        <f>IF(AND(P149="Creditor",X149=1,AG149&gt;0),AE149*((1+3*N('Example Parties'!$E$10)/12)^(AG149*12/365)-1),0)</f>
        <v/>
      </c>
      <c r="AI149">
        <f>IF(AND(C149&lt;&gt;"",C149='Example Ledger'!$D$4,B149&lt;&gt;"",B149&gt;='Example Ledger'!$D$5,B149&lt;='Example Ledger'!$D$6),1,0)</f>
        <v/>
      </c>
      <c r="AJ149">
        <f>IF(AI149=1,SUM(AI$7:AI149),"")</f>
        <v/>
      </c>
      <c r="AK149">
        <f>IF(OR(N149="",N149="OK"),0,1)</f>
        <v/>
      </c>
    </row>
    <row r="150">
      <c r="B150" s="24" t="n"/>
      <c r="C150" s="14" t="n"/>
      <c r="D150" s="14" t="n"/>
      <c r="E150" s="20" t="n"/>
      <c r="F150" s="24" t="n"/>
      <c r="G150" s="14" t="n"/>
      <c r="H150" s="22" t="n"/>
      <c r="I150" s="25">
        <f>IF(Q150="D",N(H150),0)</f>
        <v/>
      </c>
      <c r="J150" s="25">
        <f>IF(Q150="C",N(H150),0)</f>
        <v/>
      </c>
      <c r="K150" s="26">
        <f>IF(Z150="","",Z150)</f>
        <v/>
      </c>
      <c r="L150" s="27">
        <f>W150</f>
        <v/>
      </c>
      <c r="M150" s="28">
        <f>AA150</f>
        <v/>
      </c>
      <c r="N150" s="23">
        <f>IF(AND(B150="",C150="",D150="",N(H150)=0),"",IF(B150="","Enter the date",IF(C150="","Pick the party",IF(P150="?","Add this party on the Parties sheet first",IF(D150="","Pick the entry type",IF(Q150="?","Pick the entry type from the list",IF(N(H150)=0,"Enter the amount",IF(AND(R150&lt;&gt;"Any",R150&lt;&gt;P150),"Sales, receipts and credit notes are for debtors; purchases, payments and debit notes for creditors",IF(AND(F150&lt;&gt;"",D150&lt;&gt;"Purchase bill"),"The received-on date is only for purchase bills",IF(AND(P150="Creditor",X150=1,AA150&gt;0),"Past due to a micro or small supplier: interest runs under MSMED s.16, and if unpaid at year end it is not deductible that year, s.37(2)(g)",IF(AND(P150="Debtor",X150=1,AA150&gt;0),"Past due to you: as a micro or small supplier you can claim interest under MSMED s.16","OK")))))))))))</f>
        <v/>
      </c>
      <c r="P150">
        <f>IF(C150="","",IFERROR(VLOOKUP(C150,'Example Parties'!$B$13:$Q$112,2,FALSE),"?"))</f>
        <v/>
      </c>
      <c r="Q150">
        <f>IF(D150="","",IFERROR(VLOOKUP(D150,Lists!$A$2:$D$9,3,FALSE),"?"))</f>
        <v/>
      </c>
      <c r="R150">
        <f>IF(D150="","",IFERROR(VLOOKUP(D150,Lists!$A$2:$D$9,4,FALSE),"?"))</f>
        <v/>
      </c>
      <c r="S150">
        <f>IF(P150="Debtor",I150,IF(P150="Creditor",J150,0))</f>
        <v/>
      </c>
      <c r="T150">
        <f>IF(P150="Debtor",J150,IF(P150="Creditor",I150,0))</f>
        <v/>
      </c>
      <c r="U150">
        <f>IF(OR(S150=0,B150=""),0,IFERROR(VLOOKUP(C150,'Example Parties'!$B$13:$Q$112,13,FALSE),0)+SUMIFS($S$7:$S$506,$C$7:$C$506,C150,$B$7:$B$506,"&lt;"&amp;B150)+SUMIFS(S$7:S150,C$7:C150,C150,B$7:B150,B150))</f>
        <v/>
      </c>
      <c r="V150">
        <f>IF(S150=0,0,IFERROR(VLOOKUP(C150,'Example Parties'!$B$13:$Q$112,14,FALSE),0)+SUMIFS($T$7:$T$506,$C$7:$C$506,C150,$B$7:$B$506,"&lt;="&amp;'Example Outstanding'!$E$5))</f>
        <v/>
      </c>
      <c r="W150">
        <f>IF(OR('Example Outstanding'!$E$5="",S150=0,B150="",B150&gt;'Example Outstanding'!$E$5),0,MAX(0,MIN(S150,U150-V150)))</f>
        <v/>
      </c>
      <c r="X150">
        <f>IF(C150="",0,IFERROR(VLOOKUP(C150,'Example Parties'!$B$13:$Q$112,15,FALSE),0))</f>
        <v/>
      </c>
      <c r="Y150">
        <f>IF(C150="","",IFERROR(VLOOKUP(C150,'Example Parties'!$B$13:$Q$112,16,FALSE),0))</f>
        <v/>
      </c>
      <c r="Z150">
        <f>IF(OR(S150=0,B150="",Y150=""),"",IF(AND(F150&lt;&gt;"",D150="Purchase bill"),F150,B150)+Y150)</f>
        <v/>
      </c>
      <c r="AA150">
        <f>IF(OR(W150=0,Z150=""),0,MAX(0,'Example Outstanding'!$E$5-Z150))</f>
        <v/>
      </c>
      <c r="AB150">
        <f>IF(AND(X150=1,AA150&gt;0),W150*((1+3*N('Example Parties'!$E$10)/12)^(AA150*12/365)-1),0)</f>
        <v/>
      </c>
      <c r="AC150">
        <f>IF(W150=0,"",'Example Outstanding'!$E$5-B150)</f>
        <v/>
      </c>
      <c r="AD150">
        <f>IF(S150=0,0,IFERROR(VLOOKUP(C150,'Example Parties'!$B$13:$Q$112,14,FALSE),0)+SUMIFS($T$7:$T$506,$C$7:$C$506,C150,$B$7:$B$506,"&lt;="&amp;'Example Parties'!$E$8))</f>
        <v/>
      </c>
      <c r="AE150">
        <f>IF(OR('Example Parties'!$E$8="",S150=0,B150="",B150&gt;'Example Parties'!$E$8),0,MAX(0,MIN(S150,U150-AD150)))</f>
        <v/>
      </c>
      <c r="AF150">
        <f>IF(AND(P150="Creditor",X150=1,AE150&gt;0,Z150&lt;&gt;""),IF(Z150&lt;='Example Parties'!$E$8,AE150,0),0)</f>
        <v/>
      </c>
      <c r="AG150">
        <f>IF(OR(AE150=0,Z150=""),0,MAX(0,'Example Parties'!$E$8-Z150))</f>
        <v/>
      </c>
      <c r="AH150">
        <f>IF(AND(P150="Creditor",X150=1,AG150&gt;0),AE150*((1+3*N('Example Parties'!$E$10)/12)^(AG150*12/365)-1),0)</f>
        <v/>
      </c>
      <c r="AI150">
        <f>IF(AND(C150&lt;&gt;"",C150='Example Ledger'!$D$4,B150&lt;&gt;"",B150&gt;='Example Ledger'!$D$5,B150&lt;='Example Ledger'!$D$6),1,0)</f>
        <v/>
      </c>
      <c r="AJ150">
        <f>IF(AI150=1,SUM(AI$7:AI150),"")</f>
        <v/>
      </c>
      <c r="AK150">
        <f>IF(OR(N150="",N150="OK"),0,1)</f>
        <v/>
      </c>
    </row>
    <row r="151">
      <c r="B151" s="24" t="n"/>
      <c r="C151" s="14" t="n"/>
      <c r="D151" s="14" t="n"/>
      <c r="E151" s="20" t="n"/>
      <c r="F151" s="24" t="n"/>
      <c r="G151" s="14" t="n"/>
      <c r="H151" s="22" t="n"/>
      <c r="I151" s="25">
        <f>IF(Q151="D",N(H151),0)</f>
        <v/>
      </c>
      <c r="J151" s="25">
        <f>IF(Q151="C",N(H151),0)</f>
        <v/>
      </c>
      <c r="K151" s="26">
        <f>IF(Z151="","",Z151)</f>
        <v/>
      </c>
      <c r="L151" s="27">
        <f>W151</f>
        <v/>
      </c>
      <c r="M151" s="28">
        <f>AA151</f>
        <v/>
      </c>
      <c r="N151" s="23">
        <f>IF(AND(B151="",C151="",D151="",N(H151)=0),"",IF(B151="","Enter the date",IF(C151="","Pick the party",IF(P151="?","Add this party on the Parties sheet first",IF(D151="","Pick the entry type",IF(Q151="?","Pick the entry type from the list",IF(N(H151)=0,"Enter the amount",IF(AND(R151&lt;&gt;"Any",R151&lt;&gt;P151),"Sales, receipts and credit notes are for debtors; purchases, payments and debit notes for creditors",IF(AND(F151&lt;&gt;"",D151&lt;&gt;"Purchase bill"),"The received-on date is only for purchase bills",IF(AND(P151="Creditor",X151=1,AA151&gt;0),"Past due to a micro or small supplier: interest runs under MSMED s.16, and if unpaid at year end it is not deductible that year, s.37(2)(g)",IF(AND(P151="Debtor",X151=1,AA151&gt;0),"Past due to you: as a micro or small supplier you can claim interest under MSMED s.16","OK")))))))))))</f>
        <v/>
      </c>
      <c r="P151">
        <f>IF(C151="","",IFERROR(VLOOKUP(C151,'Example Parties'!$B$13:$Q$112,2,FALSE),"?"))</f>
        <v/>
      </c>
      <c r="Q151">
        <f>IF(D151="","",IFERROR(VLOOKUP(D151,Lists!$A$2:$D$9,3,FALSE),"?"))</f>
        <v/>
      </c>
      <c r="R151">
        <f>IF(D151="","",IFERROR(VLOOKUP(D151,Lists!$A$2:$D$9,4,FALSE),"?"))</f>
        <v/>
      </c>
      <c r="S151">
        <f>IF(P151="Debtor",I151,IF(P151="Creditor",J151,0))</f>
        <v/>
      </c>
      <c r="T151">
        <f>IF(P151="Debtor",J151,IF(P151="Creditor",I151,0))</f>
        <v/>
      </c>
      <c r="U151">
        <f>IF(OR(S151=0,B151=""),0,IFERROR(VLOOKUP(C151,'Example Parties'!$B$13:$Q$112,13,FALSE),0)+SUMIFS($S$7:$S$506,$C$7:$C$506,C151,$B$7:$B$506,"&lt;"&amp;B151)+SUMIFS(S$7:S151,C$7:C151,C151,B$7:B151,B151))</f>
        <v/>
      </c>
      <c r="V151">
        <f>IF(S151=0,0,IFERROR(VLOOKUP(C151,'Example Parties'!$B$13:$Q$112,14,FALSE),0)+SUMIFS($T$7:$T$506,$C$7:$C$506,C151,$B$7:$B$506,"&lt;="&amp;'Example Outstanding'!$E$5))</f>
        <v/>
      </c>
      <c r="W151">
        <f>IF(OR('Example Outstanding'!$E$5="",S151=0,B151="",B151&gt;'Example Outstanding'!$E$5),0,MAX(0,MIN(S151,U151-V151)))</f>
        <v/>
      </c>
      <c r="X151">
        <f>IF(C151="",0,IFERROR(VLOOKUP(C151,'Example Parties'!$B$13:$Q$112,15,FALSE),0))</f>
        <v/>
      </c>
      <c r="Y151">
        <f>IF(C151="","",IFERROR(VLOOKUP(C151,'Example Parties'!$B$13:$Q$112,16,FALSE),0))</f>
        <v/>
      </c>
      <c r="Z151">
        <f>IF(OR(S151=0,B151="",Y151=""),"",IF(AND(F151&lt;&gt;"",D151="Purchase bill"),F151,B151)+Y151)</f>
        <v/>
      </c>
      <c r="AA151">
        <f>IF(OR(W151=0,Z151=""),0,MAX(0,'Example Outstanding'!$E$5-Z151))</f>
        <v/>
      </c>
      <c r="AB151">
        <f>IF(AND(X151=1,AA151&gt;0),W151*((1+3*N('Example Parties'!$E$10)/12)^(AA151*12/365)-1),0)</f>
        <v/>
      </c>
      <c r="AC151">
        <f>IF(W151=0,"",'Example Outstanding'!$E$5-B151)</f>
        <v/>
      </c>
      <c r="AD151">
        <f>IF(S151=0,0,IFERROR(VLOOKUP(C151,'Example Parties'!$B$13:$Q$112,14,FALSE),0)+SUMIFS($T$7:$T$506,$C$7:$C$506,C151,$B$7:$B$506,"&lt;="&amp;'Example Parties'!$E$8))</f>
        <v/>
      </c>
      <c r="AE151">
        <f>IF(OR('Example Parties'!$E$8="",S151=0,B151="",B151&gt;'Example Parties'!$E$8),0,MAX(0,MIN(S151,U151-AD151)))</f>
        <v/>
      </c>
      <c r="AF151">
        <f>IF(AND(P151="Creditor",X151=1,AE151&gt;0,Z151&lt;&gt;""),IF(Z151&lt;='Example Parties'!$E$8,AE151,0),0)</f>
        <v/>
      </c>
      <c r="AG151">
        <f>IF(OR(AE151=0,Z151=""),0,MAX(0,'Example Parties'!$E$8-Z151))</f>
        <v/>
      </c>
      <c r="AH151">
        <f>IF(AND(P151="Creditor",X151=1,AG151&gt;0),AE151*((1+3*N('Example Parties'!$E$10)/12)^(AG151*12/365)-1),0)</f>
        <v/>
      </c>
      <c r="AI151">
        <f>IF(AND(C151&lt;&gt;"",C151='Example Ledger'!$D$4,B151&lt;&gt;"",B151&gt;='Example Ledger'!$D$5,B151&lt;='Example Ledger'!$D$6),1,0)</f>
        <v/>
      </c>
      <c r="AJ151">
        <f>IF(AI151=1,SUM(AI$7:AI151),"")</f>
        <v/>
      </c>
      <c r="AK151">
        <f>IF(OR(N151="",N151="OK"),0,1)</f>
        <v/>
      </c>
    </row>
    <row r="152">
      <c r="B152" s="24" t="n"/>
      <c r="C152" s="14" t="n"/>
      <c r="D152" s="14" t="n"/>
      <c r="E152" s="20" t="n"/>
      <c r="F152" s="24" t="n"/>
      <c r="G152" s="14" t="n"/>
      <c r="H152" s="22" t="n"/>
      <c r="I152" s="25">
        <f>IF(Q152="D",N(H152),0)</f>
        <v/>
      </c>
      <c r="J152" s="25">
        <f>IF(Q152="C",N(H152),0)</f>
        <v/>
      </c>
      <c r="K152" s="26">
        <f>IF(Z152="","",Z152)</f>
        <v/>
      </c>
      <c r="L152" s="27">
        <f>W152</f>
        <v/>
      </c>
      <c r="M152" s="28">
        <f>AA152</f>
        <v/>
      </c>
      <c r="N152" s="23">
        <f>IF(AND(B152="",C152="",D152="",N(H152)=0),"",IF(B152="","Enter the date",IF(C152="","Pick the party",IF(P152="?","Add this party on the Parties sheet first",IF(D152="","Pick the entry type",IF(Q152="?","Pick the entry type from the list",IF(N(H152)=0,"Enter the amount",IF(AND(R152&lt;&gt;"Any",R152&lt;&gt;P152),"Sales, receipts and credit notes are for debtors; purchases, payments and debit notes for creditors",IF(AND(F152&lt;&gt;"",D152&lt;&gt;"Purchase bill"),"The received-on date is only for purchase bills",IF(AND(P152="Creditor",X152=1,AA152&gt;0),"Past due to a micro or small supplier: interest runs under MSMED s.16, and if unpaid at year end it is not deductible that year, s.37(2)(g)",IF(AND(P152="Debtor",X152=1,AA152&gt;0),"Past due to you: as a micro or small supplier you can claim interest under MSMED s.16","OK")))))))))))</f>
        <v/>
      </c>
      <c r="P152">
        <f>IF(C152="","",IFERROR(VLOOKUP(C152,'Example Parties'!$B$13:$Q$112,2,FALSE),"?"))</f>
        <v/>
      </c>
      <c r="Q152">
        <f>IF(D152="","",IFERROR(VLOOKUP(D152,Lists!$A$2:$D$9,3,FALSE),"?"))</f>
        <v/>
      </c>
      <c r="R152">
        <f>IF(D152="","",IFERROR(VLOOKUP(D152,Lists!$A$2:$D$9,4,FALSE),"?"))</f>
        <v/>
      </c>
      <c r="S152">
        <f>IF(P152="Debtor",I152,IF(P152="Creditor",J152,0))</f>
        <v/>
      </c>
      <c r="T152">
        <f>IF(P152="Debtor",J152,IF(P152="Creditor",I152,0))</f>
        <v/>
      </c>
      <c r="U152">
        <f>IF(OR(S152=0,B152=""),0,IFERROR(VLOOKUP(C152,'Example Parties'!$B$13:$Q$112,13,FALSE),0)+SUMIFS($S$7:$S$506,$C$7:$C$506,C152,$B$7:$B$506,"&lt;"&amp;B152)+SUMIFS(S$7:S152,C$7:C152,C152,B$7:B152,B152))</f>
        <v/>
      </c>
      <c r="V152">
        <f>IF(S152=0,0,IFERROR(VLOOKUP(C152,'Example Parties'!$B$13:$Q$112,14,FALSE),0)+SUMIFS($T$7:$T$506,$C$7:$C$506,C152,$B$7:$B$506,"&lt;="&amp;'Example Outstanding'!$E$5))</f>
        <v/>
      </c>
      <c r="W152">
        <f>IF(OR('Example Outstanding'!$E$5="",S152=0,B152="",B152&gt;'Example Outstanding'!$E$5),0,MAX(0,MIN(S152,U152-V152)))</f>
        <v/>
      </c>
      <c r="X152">
        <f>IF(C152="",0,IFERROR(VLOOKUP(C152,'Example Parties'!$B$13:$Q$112,15,FALSE),0))</f>
        <v/>
      </c>
      <c r="Y152">
        <f>IF(C152="","",IFERROR(VLOOKUP(C152,'Example Parties'!$B$13:$Q$112,16,FALSE),0))</f>
        <v/>
      </c>
      <c r="Z152">
        <f>IF(OR(S152=0,B152="",Y152=""),"",IF(AND(F152&lt;&gt;"",D152="Purchase bill"),F152,B152)+Y152)</f>
        <v/>
      </c>
      <c r="AA152">
        <f>IF(OR(W152=0,Z152=""),0,MAX(0,'Example Outstanding'!$E$5-Z152))</f>
        <v/>
      </c>
      <c r="AB152">
        <f>IF(AND(X152=1,AA152&gt;0),W152*((1+3*N('Example Parties'!$E$10)/12)^(AA152*12/365)-1),0)</f>
        <v/>
      </c>
      <c r="AC152">
        <f>IF(W152=0,"",'Example Outstanding'!$E$5-B152)</f>
        <v/>
      </c>
      <c r="AD152">
        <f>IF(S152=0,0,IFERROR(VLOOKUP(C152,'Example Parties'!$B$13:$Q$112,14,FALSE),0)+SUMIFS($T$7:$T$506,$C$7:$C$506,C152,$B$7:$B$506,"&lt;="&amp;'Example Parties'!$E$8))</f>
        <v/>
      </c>
      <c r="AE152">
        <f>IF(OR('Example Parties'!$E$8="",S152=0,B152="",B152&gt;'Example Parties'!$E$8),0,MAX(0,MIN(S152,U152-AD152)))</f>
        <v/>
      </c>
      <c r="AF152">
        <f>IF(AND(P152="Creditor",X152=1,AE152&gt;0,Z152&lt;&gt;""),IF(Z152&lt;='Example Parties'!$E$8,AE152,0),0)</f>
        <v/>
      </c>
      <c r="AG152">
        <f>IF(OR(AE152=0,Z152=""),0,MAX(0,'Example Parties'!$E$8-Z152))</f>
        <v/>
      </c>
      <c r="AH152">
        <f>IF(AND(P152="Creditor",X152=1,AG152&gt;0),AE152*((1+3*N('Example Parties'!$E$10)/12)^(AG152*12/365)-1),0)</f>
        <v/>
      </c>
      <c r="AI152">
        <f>IF(AND(C152&lt;&gt;"",C152='Example Ledger'!$D$4,B152&lt;&gt;"",B152&gt;='Example Ledger'!$D$5,B152&lt;='Example Ledger'!$D$6),1,0)</f>
        <v/>
      </c>
      <c r="AJ152">
        <f>IF(AI152=1,SUM(AI$7:AI152),"")</f>
        <v/>
      </c>
      <c r="AK152">
        <f>IF(OR(N152="",N152="OK"),0,1)</f>
        <v/>
      </c>
    </row>
    <row r="153">
      <c r="B153" s="24" t="n"/>
      <c r="C153" s="14" t="n"/>
      <c r="D153" s="14" t="n"/>
      <c r="E153" s="20" t="n"/>
      <c r="F153" s="24" t="n"/>
      <c r="G153" s="14" t="n"/>
      <c r="H153" s="22" t="n"/>
      <c r="I153" s="25">
        <f>IF(Q153="D",N(H153),0)</f>
        <v/>
      </c>
      <c r="J153" s="25">
        <f>IF(Q153="C",N(H153),0)</f>
        <v/>
      </c>
      <c r="K153" s="26">
        <f>IF(Z153="","",Z153)</f>
        <v/>
      </c>
      <c r="L153" s="27">
        <f>W153</f>
        <v/>
      </c>
      <c r="M153" s="28">
        <f>AA153</f>
        <v/>
      </c>
      <c r="N153" s="23">
        <f>IF(AND(B153="",C153="",D153="",N(H153)=0),"",IF(B153="","Enter the date",IF(C153="","Pick the party",IF(P153="?","Add this party on the Parties sheet first",IF(D153="","Pick the entry type",IF(Q153="?","Pick the entry type from the list",IF(N(H153)=0,"Enter the amount",IF(AND(R153&lt;&gt;"Any",R153&lt;&gt;P153),"Sales, receipts and credit notes are for debtors; purchases, payments and debit notes for creditors",IF(AND(F153&lt;&gt;"",D153&lt;&gt;"Purchase bill"),"The received-on date is only for purchase bills",IF(AND(P153="Creditor",X153=1,AA153&gt;0),"Past due to a micro or small supplier: interest runs under MSMED s.16, and if unpaid at year end it is not deductible that year, s.37(2)(g)",IF(AND(P153="Debtor",X153=1,AA153&gt;0),"Past due to you: as a micro or small supplier you can claim interest under MSMED s.16","OK")))))))))))</f>
        <v/>
      </c>
      <c r="P153">
        <f>IF(C153="","",IFERROR(VLOOKUP(C153,'Example Parties'!$B$13:$Q$112,2,FALSE),"?"))</f>
        <v/>
      </c>
      <c r="Q153">
        <f>IF(D153="","",IFERROR(VLOOKUP(D153,Lists!$A$2:$D$9,3,FALSE),"?"))</f>
        <v/>
      </c>
      <c r="R153">
        <f>IF(D153="","",IFERROR(VLOOKUP(D153,Lists!$A$2:$D$9,4,FALSE),"?"))</f>
        <v/>
      </c>
      <c r="S153">
        <f>IF(P153="Debtor",I153,IF(P153="Creditor",J153,0))</f>
        <v/>
      </c>
      <c r="T153">
        <f>IF(P153="Debtor",J153,IF(P153="Creditor",I153,0))</f>
        <v/>
      </c>
      <c r="U153">
        <f>IF(OR(S153=0,B153=""),0,IFERROR(VLOOKUP(C153,'Example Parties'!$B$13:$Q$112,13,FALSE),0)+SUMIFS($S$7:$S$506,$C$7:$C$506,C153,$B$7:$B$506,"&lt;"&amp;B153)+SUMIFS(S$7:S153,C$7:C153,C153,B$7:B153,B153))</f>
        <v/>
      </c>
      <c r="V153">
        <f>IF(S153=0,0,IFERROR(VLOOKUP(C153,'Example Parties'!$B$13:$Q$112,14,FALSE),0)+SUMIFS($T$7:$T$506,$C$7:$C$506,C153,$B$7:$B$506,"&lt;="&amp;'Example Outstanding'!$E$5))</f>
        <v/>
      </c>
      <c r="W153">
        <f>IF(OR('Example Outstanding'!$E$5="",S153=0,B153="",B153&gt;'Example Outstanding'!$E$5),0,MAX(0,MIN(S153,U153-V153)))</f>
        <v/>
      </c>
      <c r="X153">
        <f>IF(C153="",0,IFERROR(VLOOKUP(C153,'Example Parties'!$B$13:$Q$112,15,FALSE),0))</f>
        <v/>
      </c>
      <c r="Y153">
        <f>IF(C153="","",IFERROR(VLOOKUP(C153,'Example Parties'!$B$13:$Q$112,16,FALSE),0))</f>
        <v/>
      </c>
      <c r="Z153">
        <f>IF(OR(S153=0,B153="",Y153=""),"",IF(AND(F153&lt;&gt;"",D153="Purchase bill"),F153,B153)+Y153)</f>
        <v/>
      </c>
      <c r="AA153">
        <f>IF(OR(W153=0,Z153=""),0,MAX(0,'Example Outstanding'!$E$5-Z153))</f>
        <v/>
      </c>
      <c r="AB153">
        <f>IF(AND(X153=1,AA153&gt;0),W153*((1+3*N('Example Parties'!$E$10)/12)^(AA153*12/365)-1),0)</f>
        <v/>
      </c>
      <c r="AC153">
        <f>IF(W153=0,"",'Example Outstanding'!$E$5-B153)</f>
        <v/>
      </c>
      <c r="AD153">
        <f>IF(S153=0,0,IFERROR(VLOOKUP(C153,'Example Parties'!$B$13:$Q$112,14,FALSE),0)+SUMIFS($T$7:$T$506,$C$7:$C$506,C153,$B$7:$B$506,"&lt;="&amp;'Example Parties'!$E$8))</f>
        <v/>
      </c>
      <c r="AE153">
        <f>IF(OR('Example Parties'!$E$8="",S153=0,B153="",B153&gt;'Example Parties'!$E$8),0,MAX(0,MIN(S153,U153-AD153)))</f>
        <v/>
      </c>
      <c r="AF153">
        <f>IF(AND(P153="Creditor",X153=1,AE153&gt;0,Z153&lt;&gt;""),IF(Z153&lt;='Example Parties'!$E$8,AE153,0),0)</f>
        <v/>
      </c>
      <c r="AG153">
        <f>IF(OR(AE153=0,Z153=""),0,MAX(0,'Example Parties'!$E$8-Z153))</f>
        <v/>
      </c>
      <c r="AH153">
        <f>IF(AND(P153="Creditor",X153=1,AG153&gt;0),AE153*((1+3*N('Example Parties'!$E$10)/12)^(AG153*12/365)-1),0)</f>
        <v/>
      </c>
      <c r="AI153">
        <f>IF(AND(C153&lt;&gt;"",C153='Example Ledger'!$D$4,B153&lt;&gt;"",B153&gt;='Example Ledger'!$D$5,B153&lt;='Example Ledger'!$D$6),1,0)</f>
        <v/>
      </c>
      <c r="AJ153">
        <f>IF(AI153=1,SUM(AI$7:AI153),"")</f>
        <v/>
      </c>
      <c r="AK153">
        <f>IF(OR(N153="",N153="OK"),0,1)</f>
        <v/>
      </c>
    </row>
    <row r="154">
      <c r="B154" s="24" t="n"/>
      <c r="C154" s="14" t="n"/>
      <c r="D154" s="14" t="n"/>
      <c r="E154" s="20" t="n"/>
      <c r="F154" s="24" t="n"/>
      <c r="G154" s="14" t="n"/>
      <c r="H154" s="22" t="n"/>
      <c r="I154" s="25">
        <f>IF(Q154="D",N(H154),0)</f>
        <v/>
      </c>
      <c r="J154" s="25">
        <f>IF(Q154="C",N(H154),0)</f>
        <v/>
      </c>
      <c r="K154" s="26">
        <f>IF(Z154="","",Z154)</f>
        <v/>
      </c>
      <c r="L154" s="27">
        <f>W154</f>
        <v/>
      </c>
      <c r="M154" s="28">
        <f>AA154</f>
        <v/>
      </c>
      <c r="N154" s="23">
        <f>IF(AND(B154="",C154="",D154="",N(H154)=0),"",IF(B154="","Enter the date",IF(C154="","Pick the party",IF(P154="?","Add this party on the Parties sheet first",IF(D154="","Pick the entry type",IF(Q154="?","Pick the entry type from the list",IF(N(H154)=0,"Enter the amount",IF(AND(R154&lt;&gt;"Any",R154&lt;&gt;P154),"Sales, receipts and credit notes are for debtors; purchases, payments and debit notes for creditors",IF(AND(F154&lt;&gt;"",D154&lt;&gt;"Purchase bill"),"The received-on date is only for purchase bills",IF(AND(P154="Creditor",X154=1,AA154&gt;0),"Past due to a micro or small supplier: interest runs under MSMED s.16, and if unpaid at year end it is not deductible that year, s.37(2)(g)",IF(AND(P154="Debtor",X154=1,AA154&gt;0),"Past due to you: as a micro or small supplier you can claim interest under MSMED s.16","OK")))))))))))</f>
        <v/>
      </c>
      <c r="P154">
        <f>IF(C154="","",IFERROR(VLOOKUP(C154,'Example Parties'!$B$13:$Q$112,2,FALSE),"?"))</f>
        <v/>
      </c>
      <c r="Q154">
        <f>IF(D154="","",IFERROR(VLOOKUP(D154,Lists!$A$2:$D$9,3,FALSE),"?"))</f>
        <v/>
      </c>
      <c r="R154">
        <f>IF(D154="","",IFERROR(VLOOKUP(D154,Lists!$A$2:$D$9,4,FALSE),"?"))</f>
        <v/>
      </c>
      <c r="S154">
        <f>IF(P154="Debtor",I154,IF(P154="Creditor",J154,0))</f>
        <v/>
      </c>
      <c r="T154">
        <f>IF(P154="Debtor",J154,IF(P154="Creditor",I154,0))</f>
        <v/>
      </c>
      <c r="U154">
        <f>IF(OR(S154=0,B154=""),0,IFERROR(VLOOKUP(C154,'Example Parties'!$B$13:$Q$112,13,FALSE),0)+SUMIFS($S$7:$S$506,$C$7:$C$506,C154,$B$7:$B$506,"&lt;"&amp;B154)+SUMIFS(S$7:S154,C$7:C154,C154,B$7:B154,B154))</f>
        <v/>
      </c>
      <c r="V154">
        <f>IF(S154=0,0,IFERROR(VLOOKUP(C154,'Example Parties'!$B$13:$Q$112,14,FALSE),0)+SUMIFS($T$7:$T$506,$C$7:$C$506,C154,$B$7:$B$506,"&lt;="&amp;'Example Outstanding'!$E$5))</f>
        <v/>
      </c>
      <c r="W154">
        <f>IF(OR('Example Outstanding'!$E$5="",S154=0,B154="",B154&gt;'Example Outstanding'!$E$5),0,MAX(0,MIN(S154,U154-V154)))</f>
        <v/>
      </c>
      <c r="X154">
        <f>IF(C154="",0,IFERROR(VLOOKUP(C154,'Example Parties'!$B$13:$Q$112,15,FALSE),0))</f>
        <v/>
      </c>
      <c r="Y154">
        <f>IF(C154="","",IFERROR(VLOOKUP(C154,'Example Parties'!$B$13:$Q$112,16,FALSE),0))</f>
        <v/>
      </c>
      <c r="Z154">
        <f>IF(OR(S154=0,B154="",Y154=""),"",IF(AND(F154&lt;&gt;"",D154="Purchase bill"),F154,B154)+Y154)</f>
        <v/>
      </c>
      <c r="AA154">
        <f>IF(OR(W154=0,Z154=""),0,MAX(0,'Example Outstanding'!$E$5-Z154))</f>
        <v/>
      </c>
      <c r="AB154">
        <f>IF(AND(X154=1,AA154&gt;0),W154*((1+3*N('Example Parties'!$E$10)/12)^(AA154*12/365)-1),0)</f>
        <v/>
      </c>
      <c r="AC154">
        <f>IF(W154=0,"",'Example Outstanding'!$E$5-B154)</f>
        <v/>
      </c>
      <c r="AD154">
        <f>IF(S154=0,0,IFERROR(VLOOKUP(C154,'Example Parties'!$B$13:$Q$112,14,FALSE),0)+SUMIFS($T$7:$T$506,$C$7:$C$506,C154,$B$7:$B$506,"&lt;="&amp;'Example Parties'!$E$8))</f>
        <v/>
      </c>
      <c r="AE154">
        <f>IF(OR('Example Parties'!$E$8="",S154=0,B154="",B154&gt;'Example Parties'!$E$8),0,MAX(0,MIN(S154,U154-AD154)))</f>
        <v/>
      </c>
      <c r="AF154">
        <f>IF(AND(P154="Creditor",X154=1,AE154&gt;0,Z154&lt;&gt;""),IF(Z154&lt;='Example Parties'!$E$8,AE154,0),0)</f>
        <v/>
      </c>
      <c r="AG154">
        <f>IF(OR(AE154=0,Z154=""),0,MAX(0,'Example Parties'!$E$8-Z154))</f>
        <v/>
      </c>
      <c r="AH154">
        <f>IF(AND(P154="Creditor",X154=1,AG154&gt;0),AE154*((1+3*N('Example Parties'!$E$10)/12)^(AG154*12/365)-1),0)</f>
        <v/>
      </c>
      <c r="AI154">
        <f>IF(AND(C154&lt;&gt;"",C154='Example Ledger'!$D$4,B154&lt;&gt;"",B154&gt;='Example Ledger'!$D$5,B154&lt;='Example Ledger'!$D$6),1,0)</f>
        <v/>
      </c>
      <c r="AJ154">
        <f>IF(AI154=1,SUM(AI$7:AI154),"")</f>
        <v/>
      </c>
      <c r="AK154">
        <f>IF(OR(N154="",N154="OK"),0,1)</f>
        <v/>
      </c>
    </row>
    <row r="155">
      <c r="B155" s="24" t="n"/>
      <c r="C155" s="14" t="n"/>
      <c r="D155" s="14" t="n"/>
      <c r="E155" s="20" t="n"/>
      <c r="F155" s="24" t="n"/>
      <c r="G155" s="14" t="n"/>
      <c r="H155" s="22" t="n"/>
      <c r="I155" s="25">
        <f>IF(Q155="D",N(H155),0)</f>
        <v/>
      </c>
      <c r="J155" s="25">
        <f>IF(Q155="C",N(H155),0)</f>
        <v/>
      </c>
      <c r="K155" s="26">
        <f>IF(Z155="","",Z155)</f>
        <v/>
      </c>
      <c r="L155" s="27">
        <f>W155</f>
        <v/>
      </c>
      <c r="M155" s="28">
        <f>AA155</f>
        <v/>
      </c>
      <c r="N155" s="23">
        <f>IF(AND(B155="",C155="",D155="",N(H155)=0),"",IF(B155="","Enter the date",IF(C155="","Pick the party",IF(P155="?","Add this party on the Parties sheet first",IF(D155="","Pick the entry type",IF(Q155="?","Pick the entry type from the list",IF(N(H155)=0,"Enter the amount",IF(AND(R155&lt;&gt;"Any",R155&lt;&gt;P155),"Sales, receipts and credit notes are for debtors; purchases, payments and debit notes for creditors",IF(AND(F155&lt;&gt;"",D155&lt;&gt;"Purchase bill"),"The received-on date is only for purchase bills",IF(AND(P155="Creditor",X155=1,AA155&gt;0),"Past due to a micro or small supplier: interest runs under MSMED s.16, and if unpaid at year end it is not deductible that year, s.37(2)(g)",IF(AND(P155="Debtor",X155=1,AA155&gt;0),"Past due to you: as a micro or small supplier you can claim interest under MSMED s.16","OK")))))))))))</f>
        <v/>
      </c>
      <c r="P155">
        <f>IF(C155="","",IFERROR(VLOOKUP(C155,'Example Parties'!$B$13:$Q$112,2,FALSE),"?"))</f>
        <v/>
      </c>
      <c r="Q155">
        <f>IF(D155="","",IFERROR(VLOOKUP(D155,Lists!$A$2:$D$9,3,FALSE),"?"))</f>
        <v/>
      </c>
      <c r="R155">
        <f>IF(D155="","",IFERROR(VLOOKUP(D155,Lists!$A$2:$D$9,4,FALSE),"?"))</f>
        <v/>
      </c>
      <c r="S155">
        <f>IF(P155="Debtor",I155,IF(P155="Creditor",J155,0))</f>
        <v/>
      </c>
      <c r="T155">
        <f>IF(P155="Debtor",J155,IF(P155="Creditor",I155,0))</f>
        <v/>
      </c>
      <c r="U155">
        <f>IF(OR(S155=0,B155=""),0,IFERROR(VLOOKUP(C155,'Example Parties'!$B$13:$Q$112,13,FALSE),0)+SUMIFS($S$7:$S$506,$C$7:$C$506,C155,$B$7:$B$506,"&lt;"&amp;B155)+SUMIFS(S$7:S155,C$7:C155,C155,B$7:B155,B155))</f>
        <v/>
      </c>
      <c r="V155">
        <f>IF(S155=0,0,IFERROR(VLOOKUP(C155,'Example Parties'!$B$13:$Q$112,14,FALSE),0)+SUMIFS($T$7:$T$506,$C$7:$C$506,C155,$B$7:$B$506,"&lt;="&amp;'Example Outstanding'!$E$5))</f>
        <v/>
      </c>
      <c r="W155">
        <f>IF(OR('Example Outstanding'!$E$5="",S155=0,B155="",B155&gt;'Example Outstanding'!$E$5),0,MAX(0,MIN(S155,U155-V155)))</f>
        <v/>
      </c>
      <c r="X155">
        <f>IF(C155="",0,IFERROR(VLOOKUP(C155,'Example Parties'!$B$13:$Q$112,15,FALSE),0))</f>
        <v/>
      </c>
      <c r="Y155">
        <f>IF(C155="","",IFERROR(VLOOKUP(C155,'Example Parties'!$B$13:$Q$112,16,FALSE),0))</f>
        <v/>
      </c>
      <c r="Z155">
        <f>IF(OR(S155=0,B155="",Y155=""),"",IF(AND(F155&lt;&gt;"",D155="Purchase bill"),F155,B155)+Y155)</f>
        <v/>
      </c>
      <c r="AA155">
        <f>IF(OR(W155=0,Z155=""),0,MAX(0,'Example Outstanding'!$E$5-Z155))</f>
        <v/>
      </c>
      <c r="AB155">
        <f>IF(AND(X155=1,AA155&gt;0),W155*((1+3*N('Example Parties'!$E$10)/12)^(AA155*12/365)-1),0)</f>
        <v/>
      </c>
      <c r="AC155">
        <f>IF(W155=0,"",'Example Outstanding'!$E$5-B155)</f>
        <v/>
      </c>
      <c r="AD155">
        <f>IF(S155=0,0,IFERROR(VLOOKUP(C155,'Example Parties'!$B$13:$Q$112,14,FALSE),0)+SUMIFS($T$7:$T$506,$C$7:$C$506,C155,$B$7:$B$506,"&lt;="&amp;'Example Parties'!$E$8))</f>
        <v/>
      </c>
      <c r="AE155">
        <f>IF(OR('Example Parties'!$E$8="",S155=0,B155="",B155&gt;'Example Parties'!$E$8),0,MAX(0,MIN(S155,U155-AD155)))</f>
        <v/>
      </c>
      <c r="AF155">
        <f>IF(AND(P155="Creditor",X155=1,AE155&gt;0,Z155&lt;&gt;""),IF(Z155&lt;='Example Parties'!$E$8,AE155,0),0)</f>
        <v/>
      </c>
      <c r="AG155">
        <f>IF(OR(AE155=0,Z155=""),0,MAX(0,'Example Parties'!$E$8-Z155))</f>
        <v/>
      </c>
      <c r="AH155">
        <f>IF(AND(P155="Creditor",X155=1,AG155&gt;0),AE155*((1+3*N('Example Parties'!$E$10)/12)^(AG155*12/365)-1),0)</f>
        <v/>
      </c>
      <c r="AI155">
        <f>IF(AND(C155&lt;&gt;"",C155='Example Ledger'!$D$4,B155&lt;&gt;"",B155&gt;='Example Ledger'!$D$5,B155&lt;='Example Ledger'!$D$6),1,0)</f>
        <v/>
      </c>
      <c r="AJ155">
        <f>IF(AI155=1,SUM(AI$7:AI155),"")</f>
        <v/>
      </c>
      <c r="AK155">
        <f>IF(OR(N155="",N155="OK"),0,1)</f>
        <v/>
      </c>
    </row>
    <row r="156">
      <c r="B156" s="24" t="n"/>
      <c r="C156" s="14" t="n"/>
      <c r="D156" s="14" t="n"/>
      <c r="E156" s="20" t="n"/>
      <c r="F156" s="24" t="n"/>
      <c r="G156" s="14" t="n"/>
      <c r="H156" s="22" t="n"/>
      <c r="I156" s="25">
        <f>IF(Q156="D",N(H156),0)</f>
        <v/>
      </c>
      <c r="J156" s="25">
        <f>IF(Q156="C",N(H156),0)</f>
        <v/>
      </c>
      <c r="K156" s="26">
        <f>IF(Z156="","",Z156)</f>
        <v/>
      </c>
      <c r="L156" s="27">
        <f>W156</f>
        <v/>
      </c>
      <c r="M156" s="28">
        <f>AA156</f>
        <v/>
      </c>
      <c r="N156" s="23">
        <f>IF(AND(B156="",C156="",D156="",N(H156)=0),"",IF(B156="","Enter the date",IF(C156="","Pick the party",IF(P156="?","Add this party on the Parties sheet first",IF(D156="","Pick the entry type",IF(Q156="?","Pick the entry type from the list",IF(N(H156)=0,"Enter the amount",IF(AND(R156&lt;&gt;"Any",R156&lt;&gt;P156),"Sales, receipts and credit notes are for debtors; purchases, payments and debit notes for creditors",IF(AND(F156&lt;&gt;"",D156&lt;&gt;"Purchase bill"),"The received-on date is only for purchase bills",IF(AND(P156="Creditor",X156=1,AA156&gt;0),"Past due to a micro or small supplier: interest runs under MSMED s.16, and if unpaid at year end it is not deductible that year, s.37(2)(g)",IF(AND(P156="Debtor",X156=1,AA156&gt;0),"Past due to you: as a micro or small supplier you can claim interest under MSMED s.16","OK")))))))))))</f>
        <v/>
      </c>
      <c r="P156">
        <f>IF(C156="","",IFERROR(VLOOKUP(C156,'Example Parties'!$B$13:$Q$112,2,FALSE),"?"))</f>
        <v/>
      </c>
      <c r="Q156">
        <f>IF(D156="","",IFERROR(VLOOKUP(D156,Lists!$A$2:$D$9,3,FALSE),"?"))</f>
        <v/>
      </c>
      <c r="R156">
        <f>IF(D156="","",IFERROR(VLOOKUP(D156,Lists!$A$2:$D$9,4,FALSE),"?"))</f>
        <v/>
      </c>
      <c r="S156">
        <f>IF(P156="Debtor",I156,IF(P156="Creditor",J156,0))</f>
        <v/>
      </c>
      <c r="T156">
        <f>IF(P156="Debtor",J156,IF(P156="Creditor",I156,0))</f>
        <v/>
      </c>
      <c r="U156">
        <f>IF(OR(S156=0,B156=""),0,IFERROR(VLOOKUP(C156,'Example Parties'!$B$13:$Q$112,13,FALSE),0)+SUMIFS($S$7:$S$506,$C$7:$C$506,C156,$B$7:$B$506,"&lt;"&amp;B156)+SUMIFS(S$7:S156,C$7:C156,C156,B$7:B156,B156))</f>
        <v/>
      </c>
      <c r="V156">
        <f>IF(S156=0,0,IFERROR(VLOOKUP(C156,'Example Parties'!$B$13:$Q$112,14,FALSE),0)+SUMIFS($T$7:$T$506,$C$7:$C$506,C156,$B$7:$B$506,"&lt;="&amp;'Example Outstanding'!$E$5))</f>
        <v/>
      </c>
      <c r="W156">
        <f>IF(OR('Example Outstanding'!$E$5="",S156=0,B156="",B156&gt;'Example Outstanding'!$E$5),0,MAX(0,MIN(S156,U156-V156)))</f>
        <v/>
      </c>
      <c r="X156">
        <f>IF(C156="",0,IFERROR(VLOOKUP(C156,'Example Parties'!$B$13:$Q$112,15,FALSE),0))</f>
        <v/>
      </c>
      <c r="Y156">
        <f>IF(C156="","",IFERROR(VLOOKUP(C156,'Example Parties'!$B$13:$Q$112,16,FALSE),0))</f>
        <v/>
      </c>
      <c r="Z156">
        <f>IF(OR(S156=0,B156="",Y156=""),"",IF(AND(F156&lt;&gt;"",D156="Purchase bill"),F156,B156)+Y156)</f>
        <v/>
      </c>
      <c r="AA156">
        <f>IF(OR(W156=0,Z156=""),0,MAX(0,'Example Outstanding'!$E$5-Z156))</f>
        <v/>
      </c>
      <c r="AB156">
        <f>IF(AND(X156=1,AA156&gt;0),W156*((1+3*N('Example Parties'!$E$10)/12)^(AA156*12/365)-1),0)</f>
        <v/>
      </c>
      <c r="AC156">
        <f>IF(W156=0,"",'Example Outstanding'!$E$5-B156)</f>
        <v/>
      </c>
      <c r="AD156">
        <f>IF(S156=0,0,IFERROR(VLOOKUP(C156,'Example Parties'!$B$13:$Q$112,14,FALSE),0)+SUMIFS($T$7:$T$506,$C$7:$C$506,C156,$B$7:$B$506,"&lt;="&amp;'Example Parties'!$E$8))</f>
        <v/>
      </c>
      <c r="AE156">
        <f>IF(OR('Example Parties'!$E$8="",S156=0,B156="",B156&gt;'Example Parties'!$E$8),0,MAX(0,MIN(S156,U156-AD156)))</f>
        <v/>
      </c>
      <c r="AF156">
        <f>IF(AND(P156="Creditor",X156=1,AE156&gt;0,Z156&lt;&gt;""),IF(Z156&lt;='Example Parties'!$E$8,AE156,0),0)</f>
        <v/>
      </c>
      <c r="AG156">
        <f>IF(OR(AE156=0,Z156=""),0,MAX(0,'Example Parties'!$E$8-Z156))</f>
        <v/>
      </c>
      <c r="AH156">
        <f>IF(AND(P156="Creditor",X156=1,AG156&gt;0),AE156*((1+3*N('Example Parties'!$E$10)/12)^(AG156*12/365)-1),0)</f>
        <v/>
      </c>
      <c r="AI156">
        <f>IF(AND(C156&lt;&gt;"",C156='Example Ledger'!$D$4,B156&lt;&gt;"",B156&gt;='Example Ledger'!$D$5,B156&lt;='Example Ledger'!$D$6),1,0)</f>
        <v/>
      </c>
      <c r="AJ156">
        <f>IF(AI156=1,SUM(AI$7:AI156),"")</f>
        <v/>
      </c>
      <c r="AK156">
        <f>IF(OR(N156="",N156="OK"),0,1)</f>
        <v/>
      </c>
    </row>
    <row r="157">
      <c r="B157" s="24" t="n"/>
      <c r="C157" s="14" t="n"/>
      <c r="D157" s="14" t="n"/>
      <c r="E157" s="20" t="n"/>
      <c r="F157" s="24" t="n"/>
      <c r="G157" s="14" t="n"/>
      <c r="H157" s="22" t="n"/>
      <c r="I157" s="25">
        <f>IF(Q157="D",N(H157),0)</f>
        <v/>
      </c>
      <c r="J157" s="25">
        <f>IF(Q157="C",N(H157),0)</f>
        <v/>
      </c>
      <c r="K157" s="26">
        <f>IF(Z157="","",Z157)</f>
        <v/>
      </c>
      <c r="L157" s="27">
        <f>W157</f>
        <v/>
      </c>
      <c r="M157" s="28">
        <f>AA157</f>
        <v/>
      </c>
      <c r="N157" s="23">
        <f>IF(AND(B157="",C157="",D157="",N(H157)=0),"",IF(B157="","Enter the date",IF(C157="","Pick the party",IF(P157="?","Add this party on the Parties sheet first",IF(D157="","Pick the entry type",IF(Q157="?","Pick the entry type from the list",IF(N(H157)=0,"Enter the amount",IF(AND(R157&lt;&gt;"Any",R157&lt;&gt;P157),"Sales, receipts and credit notes are for debtors; purchases, payments and debit notes for creditors",IF(AND(F157&lt;&gt;"",D157&lt;&gt;"Purchase bill"),"The received-on date is only for purchase bills",IF(AND(P157="Creditor",X157=1,AA157&gt;0),"Past due to a micro or small supplier: interest runs under MSMED s.16, and if unpaid at year end it is not deductible that year, s.37(2)(g)",IF(AND(P157="Debtor",X157=1,AA157&gt;0),"Past due to you: as a micro or small supplier you can claim interest under MSMED s.16","OK")))))))))))</f>
        <v/>
      </c>
      <c r="P157">
        <f>IF(C157="","",IFERROR(VLOOKUP(C157,'Example Parties'!$B$13:$Q$112,2,FALSE),"?"))</f>
        <v/>
      </c>
      <c r="Q157">
        <f>IF(D157="","",IFERROR(VLOOKUP(D157,Lists!$A$2:$D$9,3,FALSE),"?"))</f>
        <v/>
      </c>
      <c r="R157">
        <f>IF(D157="","",IFERROR(VLOOKUP(D157,Lists!$A$2:$D$9,4,FALSE),"?"))</f>
        <v/>
      </c>
      <c r="S157">
        <f>IF(P157="Debtor",I157,IF(P157="Creditor",J157,0))</f>
        <v/>
      </c>
      <c r="T157">
        <f>IF(P157="Debtor",J157,IF(P157="Creditor",I157,0))</f>
        <v/>
      </c>
      <c r="U157">
        <f>IF(OR(S157=0,B157=""),0,IFERROR(VLOOKUP(C157,'Example Parties'!$B$13:$Q$112,13,FALSE),0)+SUMIFS($S$7:$S$506,$C$7:$C$506,C157,$B$7:$B$506,"&lt;"&amp;B157)+SUMIFS(S$7:S157,C$7:C157,C157,B$7:B157,B157))</f>
        <v/>
      </c>
      <c r="V157">
        <f>IF(S157=0,0,IFERROR(VLOOKUP(C157,'Example Parties'!$B$13:$Q$112,14,FALSE),0)+SUMIFS($T$7:$T$506,$C$7:$C$506,C157,$B$7:$B$506,"&lt;="&amp;'Example Outstanding'!$E$5))</f>
        <v/>
      </c>
      <c r="W157">
        <f>IF(OR('Example Outstanding'!$E$5="",S157=0,B157="",B157&gt;'Example Outstanding'!$E$5),0,MAX(0,MIN(S157,U157-V157)))</f>
        <v/>
      </c>
      <c r="X157">
        <f>IF(C157="",0,IFERROR(VLOOKUP(C157,'Example Parties'!$B$13:$Q$112,15,FALSE),0))</f>
        <v/>
      </c>
      <c r="Y157">
        <f>IF(C157="","",IFERROR(VLOOKUP(C157,'Example Parties'!$B$13:$Q$112,16,FALSE),0))</f>
        <v/>
      </c>
      <c r="Z157">
        <f>IF(OR(S157=0,B157="",Y157=""),"",IF(AND(F157&lt;&gt;"",D157="Purchase bill"),F157,B157)+Y157)</f>
        <v/>
      </c>
      <c r="AA157">
        <f>IF(OR(W157=0,Z157=""),0,MAX(0,'Example Outstanding'!$E$5-Z157))</f>
        <v/>
      </c>
      <c r="AB157">
        <f>IF(AND(X157=1,AA157&gt;0),W157*((1+3*N('Example Parties'!$E$10)/12)^(AA157*12/365)-1),0)</f>
        <v/>
      </c>
      <c r="AC157">
        <f>IF(W157=0,"",'Example Outstanding'!$E$5-B157)</f>
        <v/>
      </c>
      <c r="AD157">
        <f>IF(S157=0,0,IFERROR(VLOOKUP(C157,'Example Parties'!$B$13:$Q$112,14,FALSE),0)+SUMIFS($T$7:$T$506,$C$7:$C$506,C157,$B$7:$B$506,"&lt;="&amp;'Example Parties'!$E$8))</f>
        <v/>
      </c>
      <c r="AE157">
        <f>IF(OR('Example Parties'!$E$8="",S157=0,B157="",B157&gt;'Example Parties'!$E$8),0,MAX(0,MIN(S157,U157-AD157)))</f>
        <v/>
      </c>
      <c r="AF157">
        <f>IF(AND(P157="Creditor",X157=1,AE157&gt;0,Z157&lt;&gt;""),IF(Z157&lt;='Example Parties'!$E$8,AE157,0),0)</f>
        <v/>
      </c>
      <c r="AG157">
        <f>IF(OR(AE157=0,Z157=""),0,MAX(0,'Example Parties'!$E$8-Z157))</f>
        <v/>
      </c>
      <c r="AH157">
        <f>IF(AND(P157="Creditor",X157=1,AG157&gt;0),AE157*((1+3*N('Example Parties'!$E$10)/12)^(AG157*12/365)-1),0)</f>
        <v/>
      </c>
      <c r="AI157">
        <f>IF(AND(C157&lt;&gt;"",C157='Example Ledger'!$D$4,B157&lt;&gt;"",B157&gt;='Example Ledger'!$D$5,B157&lt;='Example Ledger'!$D$6),1,0)</f>
        <v/>
      </c>
      <c r="AJ157">
        <f>IF(AI157=1,SUM(AI$7:AI157),"")</f>
        <v/>
      </c>
      <c r="AK157">
        <f>IF(OR(N157="",N157="OK"),0,1)</f>
        <v/>
      </c>
    </row>
    <row r="158">
      <c r="B158" s="24" t="n"/>
      <c r="C158" s="14" t="n"/>
      <c r="D158" s="14" t="n"/>
      <c r="E158" s="20" t="n"/>
      <c r="F158" s="24" t="n"/>
      <c r="G158" s="14" t="n"/>
      <c r="H158" s="22" t="n"/>
      <c r="I158" s="25">
        <f>IF(Q158="D",N(H158),0)</f>
        <v/>
      </c>
      <c r="J158" s="25">
        <f>IF(Q158="C",N(H158),0)</f>
        <v/>
      </c>
      <c r="K158" s="26">
        <f>IF(Z158="","",Z158)</f>
        <v/>
      </c>
      <c r="L158" s="27">
        <f>W158</f>
        <v/>
      </c>
      <c r="M158" s="28">
        <f>AA158</f>
        <v/>
      </c>
      <c r="N158" s="23">
        <f>IF(AND(B158="",C158="",D158="",N(H158)=0),"",IF(B158="","Enter the date",IF(C158="","Pick the party",IF(P158="?","Add this party on the Parties sheet first",IF(D158="","Pick the entry type",IF(Q158="?","Pick the entry type from the list",IF(N(H158)=0,"Enter the amount",IF(AND(R158&lt;&gt;"Any",R158&lt;&gt;P158),"Sales, receipts and credit notes are for debtors; purchases, payments and debit notes for creditors",IF(AND(F158&lt;&gt;"",D158&lt;&gt;"Purchase bill"),"The received-on date is only for purchase bills",IF(AND(P158="Creditor",X158=1,AA158&gt;0),"Past due to a micro or small supplier: interest runs under MSMED s.16, and if unpaid at year end it is not deductible that year, s.37(2)(g)",IF(AND(P158="Debtor",X158=1,AA158&gt;0),"Past due to you: as a micro or small supplier you can claim interest under MSMED s.16","OK")))))))))))</f>
        <v/>
      </c>
      <c r="P158">
        <f>IF(C158="","",IFERROR(VLOOKUP(C158,'Example Parties'!$B$13:$Q$112,2,FALSE),"?"))</f>
        <v/>
      </c>
      <c r="Q158">
        <f>IF(D158="","",IFERROR(VLOOKUP(D158,Lists!$A$2:$D$9,3,FALSE),"?"))</f>
        <v/>
      </c>
      <c r="R158">
        <f>IF(D158="","",IFERROR(VLOOKUP(D158,Lists!$A$2:$D$9,4,FALSE),"?"))</f>
        <v/>
      </c>
      <c r="S158">
        <f>IF(P158="Debtor",I158,IF(P158="Creditor",J158,0))</f>
        <v/>
      </c>
      <c r="T158">
        <f>IF(P158="Debtor",J158,IF(P158="Creditor",I158,0))</f>
        <v/>
      </c>
      <c r="U158">
        <f>IF(OR(S158=0,B158=""),0,IFERROR(VLOOKUP(C158,'Example Parties'!$B$13:$Q$112,13,FALSE),0)+SUMIFS($S$7:$S$506,$C$7:$C$506,C158,$B$7:$B$506,"&lt;"&amp;B158)+SUMIFS(S$7:S158,C$7:C158,C158,B$7:B158,B158))</f>
        <v/>
      </c>
      <c r="V158">
        <f>IF(S158=0,0,IFERROR(VLOOKUP(C158,'Example Parties'!$B$13:$Q$112,14,FALSE),0)+SUMIFS($T$7:$T$506,$C$7:$C$506,C158,$B$7:$B$506,"&lt;="&amp;'Example Outstanding'!$E$5))</f>
        <v/>
      </c>
      <c r="W158">
        <f>IF(OR('Example Outstanding'!$E$5="",S158=0,B158="",B158&gt;'Example Outstanding'!$E$5),0,MAX(0,MIN(S158,U158-V158)))</f>
        <v/>
      </c>
      <c r="X158">
        <f>IF(C158="",0,IFERROR(VLOOKUP(C158,'Example Parties'!$B$13:$Q$112,15,FALSE),0))</f>
        <v/>
      </c>
      <c r="Y158">
        <f>IF(C158="","",IFERROR(VLOOKUP(C158,'Example Parties'!$B$13:$Q$112,16,FALSE),0))</f>
        <v/>
      </c>
      <c r="Z158">
        <f>IF(OR(S158=0,B158="",Y158=""),"",IF(AND(F158&lt;&gt;"",D158="Purchase bill"),F158,B158)+Y158)</f>
        <v/>
      </c>
      <c r="AA158">
        <f>IF(OR(W158=0,Z158=""),0,MAX(0,'Example Outstanding'!$E$5-Z158))</f>
        <v/>
      </c>
      <c r="AB158">
        <f>IF(AND(X158=1,AA158&gt;0),W158*((1+3*N('Example Parties'!$E$10)/12)^(AA158*12/365)-1),0)</f>
        <v/>
      </c>
      <c r="AC158">
        <f>IF(W158=0,"",'Example Outstanding'!$E$5-B158)</f>
        <v/>
      </c>
      <c r="AD158">
        <f>IF(S158=0,0,IFERROR(VLOOKUP(C158,'Example Parties'!$B$13:$Q$112,14,FALSE),0)+SUMIFS($T$7:$T$506,$C$7:$C$506,C158,$B$7:$B$506,"&lt;="&amp;'Example Parties'!$E$8))</f>
        <v/>
      </c>
      <c r="AE158">
        <f>IF(OR('Example Parties'!$E$8="",S158=0,B158="",B158&gt;'Example Parties'!$E$8),0,MAX(0,MIN(S158,U158-AD158)))</f>
        <v/>
      </c>
      <c r="AF158">
        <f>IF(AND(P158="Creditor",X158=1,AE158&gt;0,Z158&lt;&gt;""),IF(Z158&lt;='Example Parties'!$E$8,AE158,0),0)</f>
        <v/>
      </c>
      <c r="AG158">
        <f>IF(OR(AE158=0,Z158=""),0,MAX(0,'Example Parties'!$E$8-Z158))</f>
        <v/>
      </c>
      <c r="AH158">
        <f>IF(AND(P158="Creditor",X158=1,AG158&gt;0),AE158*((1+3*N('Example Parties'!$E$10)/12)^(AG158*12/365)-1),0)</f>
        <v/>
      </c>
      <c r="AI158">
        <f>IF(AND(C158&lt;&gt;"",C158='Example Ledger'!$D$4,B158&lt;&gt;"",B158&gt;='Example Ledger'!$D$5,B158&lt;='Example Ledger'!$D$6),1,0)</f>
        <v/>
      </c>
      <c r="AJ158">
        <f>IF(AI158=1,SUM(AI$7:AI158),"")</f>
        <v/>
      </c>
      <c r="AK158">
        <f>IF(OR(N158="",N158="OK"),0,1)</f>
        <v/>
      </c>
    </row>
    <row r="159">
      <c r="B159" s="24" t="n"/>
      <c r="C159" s="14" t="n"/>
      <c r="D159" s="14" t="n"/>
      <c r="E159" s="20" t="n"/>
      <c r="F159" s="24" t="n"/>
      <c r="G159" s="14" t="n"/>
      <c r="H159" s="22" t="n"/>
      <c r="I159" s="25">
        <f>IF(Q159="D",N(H159),0)</f>
        <v/>
      </c>
      <c r="J159" s="25">
        <f>IF(Q159="C",N(H159),0)</f>
        <v/>
      </c>
      <c r="K159" s="26">
        <f>IF(Z159="","",Z159)</f>
        <v/>
      </c>
      <c r="L159" s="27">
        <f>W159</f>
        <v/>
      </c>
      <c r="M159" s="28">
        <f>AA159</f>
        <v/>
      </c>
      <c r="N159" s="23">
        <f>IF(AND(B159="",C159="",D159="",N(H159)=0),"",IF(B159="","Enter the date",IF(C159="","Pick the party",IF(P159="?","Add this party on the Parties sheet first",IF(D159="","Pick the entry type",IF(Q159="?","Pick the entry type from the list",IF(N(H159)=0,"Enter the amount",IF(AND(R159&lt;&gt;"Any",R159&lt;&gt;P159),"Sales, receipts and credit notes are for debtors; purchases, payments and debit notes for creditors",IF(AND(F159&lt;&gt;"",D159&lt;&gt;"Purchase bill"),"The received-on date is only for purchase bills",IF(AND(P159="Creditor",X159=1,AA159&gt;0),"Past due to a micro or small supplier: interest runs under MSMED s.16, and if unpaid at year end it is not deductible that year, s.37(2)(g)",IF(AND(P159="Debtor",X159=1,AA159&gt;0),"Past due to you: as a micro or small supplier you can claim interest under MSMED s.16","OK")))))))))))</f>
        <v/>
      </c>
      <c r="P159">
        <f>IF(C159="","",IFERROR(VLOOKUP(C159,'Example Parties'!$B$13:$Q$112,2,FALSE),"?"))</f>
        <v/>
      </c>
      <c r="Q159">
        <f>IF(D159="","",IFERROR(VLOOKUP(D159,Lists!$A$2:$D$9,3,FALSE),"?"))</f>
        <v/>
      </c>
      <c r="R159">
        <f>IF(D159="","",IFERROR(VLOOKUP(D159,Lists!$A$2:$D$9,4,FALSE),"?"))</f>
        <v/>
      </c>
      <c r="S159">
        <f>IF(P159="Debtor",I159,IF(P159="Creditor",J159,0))</f>
        <v/>
      </c>
      <c r="T159">
        <f>IF(P159="Debtor",J159,IF(P159="Creditor",I159,0))</f>
        <v/>
      </c>
      <c r="U159">
        <f>IF(OR(S159=0,B159=""),0,IFERROR(VLOOKUP(C159,'Example Parties'!$B$13:$Q$112,13,FALSE),0)+SUMIFS($S$7:$S$506,$C$7:$C$506,C159,$B$7:$B$506,"&lt;"&amp;B159)+SUMIFS(S$7:S159,C$7:C159,C159,B$7:B159,B159))</f>
        <v/>
      </c>
      <c r="V159">
        <f>IF(S159=0,0,IFERROR(VLOOKUP(C159,'Example Parties'!$B$13:$Q$112,14,FALSE),0)+SUMIFS($T$7:$T$506,$C$7:$C$506,C159,$B$7:$B$506,"&lt;="&amp;'Example Outstanding'!$E$5))</f>
        <v/>
      </c>
      <c r="W159">
        <f>IF(OR('Example Outstanding'!$E$5="",S159=0,B159="",B159&gt;'Example Outstanding'!$E$5),0,MAX(0,MIN(S159,U159-V159)))</f>
        <v/>
      </c>
      <c r="X159">
        <f>IF(C159="",0,IFERROR(VLOOKUP(C159,'Example Parties'!$B$13:$Q$112,15,FALSE),0))</f>
        <v/>
      </c>
      <c r="Y159">
        <f>IF(C159="","",IFERROR(VLOOKUP(C159,'Example Parties'!$B$13:$Q$112,16,FALSE),0))</f>
        <v/>
      </c>
      <c r="Z159">
        <f>IF(OR(S159=0,B159="",Y159=""),"",IF(AND(F159&lt;&gt;"",D159="Purchase bill"),F159,B159)+Y159)</f>
        <v/>
      </c>
      <c r="AA159">
        <f>IF(OR(W159=0,Z159=""),0,MAX(0,'Example Outstanding'!$E$5-Z159))</f>
        <v/>
      </c>
      <c r="AB159">
        <f>IF(AND(X159=1,AA159&gt;0),W159*((1+3*N('Example Parties'!$E$10)/12)^(AA159*12/365)-1),0)</f>
        <v/>
      </c>
      <c r="AC159">
        <f>IF(W159=0,"",'Example Outstanding'!$E$5-B159)</f>
        <v/>
      </c>
      <c r="AD159">
        <f>IF(S159=0,0,IFERROR(VLOOKUP(C159,'Example Parties'!$B$13:$Q$112,14,FALSE),0)+SUMIFS($T$7:$T$506,$C$7:$C$506,C159,$B$7:$B$506,"&lt;="&amp;'Example Parties'!$E$8))</f>
        <v/>
      </c>
      <c r="AE159">
        <f>IF(OR('Example Parties'!$E$8="",S159=0,B159="",B159&gt;'Example Parties'!$E$8),0,MAX(0,MIN(S159,U159-AD159)))</f>
        <v/>
      </c>
      <c r="AF159">
        <f>IF(AND(P159="Creditor",X159=1,AE159&gt;0,Z159&lt;&gt;""),IF(Z159&lt;='Example Parties'!$E$8,AE159,0),0)</f>
        <v/>
      </c>
      <c r="AG159">
        <f>IF(OR(AE159=0,Z159=""),0,MAX(0,'Example Parties'!$E$8-Z159))</f>
        <v/>
      </c>
      <c r="AH159">
        <f>IF(AND(P159="Creditor",X159=1,AG159&gt;0),AE159*((1+3*N('Example Parties'!$E$10)/12)^(AG159*12/365)-1),0)</f>
        <v/>
      </c>
      <c r="AI159">
        <f>IF(AND(C159&lt;&gt;"",C159='Example Ledger'!$D$4,B159&lt;&gt;"",B159&gt;='Example Ledger'!$D$5,B159&lt;='Example Ledger'!$D$6),1,0)</f>
        <v/>
      </c>
      <c r="AJ159">
        <f>IF(AI159=1,SUM(AI$7:AI159),"")</f>
        <v/>
      </c>
      <c r="AK159">
        <f>IF(OR(N159="",N159="OK"),0,1)</f>
        <v/>
      </c>
    </row>
    <row r="160">
      <c r="B160" s="24" t="n"/>
      <c r="C160" s="14" t="n"/>
      <c r="D160" s="14" t="n"/>
      <c r="E160" s="20" t="n"/>
      <c r="F160" s="24" t="n"/>
      <c r="G160" s="14" t="n"/>
      <c r="H160" s="22" t="n"/>
      <c r="I160" s="25">
        <f>IF(Q160="D",N(H160),0)</f>
        <v/>
      </c>
      <c r="J160" s="25">
        <f>IF(Q160="C",N(H160),0)</f>
        <v/>
      </c>
      <c r="K160" s="26">
        <f>IF(Z160="","",Z160)</f>
        <v/>
      </c>
      <c r="L160" s="27">
        <f>W160</f>
        <v/>
      </c>
      <c r="M160" s="28">
        <f>AA160</f>
        <v/>
      </c>
      <c r="N160" s="23">
        <f>IF(AND(B160="",C160="",D160="",N(H160)=0),"",IF(B160="","Enter the date",IF(C160="","Pick the party",IF(P160="?","Add this party on the Parties sheet first",IF(D160="","Pick the entry type",IF(Q160="?","Pick the entry type from the list",IF(N(H160)=0,"Enter the amount",IF(AND(R160&lt;&gt;"Any",R160&lt;&gt;P160),"Sales, receipts and credit notes are for debtors; purchases, payments and debit notes for creditors",IF(AND(F160&lt;&gt;"",D160&lt;&gt;"Purchase bill"),"The received-on date is only for purchase bills",IF(AND(P160="Creditor",X160=1,AA160&gt;0),"Past due to a micro or small supplier: interest runs under MSMED s.16, and if unpaid at year end it is not deductible that year, s.37(2)(g)",IF(AND(P160="Debtor",X160=1,AA160&gt;0),"Past due to you: as a micro or small supplier you can claim interest under MSMED s.16","OK")))))))))))</f>
        <v/>
      </c>
      <c r="P160">
        <f>IF(C160="","",IFERROR(VLOOKUP(C160,'Example Parties'!$B$13:$Q$112,2,FALSE),"?"))</f>
        <v/>
      </c>
      <c r="Q160">
        <f>IF(D160="","",IFERROR(VLOOKUP(D160,Lists!$A$2:$D$9,3,FALSE),"?"))</f>
        <v/>
      </c>
      <c r="R160">
        <f>IF(D160="","",IFERROR(VLOOKUP(D160,Lists!$A$2:$D$9,4,FALSE),"?"))</f>
        <v/>
      </c>
      <c r="S160">
        <f>IF(P160="Debtor",I160,IF(P160="Creditor",J160,0))</f>
        <v/>
      </c>
      <c r="T160">
        <f>IF(P160="Debtor",J160,IF(P160="Creditor",I160,0))</f>
        <v/>
      </c>
      <c r="U160">
        <f>IF(OR(S160=0,B160=""),0,IFERROR(VLOOKUP(C160,'Example Parties'!$B$13:$Q$112,13,FALSE),0)+SUMIFS($S$7:$S$506,$C$7:$C$506,C160,$B$7:$B$506,"&lt;"&amp;B160)+SUMIFS(S$7:S160,C$7:C160,C160,B$7:B160,B160))</f>
        <v/>
      </c>
      <c r="V160">
        <f>IF(S160=0,0,IFERROR(VLOOKUP(C160,'Example Parties'!$B$13:$Q$112,14,FALSE),0)+SUMIFS($T$7:$T$506,$C$7:$C$506,C160,$B$7:$B$506,"&lt;="&amp;'Example Outstanding'!$E$5))</f>
        <v/>
      </c>
      <c r="W160">
        <f>IF(OR('Example Outstanding'!$E$5="",S160=0,B160="",B160&gt;'Example Outstanding'!$E$5),0,MAX(0,MIN(S160,U160-V160)))</f>
        <v/>
      </c>
      <c r="X160">
        <f>IF(C160="",0,IFERROR(VLOOKUP(C160,'Example Parties'!$B$13:$Q$112,15,FALSE),0))</f>
        <v/>
      </c>
      <c r="Y160">
        <f>IF(C160="","",IFERROR(VLOOKUP(C160,'Example Parties'!$B$13:$Q$112,16,FALSE),0))</f>
        <v/>
      </c>
      <c r="Z160">
        <f>IF(OR(S160=0,B160="",Y160=""),"",IF(AND(F160&lt;&gt;"",D160="Purchase bill"),F160,B160)+Y160)</f>
        <v/>
      </c>
      <c r="AA160">
        <f>IF(OR(W160=0,Z160=""),0,MAX(0,'Example Outstanding'!$E$5-Z160))</f>
        <v/>
      </c>
      <c r="AB160">
        <f>IF(AND(X160=1,AA160&gt;0),W160*((1+3*N('Example Parties'!$E$10)/12)^(AA160*12/365)-1),0)</f>
        <v/>
      </c>
      <c r="AC160">
        <f>IF(W160=0,"",'Example Outstanding'!$E$5-B160)</f>
        <v/>
      </c>
      <c r="AD160">
        <f>IF(S160=0,0,IFERROR(VLOOKUP(C160,'Example Parties'!$B$13:$Q$112,14,FALSE),0)+SUMIFS($T$7:$T$506,$C$7:$C$506,C160,$B$7:$B$506,"&lt;="&amp;'Example Parties'!$E$8))</f>
        <v/>
      </c>
      <c r="AE160">
        <f>IF(OR('Example Parties'!$E$8="",S160=0,B160="",B160&gt;'Example Parties'!$E$8),0,MAX(0,MIN(S160,U160-AD160)))</f>
        <v/>
      </c>
      <c r="AF160">
        <f>IF(AND(P160="Creditor",X160=1,AE160&gt;0,Z160&lt;&gt;""),IF(Z160&lt;='Example Parties'!$E$8,AE160,0),0)</f>
        <v/>
      </c>
      <c r="AG160">
        <f>IF(OR(AE160=0,Z160=""),0,MAX(0,'Example Parties'!$E$8-Z160))</f>
        <v/>
      </c>
      <c r="AH160">
        <f>IF(AND(P160="Creditor",X160=1,AG160&gt;0),AE160*((1+3*N('Example Parties'!$E$10)/12)^(AG160*12/365)-1),0)</f>
        <v/>
      </c>
      <c r="AI160">
        <f>IF(AND(C160&lt;&gt;"",C160='Example Ledger'!$D$4,B160&lt;&gt;"",B160&gt;='Example Ledger'!$D$5,B160&lt;='Example Ledger'!$D$6),1,0)</f>
        <v/>
      </c>
      <c r="AJ160">
        <f>IF(AI160=1,SUM(AI$7:AI160),"")</f>
        <v/>
      </c>
      <c r="AK160">
        <f>IF(OR(N160="",N160="OK"),0,1)</f>
        <v/>
      </c>
    </row>
    <row r="161">
      <c r="B161" s="24" t="n"/>
      <c r="C161" s="14" t="n"/>
      <c r="D161" s="14" t="n"/>
      <c r="E161" s="20" t="n"/>
      <c r="F161" s="24" t="n"/>
      <c r="G161" s="14" t="n"/>
      <c r="H161" s="22" t="n"/>
      <c r="I161" s="25">
        <f>IF(Q161="D",N(H161),0)</f>
        <v/>
      </c>
      <c r="J161" s="25">
        <f>IF(Q161="C",N(H161),0)</f>
        <v/>
      </c>
      <c r="K161" s="26">
        <f>IF(Z161="","",Z161)</f>
        <v/>
      </c>
      <c r="L161" s="27">
        <f>W161</f>
        <v/>
      </c>
      <c r="M161" s="28">
        <f>AA161</f>
        <v/>
      </c>
      <c r="N161" s="23">
        <f>IF(AND(B161="",C161="",D161="",N(H161)=0),"",IF(B161="","Enter the date",IF(C161="","Pick the party",IF(P161="?","Add this party on the Parties sheet first",IF(D161="","Pick the entry type",IF(Q161="?","Pick the entry type from the list",IF(N(H161)=0,"Enter the amount",IF(AND(R161&lt;&gt;"Any",R161&lt;&gt;P161),"Sales, receipts and credit notes are for debtors; purchases, payments and debit notes for creditors",IF(AND(F161&lt;&gt;"",D161&lt;&gt;"Purchase bill"),"The received-on date is only for purchase bills",IF(AND(P161="Creditor",X161=1,AA161&gt;0),"Past due to a micro or small supplier: interest runs under MSMED s.16, and if unpaid at year end it is not deductible that year, s.37(2)(g)",IF(AND(P161="Debtor",X161=1,AA161&gt;0),"Past due to you: as a micro or small supplier you can claim interest under MSMED s.16","OK")))))))))))</f>
        <v/>
      </c>
      <c r="P161">
        <f>IF(C161="","",IFERROR(VLOOKUP(C161,'Example Parties'!$B$13:$Q$112,2,FALSE),"?"))</f>
        <v/>
      </c>
      <c r="Q161">
        <f>IF(D161="","",IFERROR(VLOOKUP(D161,Lists!$A$2:$D$9,3,FALSE),"?"))</f>
        <v/>
      </c>
      <c r="R161">
        <f>IF(D161="","",IFERROR(VLOOKUP(D161,Lists!$A$2:$D$9,4,FALSE),"?"))</f>
        <v/>
      </c>
      <c r="S161">
        <f>IF(P161="Debtor",I161,IF(P161="Creditor",J161,0))</f>
        <v/>
      </c>
      <c r="T161">
        <f>IF(P161="Debtor",J161,IF(P161="Creditor",I161,0))</f>
        <v/>
      </c>
      <c r="U161">
        <f>IF(OR(S161=0,B161=""),0,IFERROR(VLOOKUP(C161,'Example Parties'!$B$13:$Q$112,13,FALSE),0)+SUMIFS($S$7:$S$506,$C$7:$C$506,C161,$B$7:$B$506,"&lt;"&amp;B161)+SUMIFS(S$7:S161,C$7:C161,C161,B$7:B161,B161))</f>
        <v/>
      </c>
      <c r="V161">
        <f>IF(S161=0,0,IFERROR(VLOOKUP(C161,'Example Parties'!$B$13:$Q$112,14,FALSE),0)+SUMIFS($T$7:$T$506,$C$7:$C$506,C161,$B$7:$B$506,"&lt;="&amp;'Example Outstanding'!$E$5))</f>
        <v/>
      </c>
      <c r="W161">
        <f>IF(OR('Example Outstanding'!$E$5="",S161=0,B161="",B161&gt;'Example Outstanding'!$E$5),0,MAX(0,MIN(S161,U161-V161)))</f>
        <v/>
      </c>
      <c r="X161">
        <f>IF(C161="",0,IFERROR(VLOOKUP(C161,'Example Parties'!$B$13:$Q$112,15,FALSE),0))</f>
        <v/>
      </c>
      <c r="Y161">
        <f>IF(C161="","",IFERROR(VLOOKUP(C161,'Example Parties'!$B$13:$Q$112,16,FALSE),0))</f>
        <v/>
      </c>
      <c r="Z161">
        <f>IF(OR(S161=0,B161="",Y161=""),"",IF(AND(F161&lt;&gt;"",D161="Purchase bill"),F161,B161)+Y161)</f>
        <v/>
      </c>
      <c r="AA161">
        <f>IF(OR(W161=0,Z161=""),0,MAX(0,'Example Outstanding'!$E$5-Z161))</f>
        <v/>
      </c>
      <c r="AB161">
        <f>IF(AND(X161=1,AA161&gt;0),W161*((1+3*N('Example Parties'!$E$10)/12)^(AA161*12/365)-1),0)</f>
        <v/>
      </c>
      <c r="AC161">
        <f>IF(W161=0,"",'Example Outstanding'!$E$5-B161)</f>
        <v/>
      </c>
      <c r="AD161">
        <f>IF(S161=0,0,IFERROR(VLOOKUP(C161,'Example Parties'!$B$13:$Q$112,14,FALSE),0)+SUMIFS($T$7:$T$506,$C$7:$C$506,C161,$B$7:$B$506,"&lt;="&amp;'Example Parties'!$E$8))</f>
        <v/>
      </c>
      <c r="AE161">
        <f>IF(OR('Example Parties'!$E$8="",S161=0,B161="",B161&gt;'Example Parties'!$E$8),0,MAX(0,MIN(S161,U161-AD161)))</f>
        <v/>
      </c>
      <c r="AF161">
        <f>IF(AND(P161="Creditor",X161=1,AE161&gt;0,Z161&lt;&gt;""),IF(Z161&lt;='Example Parties'!$E$8,AE161,0),0)</f>
        <v/>
      </c>
      <c r="AG161">
        <f>IF(OR(AE161=0,Z161=""),0,MAX(0,'Example Parties'!$E$8-Z161))</f>
        <v/>
      </c>
      <c r="AH161">
        <f>IF(AND(P161="Creditor",X161=1,AG161&gt;0),AE161*((1+3*N('Example Parties'!$E$10)/12)^(AG161*12/365)-1),0)</f>
        <v/>
      </c>
      <c r="AI161">
        <f>IF(AND(C161&lt;&gt;"",C161='Example Ledger'!$D$4,B161&lt;&gt;"",B161&gt;='Example Ledger'!$D$5,B161&lt;='Example Ledger'!$D$6),1,0)</f>
        <v/>
      </c>
      <c r="AJ161">
        <f>IF(AI161=1,SUM(AI$7:AI161),"")</f>
        <v/>
      </c>
      <c r="AK161">
        <f>IF(OR(N161="",N161="OK"),0,1)</f>
        <v/>
      </c>
    </row>
    <row r="162">
      <c r="B162" s="24" t="n"/>
      <c r="C162" s="14" t="n"/>
      <c r="D162" s="14" t="n"/>
      <c r="E162" s="20" t="n"/>
      <c r="F162" s="24" t="n"/>
      <c r="G162" s="14" t="n"/>
      <c r="H162" s="22" t="n"/>
      <c r="I162" s="25">
        <f>IF(Q162="D",N(H162),0)</f>
        <v/>
      </c>
      <c r="J162" s="25">
        <f>IF(Q162="C",N(H162),0)</f>
        <v/>
      </c>
      <c r="K162" s="26">
        <f>IF(Z162="","",Z162)</f>
        <v/>
      </c>
      <c r="L162" s="27">
        <f>W162</f>
        <v/>
      </c>
      <c r="M162" s="28">
        <f>AA162</f>
        <v/>
      </c>
      <c r="N162" s="23">
        <f>IF(AND(B162="",C162="",D162="",N(H162)=0),"",IF(B162="","Enter the date",IF(C162="","Pick the party",IF(P162="?","Add this party on the Parties sheet first",IF(D162="","Pick the entry type",IF(Q162="?","Pick the entry type from the list",IF(N(H162)=0,"Enter the amount",IF(AND(R162&lt;&gt;"Any",R162&lt;&gt;P162),"Sales, receipts and credit notes are for debtors; purchases, payments and debit notes for creditors",IF(AND(F162&lt;&gt;"",D162&lt;&gt;"Purchase bill"),"The received-on date is only for purchase bills",IF(AND(P162="Creditor",X162=1,AA162&gt;0),"Past due to a micro or small supplier: interest runs under MSMED s.16, and if unpaid at year end it is not deductible that year, s.37(2)(g)",IF(AND(P162="Debtor",X162=1,AA162&gt;0),"Past due to you: as a micro or small supplier you can claim interest under MSMED s.16","OK")))))))))))</f>
        <v/>
      </c>
      <c r="P162">
        <f>IF(C162="","",IFERROR(VLOOKUP(C162,'Example Parties'!$B$13:$Q$112,2,FALSE),"?"))</f>
        <v/>
      </c>
      <c r="Q162">
        <f>IF(D162="","",IFERROR(VLOOKUP(D162,Lists!$A$2:$D$9,3,FALSE),"?"))</f>
        <v/>
      </c>
      <c r="R162">
        <f>IF(D162="","",IFERROR(VLOOKUP(D162,Lists!$A$2:$D$9,4,FALSE),"?"))</f>
        <v/>
      </c>
      <c r="S162">
        <f>IF(P162="Debtor",I162,IF(P162="Creditor",J162,0))</f>
        <v/>
      </c>
      <c r="T162">
        <f>IF(P162="Debtor",J162,IF(P162="Creditor",I162,0))</f>
        <v/>
      </c>
      <c r="U162">
        <f>IF(OR(S162=0,B162=""),0,IFERROR(VLOOKUP(C162,'Example Parties'!$B$13:$Q$112,13,FALSE),0)+SUMIFS($S$7:$S$506,$C$7:$C$506,C162,$B$7:$B$506,"&lt;"&amp;B162)+SUMIFS(S$7:S162,C$7:C162,C162,B$7:B162,B162))</f>
        <v/>
      </c>
      <c r="V162">
        <f>IF(S162=0,0,IFERROR(VLOOKUP(C162,'Example Parties'!$B$13:$Q$112,14,FALSE),0)+SUMIFS($T$7:$T$506,$C$7:$C$506,C162,$B$7:$B$506,"&lt;="&amp;'Example Outstanding'!$E$5))</f>
        <v/>
      </c>
      <c r="W162">
        <f>IF(OR('Example Outstanding'!$E$5="",S162=0,B162="",B162&gt;'Example Outstanding'!$E$5),0,MAX(0,MIN(S162,U162-V162)))</f>
        <v/>
      </c>
      <c r="X162">
        <f>IF(C162="",0,IFERROR(VLOOKUP(C162,'Example Parties'!$B$13:$Q$112,15,FALSE),0))</f>
        <v/>
      </c>
      <c r="Y162">
        <f>IF(C162="","",IFERROR(VLOOKUP(C162,'Example Parties'!$B$13:$Q$112,16,FALSE),0))</f>
        <v/>
      </c>
      <c r="Z162">
        <f>IF(OR(S162=0,B162="",Y162=""),"",IF(AND(F162&lt;&gt;"",D162="Purchase bill"),F162,B162)+Y162)</f>
        <v/>
      </c>
      <c r="AA162">
        <f>IF(OR(W162=0,Z162=""),0,MAX(0,'Example Outstanding'!$E$5-Z162))</f>
        <v/>
      </c>
      <c r="AB162">
        <f>IF(AND(X162=1,AA162&gt;0),W162*((1+3*N('Example Parties'!$E$10)/12)^(AA162*12/365)-1),0)</f>
        <v/>
      </c>
      <c r="AC162">
        <f>IF(W162=0,"",'Example Outstanding'!$E$5-B162)</f>
        <v/>
      </c>
      <c r="AD162">
        <f>IF(S162=0,0,IFERROR(VLOOKUP(C162,'Example Parties'!$B$13:$Q$112,14,FALSE),0)+SUMIFS($T$7:$T$506,$C$7:$C$506,C162,$B$7:$B$506,"&lt;="&amp;'Example Parties'!$E$8))</f>
        <v/>
      </c>
      <c r="AE162">
        <f>IF(OR('Example Parties'!$E$8="",S162=0,B162="",B162&gt;'Example Parties'!$E$8),0,MAX(0,MIN(S162,U162-AD162)))</f>
        <v/>
      </c>
      <c r="AF162">
        <f>IF(AND(P162="Creditor",X162=1,AE162&gt;0,Z162&lt;&gt;""),IF(Z162&lt;='Example Parties'!$E$8,AE162,0),0)</f>
        <v/>
      </c>
      <c r="AG162">
        <f>IF(OR(AE162=0,Z162=""),0,MAX(0,'Example Parties'!$E$8-Z162))</f>
        <v/>
      </c>
      <c r="AH162">
        <f>IF(AND(P162="Creditor",X162=1,AG162&gt;0),AE162*((1+3*N('Example Parties'!$E$10)/12)^(AG162*12/365)-1),0)</f>
        <v/>
      </c>
      <c r="AI162">
        <f>IF(AND(C162&lt;&gt;"",C162='Example Ledger'!$D$4,B162&lt;&gt;"",B162&gt;='Example Ledger'!$D$5,B162&lt;='Example Ledger'!$D$6),1,0)</f>
        <v/>
      </c>
      <c r="AJ162">
        <f>IF(AI162=1,SUM(AI$7:AI162),"")</f>
        <v/>
      </c>
      <c r="AK162">
        <f>IF(OR(N162="",N162="OK"),0,1)</f>
        <v/>
      </c>
    </row>
    <row r="163">
      <c r="B163" s="24" t="n"/>
      <c r="C163" s="14" t="n"/>
      <c r="D163" s="14" t="n"/>
      <c r="E163" s="20" t="n"/>
      <c r="F163" s="24" t="n"/>
      <c r="G163" s="14" t="n"/>
      <c r="H163" s="22" t="n"/>
      <c r="I163" s="25">
        <f>IF(Q163="D",N(H163),0)</f>
        <v/>
      </c>
      <c r="J163" s="25">
        <f>IF(Q163="C",N(H163),0)</f>
        <v/>
      </c>
      <c r="K163" s="26">
        <f>IF(Z163="","",Z163)</f>
        <v/>
      </c>
      <c r="L163" s="27">
        <f>W163</f>
        <v/>
      </c>
      <c r="M163" s="28">
        <f>AA163</f>
        <v/>
      </c>
      <c r="N163" s="23">
        <f>IF(AND(B163="",C163="",D163="",N(H163)=0),"",IF(B163="","Enter the date",IF(C163="","Pick the party",IF(P163="?","Add this party on the Parties sheet first",IF(D163="","Pick the entry type",IF(Q163="?","Pick the entry type from the list",IF(N(H163)=0,"Enter the amount",IF(AND(R163&lt;&gt;"Any",R163&lt;&gt;P163),"Sales, receipts and credit notes are for debtors; purchases, payments and debit notes for creditors",IF(AND(F163&lt;&gt;"",D163&lt;&gt;"Purchase bill"),"The received-on date is only for purchase bills",IF(AND(P163="Creditor",X163=1,AA163&gt;0),"Past due to a micro or small supplier: interest runs under MSMED s.16, and if unpaid at year end it is not deductible that year, s.37(2)(g)",IF(AND(P163="Debtor",X163=1,AA163&gt;0),"Past due to you: as a micro or small supplier you can claim interest under MSMED s.16","OK")))))))))))</f>
        <v/>
      </c>
      <c r="P163">
        <f>IF(C163="","",IFERROR(VLOOKUP(C163,'Example Parties'!$B$13:$Q$112,2,FALSE),"?"))</f>
        <v/>
      </c>
      <c r="Q163">
        <f>IF(D163="","",IFERROR(VLOOKUP(D163,Lists!$A$2:$D$9,3,FALSE),"?"))</f>
        <v/>
      </c>
      <c r="R163">
        <f>IF(D163="","",IFERROR(VLOOKUP(D163,Lists!$A$2:$D$9,4,FALSE),"?"))</f>
        <v/>
      </c>
      <c r="S163">
        <f>IF(P163="Debtor",I163,IF(P163="Creditor",J163,0))</f>
        <v/>
      </c>
      <c r="T163">
        <f>IF(P163="Debtor",J163,IF(P163="Creditor",I163,0))</f>
        <v/>
      </c>
      <c r="U163">
        <f>IF(OR(S163=0,B163=""),0,IFERROR(VLOOKUP(C163,'Example Parties'!$B$13:$Q$112,13,FALSE),0)+SUMIFS($S$7:$S$506,$C$7:$C$506,C163,$B$7:$B$506,"&lt;"&amp;B163)+SUMIFS(S$7:S163,C$7:C163,C163,B$7:B163,B163))</f>
        <v/>
      </c>
      <c r="V163">
        <f>IF(S163=0,0,IFERROR(VLOOKUP(C163,'Example Parties'!$B$13:$Q$112,14,FALSE),0)+SUMIFS($T$7:$T$506,$C$7:$C$506,C163,$B$7:$B$506,"&lt;="&amp;'Example Outstanding'!$E$5))</f>
        <v/>
      </c>
      <c r="W163">
        <f>IF(OR('Example Outstanding'!$E$5="",S163=0,B163="",B163&gt;'Example Outstanding'!$E$5),0,MAX(0,MIN(S163,U163-V163)))</f>
        <v/>
      </c>
      <c r="X163">
        <f>IF(C163="",0,IFERROR(VLOOKUP(C163,'Example Parties'!$B$13:$Q$112,15,FALSE),0))</f>
        <v/>
      </c>
      <c r="Y163">
        <f>IF(C163="","",IFERROR(VLOOKUP(C163,'Example Parties'!$B$13:$Q$112,16,FALSE),0))</f>
        <v/>
      </c>
      <c r="Z163">
        <f>IF(OR(S163=0,B163="",Y163=""),"",IF(AND(F163&lt;&gt;"",D163="Purchase bill"),F163,B163)+Y163)</f>
        <v/>
      </c>
      <c r="AA163">
        <f>IF(OR(W163=0,Z163=""),0,MAX(0,'Example Outstanding'!$E$5-Z163))</f>
        <v/>
      </c>
      <c r="AB163">
        <f>IF(AND(X163=1,AA163&gt;0),W163*((1+3*N('Example Parties'!$E$10)/12)^(AA163*12/365)-1),0)</f>
        <v/>
      </c>
      <c r="AC163">
        <f>IF(W163=0,"",'Example Outstanding'!$E$5-B163)</f>
        <v/>
      </c>
      <c r="AD163">
        <f>IF(S163=0,0,IFERROR(VLOOKUP(C163,'Example Parties'!$B$13:$Q$112,14,FALSE),0)+SUMIFS($T$7:$T$506,$C$7:$C$506,C163,$B$7:$B$506,"&lt;="&amp;'Example Parties'!$E$8))</f>
        <v/>
      </c>
      <c r="AE163">
        <f>IF(OR('Example Parties'!$E$8="",S163=0,B163="",B163&gt;'Example Parties'!$E$8),0,MAX(0,MIN(S163,U163-AD163)))</f>
        <v/>
      </c>
      <c r="AF163">
        <f>IF(AND(P163="Creditor",X163=1,AE163&gt;0,Z163&lt;&gt;""),IF(Z163&lt;='Example Parties'!$E$8,AE163,0),0)</f>
        <v/>
      </c>
      <c r="AG163">
        <f>IF(OR(AE163=0,Z163=""),0,MAX(0,'Example Parties'!$E$8-Z163))</f>
        <v/>
      </c>
      <c r="AH163">
        <f>IF(AND(P163="Creditor",X163=1,AG163&gt;0),AE163*((1+3*N('Example Parties'!$E$10)/12)^(AG163*12/365)-1),0)</f>
        <v/>
      </c>
      <c r="AI163">
        <f>IF(AND(C163&lt;&gt;"",C163='Example Ledger'!$D$4,B163&lt;&gt;"",B163&gt;='Example Ledger'!$D$5,B163&lt;='Example Ledger'!$D$6),1,0)</f>
        <v/>
      </c>
      <c r="AJ163">
        <f>IF(AI163=1,SUM(AI$7:AI163),"")</f>
        <v/>
      </c>
      <c r="AK163">
        <f>IF(OR(N163="",N163="OK"),0,1)</f>
        <v/>
      </c>
    </row>
    <row r="164">
      <c r="B164" s="24" t="n"/>
      <c r="C164" s="14" t="n"/>
      <c r="D164" s="14" t="n"/>
      <c r="E164" s="20" t="n"/>
      <c r="F164" s="24" t="n"/>
      <c r="G164" s="14" t="n"/>
      <c r="H164" s="22" t="n"/>
      <c r="I164" s="25">
        <f>IF(Q164="D",N(H164),0)</f>
        <v/>
      </c>
      <c r="J164" s="25">
        <f>IF(Q164="C",N(H164),0)</f>
        <v/>
      </c>
      <c r="K164" s="26">
        <f>IF(Z164="","",Z164)</f>
        <v/>
      </c>
      <c r="L164" s="27">
        <f>W164</f>
        <v/>
      </c>
      <c r="M164" s="28">
        <f>AA164</f>
        <v/>
      </c>
      <c r="N164" s="23">
        <f>IF(AND(B164="",C164="",D164="",N(H164)=0),"",IF(B164="","Enter the date",IF(C164="","Pick the party",IF(P164="?","Add this party on the Parties sheet first",IF(D164="","Pick the entry type",IF(Q164="?","Pick the entry type from the list",IF(N(H164)=0,"Enter the amount",IF(AND(R164&lt;&gt;"Any",R164&lt;&gt;P164),"Sales, receipts and credit notes are for debtors; purchases, payments and debit notes for creditors",IF(AND(F164&lt;&gt;"",D164&lt;&gt;"Purchase bill"),"The received-on date is only for purchase bills",IF(AND(P164="Creditor",X164=1,AA164&gt;0),"Past due to a micro or small supplier: interest runs under MSMED s.16, and if unpaid at year end it is not deductible that year, s.37(2)(g)",IF(AND(P164="Debtor",X164=1,AA164&gt;0),"Past due to you: as a micro or small supplier you can claim interest under MSMED s.16","OK")))))))))))</f>
        <v/>
      </c>
      <c r="P164">
        <f>IF(C164="","",IFERROR(VLOOKUP(C164,'Example Parties'!$B$13:$Q$112,2,FALSE),"?"))</f>
        <v/>
      </c>
      <c r="Q164">
        <f>IF(D164="","",IFERROR(VLOOKUP(D164,Lists!$A$2:$D$9,3,FALSE),"?"))</f>
        <v/>
      </c>
      <c r="R164">
        <f>IF(D164="","",IFERROR(VLOOKUP(D164,Lists!$A$2:$D$9,4,FALSE),"?"))</f>
        <v/>
      </c>
      <c r="S164">
        <f>IF(P164="Debtor",I164,IF(P164="Creditor",J164,0))</f>
        <v/>
      </c>
      <c r="T164">
        <f>IF(P164="Debtor",J164,IF(P164="Creditor",I164,0))</f>
        <v/>
      </c>
      <c r="U164">
        <f>IF(OR(S164=0,B164=""),0,IFERROR(VLOOKUP(C164,'Example Parties'!$B$13:$Q$112,13,FALSE),0)+SUMIFS($S$7:$S$506,$C$7:$C$506,C164,$B$7:$B$506,"&lt;"&amp;B164)+SUMIFS(S$7:S164,C$7:C164,C164,B$7:B164,B164))</f>
        <v/>
      </c>
      <c r="V164">
        <f>IF(S164=0,0,IFERROR(VLOOKUP(C164,'Example Parties'!$B$13:$Q$112,14,FALSE),0)+SUMIFS($T$7:$T$506,$C$7:$C$506,C164,$B$7:$B$506,"&lt;="&amp;'Example Outstanding'!$E$5))</f>
        <v/>
      </c>
      <c r="W164">
        <f>IF(OR('Example Outstanding'!$E$5="",S164=0,B164="",B164&gt;'Example Outstanding'!$E$5),0,MAX(0,MIN(S164,U164-V164)))</f>
        <v/>
      </c>
      <c r="X164">
        <f>IF(C164="",0,IFERROR(VLOOKUP(C164,'Example Parties'!$B$13:$Q$112,15,FALSE),0))</f>
        <v/>
      </c>
      <c r="Y164">
        <f>IF(C164="","",IFERROR(VLOOKUP(C164,'Example Parties'!$B$13:$Q$112,16,FALSE),0))</f>
        <v/>
      </c>
      <c r="Z164">
        <f>IF(OR(S164=0,B164="",Y164=""),"",IF(AND(F164&lt;&gt;"",D164="Purchase bill"),F164,B164)+Y164)</f>
        <v/>
      </c>
      <c r="AA164">
        <f>IF(OR(W164=0,Z164=""),0,MAX(0,'Example Outstanding'!$E$5-Z164))</f>
        <v/>
      </c>
      <c r="AB164">
        <f>IF(AND(X164=1,AA164&gt;0),W164*((1+3*N('Example Parties'!$E$10)/12)^(AA164*12/365)-1),0)</f>
        <v/>
      </c>
      <c r="AC164">
        <f>IF(W164=0,"",'Example Outstanding'!$E$5-B164)</f>
        <v/>
      </c>
      <c r="AD164">
        <f>IF(S164=0,0,IFERROR(VLOOKUP(C164,'Example Parties'!$B$13:$Q$112,14,FALSE),0)+SUMIFS($T$7:$T$506,$C$7:$C$506,C164,$B$7:$B$506,"&lt;="&amp;'Example Parties'!$E$8))</f>
        <v/>
      </c>
      <c r="AE164">
        <f>IF(OR('Example Parties'!$E$8="",S164=0,B164="",B164&gt;'Example Parties'!$E$8),0,MAX(0,MIN(S164,U164-AD164)))</f>
        <v/>
      </c>
      <c r="AF164">
        <f>IF(AND(P164="Creditor",X164=1,AE164&gt;0,Z164&lt;&gt;""),IF(Z164&lt;='Example Parties'!$E$8,AE164,0),0)</f>
        <v/>
      </c>
      <c r="AG164">
        <f>IF(OR(AE164=0,Z164=""),0,MAX(0,'Example Parties'!$E$8-Z164))</f>
        <v/>
      </c>
      <c r="AH164">
        <f>IF(AND(P164="Creditor",X164=1,AG164&gt;0),AE164*((1+3*N('Example Parties'!$E$10)/12)^(AG164*12/365)-1),0)</f>
        <v/>
      </c>
      <c r="AI164">
        <f>IF(AND(C164&lt;&gt;"",C164='Example Ledger'!$D$4,B164&lt;&gt;"",B164&gt;='Example Ledger'!$D$5,B164&lt;='Example Ledger'!$D$6),1,0)</f>
        <v/>
      </c>
      <c r="AJ164">
        <f>IF(AI164=1,SUM(AI$7:AI164),"")</f>
        <v/>
      </c>
      <c r="AK164">
        <f>IF(OR(N164="",N164="OK"),0,1)</f>
        <v/>
      </c>
    </row>
    <row r="165">
      <c r="B165" s="24" t="n"/>
      <c r="C165" s="14" t="n"/>
      <c r="D165" s="14" t="n"/>
      <c r="E165" s="20" t="n"/>
      <c r="F165" s="24" t="n"/>
      <c r="G165" s="14" t="n"/>
      <c r="H165" s="22" t="n"/>
      <c r="I165" s="25">
        <f>IF(Q165="D",N(H165),0)</f>
        <v/>
      </c>
      <c r="J165" s="25">
        <f>IF(Q165="C",N(H165),0)</f>
        <v/>
      </c>
      <c r="K165" s="26">
        <f>IF(Z165="","",Z165)</f>
        <v/>
      </c>
      <c r="L165" s="27">
        <f>W165</f>
        <v/>
      </c>
      <c r="M165" s="28">
        <f>AA165</f>
        <v/>
      </c>
      <c r="N165" s="23">
        <f>IF(AND(B165="",C165="",D165="",N(H165)=0),"",IF(B165="","Enter the date",IF(C165="","Pick the party",IF(P165="?","Add this party on the Parties sheet first",IF(D165="","Pick the entry type",IF(Q165="?","Pick the entry type from the list",IF(N(H165)=0,"Enter the amount",IF(AND(R165&lt;&gt;"Any",R165&lt;&gt;P165),"Sales, receipts and credit notes are for debtors; purchases, payments and debit notes for creditors",IF(AND(F165&lt;&gt;"",D165&lt;&gt;"Purchase bill"),"The received-on date is only for purchase bills",IF(AND(P165="Creditor",X165=1,AA165&gt;0),"Past due to a micro or small supplier: interest runs under MSMED s.16, and if unpaid at year end it is not deductible that year, s.37(2)(g)",IF(AND(P165="Debtor",X165=1,AA165&gt;0),"Past due to you: as a micro or small supplier you can claim interest under MSMED s.16","OK")))))))))))</f>
        <v/>
      </c>
      <c r="P165">
        <f>IF(C165="","",IFERROR(VLOOKUP(C165,'Example Parties'!$B$13:$Q$112,2,FALSE),"?"))</f>
        <v/>
      </c>
      <c r="Q165">
        <f>IF(D165="","",IFERROR(VLOOKUP(D165,Lists!$A$2:$D$9,3,FALSE),"?"))</f>
        <v/>
      </c>
      <c r="R165">
        <f>IF(D165="","",IFERROR(VLOOKUP(D165,Lists!$A$2:$D$9,4,FALSE),"?"))</f>
        <v/>
      </c>
      <c r="S165">
        <f>IF(P165="Debtor",I165,IF(P165="Creditor",J165,0))</f>
        <v/>
      </c>
      <c r="T165">
        <f>IF(P165="Debtor",J165,IF(P165="Creditor",I165,0))</f>
        <v/>
      </c>
      <c r="U165">
        <f>IF(OR(S165=0,B165=""),0,IFERROR(VLOOKUP(C165,'Example Parties'!$B$13:$Q$112,13,FALSE),0)+SUMIFS($S$7:$S$506,$C$7:$C$506,C165,$B$7:$B$506,"&lt;"&amp;B165)+SUMIFS(S$7:S165,C$7:C165,C165,B$7:B165,B165))</f>
        <v/>
      </c>
      <c r="V165">
        <f>IF(S165=0,0,IFERROR(VLOOKUP(C165,'Example Parties'!$B$13:$Q$112,14,FALSE),0)+SUMIFS($T$7:$T$506,$C$7:$C$506,C165,$B$7:$B$506,"&lt;="&amp;'Example Outstanding'!$E$5))</f>
        <v/>
      </c>
      <c r="W165">
        <f>IF(OR('Example Outstanding'!$E$5="",S165=0,B165="",B165&gt;'Example Outstanding'!$E$5),0,MAX(0,MIN(S165,U165-V165)))</f>
        <v/>
      </c>
      <c r="X165">
        <f>IF(C165="",0,IFERROR(VLOOKUP(C165,'Example Parties'!$B$13:$Q$112,15,FALSE),0))</f>
        <v/>
      </c>
      <c r="Y165">
        <f>IF(C165="","",IFERROR(VLOOKUP(C165,'Example Parties'!$B$13:$Q$112,16,FALSE),0))</f>
        <v/>
      </c>
      <c r="Z165">
        <f>IF(OR(S165=0,B165="",Y165=""),"",IF(AND(F165&lt;&gt;"",D165="Purchase bill"),F165,B165)+Y165)</f>
        <v/>
      </c>
      <c r="AA165">
        <f>IF(OR(W165=0,Z165=""),0,MAX(0,'Example Outstanding'!$E$5-Z165))</f>
        <v/>
      </c>
      <c r="AB165">
        <f>IF(AND(X165=1,AA165&gt;0),W165*((1+3*N('Example Parties'!$E$10)/12)^(AA165*12/365)-1),0)</f>
        <v/>
      </c>
      <c r="AC165">
        <f>IF(W165=0,"",'Example Outstanding'!$E$5-B165)</f>
        <v/>
      </c>
      <c r="AD165">
        <f>IF(S165=0,0,IFERROR(VLOOKUP(C165,'Example Parties'!$B$13:$Q$112,14,FALSE),0)+SUMIFS($T$7:$T$506,$C$7:$C$506,C165,$B$7:$B$506,"&lt;="&amp;'Example Parties'!$E$8))</f>
        <v/>
      </c>
      <c r="AE165">
        <f>IF(OR('Example Parties'!$E$8="",S165=0,B165="",B165&gt;'Example Parties'!$E$8),0,MAX(0,MIN(S165,U165-AD165)))</f>
        <v/>
      </c>
      <c r="AF165">
        <f>IF(AND(P165="Creditor",X165=1,AE165&gt;0,Z165&lt;&gt;""),IF(Z165&lt;='Example Parties'!$E$8,AE165,0),0)</f>
        <v/>
      </c>
      <c r="AG165">
        <f>IF(OR(AE165=0,Z165=""),0,MAX(0,'Example Parties'!$E$8-Z165))</f>
        <v/>
      </c>
      <c r="AH165">
        <f>IF(AND(P165="Creditor",X165=1,AG165&gt;0),AE165*((1+3*N('Example Parties'!$E$10)/12)^(AG165*12/365)-1),0)</f>
        <v/>
      </c>
      <c r="AI165">
        <f>IF(AND(C165&lt;&gt;"",C165='Example Ledger'!$D$4,B165&lt;&gt;"",B165&gt;='Example Ledger'!$D$5,B165&lt;='Example Ledger'!$D$6),1,0)</f>
        <v/>
      </c>
      <c r="AJ165">
        <f>IF(AI165=1,SUM(AI$7:AI165),"")</f>
        <v/>
      </c>
      <c r="AK165">
        <f>IF(OR(N165="",N165="OK"),0,1)</f>
        <v/>
      </c>
    </row>
    <row r="166">
      <c r="B166" s="24" t="n"/>
      <c r="C166" s="14" t="n"/>
      <c r="D166" s="14" t="n"/>
      <c r="E166" s="20" t="n"/>
      <c r="F166" s="24" t="n"/>
      <c r="G166" s="14" t="n"/>
      <c r="H166" s="22" t="n"/>
      <c r="I166" s="25">
        <f>IF(Q166="D",N(H166),0)</f>
        <v/>
      </c>
      <c r="J166" s="25">
        <f>IF(Q166="C",N(H166),0)</f>
        <v/>
      </c>
      <c r="K166" s="26">
        <f>IF(Z166="","",Z166)</f>
        <v/>
      </c>
      <c r="L166" s="27">
        <f>W166</f>
        <v/>
      </c>
      <c r="M166" s="28">
        <f>AA166</f>
        <v/>
      </c>
      <c r="N166" s="23">
        <f>IF(AND(B166="",C166="",D166="",N(H166)=0),"",IF(B166="","Enter the date",IF(C166="","Pick the party",IF(P166="?","Add this party on the Parties sheet first",IF(D166="","Pick the entry type",IF(Q166="?","Pick the entry type from the list",IF(N(H166)=0,"Enter the amount",IF(AND(R166&lt;&gt;"Any",R166&lt;&gt;P166),"Sales, receipts and credit notes are for debtors; purchases, payments and debit notes for creditors",IF(AND(F166&lt;&gt;"",D166&lt;&gt;"Purchase bill"),"The received-on date is only for purchase bills",IF(AND(P166="Creditor",X166=1,AA166&gt;0),"Past due to a micro or small supplier: interest runs under MSMED s.16, and if unpaid at year end it is not deductible that year, s.37(2)(g)",IF(AND(P166="Debtor",X166=1,AA166&gt;0),"Past due to you: as a micro or small supplier you can claim interest under MSMED s.16","OK")))))))))))</f>
        <v/>
      </c>
      <c r="P166">
        <f>IF(C166="","",IFERROR(VLOOKUP(C166,'Example Parties'!$B$13:$Q$112,2,FALSE),"?"))</f>
        <v/>
      </c>
      <c r="Q166">
        <f>IF(D166="","",IFERROR(VLOOKUP(D166,Lists!$A$2:$D$9,3,FALSE),"?"))</f>
        <v/>
      </c>
      <c r="R166">
        <f>IF(D166="","",IFERROR(VLOOKUP(D166,Lists!$A$2:$D$9,4,FALSE),"?"))</f>
        <v/>
      </c>
      <c r="S166">
        <f>IF(P166="Debtor",I166,IF(P166="Creditor",J166,0))</f>
        <v/>
      </c>
      <c r="T166">
        <f>IF(P166="Debtor",J166,IF(P166="Creditor",I166,0))</f>
        <v/>
      </c>
      <c r="U166">
        <f>IF(OR(S166=0,B166=""),0,IFERROR(VLOOKUP(C166,'Example Parties'!$B$13:$Q$112,13,FALSE),0)+SUMIFS($S$7:$S$506,$C$7:$C$506,C166,$B$7:$B$506,"&lt;"&amp;B166)+SUMIFS(S$7:S166,C$7:C166,C166,B$7:B166,B166))</f>
        <v/>
      </c>
      <c r="V166">
        <f>IF(S166=0,0,IFERROR(VLOOKUP(C166,'Example Parties'!$B$13:$Q$112,14,FALSE),0)+SUMIFS($T$7:$T$506,$C$7:$C$506,C166,$B$7:$B$506,"&lt;="&amp;'Example Outstanding'!$E$5))</f>
        <v/>
      </c>
      <c r="W166">
        <f>IF(OR('Example Outstanding'!$E$5="",S166=0,B166="",B166&gt;'Example Outstanding'!$E$5),0,MAX(0,MIN(S166,U166-V166)))</f>
        <v/>
      </c>
      <c r="X166">
        <f>IF(C166="",0,IFERROR(VLOOKUP(C166,'Example Parties'!$B$13:$Q$112,15,FALSE),0))</f>
        <v/>
      </c>
      <c r="Y166">
        <f>IF(C166="","",IFERROR(VLOOKUP(C166,'Example Parties'!$B$13:$Q$112,16,FALSE),0))</f>
        <v/>
      </c>
      <c r="Z166">
        <f>IF(OR(S166=0,B166="",Y166=""),"",IF(AND(F166&lt;&gt;"",D166="Purchase bill"),F166,B166)+Y166)</f>
        <v/>
      </c>
      <c r="AA166">
        <f>IF(OR(W166=0,Z166=""),0,MAX(0,'Example Outstanding'!$E$5-Z166))</f>
        <v/>
      </c>
      <c r="AB166">
        <f>IF(AND(X166=1,AA166&gt;0),W166*((1+3*N('Example Parties'!$E$10)/12)^(AA166*12/365)-1),0)</f>
        <v/>
      </c>
      <c r="AC166">
        <f>IF(W166=0,"",'Example Outstanding'!$E$5-B166)</f>
        <v/>
      </c>
      <c r="AD166">
        <f>IF(S166=0,0,IFERROR(VLOOKUP(C166,'Example Parties'!$B$13:$Q$112,14,FALSE),0)+SUMIFS($T$7:$T$506,$C$7:$C$506,C166,$B$7:$B$506,"&lt;="&amp;'Example Parties'!$E$8))</f>
        <v/>
      </c>
      <c r="AE166">
        <f>IF(OR('Example Parties'!$E$8="",S166=0,B166="",B166&gt;'Example Parties'!$E$8),0,MAX(0,MIN(S166,U166-AD166)))</f>
        <v/>
      </c>
      <c r="AF166">
        <f>IF(AND(P166="Creditor",X166=1,AE166&gt;0,Z166&lt;&gt;""),IF(Z166&lt;='Example Parties'!$E$8,AE166,0),0)</f>
        <v/>
      </c>
      <c r="AG166">
        <f>IF(OR(AE166=0,Z166=""),0,MAX(0,'Example Parties'!$E$8-Z166))</f>
        <v/>
      </c>
      <c r="AH166">
        <f>IF(AND(P166="Creditor",X166=1,AG166&gt;0),AE166*((1+3*N('Example Parties'!$E$10)/12)^(AG166*12/365)-1),0)</f>
        <v/>
      </c>
      <c r="AI166">
        <f>IF(AND(C166&lt;&gt;"",C166='Example Ledger'!$D$4,B166&lt;&gt;"",B166&gt;='Example Ledger'!$D$5,B166&lt;='Example Ledger'!$D$6),1,0)</f>
        <v/>
      </c>
      <c r="AJ166">
        <f>IF(AI166=1,SUM(AI$7:AI166),"")</f>
        <v/>
      </c>
      <c r="AK166">
        <f>IF(OR(N166="",N166="OK"),0,1)</f>
        <v/>
      </c>
    </row>
    <row r="167">
      <c r="B167" s="24" t="n"/>
      <c r="C167" s="14" t="n"/>
      <c r="D167" s="14" t="n"/>
      <c r="E167" s="20" t="n"/>
      <c r="F167" s="24" t="n"/>
      <c r="G167" s="14" t="n"/>
      <c r="H167" s="22" t="n"/>
      <c r="I167" s="25">
        <f>IF(Q167="D",N(H167),0)</f>
        <v/>
      </c>
      <c r="J167" s="25">
        <f>IF(Q167="C",N(H167),0)</f>
        <v/>
      </c>
      <c r="K167" s="26">
        <f>IF(Z167="","",Z167)</f>
        <v/>
      </c>
      <c r="L167" s="27">
        <f>W167</f>
        <v/>
      </c>
      <c r="M167" s="28">
        <f>AA167</f>
        <v/>
      </c>
      <c r="N167" s="23">
        <f>IF(AND(B167="",C167="",D167="",N(H167)=0),"",IF(B167="","Enter the date",IF(C167="","Pick the party",IF(P167="?","Add this party on the Parties sheet first",IF(D167="","Pick the entry type",IF(Q167="?","Pick the entry type from the list",IF(N(H167)=0,"Enter the amount",IF(AND(R167&lt;&gt;"Any",R167&lt;&gt;P167),"Sales, receipts and credit notes are for debtors; purchases, payments and debit notes for creditors",IF(AND(F167&lt;&gt;"",D167&lt;&gt;"Purchase bill"),"The received-on date is only for purchase bills",IF(AND(P167="Creditor",X167=1,AA167&gt;0),"Past due to a micro or small supplier: interest runs under MSMED s.16, and if unpaid at year end it is not deductible that year, s.37(2)(g)",IF(AND(P167="Debtor",X167=1,AA167&gt;0),"Past due to you: as a micro or small supplier you can claim interest under MSMED s.16","OK")))))))))))</f>
        <v/>
      </c>
      <c r="P167">
        <f>IF(C167="","",IFERROR(VLOOKUP(C167,'Example Parties'!$B$13:$Q$112,2,FALSE),"?"))</f>
        <v/>
      </c>
      <c r="Q167">
        <f>IF(D167="","",IFERROR(VLOOKUP(D167,Lists!$A$2:$D$9,3,FALSE),"?"))</f>
        <v/>
      </c>
      <c r="R167">
        <f>IF(D167="","",IFERROR(VLOOKUP(D167,Lists!$A$2:$D$9,4,FALSE),"?"))</f>
        <v/>
      </c>
      <c r="S167">
        <f>IF(P167="Debtor",I167,IF(P167="Creditor",J167,0))</f>
        <v/>
      </c>
      <c r="T167">
        <f>IF(P167="Debtor",J167,IF(P167="Creditor",I167,0))</f>
        <v/>
      </c>
      <c r="U167">
        <f>IF(OR(S167=0,B167=""),0,IFERROR(VLOOKUP(C167,'Example Parties'!$B$13:$Q$112,13,FALSE),0)+SUMIFS($S$7:$S$506,$C$7:$C$506,C167,$B$7:$B$506,"&lt;"&amp;B167)+SUMIFS(S$7:S167,C$7:C167,C167,B$7:B167,B167))</f>
        <v/>
      </c>
      <c r="V167">
        <f>IF(S167=0,0,IFERROR(VLOOKUP(C167,'Example Parties'!$B$13:$Q$112,14,FALSE),0)+SUMIFS($T$7:$T$506,$C$7:$C$506,C167,$B$7:$B$506,"&lt;="&amp;'Example Outstanding'!$E$5))</f>
        <v/>
      </c>
      <c r="W167">
        <f>IF(OR('Example Outstanding'!$E$5="",S167=0,B167="",B167&gt;'Example Outstanding'!$E$5),0,MAX(0,MIN(S167,U167-V167)))</f>
        <v/>
      </c>
      <c r="X167">
        <f>IF(C167="",0,IFERROR(VLOOKUP(C167,'Example Parties'!$B$13:$Q$112,15,FALSE),0))</f>
        <v/>
      </c>
      <c r="Y167">
        <f>IF(C167="","",IFERROR(VLOOKUP(C167,'Example Parties'!$B$13:$Q$112,16,FALSE),0))</f>
        <v/>
      </c>
      <c r="Z167">
        <f>IF(OR(S167=0,B167="",Y167=""),"",IF(AND(F167&lt;&gt;"",D167="Purchase bill"),F167,B167)+Y167)</f>
        <v/>
      </c>
      <c r="AA167">
        <f>IF(OR(W167=0,Z167=""),0,MAX(0,'Example Outstanding'!$E$5-Z167))</f>
        <v/>
      </c>
      <c r="AB167">
        <f>IF(AND(X167=1,AA167&gt;0),W167*((1+3*N('Example Parties'!$E$10)/12)^(AA167*12/365)-1),0)</f>
        <v/>
      </c>
      <c r="AC167">
        <f>IF(W167=0,"",'Example Outstanding'!$E$5-B167)</f>
        <v/>
      </c>
      <c r="AD167">
        <f>IF(S167=0,0,IFERROR(VLOOKUP(C167,'Example Parties'!$B$13:$Q$112,14,FALSE),0)+SUMIFS($T$7:$T$506,$C$7:$C$506,C167,$B$7:$B$506,"&lt;="&amp;'Example Parties'!$E$8))</f>
        <v/>
      </c>
      <c r="AE167">
        <f>IF(OR('Example Parties'!$E$8="",S167=0,B167="",B167&gt;'Example Parties'!$E$8),0,MAX(0,MIN(S167,U167-AD167)))</f>
        <v/>
      </c>
      <c r="AF167">
        <f>IF(AND(P167="Creditor",X167=1,AE167&gt;0,Z167&lt;&gt;""),IF(Z167&lt;='Example Parties'!$E$8,AE167,0),0)</f>
        <v/>
      </c>
      <c r="AG167">
        <f>IF(OR(AE167=0,Z167=""),0,MAX(0,'Example Parties'!$E$8-Z167))</f>
        <v/>
      </c>
      <c r="AH167">
        <f>IF(AND(P167="Creditor",X167=1,AG167&gt;0),AE167*((1+3*N('Example Parties'!$E$10)/12)^(AG167*12/365)-1),0)</f>
        <v/>
      </c>
      <c r="AI167">
        <f>IF(AND(C167&lt;&gt;"",C167='Example Ledger'!$D$4,B167&lt;&gt;"",B167&gt;='Example Ledger'!$D$5,B167&lt;='Example Ledger'!$D$6),1,0)</f>
        <v/>
      </c>
      <c r="AJ167">
        <f>IF(AI167=1,SUM(AI$7:AI167),"")</f>
        <v/>
      </c>
      <c r="AK167">
        <f>IF(OR(N167="",N167="OK"),0,1)</f>
        <v/>
      </c>
    </row>
    <row r="168">
      <c r="B168" s="24" t="n"/>
      <c r="C168" s="14" t="n"/>
      <c r="D168" s="14" t="n"/>
      <c r="E168" s="20" t="n"/>
      <c r="F168" s="24" t="n"/>
      <c r="G168" s="14" t="n"/>
      <c r="H168" s="22" t="n"/>
      <c r="I168" s="25">
        <f>IF(Q168="D",N(H168),0)</f>
        <v/>
      </c>
      <c r="J168" s="25">
        <f>IF(Q168="C",N(H168),0)</f>
        <v/>
      </c>
      <c r="K168" s="26">
        <f>IF(Z168="","",Z168)</f>
        <v/>
      </c>
      <c r="L168" s="27">
        <f>W168</f>
        <v/>
      </c>
      <c r="M168" s="28">
        <f>AA168</f>
        <v/>
      </c>
      <c r="N168" s="23">
        <f>IF(AND(B168="",C168="",D168="",N(H168)=0),"",IF(B168="","Enter the date",IF(C168="","Pick the party",IF(P168="?","Add this party on the Parties sheet first",IF(D168="","Pick the entry type",IF(Q168="?","Pick the entry type from the list",IF(N(H168)=0,"Enter the amount",IF(AND(R168&lt;&gt;"Any",R168&lt;&gt;P168),"Sales, receipts and credit notes are for debtors; purchases, payments and debit notes for creditors",IF(AND(F168&lt;&gt;"",D168&lt;&gt;"Purchase bill"),"The received-on date is only for purchase bills",IF(AND(P168="Creditor",X168=1,AA168&gt;0),"Past due to a micro or small supplier: interest runs under MSMED s.16, and if unpaid at year end it is not deductible that year, s.37(2)(g)",IF(AND(P168="Debtor",X168=1,AA168&gt;0),"Past due to you: as a micro or small supplier you can claim interest under MSMED s.16","OK")))))))))))</f>
        <v/>
      </c>
      <c r="P168">
        <f>IF(C168="","",IFERROR(VLOOKUP(C168,'Example Parties'!$B$13:$Q$112,2,FALSE),"?"))</f>
        <v/>
      </c>
      <c r="Q168">
        <f>IF(D168="","",IFERROR(VLOOKUP(D168,Lists!$A$2:$D$9,3,FALSE),"?"))</f>
        <v/>
      </c>
      <c r="R168">
        <f>IF(D168="","",IFERROR(VLOOKUP(D168,Lists!$A$2:$D$9,4,FALSE),"?"))</f>
        <v/>
      </c>
      <c r="S168">
        <f>IF(P168="Debtor",I168,IF(P168="Creditor",J168,0))</f>
        <v/>
      </c>
      <c r="T168">
        <f>IF(P168="Debtor",J168,IF(P168="Creditor",I168,0))</f>
        <v/>
      </c>
      <c r="U168">
        <f>IF(OR(S168=0,B168=""),0,IFERROR(VLOOKUP(C168,'Example Parties'!$B$13:$Q$112,13,FALSE),0)+SUMIFS($S$7:$S$506,$C$7:$C$506,C168,$B$7:$B$506,"&lt;"&amp;B168)+SUMIFS(S$7:S168,C$7:C168,C168,B$7:B168,B168))</f>
        <v/>
      </c>
      <c r="V168">
        <f>IF(S168=0,0,IFERROR(VLOOKUP(C168,'Example Parties'!$B$13:$Q$112,14,FALSE),0)+SUMIFS($T$7:$T$506,$C$7:$C$506,C168,$B$7:$B$506,"&lt;="&amp;'Example Outstanding'!$E$5))</f>
        <v/>
      </c>
      <c r="W168">
        <f>IF(OR('Example Outstanding'!$E$5="",S168=0,B168="",B168&gt;'Example Outstanding'!$E$5),0,MAX(0,MIN(S168,U168-V168)))</f>
        <v/>
      </c>
      <c r="X168">
        <f>IF(C168="",0,IFERROR(VLOOKUP(C168,'Example Parties'!$B$13:$Q$112,15,FALSE),0))</f>
        <v/>
      </c>
      <c r="Y168">
        <f>IF(C168="","",IFERROR(VLOOKUP(C168,'Example Parties'!$B$13:$Q$112,16,FALSE),0))</f>
        <v/>
      </c>
      <c r="Z168">
        <f>IF(OR(S168=0,B168="",Y168=""),"",IF(AND(F168&lt;&gt;"",D168="Purchase bill"),F168,B168)+Y168)</f>
        <v/>
      </c>
      <c r="AA168">
        <f>IF(OR(W168=0,Z168=""),0,MAX(0,'Example Outstanding'!$E$5-Z168))</f>
        <v/>
      </c>
      <c r="AB168">
        <f>IF(AND(X168=1,AA168&gt;0),W168*((1+3*N('Example Parties'!$E$10)/12)^(AA168*12/365)-1),0)</f>
        <v/>
      </c>
      <c r="AC168">
        <f>IF(W168=0,"",'Example Outstanding'!$E$5-B168)</f>
        <v/>
      </c>
      <c r="AD168">
        <f>IF(S168=0,0,IFERROR(VLOOKUP(C168,'Example Parties'!$B$13:$Q$112,14,FALSE),0)+SUMIFS($T$7:$T$506,$C$7:$C$506,C168,$B$7:$B$506,"&lt;="&amp;'Example Parties'!$E$8))</f>
        <v/>
      </c>
      <c r="AE168">
        <f>IF(OR('Example Parties'!$E$8="",S168=0,B168="",B168&gt;'Example Parties'!$E$8),0,MAX(0,MIN(S168,U168-AD168)))</f>
        <v/>
      </c>
      <c r="AF168">
        <f>IF(AND(P168="Creditor",X168=1,AE168&gt;0,Z168&lt;&gt;""),IF(Z168&lt;='Example Parties'!$E$8,AE168,0),0)</f>
        <v/>
      </c>
      <c r="AG168">
        <f>IF(OR(AE168=0,Z168=""),0,MAX(0,'Example Parties'!$E$8-Z168))</f>
        <v/>
      </c>
      <c r="AH168">
        <f>IF(AND(P168="Creditor",X168=1,AG168&gt;0),AE168*((1+3*N('Example Parties'!$E$10)/12)^(AG168*12/365)-1),0)</f>
        <v/>
      </c>
      <c r="AI168">
        <f>IF(AND(C168&lt;&gt;"",C168='Example Ledger'!$D$4,B168&lt;&gt;"",B168&gt;='Example Ledger'!$D$5,B168&lt;='Example Ledger'!$D$6),1,0)</f>
        <v/>
      </c>
      <c r="AJ168">
        <f>IF(AI168=1,SUM(AI$7:AI168),"")</f>
        <v/>
      </c>
      <c r="AK168">
        <f>IF(OR(N168="",N168="OK"),0,1)</f>
        <v/>
      </c>
    </row>
    <row r="169">
      <c r="B169" s="24" t="n"/>
      <c r="C169" s="14" t="n"/>
      <c r="D169" s="14" t="n"/>
      <c r="E169" s="20" t="n"/>
      <c r="F169" s="24" t="n"/>
      <c r="G169" s="14" t="n"/>
      <c r="H169" s="22" t="n"/>
      <c r="I169" s="25">
        <f>IF(Q169="D",N(H169),0)</f>
        <v/>
      </c>
      <c r="J169" s="25">
        <f>IF(Q169="C",N(H169),0)</f>
        <v/>
      </c>
      <c r="K169" s="26">
        <f>IF(Z169="","",Z169)</f>
        <v/>
      </c>
      <c r="L169" s="27">
        <f>W169</f>
        <v/>
      </c>
      <c r="M169" s="28">
        <f>AA169</f>
        <v/>
      </c>
      <c r="N169" s="23">
        <f>IF(AND(B169="",C169="",D169="",N(H169)=0),"",IF(B169="","Enter the date",IF(C169="","Pick the party",IF(P169="?","Add this party on the Parties sheet first",IF(D169="","Pick the entry type",IF(Q169="?","Pick the entry type from the list",IF(N(H169)=0,"Enter the amount",IF(AND(R169&lt;&gt;"Any",R169&lt;&gt;P169),"Sales, receipts and credit notes are for debtors; purchases, payments and debit notes for creditors",IF(AND(F169&lt;&gt;"",D169&lt;&gt;"Purchase bill"),"The received-on date is only for purchase bills",IF(AND(P169="Creditor",X169=1,AA169&gt;0),"Past due to a micro or small supplier: interest runs under MSMED s.16, and if unpaid at year end it is not deductible that year, s.37(2)(g)",IF(AND(P169="Debtor",X169=1,AA169&gt;0),"Past due to you: as a micro or small supplier you can claim interest under MSMED s.16","OK")))))))))))</f>
        <v/>
      </c>
      <c r="P169">
        <f>IF(C169="","",IFERROR(VLOOKUP(C169,'Example Parties'!$B$13:$Q$112,2,FALSE),"?"))</f>
        <v/>
      </c>
      <c r="Q169">
        <f>IF(D169="","",IFERROR(VLOOKUP(D169,Lists!$A$2:$D$9,3,FALSE),"?"))</f>
        <v/>
      </c>
      <c r="R169">
        <f>IF(D169="","",IFERROR(VLOOKUP(D169,Lists!$A$2:$D$9,4,FALSE),"?"))</f>
        <v/>
      </c>
      <c r="S169">
        <f>IF(P169="Debtor",I169,IF(P169="Creditor",J169,0))</f>
        <v/>
      </c>
      <c r="T169">
        <f>IF(P169="Debtor",J169,IF(P169="Creditor",I169,0))</f>
        <v/>
      </c>
      <c r="U169">
        <f>IF(OR(S169=0,B169=""),0,IFERROR(VLOOKUP(C169,'Example Parties'!$B$13:$Q$112,13,FALSE),0)+SUMIFS($S$7:$S$506,$C$7:$C$506,C169,$B$7:$B$506,"&lt;"&amp;B169)+SUMIFS(S$7:S169,C$7:C169,C169,B$7:B169,B169))</f>
        <v/>
      </c>
      <c r="V169">
        <f>IF(S169=0,0,IFERROR(VLOOKUP(C169,'Example Parties'!$B$13:$Q$112,14,FALSE),0)+SUMIFS($T$7:$T$506,$C$7:$C$506,C169,$B$7:$B$506,"&lt;="&amp;'Example Outstanding'!$E$5))</f>
        <v/>
      </c>
      <c r="W169">
        <f>IF(OR('Example Outstanding'!$E$5="",S169=0,B169="",B169&gt;'Example Outstanding'!$E$5),0,MAX(0,MIN(S169,U169-V169)))</f>
        <v/>
      </c>
      <c r="X169">
        <f>IF(C169="",0,IFERROR(VLOOKUP(C169,'Example Parties'!$B$13:$Q$112,15,FALSE),0))</f>
        <v/>
      </c>
      <c r="Y169">
        <f>IF(C169="","",IFERROR(VLOOKUP(C169,'Example Parties'!$B$13:$Q$112,16,FALSE),0))</f>
        <v/>
      </c>
      <c r="Z169">
        <f>IF(OR(S169=0,B169="",Y169=""),"",IF(AND(F169&lt;&gt;"",D169="Purchase bill"),F169,B169)+Y169)</f>
        <v/>
      </c>
      <c r="AA169">
        <f>IF(OR(W169=0,Z169=""),0,MAX(0,'Example Outstanding'!$E$5-Z169))</f>
        <v/>
      </c>
      <c r="AB169">
        <f>IF(AND(X169=1,AA169&gt;0),W169*((1+3*N('Example Parties'!$E$10)/12)^(AA169*12/365)-1),0)</f>
        <v/>
      </c>
      <c r="AC169">
        <f>IF(W169=0,"",'Example Outstanding'!$E$5-B169)</f>
        <v/>
      </c>
      <c r="AD169">
        <f>IF(S169=0,0,IFERROR(VLOOKUP(C169,'Example Parties'!$B$13:$Q$112,14,FALSE),0)+SUMIFS($T$7:$T$506,$C$7:$C$506,C169,$B$7:$B$506,"&lt;="&amp;'Example Parties'!$E$8))</f>
        <v/>
      </c>
      <c r="AE169">
        <f>IF(OR('Example Parties'!$E$8="",S169=0,B169="",B169&gt;'Example Parties'!$E$8),0,MAX(0,MIN(S169,U169-AD169)))</f>
        <v/>
      </c>
      <c r="AF169">
        <f>IF(AND(P169="Creditor",X169=1,AE169&gt;0,Z169&lt;&gt;""),IF(Z169&lt;='Example Parties'!$E$8,AE169,0),0)</f>
        <v/>
      </c>
      <c r="AG169">
        <f>IF(OR(AE169=0,Z169=""),0,MAX(0,'Example Parties'!$E$8-Z169))</f>
        <v/>
      </c>
      <c r="AH169">
        <f>IF(AND(P169="Creditor",X169=1,AG169&gt;0),AE169*((1+3*N('Example Parties'!$E$10)/12)^(AG169*12/365)-1),0)</f>
        <v/>
      </c>
      <c r="AI169">
        <f>IF(AND(C169&lt;&gt;"",C169='Example Ledger'!$D$4,B169&lt;&gt;"",B169&gt;='Example Ledger'!$D$5,B169&lt;='Example Ledger'!$D$6),1,0)</f>
        <v/>
      </c>
      <c r="AJ169">
        <f>IF(AI169=1,SUM(AI$7:AI169),"")</f>
        <v/>
      </c>
      <c r="AK169">
        <f>IF(OR(N169="",N169="OK"),0,1)</f>
        <v/>
      </c>
    </row>
    <row r="170">
      <c r="B170" s="24" t="n"/>
      <c r="C170" s="14" t="n"/>
      <c r="D170" s="14" t="n"/>
      <c r="E170" s="20" t="n"/>
      <c r="F170" s="24" t="n"/>
      <c r="G170" s="14" t="n"/>
      <c r="H170" s="22" t="n"/>
      <c r="I170" s="25">
        <f>IF(Q170="D",N(H170),0)</f>
        <v/>
      </c>
      <c r="J170" s="25">
        <f>IF(Q170="C",N(H170),0)</f>
        <v/>
      </c>
      <c r="K170" s="26">
        <f>IF(Z170="","",Z170)</f>
        <v/>
      </c>
      <c r="L170" s="27">
        <f>W170</f>
        <v/>
      </c>
      <c r="M170" s="28">
        <f>AA170</f>
        <v/>
      </c>
      <c r="N170" s="23">
        <f>IF(AND(B170="",C170="",D170="",N(H170)=0),"",IF(B170="","Enter the date",IF(C170="","Pick the party",IF(P170="?","Add this party on the Parties sheet first",IF(D170="","Pick the entry type",IF(Q170="?","Pick the entry type from the list",IF(N(H170)=0,"Enter the amount",IF(AND(R170&lt;&gt;"Any",R170&lt;&gt;P170),"Sales, receipts and credit notes are for debtors; purchases, payments and debit notes for creditors",IF(AND(F170&lt;&gt;"",D170&lt;&gt;"Purchase bill"),"The received-on date is only for purchase bills",IF(AND(P170="Creditor",X170=1,AA170&gt;0),"Past due to a micro or small supplier: interest runs under MSMED s.16, and if unpaid at year end it is not deductible that year, s.37(2)(g)",IF(AND(P170="Debtor",X170=1,AA170&gt;0),"Past due to you: as a micro or small supplier you can claim interest under MSMED s.16","OK")))))))))))</f>
        <v/>
      </c>
      <c r="P170">
        <f>IF(C170="","",IFERROR(VLOOKUP(C170,'Example Parties'!$B$13:$Q$112,2,FALSE),"?"))</f>
        <v/>
      </c>
      <c r="Q170">
        <f>IF(D170="","",IFERROR(VLOOKUP(D170,Lists!$A$2:$D$9,3,FALSE),"?"))</f>
        <v/>
      </c>
      <c r="R170">
        <f>IF(D170="","",IFERROR(VLOOKUP(D170,Lists!$A$2:$D$9,4,FALSE),"?"))</f>
        <v/>
      </c>
      <c r="S170">
        <f>IF(P170="Debtor",I170,IF(P170="Creditor",J170,0))</f>
        <v/>
      </c>
      <c r="T170">
        <f>IF(P170="Debtor",J170,IF(P170="Creditor",I170,0))</f>
        <v/>
      </c>
      <c r="U170">
        <f>IF(OR(S170=0,B170=""),0,IFERROR(VLOOKUP(C170,'Example Parties'!$B$13:$Q$112,13,FALSE),0)+SUMIFS($S$7:$S$506,$C$7:$C$506,C170,$B$7:$B$506,"&lt;"&amp;B170)+SUMIFS(S$7:S170,C$7:C170,C170,B$7:B170,B170))</f>
        <v/>
      </c>
      <c r="V170">
        <f>IF(S170=0,0,IFERROR(VLOOKUP(C170,'Example Parties'!$B$13:$Q$112,14,FALSE),0)+SUMIFS($T$7:$T$506,$C$7:$C$506,C170,$B$7:$B$506,"&lt;="&amp;'Example Outstanding'!$E$5))</f>
        <v/>
      </c>
      <c r="W170">
        <f>IF(OR('Example Outstanding'!$E$5="",S170=0,B170="",B170&gt;'Example Outstanding'!$E$5),0,MAX(0,MIN(S170,U170-V170)))</f>
        <v/>
      </c>
      <c r="X170">
        <f>IF(C170="",0,IFERROR(VLOOKUP(C170,'Example Parties'!$B$13:$Q$112,15,FALSE),0))</f>
        <v/>
      </c>
      <c r="Y170">
        <f>IF(C170="","",IFERROR(VLOOKUP(C170,'Example Parties'!$B$13:$Q$112,16,FALSE),0))</f>
        <v/>
      </c>
      <c r="Z170">
        <f>IF(OR(S170=0,B170="",Y170=""),"",IF(AND(F170&lt;&gt;"",D170="Purchase bill"),F170,B170)+Y170)</f>
        <v/>
      </c>
      <c r="AA170">
        <f>IF(OR(W170=0,Z170=""),0,MAX(0,'Example Outstanding'!$E$5-Z170))</f>
        <v/>
      </c>
      <c r="AB170">
        <f>IF(AND(X170=1,AA170&gt;0),W170*((1+3*N('Example Parties'!$E$10)/12)^(AA170*12/365)-1),0)</f>
        <v/>
      </c>
      <c r="AC170">
        <f>IF(W170=0,"",'Example Outstanding'!$E$5-B170)</f>
        <v/>
      </c>
      <c r="AD170">
        <f>IF(S170=0,0,IFERROR(VLOOKUP(C170,'Example Parties'!$B$13:$Q$112,14,FALSE),0)+SUMIFS($T$7:$T$506,$C$7:$C$506,C170,$B$7:$B$506,"&lt;="&amp;'Example Parties'!$E$8))</f>
        <v/>
      </c>
      <c r="AE170">
        <f>IF(OR('Example Parties'!$E$8="",S170=0,B170="",B170&gt;'Example Parties'!$E$8),0,MAX(0,MIN(S170,U170-AD170)))</f>
        <v/>
      </c>
      <c r="AF170">
        <f>IF(AND(P170="Creditor",X170=1,AE170&gt;0,Z170&lt;&gt;""),IF(Z170&lt;='Example Parties'!$E$8,AE170,0),0)</f>
        <v/>
      </c>
      <c r="AG170">
        <f>IF(OR(AE170=0,Z170=""),0,MAX(0,'Example Parties'!$E$8-Z170))</f>
        <v/>
      </c>
      <c r="AH170">
        <f>IF(AND(P170="Creditor",X170=1,AG170&gt;0),AE170*((1+3*N('Example Parties'!$E$10)/12)^(AG170*12/365)-1),0)</f>
        <v/>
      </c>
      <c r="AI170">
        <f>IF(AND(C170&lt;&gt;"",C170='Example Ledger'!$D$4,B170&lt;&gt;"",B170&gt;='Example Ledger'!$D$5,B170&lt;='Example Ledger'!$D$6),1,0)</f>
        <v/>
      </c>
      <c r="AJ170">
        <f>IF(AI170=1,SUM(AI$7:AI170),"")</f>
        <v/>
      </c>
      <c r="AK170">
        <f>IF(OR(N170="",N170="OK"),0,1)</f>
        <v/>
      </c>
    </row>
    <row r="171">
      <c r="B171" s="24" t="n"/>
      <c r="C171" s="14" t="n"/>
      <c r="D171" s="14" t="n"/>
      <c r="E171" s="20" t="n"/>
      <c r="F171" s="24" t="n"/>
      <c r="G171" s="14" t="n"/>
      <c r="H171" s="22" t="n"/>
      <c r="I171" s="25">
        <f>IF(Q171="D",N(H171),0)</f>
        <v/>
      </c>
      <c r="J171" s="25">
        <f>IF(Q171="C",N(H171),0)</f>
        <v/>
      </c>
      <c r="K171" s="26">
        <f>IF(Z171="","",Z171)</f>
        <v/>
      </c>
      <c r="L171" s="27">
        <f>W171</f>
        <v/>
      </c>
      <c r="M171" s="28">
        <f>AA171</f>
        <v/>
      </c>
      <c r="N171" s="23">
        <f>IF(AND(B171="",C171="",D171="",N(H171)=0),"",IF(B171="","Enter the date",IF(C171="","Pick the party",IF(P171="?","Add this party on the Parties sheet first",IF(D171="","Pick the entry type",IF(Q171="?","Pick the entry type from the list",IF(N(H171)=0,"Enter the amount",IF(AND(R171&lt;&gt;"Any",R171&lt;&gt;P171),"Sales, receipts and credit notes are for debtors; purchases, payments and debit notes for creditors",IF(AND(F171&lt;&gt;"",D171&lt;&gt;"Purchase bill"),"The received-on date is only for purchase bills",IF(AND(P171="Creditor",X171=1,AA171&gt;0),"Past due to a micro or small supplier: interest runs under MSMED s.16, and if unpaid at year end it is not deductible that year, s.37(2)(g)",IF(AND(P171="Debtor",X171=1,AA171&gt;0),"Past due to you: as a micro or small supplier you can claim interest under MSMED s.16","OK")))))))))))</f>
        <v/>
      </c>
      <c r="P171">
        <f>IF(C171="","",IFERROR(VLOOKUP(C171,'Example Parties'!$B$13:$Q$112,2,FALSE),"?"))</f>
        <v/>
      </c>
      <c r="Q171">
        <f>IF(D171="","",IFERROR(VLOOKUP(D171,Lists!$A$2:$D$9,3,FALSE),"?"))</f>
        <v/>
      </c>
      <c r="R171">
        <f>IF(D171="","",IFERROR(VLOOKUP(D171,Lists!$A$2:$D$9,4,FALSE),"?"))</f>
        <v/>
      </c>
      <c r="S171">
        <f>IF(P171="Debtor",I171,IF(P171="Creditor",J171,0))</f>
        <v/>
      </c>
      <c r="T171">
        <f>IF(P171="Debtor",J171,IF(P171="Creditor",I171,0))</f>
        <v/>
      </c>
      <c r="U171">
        <f>IF(OR(S171=0,B171=""),0,IFERROR(VLOOKUP(C171,'Example Parties'!$B$13:$Q$112,13,FALSE),0)+SUMIFS($S$7:$S$506,$C$7:$C$506,C171,$B$7:$B$506,"&lt;"&amp;B171)+SUMIFS(S$7:S171,C$7:C171,C171,B$7:B171,B171))</f>
        <v/>
      </c>
      <c r="V171">
        <f>IF(S171=0,0,IFERROR(VLOOKUP(C171,'Example Parties'!$B$13:$Q$112,14,FALSE),0)+SUMIFS($T$7:$T$506,$C$7:$C$506,C171,$B$7:$B$506,"&lt;="&amp;'Example Outstanding'!$E$5))</f>
        <v/>
      </c>
      <c r="W171">
        <f>IF(OR('Example Outstanding'!$E$5="",S171=0,B171="",B171&gt;'Example Outstanding'!$E$5),0,MAX(0,MIN(S171,U171-V171)))</f>
        <v/>
      </c>
      <c r="X171">
        <f>IF(C171="",0,IFERROR(VLOOKUP(C171,'Example Parties'!$B$13:$Q$112,15,FALSE),0))</f>
        <v/>
      </c>
      <c r="Y171">
        <f>IF(C171="","",IFERROR(VLOOKUP(C171,'Example Parties'!$B$13:$Q$112,16,FALSE),0))</f>
        <v/>
      </c>
      <c r="Z171">
        <f>IF(OR(S171=0,B171="",Y171=""),"",IF(AND(F171&lt;&gt;"",D171="Purchase bill"),F171,B171)+Y171)</f>
        <v/>
      </c>
      <c r="AA171">
        <f>IF(OR(W171=0,Z171=""),0,MAX(0,'Example Outstanding'!$E$5-Z171))</f>
        <v/>
      </c>
      <c r="AB171">
        <f>IF(AND(X171=1,AA171&gt;0),W171*((1+3*N('Example Parties'!$E$10)/12)^(AA171*12/365)-1),0)</f>
        <v/>
      </c>
      <c r="AC171">
        <f>IF(W171=0,"",'Example Outstanding'!$E$5-B171)</f>
        <v/>
      </c>
      <c r="AD171">
        <f>IF(S171=0,0,IFERROR(VLOOKUP(C171,'Example Parties'!$B$13:$Q$112,14,FALSE),0)+SUMIFS($T$7:$T$506,$C$7:$C$506,C171,$B$7:$B$506,"&lt;="&amp;'Example Parties'!$E$8))</f>
        <v/>
      </c>
      <c r="AE171">
        <f>IF(OR('Example Parties'!$E$8="",S171=0,B171="",B171&gt;'Example Parties'!$E$8),0,MAX(0,MIN(S171,U171-AD171)))</f>
        <v/>
      </c>
      <c r="AF171">
        <f>IF(AND(P171="Creditor",X171=1,AE171&gt;0,Z171&lt;&gt;""),IF(Z171&lt;='Example Parties'!$E$8,AE171,0),0)</f>
        <v/>
      </c>
      <c r="AG171">
        <f>IF(OR(AE171=0,Z171=""),0,MAX(0,'Example Parties'!$E$8-Z171))</f>
        <v/>
      </c>
      <c r="AH171">
        <f>IF(AND(P171="Creditor",X171=1,AG171&gt;0),AE171*((1+3*N('Example Parties'!$E$10)/12)^(AG171*12/365)-1),0)</f>
        <v/>
      </c>
      <c r="AI171">
        <f>IF(AND(C171&lt;&gt;"",C171='Example Ledger'!$D$4,B171&lt;&gt;"",B171&gt;='Example Ledger'!$D$5,B171&lt;='Example Ledger'!$D$6),1,0)</f>
        <v/>
      </c>
      <c r="AJ171">
        <f>IF(AI171=1,SUM(AI$7:AI171),"")</f>
        <v/>
      </c>
      <c r="AK171">
        <f>IF(OR(N171="",N171="OK"),0,1)</f>
        <v/>
      </c>
    </row>
    <row r="172">
      <c r="B172" s="24" t="n"/>
      <c r="C172" s="14" t="n"/>
      <c r="D172" s="14" t="n"/>
      <c r="E172" s="20" t="n"/>
      <c r="F172" s="24" t="n"/>
      <c r="G172" s="14" t="n"/>
      <c r="H172" s="22" t="n"/>
      <c r="I172" s="25">
        <f>IF(Q172="D",N(H172),0)</f>
        <v/>
      </c>
      <c r="J172" s="25">
        <f>IF(Q172="C",N(H172),0)</f>
        <v/>
      </c>
      <c r="K172" s="26">
        <f>IF(Z172="","",Z172)</f>
        <v/>
      </c>
      <c r="L172" s="27">
        <f>W172</f>
        <v/>
      </c>
      <c r="M172" s="28">
        <f>AA172</f>
        <v/>
      </c>
      <c r="N172" s="23">
        <f>IF(AND(B172="",C172="",D172="",N(H172)=0),"",IF(B172="","Enter the date",IF(C172="","Pick the party",IF(P172="?","Add this party on the Parties sheet first",IF(D172="","Pick the entry type",IF(Q172="?","Pick the entry type from the list",IF(N(H172)=0,"Enter the amount",IF(AND(R172&lt;&gt;"Any",R172&lt;&gt;P172),"Sales, receipts and credit notes are for debtors; purchases, payments and debit notes for creditors",IF(AND(F172&lt;&gt;"",D172&lt;&gt;"Purchase bill"),"The received-on date is only for purchase bills",IF(AND(P172="Creditor",X172=1,AA172&gt;0),"Past due to a micro or small supplier: interest runs under MSMED s.16, and if unpaid at year end it is not deductible that year, s.37(2)(g)",IF(AND(P172="Debtor",X172=1,AA172&gt;0),"Past due to you: as a micro or small supplier you can claim interest under MSMED s.16","OK")))))))))))</f>
        <v/>
      </c>
      <c r="P172">
        <f>IF(C172="","",IFERROR(VLOOKUP(C172,'Example Parties'!$B$13:$Q$112,2,FALSE),"?"))</f>
        <v/>
      </c>
      <c r="Q172">
        <f>IF(D172="","",IFERROR(VLOOKUP(D172,Lists!$A$2:$D$9,3,FALSE),"?"))</f>
        <v/>
      </c>
      <c r="R172">
        <f>IF(D172="","",IFERROR(VLOOKUP(D172,Lists!$A$2:$D$9,4,FALSE),"?"))</f>
        <v/>
      </c>
      <c r="S172">
        <f>IF(P172="Debtor",I172,IF(P172="Creditor",J172,0))</f>
        <v/>
      </c>
      <c r="T172">
        <f>IF(P172="Debtor",J172,IF(P172="Creditor",I172,0))</f>
        <v/>
      </c>
      <c r="U172">
        <f>IF(OR(S172=0,B172=""),0,IFERROR(VLOOKUP(C172,'Example Parties'!$B$13:$Q$112,13,FALSE),0)+SUMIFS($S$7:$S$506,$C$7:$C$506,C172,$B$7:$B$506,"&lt;"&amp;B172)+SUMIFS(S$7:S172,C$7:C172,C172,B$7:B172,B172))</f>
        <v/>
      </c>
      <c r="V172">
        <f>IF(S172=0,0,IFERROR(VLOOKUP(C172,'Example Parties'!$B$13:$Q$112,14,FALSE),0)+SUMIFS($T$7:$T$506,$C$7:$C$506,C172,$B$7:$B$506,"&lt;="&amp;'Example Outstanding'!$E$5))</f>
        <v/>
      </c>
      <c r="W172">
        <f>IF(OR('Example Outstanding'!$E$5="",S172=0,B172="",B172&gt;'Example Outstanding'!$E$5),0,MAX(0,MIN(S172,U172-V172)))</f>
        <v/>
      </c>
      <c r="X172">
        <f>IF(C172="",0,IFERROR(VLOOKUP(C172,'Example Parties'!$B$13:$Q$112,15,FALSE),0))</f>
        <v/>
      </c>
      <c r="Y172">
        <f>IF(C172="","",IFERROR(VLOOKUP(C172,'Example Parties'!$B$13:$Q$112,16,FALSE),0))</f>
        <v/>
      </c>
      <c r="Z172">
        <f>IF(OR(S172=0,B172="",Y172=""),"",IF(AND(F172&lt;&gt;"",D172="Purchase bill"),F172,B172)+Y172)</f>
        <v/>
      </c>
      <c r="AA172">
        <f>IF(OR(W172=0,Z172=""),0,MAX(0,'Example Outstanding'!$E$5-Z172))</f>
        <v/>
      </c>
      <c r="AB172">
        <f>IF(AND(X172=1,AA172&gt;0),W172*((1+3*N('Example Parties'!$E$10)/12)^(AA172*12/365)-1),0)</f>
        <v/>
      </c>
      <c r="AC172">
        <f>IF(W172=0,"",'Example Outstanding'!$E$5-B172)</f>
        <v/>
      </c>
      <c r="AD172">
        <f>IF(S172=0,0,IFERROR(VLOOKUP(C172,'Example Parties'!$B$13:$Q$112,14,FALSE),0)+SUMIFS($T$7:$T$506,$C$7:$C$506,C172,$B$7:$B$506,"&lt;="&amp;'Example Parties'!$E$8))</f>
        <v/>
      </c>
      <c r="AE172">
        <f>IF(OR('Example Parties'!$E$8="",S172=0,B172="",B172&gt;'Example Parties'!$E$8),0,MAX(0,MIN(S172,U172-AD172)))</f>
        <v/>
      </c>
      <c r="AF172">
        <f>IF(AND(P172="Creditor",X172=1,AE172&gt;0,Z172&lt;&gt;""),IF(Z172&lt;='Example Parties'!$E$8,AE172,0),0)</f>
        <v/>
      </c>
      <c r="AG172">
        <f>IF(OR(AE172=0,Z172=""),0,MAX(0,'Example Parties'!$E$8-Z172))</f>
        <v/>
      </c>
      <c r="AH172">
        <f>IF(AND(P172="Creditor",X172=1,AG172&gt;0),AE172*((1+3*N('Example Parties'!$E$10)/12)^(AG172*12/365)-1),0)</f>
        <v/>
      </c>
      <c r="AI172">
        <f>IF(AND(C172&lt;&gt;"",C172='Example Ledger'!$D$4,B172&lt;&gt;"",B172&gt;='Example Ledger'!$D$5,B172&lt;='Example Ledger'!$D$6),1,0)</f>
        <v/>
      </c>
      <c r="AJ172">
        <f>IF(AI172=1,SUM(AI$7:AI172),"")</f>
        <v/>
      </c>
      <c r="AK172">
        <f>IF(OR(N172="",N172="OK"),0,1)</f>
        <v/>
      </c>
    </row>
    <row r="173">
      <c r="B173" s="24" t="n"/>
      <c r="C173" s="14" t="n"/>
      <c r="D173" s="14" t="n"/>
      <c r="E173" s="20" t="n"/>
      <c r="F173" s="24" t="n"/>
      <c r="G173" s="14" t="n"/>
      <c r="H173" s="22" t="n"/>
      <c r="I173" s="25">
        <f>IF(Q173="D",N(H173),0)</f>
        <v/>
      </c>
      <c r="J173" s="25">
        <f>IF(Q173="C",N(H173),0)</f>
        <v/>
      </c>
      <c r="K173" s="26">
        <f>IF(Z173="","",Z173)</f>
        <v/>
      </c>
      <c r="L173" s="27">
        <f>W173</f>
        <v/>
      </c>
      <c r="M173" s="28">
        <f>AA173</f>
        <v/>
      </c>
      <c r="N173" s="23">
        <f>IF(AND(B173="",C173="",D173="",N(H173)=0),"",IF(B173="","Enter the date",IF(C173="","Pick the party",IF(P173="?","Add this party on the Parties sheet first",IF(D173="","Pick the entry type",IF(Q173="?","Pick the entry type from the list",IF(N(H173)=0,"Enter the amount",IF(AND(R173&lt;&gt;"Any",R173&lt;&gt;P173),"Sales, receipts and credit notes are for debtors; purchases, payments and debit notes for creditors",IF(AND(F173&lt;&gt;"",D173&lt;&gt;"Purchase bill"),"The received-on date is only for purchase bills",IF(AND(P173="Creditor",X173=1,AA173&gt;0),"Past due to a micro or small supplier: interest runs under MSMED s.16, and if unpaid at year end it is not deductible that year, s.37(2)(g)",IF(AND(P173="Debtor",X173=1,AA173&gt;0),"Past due to you: as a micro or small supplier you can claim interest under MSMED s.16","OK")))))))))))</f>
        <v/>
      </c>
      <c r="P173">
        <f>IF(C173="","",IFERROR(VLOOKUP(C173,'Example Parties'!$B$13:$Q$112,2,FALSE),"?"))</f>
        <v/>
      </c>
      <c r="Q173">
        <f>IF(D173="","",IFERROR(VLOOKUP(D173,Lists!$A$2:$D$9,3,FALSE),"?"))</f>
        <v/>
      </c>
      <c r="R173">
        <f>IF(D173="","",IFERROR(VLOOKUP(D173,Lists!$A$2:$D$9,4,FALSE),"?"))</f>
        <v/>
      </c>
      <c r="S173">
        <f>IF(P173="Debtor",I173,IF(P173="Creditor",J173,0))</f>
        <v/>
      </c>
      <c r="T173">
        <f>IF(P173="Debtor",J173,IF(P173="Creditor",I173,0))</f>
        <v/>
      </c>
      <c r="U173">
        <f>IF(OR(S173=0,B173=""),0,IFERROR(VLOOKUP(C173,'Example Parties'!$B$13:$Q$112,13,FALSE),0)+SUMIFS($S$7:$S$506,$C$7:$C$506,C173,$B$7:$B$506,"&lt;"&amp;B173)+SUMIFS(S$7:S173,C$7:C173,C173,B$7:B173,B173))</f>
        <v/>
      </c>
      <c r="V173">
        <f>IF(S173=0,0,IFERROR(VLOOKUP(C173,'Example Parties'!$B$13:$Q$112,14,FALSE),0)+SUMIFS($T$7:$T$506,$C$7:$C$506,C173,$B$7:$B$506,"&lt;="&amp;'Example Outstanding'!$E$5))</f>
        <v/>
      </c>
      <c r="W173">
        <f>IF(OR('Example Outstanding'!$E$5="",S173=0,B173="",B173&gt;'Example Outstanding'!$E$5),0,MAX(0,MIN(S173,U173-V173)))</f>
        <v/>
      </c>
      <c r="X173">
        <f>IF(C173="",0,IFERROR(VLOOKUP(C173,'Example Parties'!$B$13:$Q$112,15,FALSE),0))</f>
        <v/>
      </c>
      <c r="Y173">
        <f>IF(C173="","",IFERROR(VLOOKUP(C173,'Example Parties'!$B$13:$Q$112,16,FALSE),0))</f>
        <v/>
      </c>
      <c r="Z173">
        <f>IF(OR(S173=0,B173="",Y173=""),"",IF(AND(F173&lt;&gt;"",D173="Purchase bill"),F173,B173)+Y173)</f>
        <v/>
      </c>
      <c r="AA173">
        <f>IF(OR(W173=0,Z173=""),0,MAX(0,'Example Outstanding'!$E$5-Z173))</f>
        <v/>
      </c>
      <c r="AB173">
        <f>IF(AND(X173=1,AA173&gt;0),W173*((1+3*N('Example Parties'!$E$10)/12)^(AA173*12/365)-1),0)</f>
        <v/>
      </c>
      <c r="AC173">
        <f>IF(W173=0,"",'Example Outstanding'!$E$5-B173)</f>
        <v/>
      </c>
      <c r="AD173">
        <f>IF(S173=0,0,IFERROR(VLOOKUP(C173,'Example Parties'!$B$13:$Q$112,14,FALSE),0)+SUMIFS($T$7:$T$506,$C$7:$C$506,C173,$B$7:$B$506,"&lt;="&amp;'Example Parties'!$E$8))</f>
        <v/>
      </c>
      <c r="AE173">
        <f>IF(OR('Example Parties'!$E$8="",S173=0,B173="",B173&gt;'Example Parties'!$E$8),0,MAX(0,MIN(S173,U173-AD173)))</f>
        <v/>
      </c>
      <c r="AF173">
        <f>IF(AND(P173="Creditor",X173=1,AE173&gt;0,Z173&lt;&gt;""),IF(Z173&lt;='Example Parties'!$E$8,AE173,0),0)</f>
        <v/>
      </c>
      <c r="AG173">
        <f>IF(OR(AE173=0,Z173=""),0,MAX(0,'Example Parties'!$E$8-Z173))</f>
        <v/>
      </c>
      <c r="AH173">
        <f>IF(AND(P173="Creditor",X173=1,AG173&gt;0),AE173*((1+3*N('Example Parties'!$E$10)/12)^(AG173*12/365)-1),0)</f>
        <v/>
      </c>
      <c r="AI173">
        <f>IF(AND(C173&lt;&gt;"",C173='Example Ledger'!$D$4,B173&lt;&gt;"",B173&gt;='Example Ledger'!$D$5,B173&lt;='Example Ledger'!$D$6),1,0)</f>
        <v/>
      </c>
      <c r="AJ173">
        <f>IF(AI173=1,SUM(AI$7:AI173),"")</f>
        <v/>
      </c>
      <c r="AK173">
        <f>IF(OR(N173="",N173="OK"),0,1)</f>
        <v/>
      </c>
    </row>
    <row r="174">
      <c r="B174" s="24" t="n"/>
      <c r="C174" s="14" t="n"/>
      <c r="D174" s="14" t="n"/>
      <c r="E174" s="20" t="n"/>
      <c r="F174" s="24" t="n"/>
      <c r="G174" s="14" t="n"/>
      <c r="H174" s="22" t="n"/>
      <c r="I174" s="25">
        <f>IF(Q174="D",N(H174),0)</f>
        <v/>
      </c>
      <c r="J174" s="25">
        <f>IF(Q174="C",N(H174),0)</f>
        <v/>
      </c>
      <c r="K174" s="26">
        <f>IF(Z174="","",Z174)</f>
        <v/>
      </c>
      <c r="L174" s="27">
        <f>W174</f>
        <v/>
      </c>
      <c r="M174" s="28">
        <f>AA174</f>
        <v/>
      </c>
      <c r="N174" s="23">
        <f>IF(AND(B174="",C174="",D174="",N(H174)=0),"",IF(B174="","Enter the date",IF(C174="","Pick the party",IF(P174="?","Add this party on the Parties sheet first",IF(D174="","Pick the entry type",IF(Q174="?","Pick the entry type from the list",IF(N(H174)=0,"Enter the amount",IF(AND(R174&lt;&gt;"Any",R174&lt;&gt;P174),"Sales, receipts and credit notes are for debtors; purchases, payments and debit notes for creditors",IF(AND(F174&lt;&gt;"",D174&lt;&gt;"Purchase bill"),"The received-on date is only for purchase bills",IF(AND(P174="Creditor",X174=1,AA174&gt;0),"Past due to a micro or small supplier: interest runs under MSMED s.16, and if unpaid at year end it is not deductible that year, s.37(2)(g)",IF(AND(P174="Debtor",X174=1,AA174&gt;0),"Past due to you: as a micro or small supplier you can claim interest under MSMED s.16","OK")))))))))))</f>
        <v/>
      </c>
      <c r="P174">
        <f>IF(C174="","",IFERROR(VLOOKUP(C174,'Example Parties'!$B$13:$Q$112,2,FALSE),"?"))</f>
        <v/>
      </c>
      <c r="Q174">
        <f>IF(D174="","",IFERROR(VLOOKUP(D174,Lists!$A$2:$D$9,3,FALSE),"?"))</f>
        <v/>
      </c>
      <c r="R174">
        <f>IF(D174="","",IFERROR(VLOOKUP(D174,Lists!$A$2:$D$9,4,FALSE),"?"))</f>
        <v/>
      </c>
      <c r="S174">
        <f>IF(P174="Debtor",I174,IF(P174="Creditor",J174,0))</f>
        <v/>
      </c>
      <c r="T174">
        <f>IF(P174="Debtor",J174,IF(P174="Creditor",I174,0))</f>
        <v/>
      </c>
      <c r="U174">
        <f>IF(OR(S174=0,B174=""),0,IFERROR(VLOOKUP(C174,'Example Parties'!$B$13:$Q$112,13,FALSE),0)+SUMIFS($S$7:$S$506,$C$7:$C$506,C174,$B$7:$B$506,"&lt;"&amp;B174)+SUMIFS(S$7:S174,C$7:C174,C174,B$7:B174,B174))</f>
        <v/>
      </c>
      <c r="V174">
        <f>IF(S174=0,0,IFERROR(VLOOKUP(C174,'Example Parties'!$B$13:$Q$112,14,FALSE),0)+SUMIFS($T$7:$T$506,$C$7:$C$506,C174,$B$7:$B$506,"&lt;="&amp;'Example Outstanding'!$E$5))</f>
        <v/>
      </c>
      <c r="W174">
        <f>IF(OR('Example Outstanding'!$E$5="",S174=0,B174="",B174&gt;'Example Outstanding'!$E$5),0,MAX(0,MIN(S174,U174-V174)))</f>
        <v/>
      </c>
      <c r="X174">
        <f>IF(C174="",0,IFERROR(VLOOKUP(C174,'Example Parties'!$B$13:$Q$112,15,FALSE),0))</f>
        <v/>
      </c>
      <c r="Y174">
        <f>IF(C174="","",IFERROR(VLOOKUP(C174,'Example Parties'!$B$13:$Q$112,16,FALSE),0))</f>
        <v/>
      </c>
      <c r="Z174">
        <f>IF(OR(S174=0,B174="",Y174=""),"",IF(AND(F174&lt;&gt;"",D174="Purchase bill"),F174,B174)+Y174)</f>
        <v/>
      </c>
      <c r="AA174">
        <f>IF(OR(W174=0,Z174=""),0,MAX(0,'Example Outstanding'!$E$5-Z174))</f>
        <v/>
      </c>
      <c r="AB174">
        <f>IF(AND(X174=1,AA174&gt;0),W174*((1+3*N('Example Parties'!$E$10)/12)^(AA174*12/365)-1),0)</f>
        <v/>
      </c>
      <c r="AC174">
        <f>IF(W174=0,"",'Example Outstanding'!$E$5-B174)</f>
        <v/>
      </c>
      <c r="AD174">
        <f>IF(S174=0,0,IFERROR(VLOOKUP(C174,'Example Parties'!$B$13:$Q$112,14,FALSE),0)+SUMIFS($T$7:$T$506,$C$7:$C$506,C174,$B$7:$B$506,"&lt;="&amp;'Example Parties'!$E$8))</f>
        <v/>
      </c>
      <c r="AE174">
        <f>IF(OR('Example Parties'!$E$8="",S174=0,B174="",B174&gt;'Example Parties'!$E$8),0,MAX(0,MIN(S174,U174-AD174)))</f>
        <v/>
      </c>
      <c r="AF174">
        <f>IF(AND(P174="Creditor",X174=1,AE174&gt;0,Z174&lt;&gt;""),IF(Z174&lt;='Example Parties'!$E$8,AE174,0),0)</f>
        <v/>
      </c>
      <c r="AG174">
        <f>IF(OR(AE174=0,Z174=""),0,MAX(0,'Example Parties'!$E$8-Z174))</f>
        <v/>
      </c>
      <c r="AH174">
        <f>IF(AND(P174="Creditor",X174=1,AG174&gt;0),AE174*((1+3*N('Example Parties'!$E$10)/12)^(AG174*12/365)-1),0)</f>
        <v/>
      </c>
      <c r="AI174">
        <f>IF(AND(C174&lt;&gt;"",C174='Example Ledger'!$D$4,B174&lt;&gt;"",B174&gt;='Example Ledger'!$D$5,B174&lt;='Example Ledger'!$D$6),1,0)</f>
        <v/>
      </c>
      <c r="AJ174">
        <f>IF(AI174=1,SUM(AI$7:AI174),"")</f>
        <v/>
      </c>
      <c r="AK174">
        <f>IF(OR(N174="",N174="OK"),0,1)</f>
        <v/>
      </c>
    </row>
    <row r="175">
      <c r="B175" s="24" t="n"/>
      <c r="C175" s="14" t="n"/>
      <c r="D175" s="14" t="n"/>
      <c r="E175" s="20" t="n"/>
      <c r="F175" s="24" t="n"/>
      <c r="G175" s="14" t="n"/>
      <c r="H175" s="22" t="n"/>
      <c r="I175" s="25">
        <f>IF(Q175="D",N(H175),0)</f>
        <v/>
      </c>
      <c r="J175" s="25">
        <f>IF(Q175="C",N(H175),0)</f>
        <v/>
      </c>
      <c r="K175" s="26">
        <f>IF(Z175="","",Z175)</f>
        <v/>
      </c>
      <c r="L175" s="27">
        <f>W175</f>
        <v/>
      </c>
      <c r="M175" s="28">
        <f>AA175</f>
        <v/>
      </c>
      <c r="N175" s="23">
        <f>IF(AND(B175="",C175="",D175="",N(H175)=0),"",IF(B175="","Enter the date",IF(C175="","Pick the party",IF(P175="?","Add this party on the Parties sheet first",IF(D175="","Pick the entry type",IF(Q175="?","Pick the entry type from the list",IF(N(H175)=0,"Enter the amount",IF(AND(R175&lt;&gt;"Any",R175&lt;&gt;P175),"Sales, receipts and credit notes are for debtors; purchases, payments and debit notes for creditors",IF(AND(F175&lt;&gt;"",D175&lt;&gt;"Purchase bill"),"The received-on date is only for purchase bills",IF(AND(P175="Creditor",X175=1,AA175&gt;0),"Past due to a micro or small supplier: interest runs under MSMED s.16, and if unpaid at year end it is not deductible that year, s.37(2)(g)",IF(AND(P175="Debtor",X175=1,AA175&gt;0),"Past due to you: as a micro or small supplier you can claim interest under MSMED s.16","OK")))))))))))</f>
        <v/>
      </c>
      <c r="P175">
        <f>IF(C175="","",IFERROR(VLOOKUP(C175,'Example Parties'!$B$13:$Q$112,2,FALSE),"?"))</f>
        <v/>
      </c>
      <c r="Q175">
        <f>IF(D175="","",IFERROR(VLOOKUP(D175,Lists!$A$2:$D$9,3,FALSE),"?"))</f>
        <v/>
      </c>
      <c r="R175">
        <f>IF(D175="","",IFERROR(VLOOKUP(D175,Lists!$A$2:$D$9,4,FALSE),"?"))</f>
        <v/>
      </c>
      <c r="S175">
        <f>IF(P175="Debtor",I175,IF(P175="Creditor",J175,0))</f>
        <v/>
      </c>
      <c r="T175">
        <f>IF(P175="Debtor",J175,IF(P175="Creditor",I175,0))</f>
        <v/>
      </c>
      <c r="U175">
        <f>IF(OR(S175=0,B175=""),0,IFERROR(VLOOKUP(C175,'Example Parties'!$B$13:$Q$112,13,FALSE),0)+SUMIFS($S$7:$S$506,$C$7:$C$506,C175,$B$7:$B$506,"&lt;"&amp;B175)+SUMIFS(S$7:S175,C$7:C175,C175,B$7:B175,B175))</f>
        <v/>
      </c>
      <c r="V175">
        <f>IF(S175=0,0,IFERROR(VLOOKUP(C175,'Example Parties'!$B$13:$Q$112,14,FALSE),0)+SUMIFS($T$7:$T$506,$C$7:$C$506,C175,$B$7:$B$506,"&lt;="&amp;'Example Outstanding'!$E$5))</f>
        <v/>
      </c>
      <c r="W175">
        <f>IF(OR('Example Outstanding'!$E$5="",S175=0,B175="",B175&gt;'Example Outstanding'!$E$5),0,MAX(0,MIN(S175,U175-V175)))</f>
        <v/>
      </c>
      <c r="X175">
        <f>IF(C175="",0,IFERROR(VLOOKUP(C175,'Example Parties'!$B$13:$Q$112,15,FALSE),0))</f>
        <v/>
      </c>
      <c r="Y175">
        <f>IF(C175="","",IFERROR(VLOOKUP(C175,'Example Parties'!$B$13:$Q$112,16,FALSE),0))</f>
        <v/>
      </c>
      <c r="Z175">
        <f>IF(OR(S175=0,B175="",Y175=""),"",IF(AND(F175&lt;&gt;"",D175="Purchase bill"),F175,B175)+Y175)</f>
        <v/>
      </c>
      <c r="AA175">
        <f>IF(OR(W175=0,Z175=""),0,MAX(0,'Example Outstanding'!$E$5-Z175))</f>
        <v/>
      </c>
      <c r="AB175">
        <f>IF(AND(X175=1,AA175&gt;0),W175*((1+3*N('Example Parties'!$E$10)/12)^(AA175*12/365)-1),0)</f>
        <v/>
      </c>
      <c r="AC175">
        <f>IF(W175=0,"",'Example Outstanding'!$E$5-B175)</f>
        <v/>
      </c>
      <c r="AD175">
        <f>IF(S175=0,0,IFERROR(VLOOKUP(C175,'Example Parties'!$B$13:$Q$112,14,FALSE),0)+SUMIFS($T$7:$T$506,$C$7:$C$506,C175,$B$7:$B$506,"&lt;="&amp;'Example Parties'!$E$8))</f>
        <v/>
      </c>
      <c r="AE175">
        <f>IF(OR('Example Parties'!$E$8="",S175=0,B175="",B175&gt;'Example Parties'!$E$8),0,MAX(0,MIN(S175,U175-AD175)))</f>
        <v/>
      </c>
      <c r="AF175">
        <f>IF(AND(P175="Creditor",X175=1,AE175&gt;0,Z175&lt;&gt;""),IF(Z175&lt;='Example Parties'!$E$8,AE175,0),0)</f>
        <v/>
      </c>
      <c r="AG175">
        <f>IF(OR(AE175=0,Z175=""),0,MAX(0,'Example Parties'!$E$8-Z175))</f>
        <v/>
      </c>
      <c r="AH175">
        <f>IF(AND(P175="Creditor",X175=1,AG175&gt;0),AE175*((1+3*N('Example Parties'!$E$10)/12)^(AG175*12/365)-1),0)</f>
        <v/>
      </c>
      <c r="AI175">
        <f>IF(AND(C175&lt;&gt;"",C175='Example Ledger'!$D$4,B175&lt;&gt;"",B175&gt;='Example Ledger'!$D$5,B175&lt;='Example Ledger'!$D$6),1,0)</f>
        <v/>
      </c>
      <c r="AJ175">
        <f>IF(AI175=1,SUM(AI$7:AI175),"")</f>
        <v/>
      </c>
      <c r="AK175">
        <f>IF(OR(N175="",N175="OK"),0,1)</f>
        <v/>
      </c>
    </row>
    <row r="176">
      <c r="B176" s="24" t="n"/>
      <c r="C176" s="14" t="n"/>
      <c r="D176" s="14" t="n"/>
      <c r="E176" s="20" t="n"/>
      <c r="F176" s="24" t="n"/>
      <c r="G176" s="14" t="n"/>
      <c r="H176" s="22" t="n"/>
      <c r="I176" s="25">
        <f>IF(Q176="D",N(H176),0)</f>
        <v/>
      </c>
      <c r="J176" s="25">
        <f>IF(Q176="C",N(H176),0)</f>
        <v/>
      </c>
      <c r="K176" s="26">
        <f>IF(Z176="","",Z176)</f>
        <v/>
      </c>
      <c r="L176" s="27">
        <f>W176</f>
        <v/>
      </c>
      <c r="M176" s="28">
        <f>AA176</f>
        <v/>
      </c>
      <c r="N176" s="23">
        <f>IF(AND(B176="",C176="",D176="",N(H176)=0),"",IF(B176="","Enter the date",IF(C176="","Pick the party",IF(P176="?","Add this party on the Parties sheet first",IF(D176="","Pick the entry type",IF(Q176="?","Pick the entry type from the list",IF(N(H176)=0,"Enter the amount",IF(AND(R176&lt;&gt;"Any",R176&lt;&gt;P176),"Sales, receipts and credit notes are for debtors; purchases, payments and debit notes for creditors",IF(AND(F176&lt;&gt;"",D176&lt;&gt;"Purchase bill"),"The received-on date is only for purchase bills",IF(AND(P176="Creditor",X176=1,AA176&gt;0),"Past due to a micro or small supplier: interest runs under MSMED s.16, and if unpaid at year end it is not deductible that year, s.37(2)(g)",IF(AND(P176="Debtor",X176=1,AA176&gt;0),"Past due to you: as a micro or small supplier you can claim interest under MSMED s.16","OK")))))))))))</f>
        <v/>
      </c>
      <c r="P176">
        <f>IF(C176="","",IFERROR(VLOOKUP(C176,'Example Parties'!$B$13:$Q$112,2,FALSE),"?"))</f>
        <v/>
      </c>
      <c r="Q176">
        <f>IF(D176="","",IFERROR(VLOOKUP(D176,Lists!$A$2:$D$9,3,FALSE),"?"))</f>
        <v/>
      </c>
      <c r="R176">
        <f>IF(D176="","",IFERROR(VLOOKUP(D176,Lists!$A$2:$D$9,4,FALSE),"?"))</f>
        <v/>
      </c>
      <c r="S176">
        <f>IF(P176="Debtor",I176,IF(P176="Creditor",J176,0))</f>
        <v/>
      </c>
      <c r="T176">
        <f>IF(P176="Debtor",J176,IF(P176="Creditor",I176,0))</f>
        <v/>
      </c>
      <c r="U176">
        <f>IF(OR(S176=0,B176=""),0,IFERROR(VLOOKUP(C176,'Example Parties'!$B$13:$Q$112,13,FALSE),0)+SUMIFS($S$7:$S$506,$C$7:$C$506,C176,$B$7:$B$506,"&lt;"&amp;B176)+SUMIFS(S$7:S176,C$7:C176,C176,B$7:B176,B176))</f>
        <v/>
      </c>
      <c r="V176">
        <f>IF(S176=0,0,IFERROR(VLOOKUP(C176,'Example Parties'!$B$13:$Q$112,14,FALSE),0)+SUMIFS($T$7:$T$506,$C$7:$C$506,C176,$B$7:$B$506,"&lt;="&amp;'Example Outstanding'!$E$5))</f>
        <v/>
      </c>
      <c r="W176">
        <f>IF(OR('Example Outstanding'!$E$5="",S176=0,B176="",B176&gt;'Example Outstanding'!$E$5),0,MAX(0,MIN(S176,U176-V176)))</f>
        <v/>
      </c>
      <c r="X176">
        <f>IF(C176="",0,IFERROR(VLOOKUP(C176,'Example Parties'!$B$13:$Q$112,15,FALSE),0))</f>
        <v/>
      </c>
      <c r="Y176">
        <f>IF(C176="","",IFERROR(VLOOKUP(C176,'Example Parties'!$B$13:$Q$112,16,FALSE),0))</f>
        <v/>
      </c>
      <c r="Z176">
        <f>IF(OR(S176=0,B176="",Y176=""),"",IF(AND(F176&lt;&gt;"",D176="Purchase bill"),F176,B176)+Y176)</f>
        <v/>
      </c>
      <c r="AA176">
        <f>IF(OR(W176=0,Z176=""),0,MAX(0,'Example Outstanding'!$E$5-Z176))</f>
        <v/>
      </c>
      <c r="AB176">
        <f>IF(AND(X176=1,AA176&gt;0),W176*((1+3*N('Example Parties'!$E$10)/12)^(AA176*12/365)-1),0)</f>
        <v/>
      </c>
      <c r="AC176">
        <f>IF(W176=0,"",'Example Outstanding'!$E$5-B176)</f>
        <v/>
      </c>
      <c r="AD176">
        <f>IF(S176=0,0,IFERROR(VLOOKUP(C176,'Example Parties'!$B$13:$Q$112,14,FALSE),0)+SUMIFS($T$7:$T$506,$C$7:$C$506,C176,$B$7:$B$506,"&lt;="&amp;'Example Parties'!$E$8))</f>
        <v/>
      </c>
      <c r="AE176">
        <f>IF(OR('Example Parties'!$E$8="",S176=0,B176="",B176&gt;'Example Parties'!$E$8),0,MAX(0,MIN(S176,U176-AD176)))</f>
        <v/>
      </c>
      <c r="AF176">
        <f>IF(AND(P176="Creditor",X176=1,AE176&gt;0,Z176&lt;&gt;""),IF(Z176&lt;='Example Parties'!$E$8,AE176,0),0)</f>
        <v/>
      </c>
      <c r="AG176">
        <f>IF(OR(AE176=0,Z176=""),0,MAX(0,'Example Parties'!$E$8-Z176))</f>
        <v/>
      </c>
      <c r="AH176">
        <f>IF(AND(P176="Creditor",X176=1,AG176&gt;0),AE176*((1+3*N('Example Parties'!$E$10)/12)^(AG176*12/365)-1),0)</f>
        <v/>
      </c>
      <c r="AI176">
        <f>IF(AND(C176&lt;&gt;"",C176='Example Ledger'!$D$4,B176&lt;&gt;"",B176&gt;='Example Ledger'!$D$5,B176&lt;='Example Ledger'!$D$6),1,0)</f>
        <v/>
      </c>
      <c r="AJ176">
        <f>IF(AI176=1,SUM(AI$7:AI176),"")</f>
        <v/>
      </c>
      <c r="AK176">
        <f>IF(OR(N176="",N176="OK"),0,1)</f>
        <v/>
      </c>
    </row>
    <row r="177">
      <c r="B177" s="24" t="n"/>
      <c r="C177" s="14" t="n"/>
      <c r="D177" s="14" t="n"/>
      <c r="E177" s="20" t="n"/>
      <c r="F177" s="24" t="n"/>
      <c r="G177" s="14" t="n"/>
      <c r="H177" s="22" t="n"/>
      <c r="I177" s="25">
        <f>IF(Q177="D",N(H177),0)</f>
        <v/>
      </c>
      <c r="J177" s="25">
        <f>IF(Q177="C",N(H177),0)</f>
        <v/>
      </c>
      <c r="K177" s="26">
        <f>IF(Z177="","",Z177)</f>
        <v/>
      </c>
      <c r="L177" s="27">
        <f>W177</f>
        <v/>
      </c>
      <c r="M177" s="28">
        <f>AA177</f>
        <v/>
      </c>
      <c r="N177" s="23">
        <f>IF(AND(B177="",C177="",D177="",N(H177)=0),"",IF(B177="","Enter the date",IF(C177="","Pick the party",IF(P177="?","Add this party on the Parties sheet first",IF(D177="","Pick the entry type",IF(Q177="?","Pick the entry type from the list",IF(N(H177)=0,"Enter the amount",IF(AND(R177&lt;&gt;"Any",R177&lt;&gt;P177),"Sales, receipts and credit notes are for debtors; purchases, payments and debit notes for creditors",IF(AND(F177&lt;&gt;"",D177&lt;&gt;"Purchase bill"),"The received-on date is only for purchase bills",IF(AND(P177="Creditor",X177=1,AA177&gt;0),"Past due to a micro or small supplier: interest runs under MSMED s.16, and if unpaid at year end it is not deductible that year, s.37(2)(g)",IF(AND(P177="Debtor",X177=1,AA177&gt;0),"Past due to you: as a micro or small supplier you can claim interest under MSMED s.16","OK")))))))))))</f>
        <v/>
      </c>
      <c r="P177">
        <f>IF(C177="","",IFERROR(VLOOKUP(C177,'Example Parties'!$B$13:$Q$112,2,FALSE),"?"))</f>
        <v/>
      </c>
      <c r="Q177">
        <f>IF(D177="","",IFERROR(VLOOKUP(D177,Lists!$A$2:$D$9,3,FALSE),"?"))</f>
        <v/>
      </c>
      <c r="R177">
        <f>IF(D177="","",IFERROR(VLOOKUP(D177,Lists!$A$2:$D$9,4,FALSE),"?"))</f>
        <v/>
      </c>
      <c r="S177">
        <f>IF(P177="Debtor",I177,IF(P177="Creditor",J177,0))</f>
        <v/>
      </c>
      <c r="T177">
        <f>IF(P177="Debtor",J177,IF(P177="Creditor",I177,0))</f>
        <v/>
      </c>
      <c r="U177">
        <f>IF(OR(S177=0,B177=""),0,IFERROR(VLOOKUP(C177,'Example Parties'!$B$13:$Q$112,13,FALSE),0)+SUMIFS($S$7:$S$506,$C$7:$C$506,C177,$B$7:$B$506,"&lt;"&amp;B177)+SUMIFS(S$7:S177,C$7:C177,C177,B$7:B177,B177))</f>
        <v/>
      </c>
      <c r="V177">
        <f>IF(S177=0,0,IFERROR(VLOOKUP(C177,'Example Parties'!$B$13:$Q$112,14,FALSE),0)+SUMIFS($T$7:$T$506,$C$7:$C$506,C177,$B$7:$B$506,"&lt;="&amp;'Example Outstanding'!$E$5))</f>
        <v/>
      </c>
      <c r="W177">
        <f>IF(OR('Example Outstanding'!$E$5="",S177=0,B177="",B177&gt;'Example Outstanding'!$E$5),0,MAX(0,MIN(S177,U177-V177)))</f>
        <v/>
      </c>
      <c r="X177">
        <f>IF(C177="",0,IFERROR(VLOOKUP(C177,'Example Parties'!$B$13:$Q$112,15,FALSE),0))</f>
        <v/>
      </c>
      <c r="Y177">
        <f>IF(C177="","",IFERROR(VLOOKUP(C177,'Example Parties'!$B$13:$Q$112,16,FALSE),0))</f>
        <v/>
      </c>
      <c r="Z177">
        <f>IF(OR(S177=0,B177="",Y177=""),"",IF(AND(F177&lt;&gt;"",D177="Purchase bill"),F177,B177)+Y177)</f>
        <v/>
      </c>
      <c r="AA177">
        <f>IF(OR(W177=0,Z177=""),0,MAX(0,'Example Outstanding'!$E$5-Z177))</f>
        <v/>
      </c>
      <c r="AB177">
        <f>IF(AND(X177=1,AA177&gt;0),W177*((1+3*N('Example Parties'!$E$10)/12)^(AA177*12/365)-1),0)</f>
        <v/>
      </c>
      <c r="AC177">
        <f>IF(W177=0,"",'Example Outstanding'!$E$5-B177)</f>
        <v/>
      </c>
      <c r="AD177">
        <f>IF(S177=0,0,IFERROR(VLOOKUP(C177,'Example Parties'!$B$13:$Q$112,14,FALSE),0)+SUMIFS($T$7:$T$506,$C$7:$C$506,C177,$B$7:$B$506,"&lt;="&amp;'Example Parties'!$E$8))</f>
        <v/>
      </c>
      <c r="AE177">
        <f>IF(OR('Example Parties'!$E$8="",S177=0,B177="",B177&gt;'Example Parties'!$E$8),0,MAX(0,MIN(S177,U177-AD177)))</f>
        <v/>
      </c>
      <c r="AF177">
        <f>IF(AND(P177="Creditor",X177=1,AE177&gt;0,Z177&lt;&gt;""),IF(Z177&lt;='Example Parties'!$E$8,AE177,0),0)</f>
        <v/>
      </c>
      <c r="AG177">
        <f>IF(OR(AE177=0,Z177=""),0,MAX(0,'Example Parties'!$E$8-Z177))</f>
        <v/>
      </c>
      <c r="AH177">
        <f>IF(AND(P177="Creditor",X177=1,AG177&gt;0),AE177*((1+3*N('Example Parties'!$E$10)/12)^(AG177*12/365)-1),0)</f>
        <v/>
      </c>
      <c r="AI177">
        <f>IF(AND(C177&lt;&gt;"",C177='Example Ledger'!$D$4,B177&lt;&gt;"",B177&gt;='Example Ledger'!$D$5,B177&lt;='Example Ledger'!$D$6),1,0)</f>
        <v/>
      </c>
      <c r="AJ177">
        <f>IF(AI177=1,SUM(AI$7:AI177),"")</f>
        <v/>
      </c>
      <c r="AK177">
        <f>IF(OR(N177="",N177="OK"),0,1)</f>
        <v/>
      </c>
    </row>
    <row r="178">
      <c r="B178" s="24" t="n"/>
      <c r="C178" s="14" t="n"/>
      <c r="D178" s="14" t="n"/>
      <c r="E178" s="20" t="n"/>
      <c r="F178" s="24" t="n"/>
      <c r="G178" s="14" t="n"/>
      <c r="H178" s="22" t="n"/>
      <c r="I178" s="25">
        <f>IF(Q178="D",N(H178),0)</f>
        <v/>
      </c>
      <c r="J178" s="25">
        <f>IF(Q178="C",N(H178),0)</f>
        <v/>
      </c>
      <c r="K178" s="26">
        <f>IF(Z178="","",Z178)</f>
        <v/>
      </c>
      <c r="L178" s="27">
        <f>W178</f>
        <v/>
      </c>
      <c r="M178" s="28">
        <f>AA178</f>
        <v/>
      </c>
      <c r="N178" s="23">
        <f>IF(AND(B178="",C178="",D178="",N(H178)=0),"",IF(B178="","Enter the date",IF(C178="","Pick the party",IF(P178="?","Add this party on the Parties sheet first",IF(D178="","Pick the entry type",IF(Q178="?","Pick the entry type from the list",IF(N(H178)=0,"Enter the amount",IF(AND(R178&lt;&gt;"Any",R178&lt;&gt;P178),"Sales, receipts and credit notes are for debtors; purchases, payments and debit notes for creditors",IF(AND(F178&lt;&gt;"",D178&lt;&gt;"Purchase bill"),"The received-on date is only for purchase bills",IF(AND(P178="Creditor",X178=1,AA178&gt;0),"Past due to a micro or small supplier: interest runs under MSMED s.16, and if unpaid at year end it is not deductible that year, s.37(2)(g)",IF(AND(P178="Debtor",X178=1,AA178&gt;0),"Past due to you: as a micro or small supplier you can claim interest under MSMED s.16","OK")))))))))))</f>
        <v/>
      </c>
      <c r="P178">
        <f>IF(C178="","",IFERROR(VLOOKUP(C178,'Example Parties'!$B$13:$Q$112,2,FALSE),"?"))</f>
        <v/>
      </c>
      <c r="Q178">
        <f>IF(D178="","",IFERROR(VLOOKUP(D178,Lists!$A$2:$D$9,3,FALSE),"?"))</f>
        <v/>
      </c>
      <c r="R178">
        <f>IF(D178="","",IFERROR(VLOOKUP(D178,Lists!$A$2:$D$9,4,FALSE),"?"))</f>
        <v/>
      </c>
      <c r="S178">
        <f>IF(P178="Debtor",I178,IF(P178="Creditor",J178,0))</f>
        <v/>
      </c>
      <c r="T178">
        <f>IF(P178="Debtor",J178,IF(P178="Creditor",I178,0))</f>
        <v/>
      </c>
      <c r="U178">
        <f>IF(OR(S178=0,B178=""),0,IFERROR(VLOOKUP(C178,'Example Parties'!$B$13:$Q$112,13,FALSE),0)+SUMIFS($S$7:$S$506,$C$7:$C$506,C178,$B$7:$B$506,"&lt;"&amp;B178)+SUMIFS(S$7:S178,C$7:C178,C178,B$7:B178,B178))</f>
        <v/>
      </c>
      <c r="V178">
        <f>IF(S178=0,0,IFERROR(VLOOKUP(C178,'Example Parties'!$B$13:$Q$112,14,FALSE),0)+SUMIFS($T$7:$T$506,$C$7:$C$506,C178,$B$7:$B$506,"&lt;="&amp;'Example Outstanding'!$E$5))</f>
        <v/>
      </c>
      <c r="W178">
        <f>IF(OR('Example Outstanding'!$E$5="",S178=0,B178="",B178&gt;'Example Outstanding'!$E$5),0,MAX(0,MIN(S178,U178-V178)))</f>
        <v/>
      </c>
      <c r="X178">
        <f>IF(C178="",0,IFERROR(VLOOKUP(C178,'Example Parties'!$B$13:$Q$112,15,FALSE),0))</f>
        <v/>
      </c>
      <c r="Y178">
        <f>IF(C178="","",IFERROR(VLOOKUP(C178,'Example Parties'!$B$13:$Q$112,16,FALSE),0))</f>
        <v/>
      </c>
      <c r="Z178">
        <f>IF(OR(S178=0,B178="",Y178=""),"",IF(AND(F178&lt;&gt;"",D178="Purchase bill"),F178,B178)+Y178)</f>
        <v/>
      </c>
      <c r="AA178">
        <f>IF(OR(W178=0,Z178=""),0,MAX(0,'Example Outstanding'!$E$5-Z178))</f>
        <v/>
      </c>
      <c r="AB178">
        <f>IF(AND(X178=1,AA178&gt;0),W178*((1+3*N('Example Parties'!$E$10)/12)^(AA178*12/365)-1),0)</f>
        <v/>
      </c>
      <c r="AC178">
        <f>IF(W178=0,"",'Example Outstanding'!$E$5-B178)</f>
        <v/>
      </c>
      <c r="AD178">
        <f>IF(S178=0,0,IFERROR(VLOOKUP(C178,'Example Parties'!$B$13:$Q$112,14,FALSE),0)+SUMIFS($T$7:$T$506,$C$7:$C$506,C178,$B$7:$B$506,"&lt;="&amp;'Example Parties'!$E$8))</f>
        <v/>
      </c>
      <c r="AE178">
        <f>IF(OR('Example Parties'!$E$8="",S178=0,B178="",B178&gt;'Example Parties'!$E$8),0,MAX(0,MIN(S178,U178-AD178)))</f>
        <v/>
      </c>
      <c r="AF178">
        <f>IF(AND(P178="Creditor",X178=1,AE178&gt;0,Z178&lt;&gt;""),IF(Z178&lt;='Example Parties'!$E$8,AE178,0),0)</f>
        <v/>
      </c>
      <c r="AG178">
        <f>IF(OR(AE178=0,Z178=""),0,MAX(0,'Example Parties'!$E$8-Z178))</f>
        <v/>
      </c>
      <c r="AH178">
        <f>IF(AND(P178="Creditor",X178=1,AG178&gt;0),AE178*((1+3*N('Example Parties'!$E$10)/12)^(AG178*12/365)-1),0)</f>
        <v/>
      </c>
      <c r="AI178">
        <f>IF(AND(C178&lt;&gt;"",C178='Example Ledger'!$D$4,B178&lt;&gt;"",B178&gt;='Example Ledger'!$D$5,B178&lt;='Example Ledger'!$D$6),1,0)</f>
        <v/>
      </c>
      <c r="AJ178">
        <f>IF(AI178=1,SUM(AI$7:AI178),"")</f>
        <v/>
      </c>
      <c r="AK178">
        <f>IF(OR(N178="",N178="OK"),0,1)</f>
        <v/>
      </c>
    </row>
    <row r="179">
      <c r="B179" s="24" t="n"/>
      <c r="C179" s="14" t="n"/>
      <c r="D179" s="14" t="n"/>
      <c r="E179" s="20" t="n"/>
      <c r="F179" s="24" t="n"/>
      <c r="G179" s="14" t="n"/>
      <c r="H179" s="22" t="n"/>
      <c r="I179" s="25">
        <f>IF(Q179="D",N(H179),0)</f>
        <v/>
      </c>
      <c r="J179" s="25">
        <f>IF(Q179="C",N(H179),0)</f>
        <v/>
      </c>
      <c r="K179" s="26">
        <f>IF(Z179="","",Z179)</f>
        <v/>
      </c>
      <c r="L179" s="27">
        <f>W179</f>
        <v/>
      </c>
      <c r="M179" s="28">
        <f>AA179</f>
        <v/>
      </c>
      <c r="N179" s="23">
        <f>IF(AND(B179="",C179="",D179="",N(H179)=0),"",IF(B179="","Enter the date",IF(C179="","Pick the party",IF(P179="?","Add this party on the Parties sheet first",IF(D179="","Pick the entry type",IF(Q179="?","Pick the entry type from the list",IF(N(H179)=0,"Enter the amount",IF(AND(R179&lt;&gt;"Any",R179&lt;&gt;P179),"Sales, receipts and credit notes are for debtors; purchases, payments and debit notes for creditors",IF(AND(F179&lt;&gt;"",D179&lt;&gt;"Purchase bill"),"The received-on date is only for purchase bills",IF(AND(P179="Creditor",X179=1,AA179&gt;0),"Past due to a micro or small supplier: interest runs under MSMED s.16, and if unpaid at year end it is not deductible that year, s.37(2)(g)",IF(AND(P179="Debtor",X179=1,AA179&gt;0),"Past due to you: as a micro or small supplier you can claim interest under MSMED s.16","OK")))))))))))</f>
        <v/>
      </c>
      <c r="P179">
        <f>IF(C179="","",IFERROR(VLOOKUP(C179,'Example Parties'!$B$13:$Q$112,2,FALSE),"?"))</f>
        <v/>
      </c>
      <c r="Q179">
        <f>IF(D179="","",IFERROR(VLOOKUP(D179,Lists!$A$2:$D$9,3,FALSE),"?"))</f>
        <v/>
      </c>
      <c r="R179">
        <f>IF(D179="","",IFERROR(VLOOKUP(D179,Lists!$A$2:$D$9,4,FALSE),"?"))</f>
        <v/>
      </c>
      <c r="S179">
        <f>IF(P179="Debtor",I179,IF(P179="Creditor",J179,0))</f>
        <v/>
      </c>
      <c r="T179">
        <f>IF(P179="Debtor",J179,IF(P179="Creditor",I179,0))</f>
        <v/>
      </c>
      <c r="U179">
        <f>IF(OR(S179=0,B179=""),0,IFERROR(VLOOKUP(C179,'Example Parties'!$B$13:$Q$112,13,FALSE),0)+SUMIFS($S$7:$S$506,$C$7:$C$506,C179,$B$7:$B$506,"&lt;"&amp;B179)+SUMIFS(S$7:S179,C$7:C179,C179,B$7:B179,B179))</f>
        <v/>
      </c>
      <c r="V179">
        <f>IF(S179=0,0,IFERROR(VLOOKUP(C179,'Example Parties'!$B$13:$Q$112,14,FALSE),0)+SUMIFS($T$7:$T$506,$C$7:$C$506,C179,$B$7:$B$506,"&lt;="&amp;'Example Outstanding'!$E$5))</f>
        <v/>
      </c>
      <c r="W179">
        <f>IF(OR('Example Outstanding'!$E$5="",S179=0,B179="",B179&gt;'Example Outstanding'!$E$5),0,MAX(0,MIN(S179,U179-V179)))</f>
        <v/>
      </c>
      <c r="X179">
        <f>IF(C179="",0,IFERROR(VLOOKUP(C179,'Example Parties'!$B$13:$Q$112,15,FALSE),0))</f>
        <v/>
      </c>
      <c r="Y179">
        <f>IF(C179="","",IFERROR(VLOOKUP(C179,'Example Parties'!$B$13:$Q$112,16,FALSE),0))</f>
        <v/>
      </c>
      <c r="Z179">
        <f>IF(OR(S179=0,B179="",Y179=""),"",IF(AND(F179&lt;&gt;"",D179="Purchase bill"),F179,B179)+Y179)</f>
        <v/>
      </c>
      <c r="AA179">
        <f>IF(OR(W179=0,Z179=""),0,MAX(0,'Example Outstanding'!$E$5-Z179))</f>
        <v/>
      </c>
      <c r="AB179">
        <f>IF(AND(X179=1,AA179&gt;0),W179*((1+3*N('Example Parties'!$E$10)/12)^(AA179*12/365)-1),0)</f>
        <v/>
      </c>
      <c r="AC179">
        <f>IF(W179=0,"",'Example Outstanding'!$E$5-B179)</f>
        <v/>
      </c>
      <c r="AD179">
        <f>IF(S179=0,0,IFERROR(VLOOKUP(C179,'Example Parties'!$B$13:$Q$112,14,FALSE),0)+SUMIFS($T$7:$T$506,$C$7:$C$506,C179,$B$7:$B$506,"&lt;="&amp;'Example Parties'!$E$8))</f>
        <v/>
      </c>
      <c r="AE179">
        <f>IF(OR('Example Parties'!$E$8="",S179=0,B179="",B179&gt;'Example Parties'!$E$8),0,MAX(0,MIN(S179,U179-AD179)))</f>
        <v/>
      </c>
      <c r="AF179">
        <f>IF(AND(P179="Creditor",X179=1,AE179&gt;0,Z179&lt;&gt;""),IF(Z179&lt;='Example Parties'!$E$8,AE179,0),0)</f>
        <v/>
      </c>
      <c r="AG179">
        <f>IF(OR(AE179=0,Z179=""),0,MAX(0,'Example Parties'!$E$8-Z179))</f>
        <v/>
      </c>
      <c r="AH179">
        <f>IF(AND(P179="Creditor",X179=1,AG179&gt;0),AE179*((1+3*N('Example Parties'!$E$10)/12)^(AG179*12/365)-1),0)</f>
        <v/>
      </c>
      <c r="AI179">
        <f>IF(AND(C179&lt;&gt;"",C179='Example Ledger'!$D$4,B179&lt;&gt;"",B179&gt;='Example Ledger'!$D$5,B179&lt;='Example Ledger'!$D$6),1,0)</f>
        <v/>
      </c>
      <c r="AJ179">
        <f>IF(AI179=1,SUM(AI$7:AI179),"")</f>
        <v/>
      </c>
      <c r="AK179">
        <f>IF(OR(N179="",N179="OK"),0,1)</f>
        <v/>
      </c>
    </row>
    <row r="180">
      <c r="B180" s="24" t="n"/>
      <c r="C180" s="14" t="n"/>
      <c r="D180" s="14" t="n"/>
      <c r="E180" s="20" t="n"/>
      <c r="F180" s="24" t="n"/>
      <c r="G180" s="14" t="n"/>
      <c r="H180" s="22" t="n"/>
      <c r="I180" s="25">
        <f>IF(Q180="D",N(H180),0)</f>
        <v/>
      </c>
      <c r="J180" s="25">
        <f>IF(Q180="C",N(H180),0)</f>
        <v/>
      </c>
      <c r="K180" s="26">
        <f>IF(Z180="","",Z180)</f>
        <v/>
      </c>
      <c r="L180" s="27">
        <f>W180</f>
        <v/>
      </c>
      <c r="M180" s="28">
        <f>AA180</f>
        <v/>
      </c>
      <c r="N180" s="23">
        <f>IF(AND(B180="",C180="",D180="",N(H180)=0),"",IF(B180="","Enter the date",IF(C180="","Pick the party",IF(P180="?","Add this party on the Parties sheet first",IF(D180="","Pick the entry type",IF(Q180="?","Pick the entry type from the list",IF(N(H180)=0,"Enter the amount",IF(AND(R180&lt;&gt;"Any",R180&lt;&gt;P180),"Sales, receipts and credit notes are for debtors; purchases, payments and debit notes for creditors",IF(AND(F180&lt;&gt;"",D180&lt;&gt;"Purchase bill"),"The received-on date is only for purchase bills",IF(AND(P180="Creditor",X180=1,AA180&gt;0),"Past due to a micro or small supplier: interest runs under MSMED s.16, and if unpaid at year end it is not deductible that year, s.37(2)(g)",IF(AND(P180="Debtor",X180=1,AA180&gt;0),"Past due to you: as a micro or small supplier you can claim interest under MSMED s.16","OK")))))))))))</f>
        <v/>
      </c>
      <c r="P180">
        <f>IF(C180="","",IFERROR(VLOOKUP(C180,'Example Parties'!$B$13:$Q$112,2,FALSE),"?"))</f>
        <v/>
      </c>
      <c r="Q180">
        <f>IF(D180="","",IFERROR(VLOOKUP(D180,Lists!$A$2:$D$9,3,FALSE),"?"))</f>
        <v/>
      </c>
      <c r="R180">
        <f>IF(D180="","",IFERROR(VLOOKUP(D180,Lists!$A$2:$D$9,4,FALSE),"?"))</f>
        <v/>
      </c>
      <c r="S180">
        <f>IF(P180="Debtor",I180,IF(P180="Creditor",J180,0))</f>
        <v/>
      </c>
      <c r="T180">
        <f>IF(P180="Debtor",J180,IF(P180="Creditor",I180,0))</f>
        <v/>
      </c>
      <c r="U180">
        <f>IF(OR(S180=0,B180=""),0,IFERROR(VLOOKUP(C180,'Example Parties'!$B$13:$Q$112,13,FALSE),0)+SUMIFS($S$7:$S$506,$C$7:$C$506,C180,$B$7:$B$506,"&lt;"&amp;B180)+SUMIFS(S$7:S180,C$7:C180,C180,B$7:B180,B180))</f>
        <v/>
      </c>
      <c r="V180">
        <f>IF(S180=0,0,IFERROR(VLOOKUP(C180,'Example Parties'!$B$13:$Q$112,14,FALSE),0)+SUMIFS($T$7:$T$506,$C$7:$C$506,C180,$B$7:$B$506,"&lt;="&amp;'Example Outstanding'!$E$5))</f>
        <v/>
      </c>
      <c r="W180">
        <f>IF(OR('Example Outstanding'!$E$5="",S180=0,B180="",B180&gt;'Example Outstanding'!$E$5),0,MAX(0,MIN(S180,U180-V180)))</f>
        <v/>
      </c>
      <c r="X180">
        <f>IF(C180="",0,IFERROR(VLOOKUP(C180,'Example Parties'!$B$13:$Q$112,15,FALSE),0))</f>
        <v/>
      </c>
      <c r="Y180">
        <f>IF(C180="","",IFERROR(VLOOKUP(C180,'Example Parties'!$B$13:$Q$112,16,FALSE),0))</f>
        <v/>
      </c>
      <c r="Z180">
        <f>IF(OR(S180=0,B180="",Y180=""),"",IF(AND(F180&lt;&gt;"",D180="Purchase bill"),F180,B180)+Y180)</f>
        <v/>
      </c>
      <c r="AA180">
        <f>IF(OR(W180=0,Z180=""),0,MAX(0,'Example Outstanding'!$E$5-Z180))</f>
        <v/>
      </c>
      <c r="AB180">
        <f>IF(AND(X180=1,AA180&gt;0),W180*((1+3*N('Example Parties'!$E$10)/12)^(AA180*12/365)-1),0)</f>
        <v/>
      </c>
      <c r="AC180">
        <f>IF(W180=0,"",'Example Outstanding'!$E$5-B180)</f>
        <v/>
      </c>
      <c r="AD180">
        <f>IF(S180=0,0,IFERROR(VLOOKUP(C180,'Example Parties'!$B$13:$Q$112,14,FALSE),0)+SUMIFS($T$7:$T$506,$C$7:$C$506,C180,$B$7:$B$506,"&lt;="&amp;'Example Parties'!$E$8))</f>
        <v/>
      </c>
      <c r="AE180">
        <f>IF(OR('Example Parties'!$E$8="",S180=0,B180="",B180&gt;'Example Parties'!$E$8),0,MAX(0,MIN(S180,U180-AD180)))</f>
        <v/>
      </c>
      <c r="AF180">
        <f>IF(AND(P180="Creditor",X180=1,AE180&gt;0,Z180&lt;&gt;""),IF(Z180&lt;='Example Parties'!$E$8,AE180,0),0)</f>
        <v/>
      </c>
      <c r="AG180">
        <f>IF(OR(AE180=0,Z180=""),0,MAX(0,'Example Parties'!$E$8-Z180))</f>
        <v/>
      </c>
      <c r="AH180">
        <f>IF(AND(P180="Creditor",X180=1,AG180&gt;0),AE180*((1+3*N('Example Parties'!$E$10)/12)^(AG180*12/365)-1),0)</f>
        <v/>
      </c>
      <c r="AI180">
        <f>IF(AND(C180&lt;&gt;"",C180='Example Ledger'!$D$4,B180&lt;&gt;"",B180&gt;='Example Ledger'!$D$5,B180&lt;='Example Ledger'!$D$6),1,0)</f>
        <v/>
      </c>
      <c r="AJ180">
        <f>IF(AI180=1,SUM(AI$7:AI180),"")</f>
        <v/>
      </c>
      <c r="AK180">
        <f>IF(OR(N180="",N180="OK"),0,1)</f>
        <v/>
      </c>
    </row>
    <row r="181">
      <c r="B181" s="24" t="n"/>
      <c r="C181" s="14" t="n"/>
      <c r="D181" s="14" t="n"/>
      <c r="E181" s="20" t="n"/>
      <c r="F181" s="24" t="n"/>
      <c r="G181" s="14" t="n"/>
      <c r="H181" s="22" t="n"/>
      <c r="I181" s="25">
        <f>IF(Q181="D",N(H181),0)</f>
        <v/>
      </c>
      <c r="J181" s="25">
        <f>IF(Q181="C",N(H181),0)</f>
        <v/>
      </c>
      <c r="K181" s="26">
        <f>IF(Z181="","",Z181)</f>
        <v/>
      </c>
      <c r="L181" s="27">
        <f>W181</f>
        <v/>
      </c>
      <c r="M181" s="28">
        <f>AA181</f>
        <v/>
      </c>
      <c r="N181" s="23">
        <f>IF(AND(B181="",C181="",D181="",N(H181)=0),"",IF(B181="","Enter the date",IF(C181="","Pick the party",IF(P181="?","Add this party on the Parties sheet first",IF(D181="","Pick the entry type",IF(Q181="?","Pick the entry type from the list",IF(N(H181)=0,"Enter the amount",IF(AND(R181&lt;&gt;"Any",R181&lt;&gt;P181),"Sales, receipts and credit notes are for debtors; purchases, payments and debit notes for creditors",IF(AND(F181&lt;&gt;"",D181&lt;&gt;"Purchase bill"),"The received-on date is only for purchase bills",IF(AND(P181="Creditor",X181=1,AA181&gt;0),"Past due to a micro or small supplier: interest runs under MSMED s.16, and if unpaid at year end it is not deductible that year, s.37(2)(g)",IF(AND(P181="Debtor",X181=1,AA181&gt;0),"Past due to you: as a micro or small supplier you can claim interest under MSMED s.16","OK")))))))))))</f>
        <v/>
      </c>
      <c r="P181">
        <f>IF(C181="","",IFERROR(VLOOKUP(C181,'Example Parties'!$B$13:$Q$112,2,FALSE),"?"))</f>
        <v/>
      </c>
      <c r="Q181">
        <f>IF(D181="","",IFERROR(VLOOKUP(D181,Lists!$A$2:$D$9,3,FALSE),"?"))</f>
        <v/>
      </c>
      <c r="R181">
        <f>IF(D181="","",IFERROR(VLOOKUP(D181,Lists!$A$2:$D$9,4,FALSE),"?"))</f>
        <v/>
      </c>
      <c r="S181">
        <f>IF(P181="Debtor",I181,IF(P181="Creditor",J181,0))</f>
        <v/>
      </c>
      <c r="T181">
        <f>IF(P181="Debtor",J181,IF(P181="Creditor",I181,0))</f>
        <v/>
      </c>
      <c r="U181">
        <f>IF(OR(S181=0,B181=""),0,IFERROR(VLOOKUP(C181,'Example Parties'!$B$13:$Q$112,13,FALSE),0)+SUMIFS($S$7:$S$506,$C$7:$C$506,C181,$B$7:$B$506,"&lt;"&amp;B181)+SUMIFS(S$7:S181,C$7:C181,C181,B$7:B181,B181))</f>
        <v/>
      </c>
      <c r="V181">
        <f>IF(S181=0,0,IFERROR(VLOOKUP(C181,'Example Parties'!$B$13:$Q$112,14,FALSE),0)+SUMIFS($T$7:$T$506,$C$7:$C$506,C181,$B$7:$B$506,"&lt;="&amp;'Example Outstanding'!$E$5))</f>
        <v/>
      </c>
      <c r="W181">
        <f>IF(OR('Example Outstanding'!$E$5="",S181=0,B181="",B181&gt;'Example Outstanding'!$E$5),0,MAX(0,MIN(S181,U181-V181)))</f>
        <v/>
      </c>
      <c r="X181">
        <f>IF(C181="",0,IFERROR(VLOOKUP(C181,'Example Parties'!$B$13:$Q$112,15,FALSE),0))</f>
        <v/>
      </c>
      <c r="Y181">
        <f>IF(C181="","",IFERROR(VLOOKUP(C181,'Example Parties'!$B$13:$Q$112,16,FALSE),0))</f>
        <v/>
      </c>
      <c r="Z181">
        <f>IF(OR(S181=0,B181="",Y181=""),"",IF(AND(F181&lt;&gt;"",D181="Purchase bill"),F181,B181)+Y181)</f>
        <v/>
      </c>
      <c r="AA181">
        <f>IF(OR(W181=0,Z181=""),0,MAX(0,'Example Outstanding'!$E$5-Z181))</f>
        <v/>
      </c>
      <c r="AB181">
        <f>IF(AND(X181=1,AA181&gt;0),W181*((1+3*N('Example Parties'!$E$10)/12)^(AA181*12/365)-1),0)</f>
        <v/>
      </c>
      <c r="AC181">
        <f>IF(W181=0,"",'Example Outstanding'!$E$5-B181)</f>
        <v/>
      </c>
      <c r="AD181">
        <f>IF(S181=0,0,IFERROR(VLOOKUP(C181,'Example Parties'!$B$13:$Q$112,14,FALSE),0)+SUMIFS($T$7:$T$506,$C$7:$C$506,C181,$B$7:$B$506,"&lt;="&amp;'Example Parties'!$E$8))</f>
        <v/>
      </c>
      <c r="AE181">
        <f>IF(OR('Example Parties'!$E$8="",S181=0,B181="",B181&gt;'Example Parties'!$E$8),0,MAX(0,MIN(S181,U181-AD181)))</f>
        <v/>
      </c>
      <c r="AF181">
        <f>IF(AND(P181="Creditor",X181=1,AE181&gt;0,Z181&lt;&gt;""),IF(Z181&lt;='Example Parties'!$E$8,AE181,0),0)</f>
        <v/>
      </c>
      <c r="AG181">
        <f>IF(OR(AE181=0,Z181=""),0,MAX(0,'Example Parties'!$E$8-Z181))</f>
        <v/>
      </c>
      <c r="AH181">
        <f>IF(AND(P181="Creditor",X181=1,AG181&gt;0),AE181*((1+3*N('Example Parties'!$E$10)/12)^(AG181*12/365)-1),0)</f>
        <v/>
      </c>
      <c r="AI181">
        <f>IF(AND(C181&lt;&gt;"",C181='Example Ledger'!$D$4,B181&lt;&gt;"",B181&gt;='Example Ledger'!$D$5,B181&lt;='Example Ledger'!$D$6),1,0)</f>
        <v/>
      </c>
      <c r="AJ181">
        <f>IF(AI181=1,SUM(AI$7:AI181),"")</f>
        <v/>
      </c>
      <c r="AK181">
        <f>IF(OR(N181="",N181="OK"),0,1)</f>
        <v/>
      </c>
    </row>
    <row r="182">
      <c r="B182" s="24" t="n"/>
      <c r="C182" s="14" t="n"/>
      <c r="D182" s="14" t="n"/>
      <c r="E182" s="20" t="n"/>
      <c r="F182" s="24" t="n"/>
      <c r="G182" s="14" t="n"/>
      <c r="H182" s="22" t="n"/>
      <c r="I182" s="25">
        <f>IF(Q182="D",N(H182),0)</f>
        <v/>
      </c>
      <c r="J182" s="25">
        <f>IF(Q182="C",N(H182),0)</f>
        <v/>
      </c>
      <c r="K182" s="26">
        <f>IF(Z182="","",Z182)</f>
        <v/>
      </c>
      <c r="L182" s="27">
        <f>W182</f>
        <v/>
      </c>
      <c r="M182" s="28">
        <f>AA182</f>
        <v/>
      </c>
      <c r="N182" s="23">
        <f>IF(AND(B182="",C182="",D182="",N(H182)=0),"",IF(B182="","Enter the date",IF(C182="","Pick the party",IF(P182="?","Add this party on the Parties sheet first",IF(D182="","Pick the entry type",IF(Q182="?","Pick the entry type from the list",IF(N(H182)=0,"Enter the amount",IF(AND(R182&lt;&gt;"Any",R182&lt;&gt;P182),"Sales, receipts and credit notes are for debtors; purchases, payments and debit notes for creditors",IF(AND(F182&lt;&gt;"",D182&lt;&gt;"Purchase bill"),"The received-on date is only for purchase bills",IF(AND(P182="Creditor",X182=1,AA182&gt;0),"Past due to a micro or small supplier: interest runs under MSMED s.16, and if unpaid at year end it is not deductible that year, s.37(2)(g)",IF(AND(P182="Debtor",X182=1,AA182&gt;0),"Past due to you: as a micro or small supplier you can claim interest under MSMED s.16","OK")))))))))))</f>
        <v/>
      </c>
      <c r="P182">
        <f>IF(C182="","",IFERROR(VLOOKUP(C182,'Example Parties'!$B$13:$Q$112,2,FALSE),"?"))</f>
        <v/>
      </c>
      <c r="Q182">
        <f>IF(D182="","",IFERROR(VLOOKUP(D182,Lists!$A$2:$D$9,3,FALSE),"?"))</f>
        <v/>
      </c>
      <c r="R182">
        <f>IF(D182="","",IFERROR(VLOOKUP(D182,Lists!$A$2:$D$9,4,FALSE),"?"))</f>
        <v/>
      </c>
      <c r="S182">
        <f>IF(P182="Debtor",I182,IF(P182="Creditor",J182,0))</f>
        <v/>
      </c>
      <c r="T182">
        <f>IF(P182="Debtor",J182,IF(P182="Creditor",I182,0))</f>
        <v/>
      </c>
      <c r="U182">
        <f>IF(OR(S182=0,B182=""),0,IFERROR(VLOOKUP(C182,'Example Parties'!$B$13:$Q$112,13,FALSE),0)+SUMIFS($S$7:$S$506,$C$7:$C$506,C182,$B$7:$B$506,"&lt;"&amp;B182)+SUMIFS(S$7:S182,C$7:C182,C182,B$7:B182,B182))</f>
        <v/>
      </c>
      <c r="V182">
        <f>IF(S182=0,0,IFERROR(VLOOKUP(C182,'Example Parties'!$B$13:$Q$112,14,FALSE),0)+SUMIFS($T$7:$T$506,$C$7:$C$506,C182,$B$7:$B$506,"&lt;="&amp;'Example Outstanding'!$E$5))</f>
        <v/>
      </c>
      <c r="W182">
        <f>IF(OR('Example Outstanding'!$E$5="",S182=0,B182="",B182&gt;'Example Outstanding'!$E$5),0,MAX(0,MIN(S182,U182-V182)))</f>
        <v/>
      </c>
      <c r="X182">
        <f>IF(C182="",0,IFERROR(VLOOKUP(C182,'Example Parties'!$B$13:$Q$112,15,FALSE),0))</f>
        <v/>
      </c>
      <c r="Y182">
        <f>IF(C182="","",IFERROR(VLOOKUP(C182,'Example Parties'!$B$13:$Q$112,16,FALSE),0))</f>
        <v/>
      </c>
      <c r="Z182">
        <f>IF(OR(S182=0,B182="",Y182=""),"",IF(AND(F182&lt;&gt;"",D182="Purchase bill"),F182,B182)+Y182)</f>
        <v/>
      </c>
      <c r="AA182">
        <f>IF(OR(W182=0,Z182=""),0,MAX(0,'Example Outstanding'!$E$5-Z182))</f>
        <v/>
      </c>
      <c r="AB182">
        <f>IF(AND(X182=1,AA182&gt;0),W182*((1+3*N('Example Parties'!$E$10)/12)^(AA182*12/365)-1),0)</f>
        <v/>
      </c>
      <c r="AC182">
        <f>IF(W182=0,"",'Example Outstanding'!$E$5-B182)</f>
        <v/>
      </c>
      <c r="AD182">
        <f>IF(S182=0,0,IFERROR(VLOOKUP(C182,'Example Parties'!$B$13:$Q$112,14,FALSE),0)+SUMIFS($T$7:$T$506,$C$7:$C$506,C182,$B$7:$B$506,"&lt;="&amp;'Example Parties'!$E$8))</f>
        <v/>
      </c>
      <c r="AE182">
        <f>IF(OR('Example Parties'!$E$8="",S182=0,B182="",B182&gt;'Example Parties'!$E$8),0,MAX(0,MIN(S182,U182-AD182)))</f>
        <v/>
      </c>
      <c r="AF182">
        <f>IF(AND(P182="Creditor",X182=1,AE182&gt;0,Z182&lt;&gt;""),IF(Z182&lt;='Example Parties'!$E$8,AE182,0),0)</f>
        <v/>
      </c>
      <c r="AG182">
        <f>IF(OR(AE182=0,Z182=""),0,MAX(0,'Example Parties'!$E$8-Z182))</f>
        <v/>
      </c>
      <c r="AH182">
        <f>IF(AND(P182="Creditor",X182=1,AG182&gt;0),AE182*((1+3*N('Example Parties'!$E$10)/12)^(AG182*12/365)-1),0)</f>
        <v/>
      </c>
      <c r="AI182">
        <f>IF(AND(C182&lt;&gt;"",C182='Example Ledger'!$D$4,B182&lt;&gt;"",B182&gt;='Example Ledger'!$D$5,B182&lt;='Example Ledger'!$D$6),1,0)</f>
        <v/>
      </c>
      <c r="AJ182">
        <f>IF(AI182=1,SUM(AI$7:AI182),"")</f>
        <v/>
      </c>
      <c r="AK182">
        <f>IF(OR(N182="",N182="OK"),0,1)</f>
        <v/>
      </c>
    </row>
    <row r="183">
      <c r="B183" s="24" t="n"/>
      <c r="C183" s="14" t="n"/>
      <c r="D183" s="14" t="n"/>
      <c r="E183" s="20" t="n"/>
      <c r="F183" s="24" t="n"/>
      <c r="G183" s="14" t="n"/>
      <c r="H183" s="22" t="n"/>
      <c r="I183" s="25">
        <f>IF(Q183="D",N(H183),0)</f>
        <v/>
      </c>
      <c r="J183" s="25">
        <f>IF(Q183="C",N(H183),0)</f>
        <v/>
      </c>
      <c r="K183" s="26">
        <f>IF(Z183="","",Z183)</f>
        <v/>
      </c>
      <c r="L183" s="27">
        <f>W183</f>
        <v/>
      </c>
      <c r="M183" s="28">
        <f>AA183</f>
        <v/>
      </c>
      <c r="N183" s="23">
        <f>IF(AND(B183="",C183="",D183="",N(H183)=0),"",IF(B183="","Enter the date",IF(C183="","Pick the party",IF(P183="?","Add this party on the Parties sheet first",IF(D183="","Pick the entry type",IF(Q183="?","Pick the entry type from the list",IF(N(H183)=0,"Enter the amount",IF(AND(R183&lt;&gt;"Any",R183&lt;&gt;P183),"Sales, receipts and credit notes are for debtors; purchases, payments and debit notes for creditors",IF(AND(F183&lt;&gt;"",D183&lt;&gt;"Purchase bill"),"The received-on date is only for purchase bills",IF(AND(P183="Creditor",X183=1,AA183&gt;0),"Past due to a micro or small supplier: interest runs under MSMED s.16, and if unpaid at year end it is not deductible that year, s.37(2)(g)",IF(AND(P183="Debtor",X183=1,AA183&gt;0),"Past due to you: as a micro or small supplier you can claim interest under MSMED s.16","OK")))))))))))</f>
        <v/>
      </c>
      <c r="P183">
        <f>IF(C183="","",IFERROR(VLOOKUP(C183,'Example Parties'!$B$13:$Q$112,2,FALSE),"?"))</f>
        <v/>
      </c>
      <c r="Q183">
        <f>IF(D183="","",IFERROR(VLOOKUP(D183,Lists!$A$2:$D$9,3,FALSE),"?"))</f>
        <v/>
      </c>
      <c r="R183">
        <f>IF(D183="","",IFERROR(VLOOKUP(D183,Lists!$A$2:$D$9,4,FALSE),"?"))</f>
        <v/>
      </c>
      <c r="S183">
        <f>IF(P183="Debtor",I183,IF(P183="Creditor",J183,0))</f>
        <v/>
      </c>
      <c r="T183">
        <f>IF(P183="Debtor",J183,IF(P183="Creditor",I183,0))</f>
        <v/>
      </c>
      <c r="U183">
        <f>IF(OR(S183=0,B183=""),0,IFERROR(VLOOKUP(C183,'Example Parties'!$B$13:$Q$112,13,FALSE),0)+SUMIFS($S$7:$S$506,$C$7:$C$506,C183,$B$7:$B$506,"&lt;"&amp;B183)+SUMIFS(S$7:S183,C$7:C183,C183,B$7:B183,B183))</f>
        <v/>
      </c>
      <c r="V183">
        <f>IF(S183=0,0,IFERROR(VLOOKUP(C183,'Example Parties'!$B$13:$Q$112,14,FALSE),0)+SUMIFS($T$7:$T$506,$C$7:$C$506,C183,$B$7:$B$506,"&lt;="&amp;'Example Outstanding'!$E$5))</f>
        <v/>
      </c>
      <c r="W183">
        <f>IF(OR('Example Outstanding'!$E$5="",S183=0,B183="",B183&gt;'Example Outstanding'!$E$5),0,MAX(0,MIN(S183,U183-V183)))</f>
        <v/>
      </c>
      <c r="X183">
        <f>IF(C183="",0,IFERROR(VLOOKUP(C183,'Example Parties'!$B$13:$Q$112,15,FALSE),0))</f>
        <v/>
      </c>
      <c r="Y183">
        <f>IF(C183="","",IFERROR(VLOOKUP(C183,'Example Parties'!$B$13:$Q$112,16,FALSE),0))</f>
        <v/>
      </c>
      <c r="Z183">
        <f>IF(OR(S183=0,B183="",Y183=""),"",IF(AND(F183&lt;&gt;"",D183="Purchase bill"),F183,B183)+Y183)</f>
        <v/>
      </c>
      <c r="AA183">
        <f>IF(OR(W183=0,Z183=""),0,MAX(0,'Example Outstanding'!$E$5-Z183))</f>
        <v/>
      </c>
      <c r="AB183">
        <f>IF(AND(X183=1,AA183&gt;0),W183*((1+3*N('Example Parties'!$E$10)/12)^(AA183*12/365)-1),0)</f>
        <v/>
      </c>
      <c r="AC183">
        <f>IF(W183=0,"",'Example Outstanding'!$E$5-B183)</f>
        <v/>
      </c>
      <c r="AD183">
        <f>IF(S183=0,0,IFERROR(VLOOKUP(C183,'Example Parties'!$B$13:$Q$112,14,FALSE),0)+SUMIFS($T$7:$T$506,$C$7:$C$506,C183,$B$7:$B$506,"&lt;="&amp;'Example Parties'!$E$8))</f>
        <v/>
      </c>
      <c r="AE183">
        <f>IF(OR('Example Parties'!$E$8="",S183=0,B183="",B183&gt;'Example Parties'!$E$8),0,MAX(0,MIN(S183,U183-AD183)))</f>
        <v/>
      </c>
      <c r="AF183">
        <f>IF(AND(P183="Creditor",X183=1,AE183&gt;0,Z183&lt;&gt;""),IF(Z183&lt;='Example Parties'!$E$8,AE183,0),0)</f>
        <v/>
      </c>
      <c r="AG183">
        <f>IF(OR(AE183=0,Z183=""),0,MAX(0,'Example Parties'!$E$8-Z183))</f>
        <v/>
      </c>
      <c r="AH183">
        <f>IF(AND(P183="Creditor",X183=1,AG183&gt;0),AE183*((1+3*N('Example Parties'!$E$10)/12)^(AG183*12/365)-1),0)</f>
        <v/>
      </c>
      <c r="AI183">
        <f>IF(AND(C183&lt;&gt;"",C183='Example Ledger'!$D$4,B183&lt;&gt;"",B183&gt;='Example Ledger'!$D$5,B183&lt;='Example Ledger'!$D$6),1,0)</f>
        <v/>
      </c>
      <c r="AJ183">
        <f>IF(AI183=1,SUM(AI$7:AI183),"")</f>
        <v/>
      </c>
      <c r="AK183">
        <f>IF(OR(N183="",N183="OK"),0,1)</f>
        <v/>
      </c>
    </row>
    <row r="184">
      <c r="B184" s="24" t="n"/>
      <c r="C184" s="14" t="n"/>
      <c r="D184" s="14" t="n"/>
      <c r="E184" s="20" t="n"/>
      <c r="F184" s="24" t="n"/>
      <c r="G184" s="14" t="n"/>
      <c r="H184" s="22" t="n"/>
      <c r="I184" s="25">
        <f>IF(Q184="D",N(H184),0)</f>
        <v/>
      </c>
      <c r="J184" s="25">
        <f>IF(Q184="C",N(H184),0)</f>
        <v/>
      </c>
      <c r="K184" s="26">
        <f>IF(Z184="","",Z184)</f>
        <v/>
      </c>
      <c r="L184" s="27">
        <f>W184</f>
        <v/>
      </c>
      <c r="M184" s="28">
        <f>AA184</f>
        <v/>
      </c>
      <c r="N184" s="23">
        <f>IF(AND(B184="",C184="",D184="",N(H184)=0),"",IF(B184="","Enter the date",IF(C184="","Pick the party",IF(P184="?","Add this party on the Parties sheet first",IF(D184="","Pick the entry type",IF(Q184="?","Pick the entry type from the list",IF(N(H184)=0,"Enter the amount",IF(AND(R184&lt;&gt;"Any",R184&lt;&gt;P184),"Sales, receipts and credit notes are for debtors; purchases, payments and debit notes for creditors",IF(AND(F184&lt;&gt;"",D184&lt;&gt;"Purchase bill"),"The received-on date is only for purchase bills",IF(AND(P184="Creditor",X184=1,AA184&gt;0),"Past due to a micro or small supplier: interest runs under MSMED s.16, and if unpaid at year end it is not deductible that year, s.37(2)(g)",IF(AND(P184="Debtor",X184=1,AA184&gt;0),"Past due to you: as a micro or small supplier you can claim interest under MSMED s.16","OK")))))))))))</f>
        <v/>
      </c>
      <c r="P184">
        <f>IF(C184="","",IFERROR(VLOOKUP(C184,'Example Parties'!$B$13:$Q$112,2,FALSE),"?"))</f>
        <v/>
      </c>
      <c r="Q184">
        <f>IF(D184="","",IFERROR(VLOOKUP(D184,Lists!$A$2:$D$9,3,FALSE),"?"))</f>
        <v/>
      </c>
      <c r="R184">
        <f>IF(D184="","",IFERROR(VLOOKUP(D184,Lists!$A$2:$D$9,4,FALSE),"?"))</f>
        <v/>
      </c>
      <c r="S184">
        <f>IF(P184="Debtor",I184,IF(P184="Creditor",J184,0))</f>
        <v/>
      </c>
      <c r="T184">
        <f>IF(P184="Debtor",J184,IF(P184="Creditor",I184,0))</f>
        <v/>
      </c>
      <c r="U184">
        <f>IF(OR(S184=0,B184=""),0,IFERROR(VLOOKUP(C184,'Example Parties'!$B$13:$Q$112,13,FALSE),0)+SUMIFS($S$7:$S$506,$C$7:$C$506,C184,$B$7:$B$506,"&lt;"&amp;B184)+SUMIFS(S$7:S184,C$7:C184,C184,B$7:B184,B184))</f>
        <v/>
      </c>
      <c r="V184">
        <f>IF(S184=0,0,IFERROR(VLOOKUP(C184,'Example Parties'!$B$13:$Q$112,14,FALSE),0)+SUMIFS($T$7:$T$506,$C$7:$C$506,C184,$B$7:$B$506,"&lt;="&amp;'Example Outstanding'!$E$5))</f>
        <v/>
      </c>
      <c r="W184">
        <f>IF(OR('Example Outstanding'!$E$5="",S184=0,B184="",B184&gt;'Example Outstanding'!$E$5),0,MAX(0,MIN(S184,U184-V184)))</f>
        <v/>
      </c>
      <c r="X184">
        <f>IF(C184="",0,IFERROR(VLOOKUP(C184,'Example Parties'!$B$13:$Q$112,15,FALSE),0))</f>
        <v/>
      </c>
      <c r="Y184">
        <f>IF(C184="","",IFERROR(VLOOKUP(C184,'Example Parties'!$B$13:$Q$112,16,FALSE),0))</f>
        <v/>
      </c>
      <c r="Z184">
        <f>IF(OR(S184=0,B184="",Y184=""),"",IF(AND(F184&lt;&gt;"",D184="Purchase bill"),F184,B184)+Y184)</f>
        <v/>
      </c>
      <c r="AA184">
        <f>IF(OR(W184=0,Z184=""),0,MAX(0,'Example Outstanding'!$E$5-Z184))</f>
        <v/>
      </c>
      <c r="AB184">
        <f>IF(AND(X184=1,AA184&gt;0),W184*((1+3*N('Example Parties'!$E$10)/12)^(AA184*12/365)-1),0)</f>
        <v/>
      </c>
      <c r="AC184">
        <f>IF(W184=0,"",'Example Outstanding'!$E$5-B184)</f>
        <v/>
      </c>
      <c r="AD184">
        <f>IF(S184=0,0,IFERROR(VLOOKUP(C184,'Example Parties'!$B$13:$Q$112,14,FALSE),0)+SUMIFS($T$7:$T$506,$C$7:$C$506,C184,$B$7:$B$506,"&lt;="&amp;'Example Parties'!$E$8))</f>
        <v/>
      </c>
      <c r="AE184">
        <f>IF(OR('Example Parties'!$E$8="",S184=0,B184="",B184&gt;'Example Parties'!$E$8),0,MAX(0,MIN(S184,U184-AD184)))</f>
        <v/>
      </c>
      <c r="AF184">
        <f>IF(AND(P184="Creditor",X184=1,AE184&gt;0,Z184&lt;&gt;""),IF(Z184&lt;='Example Parties'!$E$8,AE184,0),0)</f>
        <v/>
      </c>
      <c r="AG184">
        <f>IF(OR(AE184=0,Z184=""),0,MAX(0,'Example Parties'!$E$8-Z184))</f>
        <v/>
      </c>
      <c r="AH184">
        <f>IF(AND(P184="Creditor",X184=1,AG184&gt;0),AE184*((1+3*N('Example Parties'!$E$10)/12)^(AG184*12/365)-1),0)</f>
        <v/>
      </c>
      <c r="AI184">
        <f>IF(AND(C184&lt;&gt;"",C184='Example Ledger'!$D$4,B184&lt;&gt;"",B184&gt;='Example Ledger'!$D$5,B184&lt;='Example Ledger'!$D$6),1,0)</f>
        <v/>
      </c>
      <c r="AJ184">
        <f>IF(AI184=1,SUM(AI$7:AI184),"")</f>
        <v/>
      </c>
      <c r="AK184">
        <f>IF(OR(N184="",N184="OK"),0,1)</f>
        <v/>
      </c>
    </row>
    <row r="185">
      <c r="B185" s="24" t="n"/>
      <c r="C185" s="14" t="n"/>
      <c r="D185" s="14" t="n"/>
      <c r="E185" s="20" t="n"/>
      <c r="F185" s="24" t="n"/>
      <c r="G185" s="14" t="n"/>
      <c r="H185" s="22" t="n"/>
      <c r="I185" s="25">
        <f>IF(Q185="D",N(H185),0)</f>
        <v/>
      </c>
      <c r="J185" s="25">
        <f>IF(Q185="C",N(H185),0)</f>
        <v/>
      </c>
      <c r="K185" s="26">
        <f>IF(Z185="","",Z185)</f>
        <v/>
      </c>
      <c r="L185" s="27">
        <f>W185</f>
        <v/>
      </c>
      <c r="M185" s="28">
        <f>AA185</f>
        <v/>
      </c>
      <c r="N185" s="23">
        <f>IF(AND(B185="",C185="",D185="",N(H185)=0),"",IF(B185="","Enter the date",IF(C185="","Pick the party",IF(P185="?","Add this party on the Parties sheet first",IF(D185="","Pick the entry type",IF(Q185="?","Pick the entry type from the list",IF(N(H185)=0,"Enter the amount",IF(AND(R185&lt;&gt;"Any",R185&lt;&gt;P185),"Sales, receipts and credit notes are for debtors; purchases, payments and debit notes for creditors",IF(AND(F185&lt;&gt;"",D185&lt;&gt;"Purchase bill"),"The received-on date is only for purchase bills",IF(AND(P185="Creditor",X185=1,AA185&gt;0),"Past due to a micro or small supplier: interest runs under MSMED s.16, and if unpaid at year end it is not deductible that year, s.37(2)(g)",IF(AND(P185="Debtor",X185=1,AA185&gt;0),"Past due to you: as a micro or small supplier you can claim interest under MSMED s.16","OK")))))))))))</f>
        <v/>
      </c>
      <c r="P185">
        <f>IF(C185="","",IFERROR(VLOOKUP(C185,'Example Parties'!$B$13:$Q$112,2,FALSE),"?"))</f>
        <v/>
      </c>
      <c r="Q185">
        <f>IF(D185="","",IFERROR(VLOOKUP(D185,Lists!$A$2:$D$9,3,FALSE),"?"))</f>
        <v/>
      </c>
      <c r="R185">
        <f>IF(D185="","",IFERROR(VLOOKUP(D185,Lists!$A$2:$D$9,4,FALSE),"?"))</f>
        <v/>
      </c>
      <c r="S185">
        <f>IF(P185="Debtor",I185,IF(P185="Creditor",J185,0))</f>
        <v/>
      </c>
      <c r="T185">
        <f>IF(P185="Debtor",J185,IF(P185="Creditor",I185,0))</f>
        <v/>
      </c>
      <c r="U185">
        <f>IF(OR(S185=0,B185=""),0,IFERROR(VLOOKUP(C185,'Example Parties'!$B$13:$Q$112,13,FALSE),0)+SUMIFS($S$7:$S$506,$C$7:$C$506,C185,$B$7:$B$506,"&lt;"&amp;B185)+SUMIFS(S$7:S185,C$7:C185,C185,B$7:B185,B185))</f>
        <v/>
      </c>
      <c r="V185">
        <f>IF(S185=0,0,IFERROR(VLOOKUP(C185,'Example Parties'!$B$13:$Q$112,14,FALSE),0)+SUMIFS($T$7:$T$506,$C$7:$C$506,C185,$B$7:$B$506,"&lt;="&amp;'Example Outstanding'!$E$5))</f>
        <v/>
      </c>
      <c r="W185">
        <f>IF(OR('Example Outstanding'!$E$5="",S185=0,B185="",B185&gt;'Example Outstanding'!$E$5),0,MAX(0,MIN(S185,U185-V185)))</f>
        <v/>
      </c>
      <c r="X185">
        <f>IF(C185="",0,IFERROR(VLOOKUP(C185,'Example Parties'!$B$13:$Q$112,15,FALSE),0))</f>
        <v/>
      </c>
      <c r="Y185">
        <f>IF(C185="","",IFERROR(VLOOKUP(C185,'Example Parties'!$B$13:$Q$112,16,FALSE),0))</f>
        <v/>
      </c>
      <c r="Z185">
        <f>IF(OR(S185=0,B185="",Y185=""),"",IF(AND(F185&lt;&gt;"",D185="Purchase bill"),F185,B185)+Y185)</f>
        <v/>
      </c>
      <c r="AA185">
        <f>IF(OR(W185=0,Z185=""),0,MAX(0,'Example Outstanding'!$E$5-Z185))</f>
        <v/>
      </c>
      <c r="AB185">
        <f>IF(AND(X185=1,AA185&gt;0),W185*((1+3*N('Example Parties'!$E$10)/12)^(AA185*12/365)-1),0)</f>
        <v/>
      </c>
      <c r="AC185">
        <f>IF(W185=0,"",'Example Outstanding'!$E$5-B185)</f>
        <v/>
      </c>
      <c r="AD185">
        <f>IF(S185=0,0,IFERROR(VLOOKUP(C185,'Example Parties'!$B$13:$Q$112,14,FALSE),0)+SUMIFS($T$7:$T$506,$C$7:$C$506,C185,$B$7:$B$506,"&lt;="&amp;'Example Parties'!$E$8))</f>
        <v/>
      </c>
      <c r="AE185">
        <f>IF(OR('Example Parties'!$E$8="",S185=0,B185="",B185&gt;'Example Parties'!$E$8),0,MAX(0,MIN(S185,U185-AD185)))</f>
        <v/>
      </c>
      <c r="AF185">
        <f>IF(AND(P185="Creditor",X185=1,AE185&gt;0,Z185&lt;&gt;""),IF(Z185&lt;='Example Parties'!$E$8,AE185,0),0)</f>
        <v/>
      </c>
      <c r="AG185">
        <f>IF(OR(AE185=0,Z185=""),0,MAX(0,'Example Parties'!$E$8-Z185))</f>
        <v/>
      </c>
      <c r="AH185">
        <f>IF(AND(P185="Creditor",X185=1,AG185&gt;0),AE185*((1+3*N('Example Parties'!$E$10)/12)^(AG185*12/365)-1),0)</f>
        <v/>
      </c>
      <c r="AI185">
        <f>IF(AND(C185&lt;&gt;"",C185='Example Ledger'!$D$4,B185&lt;&gt;"",B185&gt;='Example Ledger'!$D$5,B185&lt;='Example Ledger'!$D$6),1,0)</f>
        <v/>
      </c>
      <c r="AJ185">
        <f>IF(AI185=1,SUM(AI$7:AI185),"")</f>
        <v/>
      </c>
      <c r="AK185">
        <f>IF(OR(N185="",N185="OK"),0,1)</f>
        <v/>
      </c>
    </row>
    <row r="186">
      <c r="B186" s="24" t="n"/>
      <c r="C186" s="14" t="n"/>
      <c r="D186" s="14" t="n"/>
      <c r="E186" s="20" t="n"/>
      <c r="F186" s="24" t="n"/>
      <c r="G186" s="14" t="n"/>
      <c r="H186" s="22" t="n"/>
      <c r="I186" s="25">
        <f>IF(Q186="D",N(H186),0)</f>
        <v/>
      </c>
      <c r="J186" s="25">
        <f>IF(Q186="C",N(H186),0)</f>
        <v/>
      </c>
      <c r="K186" s="26">
        <f>IF(Z186="","",Z186)</f>
        <v/>
      </c>
      <c r="L186" s="27">
        <f>W186</f>
        <v/>
      </c>
      <c r="M186" s="28">
        <f>AA186</f>
        <v/>
      </c>
      <c r="N186" s="23">
        <f>IF(AND(B186="",C186="",D186="",N(H186)=0),"",IF(B186="","Enter the date",IF(C186="","Pick the party",IF(P186="?","Add this party on the Parties sheet first",IF(D186="","Pick the entry type",IF(Q186="?","Pick the entry type from the list",IF(N(H186)=0,"Enter the amount",IF(AND(R186&lt;&gt;"Any",R186&lt;&gt;P186),"Sales, receipts and credit notes are for debtors; purchases, payments and debit notes for creditors",IF(AND(F186&lt;&gt;"",D186&lt;&gt;"Purchase bill"),"The received-on date is only for purchase bills",IF(AND(P186="Creditor",X186=1,AA186&gt;0),"Past due to a micro or small supplier: interest runs under MSMED s.16, and if unpaid at year end it is not deductible that year, s.37(2)(g)",IF(AND(P186="Debtor",X186=1,AA186&gt;0),"Past due to you: as a micro or small supplier you can claim interest under MSMED s.16","OK")))))))))))</f>
        <v/>
      </c>
      <c r="P186">
        <f>IF(C186="","",IFERROR(VLOOKUP(C186,'Example Parties'!$B$13:$Q$112,2,FALSE),"?"))</f>
        <v/>
      </c>
      <c r="Q186">
        <f>IF(D186="","",IFERROR(VLOOKUP(D186,Lists!$A$2:$D$9,3,FALSE),"?"))</f>
        <v/>
      </c>
      <c r="R186">
        <f>IF(D186="","",IFERROR(VLOOKUP(D186,Lists!$A$2:$D$9,4,FALSE),"?"))</f>
        <v/>
      </c>
      <c r="S186">
        <f>IF(P186="Debtor",I186,IF(P186="Creditor",J186,0))</f>
        <v/>
      </c>
      <c r="T186">
        <f>IF(P186="Debtor",J186,IF(P186="Creditor",I186,0))</f>
        <v/>
      </c>
      <c r="U186">
        <f>IF(OR(S186=0,B186=""),0,IFERROR(VLOOKUP(C186,'Example Parties'!$B$13:$Q$112,13,FALSE),0)+SUMIFS($S$7:$S$506,$C$7:$C$506,C186,$B$7:$B$506,"&lt;"&amp;B186)+SUMIFS(S$7:S186,C$7:C186,C186,B$7:B186,B186))</f>
        <v/>
      </c>
      <c r="V186">
        <f>IF(S186=0,0,IFERROR(VLOOKUP(C186,'Example Parties'!$B$13:$Q$112,14,FALSE),0)+SUMIFS($T$7:$T$506,$C$7:$C$506,C186,$B$7:$B$506,"&lt;="&amp;'Example Outstanding'!$E$5))</f>
        <v/>
      </c>
      <c r="W186">
        <f>IF(OR('Example Outstanding'!$E$5="",S186=0,B186="",B186&gt;'Example Outstanding'!$E$5),0,MAX(0,MIN(S186,U186-V186)))</f>
        <v/>
      </c>
      <c r="X186">
        <f>IF(C186="",0,IFERROR(VLOOKUP(C186,'Example Parties'!$B$13:$Q$112,15,FALSE),0))</f>
        <v/>
      </c>
      <c r="Y186">
        <f>IF(C186="","",IFERROR(VLOOKUP(C186,'Example Parties'!$B$13:$Q$112,16,FALSE),0))</f>
        <v/>
      </c>
      <c r="Z186">
        <f>IF(OR(S186=0,B186="",Y186=""),"",IF(AND(F186&lt;&gt;"",D186="Purchase bill"),F186,B186)+Y186)</f>
        <v/>
      </c>
      <c r="AA186">
        <f>IF(OR(W186=0,Z186=""),0,MAX(0,'Example Outstanding'!$E$5-Z186))</f>
        <v/>
      </c>
      <c r="AB186">
        <f>IF(AND(X186=1,AA186&gt;0),W186*((1+3*N('Example Parties'!$E$10)/12)^(AA186*12/365)-1),0)</f>
        <v/>
      </c>
      <c r="AC186">
        <f>IF(W186=0,"",'Example Outstanding'!$E$5-B186)</f>
        <v/>
      </c>
      <c r="AD186">
        <f>IF(S186=0,0,IFERROR(VLOOKUP(C186,'Example Parties'!$B$13:$Q$112,14,FALSE),0)+SUMIFS($T$7:$T$506,$C$7:$C$506,C186,$B$7:$B$506,"&lt;="&amp;'Example Parties'!$E$8))</f>
        <v/>
      </c>
      <c r="AE186">
        <f>IF(OR('Example Parties'!$E$8="",S186=0,B186="",B186&gt;'Example Parties'!$E$8),0,MAX(0,MIN(S186,U186-AD186)))</f>
        <v/>
      </c>
      <c r="AF186">
        <f>IF(AND(P186="Creditor",X186=1,AE186&gt;0,Z186&lt;&gt;""),IF(Z186&lt;='Example Parties'!$E$8,AE186,0),0)</f>
        <v/>
      </c>
      <c r="AG186">
        <f>IF(OR(AE186=0,Z186=""),0,MAX(0,'Example Parties'!$E$8-Z186))</f>
        <v/>
      </c>
      <c r="AH186">
        <f>IF(AND(P186="Creditor",X186=1,AG186&gt;0),AE186*((1+3*N('Example Parties'!$E$10)/12)^(AG186*12/365)-1),0)</f>
        <v/>
      </c>
      <c r="AI186">
        <f>IF(AND(C186&lt;&gt;"",C186='Example Ledger'!$D$4,B186&lt;&gt;"",B186&gt;='Example Ledger'!$D$5,B186&lt;='Example Ledger'!$D$6),1,0)</f>
        <v/>
      </c>
      <c r="AJ186">
        <f>IF(AI186=1,SUM(AI$7:AI186),"")</f>
        <v/>
      </c>
      <c r="AK186">
        <f>IF(OR(N186="",N186="OK"),0,1)</f>
        <v/>
      </c>
    </row>
    <row r="187">
      <c r="B187" s="24" t="n"/>
      <c r="C187" s="14" t="n"/>
      <c r="D187" s="14" t="n"/>
      <c r="E187" s="20" t="n"/>
      <c r="F187" s="24" t="n"/>
      <c r="G187" s="14" t="n"/>
      <c r="H187" s="22" t="n"/>
      <c r="I187" s="25">
        <f>IF(Q187="D",N(H187),0)</f>
        <v/>
      </c>
      <c r="J187" s="25">
        <f>IF(Q187="C",N(H187),0)</f>
        <v/>
      </c>
      <c r="K187" s="26">
        <f>IF(Z187="","",Z187)</f>
        <v/>
      </c>
      <c r="L187" s="27">
        <f>W187</f>
        <v/>
      </c>
      <c r="M187" s="28">
        <f>AA187</f>
        <v/>
      </c>
      <c r="N187" s="23">
        <f>IF(AND(B187="",C187="",D187="",N(H187)=0),"",IF(B187="","Enter the date",IF(C187="","Pick the party",IF(P187="?","Add this party on the Parties sheet first",IF(D187="","Pick the entry type",IF(Q187="?","Pick the entry type from the list",IF(N(H187)=0,"Enter the amount",IF(AND(R187&lt;&gt;"Any",R187&lt;&gt;P187),"Sales, receipts and credit notes are for debtors; purchases, payments and debit notes for creditors",IF(AND(F187&lt;&gt;"",D187&lt;&gt;"Purchase bill"),"The received-on date is only for purchase bills",IF(AND(P187="Creditor",X187=1,AA187&gt;0),"Past due to a micro or small supplier: interest runs under MSMED s.16, and if unpaid at year end it is not deductible that year, s.37(2)(g)",IF(AND(P187="Debtor",X187=1,AA187&gt;0),"Past due to you: as a micro or small supplier you can claim interest under MSMED s.16","OK")))))))))))</f>
        <v/>
      </c>
      <c r="P187">
        <f>IF(C187="","",IFERROR(VLOOKUP(C187,'Example Parties'!$B$13:$Q$112,2,FALSE),"?"))</f>
        <v/>
      </c>
      <c r="Q187">
        <f>IF(D187="","",IFERROR(VLOOKUP(D187,Lists!$A$2:$D$9,3,FALSE),"?"))</f>
        <v/>
      </c>
      <c r="R187">
        <f>IF(D187="","",IFERROR(VLOOKUP(D187,Lists!$A$2:$D$9,4,FALSE),"?"))</f>
        <v/>
      </c>
      <c r="S187">
        <f>IF(P187="Debtor",I187,IF(P187="Creditor",J187,0))</f>
        <v/>
      </c>
      <c r="T187">
        <f>IF(P187="Debtor",J187,IF(P187="Creditor",I187,0))</f>
        <v/>
      </c>
      <c r="U187">
        <f>IF(OR(S187=0,B187=""),0,IFERROR(VLOOKUP(C187,'Example Parties'!$B$13:$Q$112,13,FALSE),0)+SUMIFS($S$7:$S$506,$C$7:$C$506,C187,$B$7:$B$506,"&lt;"&amp;B187)+SUMIFS(S$7:S187,C$7:C187,C187,B$7:B187,B187))</f>
        <v/>
      </c>
      <c r="V187">
        <f>IF(S187=0,0,IFERROR(VLOOKUP(C187,'Example Parties'!$B$13:$Q$112,14,FALSE),0)+SUMIFS($T$7:$T$506,$C$7:$C$506,C187,$B$7:$B$506,"&lt;="&amp;'Example Outstanding'!$E$5))</f>
        <v/>
      </c>
      <c r="W187">
        <f>IF(OR('Example Outstanding'!$E$5="",S187=0,B187="",B187&gt;'Example Outstanding'!$E$5),0,MAX(0,MIN(S187,U187-V187)))</f>
        <v/>
      </c>
      <c r="X187">
        <f>IF(C187="",0,IFERROR(VLOOKUP(C187,'Example Parties'!$B$13:$Q$112,15,FALSE),0))</f>
        <v/>
      </c>
      <c r="Y187">
        <f>IF(C187="","",IFERROR(VLOOKUP(C187,'Example Parties'!$B$13:$Q$112,16,FALSE),0))</f>
        <v/>
      </c>
      <c r="Z187">
        <f>IF(OR(S187=0,B187="",Y187=""),"",IF(AND(F187&lt;&gt;"",D187="Purchase bill"),F187,B187)+Y187)</f>
        <v/>
      </c>
      <c r="AA187">
        <f>IF(OR(W187=0,Z187=""),0,MAX(0,'Example Outstanding'!$E$5-Z187))</f>
        <v/>
      </c>
      <c r="AB187">
        <f>IF(AND(X187=1,AA187&gt;0),W187*((1+3*N('Example Parties'!$E$10)/12)^(AA187*12/365)-1),0)</f>
        <v/>
      </c>
      <c r="AC187">
        <f>IF(W187=0,"",'Example Outstanding'!$E$5-B187)</f>
        <v/>
      </c>
      <c r="AD187">
        <f>IF(S187=0,0,IFERROR(VLOOKUP(C187,'Example Parties'!$B$13:$Q$112,14,FALSE),0)+SUMIFS($T$7:$T$506,$C$7:$C$506,C187,$B$7:$B$506,"&lt;="&amp;'Example Parties'!$E$8))</f>
        <v/>
      </c>
      <c r="AE187">
        <f>IF(OR('Example Parties'!$E$8="",S187=0,B187="",B187&gt;'Example Parties'!$E$8),0,MAX(0,MIN(S187,U187-AD187)))</f>
        <v/>
      </c>
      <c r="AF187">
        <f>IF(AND(P187="Creditor",X187=1,AE187&gt;0,Z187&lt;&gt;""),IF(Z187&lt;='Example Parties'!$E$8,AE187,0),0)</f>
        <v/>
      </c>
      <c r="AG187">
        <f>IF(OR(AE187=0,Z187=""),0,MAX(0,'Example Parties'!$E$8-Z187))</f>
        <v/>
      </c>
      <c r="AH187">
        <f>IF(AND(P187="Creditor",X187=1,AG187&gt;0),AE187*((1+3*N('Example Parties'!$E$10)/12)^(AG187*12/365)-1),0)</f>
        <v/>
      </c>
      <c r="AI187">
        <f>IF(AND(C187&lt;&gt;"",C187='Example Ledger'!$D$4,B187&lt;&gt;"",B187&gt;='Example Ledger'!$D$5,B187&lt;='Example Ledger'!$D$6),1,0)</f>
        <v/>
      </c>
      <c r="AJ187">
        <f>IF(AI187=1,SUM(AI$7:AI187),"")</f>
        <v/>
      </c>
      <c r="AK187">
        <f>IF(OR(N187="",N187="OK"),0,1)</f>
        <v/>
      </c>
    </row>
    <row r="188">
      <c r="B188" s="24" t="n"/>
      <c r="C188" s="14" t="n"/>
      <c r="D188" s="14" t="n"/>
      <c r="E188" s="20" t="n"/>
      <c r="F188" s="24" t="n"/>
      <c r="G188" s="14" t="n"/>
      <c r="H188" s="22" t="n"/>
      <c r="I188" s="25">
        <f>IF(Q188="D",N(H188),0)</f>
        <v/>
      </c>
      <c r="J188" s="25">
        <f>IF(Q188="C",N(H188),0)</f>
        <v/>
      </c>
      <c r="K188" s="26">
        <f>IF(Z188="","",Z188)</f>
        <v/>
      </c>
      <c r="L188" s="27">
        <f>W188</f>
        <v/>
      </c>
      <c r="M188" s="28">
        <f>AA188</f>
        <v/>
      </c>
      <c r="N188" s="23">
        <f>IF(AND(B188="",C188="",D188="",N(H188)=0),"",IF(B188="","Enter the date",IF(C188="","Pick the party",IF(P188="?","Add this party on the Parties sheet first",IF(D188="","Pick the entry type",IF(Q188="?","Pick the entry type from the list",IF(N(H188)=0,"Enter the amount",IF(AND(R188&lt;&gt;"Any",R188&lt;&gt;P188),"Sales, receipts and credit notes are for debtors; purchases, payments and debit notes for creditors",IF(AND(F188&lt;&gt;"",D188&lt;&gt;"Purchase bill"),"The received-on date is only for purchase bills",IF(AND(P188="Creditor",X188=1,AA188&gt;0),"Past due to a micro or small supplier: interest runs under MSMED s.16, and if unpaid at year end it is not deductible that year, s.37(2)(g)",IF(AND(P188="Debtor",X188=1,AA188&gt;0),"Past due to you: as a micro or small supplier you can claim interest under MSMED s.16","OK")))))))))))</f>
        <v/>
      </c>
      <c r="P188">
        <f>IF(C188="","",IFERROR(VLOOKUP(C188,'Example Parties'!$B$13:$Q$112,2,FALSE),"?"))</f>
        <v/>
      </c>
      <c r="Q188">
        <f>IF(D188="","",IFERROR(VLOOKUP(D188,Lists!$A$2:$D$9,3,FALSE),"?"))</f>
        <v/>
      </c>
      <c r="R188">
        <f>IF(D188="","",IFERROR(VLOOKUP(D188,Lists!$A$2:$D$9,4,FALSE),"?"))</f>
        <v/>
      </c>
      <c r="S188">
        <f>IF(P188="Debtor",I188,IF(P188="Creditor",J188,0))</f>
        <v/>
      </c>
      <c r="T188">
        <f>IF(P188="Debtor",J188,IF(P188="Creditor",I188,0))</f>
        <v/>
      </c>
      <c r="U188">
        <f>IF(OR(S188=0,B188=""),0,IFERROR(VLOOKUP(C188,'Example Parties'!$B$13:$Q$112,13,FALSE),0)+SUMIFS($S$7:$S$506,$C$7:$C$506,C188,$B$7:$B$506,"&lt;"&amp;B188)+SUMIFS(S$7:S188,C$7:C188,C188,B$7:B188,B188))</f>
        <v/>
      </c>
      <c r="V188">
        <f>IF(S188=0,0,IFERROR(VLOOKUP(C188,'Example Parties'!$B$13:$Q$112,14,FALSE),0)+SUMIFS($T$7:$T$506,$C$7:$C$506,C188,$B$7:$B$506,"&lt;="&amp;'Example Outstanding'!$E$5))</f>
        <v/>
      </c>
      <c r="W188">
        <f>IF(OR('Example Outstanding'!$E$5="",S188=0,B188="",B188&gt;'Example Outstanding'!$E$5),0,MAX(0,MIN(S188,U188-V188)))</f>
        <v/>
      </c>
      <c r="X188">
        <f>IF(C188="",0,IFERROR(VLOOKUP(C188,'Example Parties'!$B$13:$Q$112,15,FALSE),0))</f>
        <v/>
      </c>
      <c r="Y188">
        <f>IF(C188="","",IFERROR(VLOOKUP(C188,'Example Parties'!$B$13:$Q$112,16,FALSE),0))</f>
        <v/>
      </c>
      <c r="Z188">
        <f>IF(OR(S188=0,B188="",Y188=""),"",IF(AND(F188&lt;&gt;"",D188="Purchase bill"),F188,B188)+Y188)</f>
        <v/>
      </c>
      <c r="AA188">
        <f>IF(OR(W188=0,Z188=""),0,MAX(0,'Example Outstanding'!$E$5-Z188))</f>
        <v/>
      </c>
      <c r="AB188">
        <f>IF(AND(X188=1,AA188&gt;0),W188*((1+3*N('Example Parties'!$E$10)/12)^(AA188*12/365)-1),0)</f>
        <v/>
      </c>
      <c r="AC188">
        <f>IF(W188=0,"",'Example Outstanding'!$E$5-B188)</f>
        <v/>
      </c>
      <c r="AD188">
        <f>IF(S188=0,0,IFERROR(VLOOKUP(C188,'Example Parties'!$B$13:$Q$112,14,FALSE),0)+SUMIFS($T$7:$T$506,$C$7:$C$506,C188,$B$7:$B$506,"&lt;="&amp;'Example Parties'!$E$8))</f>
        <v/>
      </c>
      <c r="AE188">
        <f>IF(OR('Example Parties'!$E$8="",S188=0,B188="",B188&gt;'Example Parties'!$E$8),0,MAX(0,MIN(S188,U188-AD188)))</f>
        <v/>
      </c>
      <c r="AF188">
        <f>IF(AND(P188="Creditor",X188=1,AE188&gt;0,Z188&lt;&gt;""),IF(Z188&lt;='Example Parties'!$E$8,AE188,0),0)</f>
        <v/>
      </c>
      <c r="AG188">
        <f>IF(OR(AE188=0,Z188=""),0,MAX(0,'Example Parties'!$E$8-Z188))</f>
        <v/>
      </c>
      <c r="AH188">
        <f>IF(AND(P188="Creditor",X188=1,AG188&gt;0),AE188*((1+3*N('Example Parties'!$E$10)/12)^(AG188*12/365)-1),0)</f>
        <v/>
      </c>
      <c r="AI188">
        <f>IF(AND(C188&lt;&gt;"",C188='Example Ledger'!$D$4,B188&lt;&gt;"",B188&gt;='Example Ledger'!$D$5,B188&lt;='Example Ledger'!$D$6),1,0)</f>
        <v/>
      </c>
      <c r="AJ188">
        <f>IF(AI188=1,SUM(AI$7:AI188),"")</f>
        <v/>
      </c>
      <c r="AK188">
        <f>IF(OR(N188="",N188="OK"),0,1)</f>
        <v/>
      </c>
    </row>
    <row r="189">
      <c r="B189" s="24" t="n"/>
      <c r="C189" s="14" t="n"/>
      <c r="D189" s="14" t="n"/>
      <c r="E189" s="20" t="n"/>
      <c r="F189" s="24" t="n"/>
      <c r="G189" s="14" t="n"/>
      <c r="H189" s="22" t="n"/>
      <c r="I189" s="25">
        <f>IF(Q189="D",N(H189),0)</f>
        <v/>
      </c>
      <c r="J189" s="25">
        <f>IF(Q189="C",N(H189),0)</f>
        <v/>
      </c>
      <c r="K189" s="26">
        <f>IF(Z189="","",Z189)</f>
        <v/>
      </c>
      <c r="L189" s="27">
        <f>W189</f>
        <v/>
      </c>
      <c r="M189" s="28">
        <f>AA189</f>
        <v/>
      </c>
      <c r="N189" s="23">
        <f>IF(AND(B189="",C189="",D189="",N(H189)=0),"",IF(B189="","Enter the date",IF(C189="","Pick the party",IF(P189="?","Add this party on the Parties sheet first",IF(D189="","Pick the entry type",IF(Q189="?","Pick the entry type from the list",IF(N(H189)=0,"Enter the amount",IF(AND(R189&lt;&gt;"Any",R189&lt;&gt;P189),"Sales, receipts and credit notes are for debtors; purchases, payments and debit notes for creditors",IF(AND(F189&lt;&gt;"",D189&lt;&gt;"Purchase bill"),"The received-on date is only for purchase bills",IF(AND(P189="Creditor",X189=1,AA189&gt;0),"Past due to a micro or small supplier: interest runs under MSMED s.16, and if unpaid at year end it is not deductible that year, s.37(2)(g)",IF(AND(P189="Debtor",X189=1,AA189&gt;0),"Past due to you: as a micro or small supplier you can claim interest under MSMED s.16","OK")))))))))))</f>
        <v/>
      </c>
      <c r="P189">
        <f>IF(C189="","",IFERROR(VLOOKUP(C189,'Example Parties'!$B$13:$Q$112,2,FALSE),"?"))</f>
        <v/>
      </c>
      <c r="Q189">
        <f>IF(D189="","",IFERROR(VLOOKUP(D189,Lists!$A$2:$D$9,3,FALSE),"?"))</f>
        <v/>
      </c>
      <c r="R189">
        <f>IF(D189="","",IFERROR(VLOOKUP(D189,Lists!$A$2:$D$9,4,FALSE),"?"))</f>
        <v/>
      </c>
      <c r="S189">
        <f>IF(P189="Debtor",I189,IF(P189="Creditor",J189,0))</f>
        <v/>
      </c>
      <c r="T189">
        <f>IF(P189="Debtor",J189,IF(P189="Creditor",I189,0))</f>
        <v/>
      </c>
      <c r="U189">
        <f>IF(OR(S189=0,B189=""),0,IFERROR(VLOOKUP(C189,'Example Parties'!$B$13:$Q$112,13,FALSE),0)+SUMIFS($S$7:$S$506,$C$7:$C$506,C189,$B$7:$B$506,"&lt;"&amp;B189)+SUMIFS(S$7:S189,C$7:C189,C189,B$7:B189,B189))</f>
        <v/>
      </c>
      <c r="V189">
        <f>IF(S189=0,0,IFERROR(VLOOKUP(C189,'Example Parties'!$B$13:$Q$112,14,FALSE),0)+SUMIFS($T$7:$T$506,$C$7:$C$506,C189,$B$7:$B$506,"&lt;="&amp;'Example Outstanding'!$E$5))</f>
        <v/>
      </c>
      <c r="W189">
        <f>IF(OR('Example Outstanding'!$E$5="",S189=0,B189="",B189&gt;'Example Outstanding'!$E$5),0,MAX(0,MIN(S189,U189-V189)))</f>
        <v/>
      </c>
      <c r="X189">
        <f>IF(C189="",0,IFERROR(VLOOKUP(C189,'Example Parties'!$B$13:$Q$112,15,FALSE),0))</f>
        <v/>
      </c>
      <c r="Y189">
        <f>IF(C189="","",IFERROR(VLOOKUP(C189,'Example Parties'!$B$13:$Q$112,16,FALSE),0))</f>
        <v/>
      </c>
      <c r="Z189">
        <f>IF(OR(S189=0,B189="",Y189=""),"",IF(AND(F189&lt;&gt;"",D189="Purchase bill"),F189,B189)+Y189)</f>
        <v/>
      </c>
      <c r="AA189">
        <f>IF(OR(W189=0,Z189=""),0,MAX(0,'Example Outstanding'!$E$5-Z189))</f>
        <v/>
      </c>
      <c r="AB189">
        <f>IF(AND(X189=1,AA189&gt;0),W189*((1+3*N('Example Parties'!$E$10)/12)^(AA189*12/365)-1),0)</f>
        <v/>
      </c>
      <c r="AC189">
        <f>IF(W189=0,"",'Example Outstanding'!$E$5-B189)</f>
        <v/>
      </c>
      <c r="AD189">
        <f>IF(S189=0,0,IFERROR(VLOOKUP(C189,'Example Parties'!$B$13:$Q$112,14,FALSE),0)+SUMIFS($T$7:$T$506,$C$7:$C$506,C189,$B$7:$B$506,"&lt;="&amp;'Example Parties'!$E$8))</f>
        <v/>
      </c>
      <c r="AE189">
        <f>IF(OR('Example Parties'!$E$8="",S189=0,B189="",B189&gt;'Example Parties'!$E$8),0,MAX(0,MIN(S189,U189-AD189)))</f>
        <v/>
      </c>
      <c r="AF189">
        <f>IF(AND(P189="Creditor",X189=1,AE189&gt;0,Z189&lt;&gt;""),IF(Z189&lt;='Example Parties'!$E$8,AE189,0),0)</f>
        <v/>
      </c>
      <c r="AG189">
        <f>IF(OR(AE189=0,Z189=""),0,MAX(0,'Example Parties'!$E$8-Z189))</f>
        <v/>
      </c>
      <c r="AH189">
        <f>IF(AND(P189="Creditor",X189=1,AG189&gt;0),AE189*((1+3*N('Example Parties'!$E$10)/12)^(AG189*12/365)-1),0)</f>
        <v/>
      </c>
      <c r="AI189">
        <f>IF(AND(C189&lt;&gt;"",C189='Example Ledger'!$D$4,B189&lt;&gt;"",B189&gt;='Example Ledger'!$D$5,B189&lt;='Example Ledger'!$D$6),1,0)</f>
        <v/>
      </c>
      <c r="AJ189">
        <f>IF(AI189=1,SUM(AI$7:AI189),"")</f>
        <v/>
      </c>
      <c r="AK189">
        <f>IF(OR(N189="",N189="OK"),0,1)</f>
        <v/>
      </c>
    </row>
    <row r="190">
      <c r="B190" s="24" t="n"/>
      <c r="C190" s="14" t="n"/>
      <c r="D190" s="14" t="n"/>
      <c r="E190" s="20" t="n"/>
      <c r="F190" s="24" t="n"/>
      <c r="G190" s="14" t="n"/>
      <c r="H190" s="22" t="n"/>
      <c r="I190" s="25">
        <f>IF(Q190="D",N(H190),0)</f>
        <v/>
      </c>
      <c r="J190" s="25">
        <f>IF(Q190="C",N(H190),0)</f>
        <v/>
      </c>
      <c r="K190" s="26">
        <f>IF(Z190="","",Z190)</f>
        <v/>
      </c>
      <c r="L190" s="27">
        <f>W190</f>
        <v/>
      </c>
      <c r="M190" s="28">
        <f>AA190</f>
        <v/>
      </c>
      <c r="N190" s="23">
        <f>IF(AND(B190="",C190="",D190="",N(H190)=0),"",IF(B190="","Enter the date",IF(C190="","Pick the party",IF(P190="?","Add this party on the Parties sheet first",IF(D190="","Pick the entry type",IF(Q190="?","Pick the entry type from the list",IF(N(H190)=0,"Enter the amount",IF(AND(R190&lt;&gt;"Any",R190&lt;&gt;P190),"Sales, receipts and credit notes are for debtors; purchases, payments and debit notes for creditors",IF(AND(F190&lt;&gt;"",D190&lt;&gt;"Purchase bill"),"The received-on date is only for purchase bills",IF(AND(P190="Creditor",X190=1,AA190&gt;0),"Past due to a micro or small supplier: interest runs under MSMED s.16, and if unpaid at year end it is not deductible that year, s.37(2)(g)",IF(AND(P190="Debtor",X190=1,AA190&gt;0),"Past due to you: as a micro or small supplier you can claim interest under MSMED s.16","OK")))))))))))</f>
        <v/>
      </c>
      <c r="P190">
        <f>IF(C190="","",IFERROR(VLOOKUP(C190,'Example Parties'!$B$13:$Q$112,2,FALSE),"?"))</f>
        <v/>
      </c>
      <c r="Q190">
        <f>IF(D190="","",IFERROR(VLOOKUP(D190,Lists!$A$2:$D$9,3,FALSE),"?"))</f>
        <v/>
      </c>
      <c r="R190">
        <f>IF(D190="","",IFERROR(VLOOKUP(D190,Lists!$A$2:$D$9,4,FALSE),"?"))</f>
        <v/>
      </c>
      <c r="S190">
        <f>IF(P190="Debtor",I190,IF(P190="Creditor",J190,0))</f>
        <v/>
      </c>
      <c r="T190">
        <f>IF(P190="Debtor",J190,IF(P190="Creditor",I190,0))</f>
        <v/>
      </c>
      <c r="U190">
        <f>IF(OR(S190=0,B190=""),0,IFERROR(VLOOKUP(C190,'Example Parties'!$B$13:$Q$112,13,FALSE),0)+SUMIFS($S$7:$S$506,$C$7:$C$506,C190,$B$7:$B$506,"&lt;"&amp;B190)+SUMIFS(S$7:S190,C$7:C190,C190,B$7:B190,B190))</f>
        <v/>
      </c>
      <c r="V190">
        <f>IF(S190=0,0,IFERROR(VLOOKUP(C190,'Example Parties'!$B$13:$Q$112,14,FALSE),0)+SUMIFS($T$7:$T$506,$C$7:$C$506,C190,$B$7:$B$506,"&lt;="&amp;'Example Outstanding'!$E$5))</f>
        <v/>
      </c>
      <c r="W190">
        <f>IF(OR('Example Outstanding'!$E$5="",S190=0,B190="",B190&gt;'Example Outstanding'!$E$5),0,MAX(0,MIN(S190,U190-V190)))</f>
        <v/>
      </c>
      <c r="X190">
        <f>IF(C190="",0,IFERROR(VLOOKUP(C190,'Example Parties'!$B$13:$Q$112,15,FALSE),0))</f>
        <v/>
      </c>
      <c r="Y190">
        <f>IF(C190="","",IFERROR(VLOOKUP(C190,'Example Parties'!$B$13:$Q$112,16,FALSE),0))</f>
        <v/>
      </c>
      <c r="Z190">
        <f>IF(OR(S190=0,B190="",Y190=""),"",IF(AND(F190&lt;&gt;"",D190="Purchase bill"),F190,B190)+Y190)</f>
        <v/>
      </c>
      <c r="AA190">
        <f>IF(OR(W190=0,Z190=""),0,MAX(0,'Example Outstanding'!$E$5-Z190))</f>
        <v/>
      </c>
      <c r="AB190">
        <f>IF(AND(X190=1,AA190&gt;0),W190*((1+3*N('Example Parties'!$E$10)/12)^(AA190*12/365)-1),0)</f>
        <v/>
      </c>
      <c r="AC190">
        <f>IF(W190=0,"",'Example Outstanding'!$E$5-B190)</f>
        <v/>
      </c>
      <c r="AD190">
        <f>IF(S190=0,0,IFERROR(VLOOKUP(C190,'Example Parties'!$B$13:$Q$112,14,FALSE),0)+SUMIFS($T$7:$T$506,$C$7:$C$506,C190,$B$7:$B$506,"&lt;="&amp;'Example Parties'!$E$8))</f>
        <v/>
      </c>
      <c r="AE190">
        <f>IF(OR('Example Parties'!$E$8="",S190=0,B190="",B190&gt;'Example Parties'!$E$8),0,MAX(0,MIN(S190,U190-AD190)))</f>
        <v/>
      </c>
      <c r="AF190">
        <f>IF(AND(P190="Creditor",X190=1,AE190&gt;0,Z190&lt;&gt;""),IF(Z190&lt;='Example Parties'!$E$8,AE190,0),0)</f>
        <v/>
      </c>
      <c r="AG190">
        <f>IF(OR(AE190=0,Z190=""),0,MAX(0,'Example Parties'!$E$8-Z190))</f>
        <v/>
      </c>
      <c r="AH190">
        <f>IF(AND(P190="Creditor",X190=1,AG190&gt;0),AE190*((1+3*N('Example Parties'!$E$10)/12)^(AG190*12/365)-1),0)</f>
        <v/>
      </c>
      <c r="AI190">
        <f>IF(AND(C190&lt;&gt;"",C190='Example Ledger'!$D$4,B190&lt;&gt;"",B190&gt;='Example Ledger'!$D$5,B190&lt;='Example Ledger'!$D$6),1,0)</f>
        <v/>
      </c>
      <c r="AJ190">
        <f>IF(AI190=1,SUM(AI$7:AI190),"")</f>
        <v/>
      </c>
      <c r="AK190">
        <f>IF(OR(N190="",N190="OK"),0,1)</f>
        <v/>
      </c>
    </row>
    <row r="191">
      <c r="B191" s="24" t="n"/>
      <c r="C191" s="14" t="n"/>
      <c r="D191" s="14" t="n"/>
      <c r="E191" s="20" t="n"/>
      <c r="F191" s="24" t="n"/>
      <c r="G191" s="14" t="n"/>
      <c r="H191" s="22" t="n"/>
      <c r="I191" s="25">
        <f>IF(Q191="D",N(H191),0)</f>
        <v/>
      </c>
      <c r="J191" s="25">
        <f>IF(Q191="C",N(H191),0)</f>
        <v/>
      </c>
      <c r="K191" s="26">
        <f>IF(Z191="","",Z191)</f>
        <v/>
      </c>
      <c r="L191" s="27">
        <f>W191</f>
        <v/>
      </c>
      <c r="M191" s="28">
        <f>AA191</f>
        <v/>
      </c>
      <c r="N191" s="23">
        <f>IF(AND(B191="",C191="",D191="",N(H191)=0),"",IF(B191="","Enter the date",IF(C191="","Pick the party",IF(P191="?","Add this party on the Parties sheet first",IF(D191="","Pick the entry type",IF(Q191="?","Pick the entry type from the list",IF(N(H191)=0,"Enter the amount",IF(AND(R191&lt;&gt;"Any",R191&lt;&gt;P191),"Sales, receipts and credit notes are for debtors; purchases, payments and debit notes for creditors",IF(AND(F191&lt;&gt;"",D191&lt;&gt;"Purchase bill"),"The received-on date is only for purchase bills",IF(AND(P191="Creditor",X191=1,AA191&gt;0),"Past due to a micro or small supplier: interest runs under MSMED s.16, and if unpaid at year end it is not deductible that year, s.37(2)(g)",IF(AND(P191="Debtor",X191=1,AA191&gt;0),"Past due to you: as a micro or small supplier you can claim interest under MSMED s.16","OK")))))))))))</f>
        <v/>
      </c>
      <c r="P191">
        <f>IF(C191="","",IFERROR(VLOOKUP(C191,'Example Parties'!$B$13:$Q$112,2,FALSE),"?"))</f>
        <v/>
      </c>
      <c r="Q191">
        <f>IF(D191="","",IFERROR(VLOOKUP(D191,Lists!$A$2:$D$9,3,FALSE),"?"))</f>
        <v/>
      </c>
      <c r="R191">
        <f>IF(D191="","",IFERROR(VLOOKUP(D191,Lists!$A$2:$D$9,4,FALSE),"?"))</f>
        <v/>
      </c>
      <c r="S191">
        <f>IF(P191="Debtor",I191,IF(P191="Creditor",J191,0))</f>
        <v/>
      </c>
      <c r="T191">
        <f>IF(P191="Debtor",J191,IF(P191="Creditor",I191,0))</f>
        <v/>
      </c>
      <c r="U191">
        <f>IF(OR(S191=0,B191=""),0,IFERROR(VLOOKUP(C191,'Example Parties'!$B$13:$Q$112,13,FALSE),0)+SUMIFS($S$7:$S$506,$C$7:$C$506,C191,$B$7:$B$506,"&lt;"&amp;B191)+SUMIFS(S$7:S191,C$7:C191,C191,B$7:B191,B191))</f>
        <v/>
      </c>
      <c r="V191">
        <f>IF(S191=0,0,IFERROR(VLOOKUP(C191,'Example Parties'!$B$13:$Q$112,14,FALSE),0)+SUMIFS($T$7:$T$506,$C$7:$C$506,C191,$B$7:$B$506,"&lt;="&amp;'Example Outstanding'!$E$5))</f>
        <v/>
      </c>
      <c r="W191">
        <f>IF(OR('Example Outstanding'!$E$5="",S191=0,B191="",B191&gt;'Example Outstanding'!$E$5),0,MAX(0,MIN(S191,U191-V191)))</f>
        <v/>
      </c>
      <c r="X191">
        <f>IF(C191="",0,IFERROR(VLOOKUP(C191,'Example Parties'!$B$13:$Q$112,15,FALSE),0))</f>
        <v/>
      </c>
      <c r="Y191">
        <f>IF(C191="","",IFERROR(VLOOKUP(C191,'Example Parties'!$B$13:$Q$112,16,FALSE),0))</f>
        <v/>
      </c>
      <c r="Z191">
        <f>IF(OR(S191=0,B191="",Y191=""),"",IF(AND(F191&lt;&gt;"",D191="Purchase bill"),F191,B191)+Y191)</f>
        <v/>
      </c>
      <c r="AA191">
        <f>IF(OR(W191=0,Z191=""),0,MAX(0,'Example Outstanding'!$E$5-Z191))</f>
        <v/>
      </c>
      <c r="AB191">
        <f>IF(AND(X191=1,AA191&gt;0),W191*((1+3*N('Example Parties'!$E$10)/12)^(AA191*12/365)-1),0)</f>
        <v/>
      </c>
      <c r="AC191">
        <f>IF(W191=0,"",'Example Outstanding'!$E$5-B191)</f>
        <v/>
      </c>
      <c r="AD191">
        <f>IF(S191=0,0,IFERROR(VLOOKUP(C191,'Example Parties'!$B$13:$Q$112,14,FALSE),0)+SUMIFS($T$7:$T$506,$C$7:$C$506,C191,$B$7:$B$506,"&lt;="&amp;'Example Parties'!$E$8))</f>
        <v/>
      </c>
      <c r="AE191">
        <f>IF(OR('Example Parties'!$E$8="",S191=0,B191="",B191&gt;'Example Parties'!$E$8),0,MAX(0,MIN(S191,U191-AD191)))</f>
        <v/>
      </c>
      <c r="AF191">
        <f>IF(AND(P191="Creditor",X191=1,AE191&gt;0,Z191&lt;&gt;""),IF(Z191&lt;='Example Parties'!$E$8,AE191,0),0)</f>
        <v/>
      </c>
      <c r="AG191">
        <f>IF(OR(AE191=0,Z191=""),0,MAX(0,'Example Parties'!$E$8-Z191))</f>
        <v/>
      </c>
      <c r="AH191">
        <f>IF(AND(P191="Creditor",X191=1,AG191&gt;0),AE191*((1+3*N('Example Parties'!$E$10)/12)^(AG191*12/365)-1),0)</f>
        <v/>
      </c>
      <c r="AI191">
        <f>IF(AND(C191&lt;&gt;"",C191='Example Ledger'!$D$4,B191&lt;&gt;"",B191&gt;='Example Ledger'!$D$5,B191&lt;='Example Ledger'!$D$6),1,0)</f>
        <v/>
      </c>
      <c r="AJ191">
        <f>IF(AI191=1,SUM(AI$7:AI191),"")</f>
        <v/>
      </c>
      <c r="AK191">
        <f>IF(OR(N191="",N191="OK"),0,1)</f>
        <v/>
      </c>
    </row>
    <row r="192">
      <c r="B192" s="24" t="n"/>
      <c r="C192" s="14" t="n"/>
      <c r="D192" s="14" t="n"/>
      <c r="E192" s="20" t="n"/>
      <c r="F192" s="24" t="n"/>
      <c r="G192" s="14" t="n"/>
      <c r="H192" s="22" t="n"/>
      <c r="I192" s="25">
        <f>IF(Q192="D",N(H192),0)</f>
        <v/>
      </c>
      <c r="J192" s="25">
        <f>IF(Q192="C",N(H192),0)</f>
        <v/>
      </c>
      <c r="K192" s="26">
        <f>IF(Z192="","",Z192)</f>
        <v/>
      </c>
      <c r="L192" s="27">
        <f>W192</f>
        <v/>
      </c>
      <c r="M192" s="28">
        <f>AA192</f>
        <v/>
      </c>
      <c r="N192" s="23">
        <f>IF(AND(B192="",C192="",D192="",N(H192)=0),"",IF(B192="","Enter the date",IF(C192="","Pick the party",IF(P192="?","Add this party on the Parties sheet first",IF(D192="","Pick the entry type",IF(Q192="?","Pick the entry type from the list",IF(N(H192)=0,"Enter the amount",IF(AND(R192&lt;&gt;"Any",R192&lt;&gt;P192),"Sales, receipts and credit notes are for debtors; purchases, payments and debit notes for creditors",IF(AND(F192&lt;&gt;"",D192&lt;&gt;"Purchase bill"),"The received-on date is only for purchase bills",IF(AND(P192="Creditor",X192=1,AA192&gt;0),"Past due to a micro or small supplier: interest runs under MSMED s.16, and if unpaid at year end it is not deductible that year, s.37(2)(g)",IF(AND(P192="Debtor",X192=1,AA192&gt;0),"Past due to you: as a micro or small supplier you can claim interest under MSMED s.16","OK")))))))))))</f>
        <v/>
      </c>
      <c r="P192">
        <f>IF(C192="","",IFERROR(VLOOKUP(C192,'Example Parties'!$B$13:$Q$112,2,FALSE),"?"))</f>
        <v/>
      </c>
      <c r="Q192">
        <f>IF(D192="","",IFERROR(VLOOKUP(D192,Lists!$A$2:$D$9,3,FALSE),"?"))</f>
        <v/>
      </c>
      <c r="R192">
        <f>IF(D192="","",IFERROR(VLOOKUP(D192,Lists!$A$2:$D$9,4,FALSE),"?"))</f>
        <v/>
      </c>
      <c r="S192">
        <f>IF(P192="Debtor",I192,IF(P192="Creditor",J192,0))</f>
        <v/>
      </c>
      <c r="T192">
        <f>IF(P192="Debtor",J192,IF(P192="Creditor",I192,0))</f>
        <v/>
      </c>
      <c r="U192">
        <f>IF(OR(S192=0,B192=""),0,IFERROR(VLOOKUP(C192,'Example Parties'!$B$13:$Q$112,13,FALSE),0)+SUMIFS($S$7:$S$506,$C$7:$C$506,C192,$B$7:$B$506,"&lt;"&amp;B192)+SUMIFS(S$7:S192,C$7:C192,C192,B$7:B192,B192))</f>
        <v/>
      </c>
      <c r="V192">
        <f>IF(S192=0,0,IFERROR(VLOOKUP(C192,'Example Parties'!$B$13:$Q$112,14,FALSE),0)+SUMIFS($T$7:$T$506,$C$7:$C$506,C192,$B$7:$B$506,"&lt;="&amp;'Example Outstanding'!$E$5))</f>
        <v/>
      </c>
      <c r="W192">
        <f>IF(OR('Example Outstanding'!$E$5="",S192=0,B192="",B192&gt;'Example Outstanding'!$E$5),0,MAX(0,MIN(S192,U192-V192)))</f>
        <v/>
      </c>
      <c r="X192">
        <f>IF(C192="",0,IFERROR(VLOOKUP(C192,'Example Parties'!$B$13:$Q$112,15,FALSE),0))</f>
        <v/>
      </c>
      <c r="Y192">
        <f>IF(C192="","",IFERROR(VLOOKUP(C192,'Example Parties'!$B$13:$Q$112,16,FALSE),0))</f>
        <v/>
      </c>
      <c r="Z192">
        <f>IF(OR(S192=0,B192="",Y192=""),"",IF(AND(F192&lt;&gt;"",D192="Purchase bill"),F192,B192)+Y192)</f>
        <v/>
      </c>
      <c r="AA192">
        <f>IF(OR(W192=0,Z192=""),0,MAX(0,'Example Outstanding'!$E$5-Z192))</f>
        <v/>
      </c>
      <c r="AB192">
        <f>IF(AND(X192=1,AA192&gt;0),W192*((1+3*N('Example Parties'!$E$10)/12)^(AA192*12/365)-1),0)</f>
        <v/>
      </c>
      <c r="AC192">
        <f>IF(W192=0,"",'Example Outstanding'!$E$5-B192)</f>
        <v/>
      </c>
      <c r="AD192">
        <f>IF(S192=0,0,IFERROR(VLOOKUP(C192,'Example Parties'!$B$13:$Q$112,14,FALSE),0)+SUMIFS($T$7:$T$506,$C$7:$C$506,C192,$B$7:$B$506,"&lt;="&amp;'Example Parties'!$E$8))</f>
        <v/>
      </c>
      <c r="AE192">
        <f>IF(OR('Example Parties'!$E$8="",S192=0,B192="",B192&gt;'Example Parties'!$E$8),0,MAX(0,MIN(S192,U192-AD192)))</f>
        <v/>
      </c>
      <c r="AF192">
        <f>IF(AND(P192="Creditor",X192=1,AE192&gt;0,Z192&lt;&gt;""),IF(Z192&lt;='Example Parties'!$E$8,AE192,0),0)</f>
        <v/>
      </c>
      <c r="AG192">
        <f>IF(OR(AE192=0,Z192=""),0,MAX(0,'Example Parties'!$E$8-Z192))</f>
        <v/>
      </c>
      <c r="AH192">
        <f>IF(AND(P192="Creditor",X192=1,AG192&gt;0),AE192*((1+3*N('Example Parties'!$E$10)/12)^(AG192*12/365)-1),0)</f>
        <v/>
      </c>
      <c r="AI192">
        <f>IF(AND(C192&lt;&gt;"",C192='Example Ledger'!$D$4,B192&lt;&gt;"",B192&gt;='Example Ledger'!$D$5,B192&lt;='Example Ledger'!$D$6),1,0)</f>
        <v/>
      </c>
      <c r="AJ192">
        <f>IF(AI192=1,SUM(AI$7:AI192),"")</f>
        <v/>
      </c>
      <c r="AK192">
        <f>IF(OR(N192="",N192="OK"),0,1)</f>
        <v/>
      </c>
    </row>
    <row r="193">
      <c r="B193" s="24" t="n"/>
      <c r="C193" s="14" t="n"/>
      <c r="D193" s="14" t="n"/>
      <c r="E193" s="20" t="n"/>
      <c r="F193" s="24" t="n"/>
      <c r="G193" s="14" t="n"/>
      <c r="H193" s="22" t="n"/>
      <c r="I193" s="25">
        <f>IF(Q193="D",N(H193),0)</f>
        <v/>
      </c>
      <c r="J193" s="25">
        <f>IF(Q193="C",N(H193),0)</f>
        <v/>
      </c>
      <c r="K193" s="26">
        <f>IF(Z193="","",Z193)</f>
        <v/>
      </c>
      <c r="L193" s="27">
        <f>W193</f>
        <v/>
      </c>
      <c r="M193" s="28">
        <f>AA193</f>
        <v/>
      </c>
      <c r="N193" s="23">
        <f>IF(AND(B193="",C193="",D193="",N(H193)=0),"",IF(B193="","Enter the date",IF(C193="","Pick the party",IF(P193="?","Add this party on the Parties sheet first",IF(D193="","Pick the entry type",IF(Q193="?","Pick the entry type from the list",IF(N(H193)=0,"Enter the amount",IF(AND(R193&lt;&gt;"Any",R193&lt;&gt;P193),"Sales, receipts and credit notes are for debtors; purchases, payments and debit notes for creditors",IF(AND(F193&lt;&gt;"",D193&lt;&gt;"Purchase bill"),"The received-on date is only for purchase bills",IF(AND(P193="Creditor",X193=1,AA193&gt;0),"Past due to a micro or small supplier: interest runs under MSMED s.16, and if unpaid at year end it is not deductible that year, s.37(2)(g)",IF(AND(P193="Debtor",X193=1,AA193&gt;0),"Past due to you: as a micro or small supplier you can claim interest under MSMED s.16","OK")))))))))))</f>
        <v/>
      </c>
      <c r="P193">
        <f>IF(C193="","",IFERROR(VLOOKUP(C193,'Example Parties'!$B$13:$Q$112,2,FALSE),"?"))</f>
        <v/>
      </c>
      <c r="Q193">
        <f>IF(D193="","",IFERROR(VLOOKUP(D193,Lists!$A$2:$D$9,3,FALSE),"?"))</f>
        <v/>
      </c>
      <c r="R193">
        <f>IF(D193="","",IFERROR(VLOOKUP(D193,Lists!$A$2:$D$9,4,FALSE),"?"))</f>
        <v/>
      </c>
      <c r="S193">
        <f>IF(P193="Debtor",I193,IF(P193="Creditor",J193,0))</f>
        <v/>
      </c>
      <c r="T193">
        <f>IF(P193="Debtor",J193,IF(P193="Creditor",I193,0))</f>
        <v/>
      </c>
      <c r="U193">
        <f>IF(OR(S193=0,B193=""),0,IFERROR(VLOOKUP(C193,'Example Parties'!$B$13:$Q$112,13,FALSE),0)+SUMIFS($S$7:$S$506,$C$7:$C$506,C193,$B$7:$B$506,"&lt;"&amp;B193)+SUMIFS(S$7:S193,C$7:C193,C193,B$7:B193,B193))</f>
        <v/>
      </c>
      <c r="V193">
        <f>IF(S193=0,0,IFERROR(VLOOKUP(C193,'Example Parties'!$B$13:$Q$112,14,FALSE),0)+SUMIFS($T$7:$T$506,$C$7:$C$506,C193,$B$7:$B$506,"&lt;="&amp;'Example Outstanding'!$E$5))</f>
        <v/>
      </c>
      <c r="W193">
        <f>IF(OR('Example Outstanding'!$E$5="",S193=0,B193="",B193&gt;'Example Outstanding'!$E$5),0,MAX(0,MIN(S193,U193-V193)))</f>
        <v/>
      </c>
      <c r="X193">
        <f>IF(C193="",0,IFERROR(VLOOKUP(C193,'Example Parties'!$B$13:$Q$112,15,FALSE),0))</f>
        <v/>
      </c>
      <c r="Y193">
        <f>IF(C193="","",IFERROR(VLOOKUP(C193,'Example Parties'!$B$13:$Q$112,16,FALSE),0))</f>
        <v/>
      </c>
      <c r="Z193">
        <f>IF(OR(S193=0,B193="",Y193=""),"",IF(AND(F193&lt;&gt;"",D193="Purchase bill"),F193,B193)+Y193)</f>
        <v/>
      </c>
      <c r="AA193">
        <f>IF(OR(W193=0,Z193=""),0,MAX(0,'Example Outstanding'!$E$5-Z193))</f>
        <v/>
      </c>
      <c r="AB193">
        <f>IF(AND(X193=1,AA193&gt;0),W193*((1+3*N('Example Parties'!$E$10)/12)^(AA193*12/365)-1),0)</f>
        <v/>
      </c>
      <c r="AC193">
        <f>IF(W193=0,"",'Example Outstanding'!$E$5-B193)</f>
        <v/>
      </c>
      <c r="AD193">
        <f>IF(S193=0,0,IFERROR(VLOOKUP(C193,'Example Parties'!$B$13:$Q$112,14,FALSE),0)+SUMIFS($T$7:$T$506,$C$7:$C$506,C193,$B$7:$B$506,"&lt;="&amp;'Example Parties'!$E$8))</f>
        <v/>
      </c>
      <c r="AE193">
        <f>IF(OR('Example Parties'!$E$8="",S193=0,B193="",B193&gt;'Example Parties'!$E$8),0,MAX(0,MIN(S193,U193-AD193)))</f>
        <v/>
      </c>
      <c r="AF193">
        <f>IF(AND(P193="Creditor",X193=1,AE193&gt;0,Z193&lt;&gt;""),IF(Z193&lt;='Example Parties'!$E$8,AE193,0),0)</f>
        <v/>
      </c>
      <c r="AG193">
        <f>IF(OR(AE193=0,Z193=""),0,MAX(0,'Example Parties'!$E$8-Z193))</f>
        <v/>
      </c>
      <c r="AH193">
        <f>IF(AND(P193="Creditor",X193=1,AG193&gt;0),AE193*((1+3*N('Example Parties'!$E$10)/12)^(AG193*12/365)-1),0)</f>
        <v/>
      </c>
      <c r="AI193">
        <f>IF(AND(C193&lt;&gt;"",C193='Example Ledger'!$D$4,B193&lt;&gt;"",B193&gt;='Example Ledger'!$D$5,B193&lt;='Example Ledger'!$D$6),1,0)</f>
        <v/>
      </c>
      <c r="AJ193">
        <f>IF(AI193=1,SUM(AI$7:AI193),"")</f>
        <v/>
      </c>
      <c r="AK193">
        <f>IF(OR(N193="",N193="OK"),0,1)</f>
        <v/>
      </c>
    </row>
    <row r="194">
      <c r="B194" s="24" t="n"/>
      <c r="C194" s="14" t="n"/>
      <c r="D194" s="14" t="n"/>
      <c r="E194" s="20" t="n"/>
      <c r="F194" s="24" t="n"/>
      <c r="G194" s="14" t="n"/>
      <c r="H194" s="22" t="n"/>
      <c r="I194" s="25">
        <f>IF(Q194="D",N(H194),0)</f>
        <v/>
      </c>
      <c r="J194" s="25">
        <f>IF(Q194="C",N(H194),0)</f>
        <v/>
      </c>
      <c r="K194" s="26">
        <f>IF(Z194="","",Z194)</f>
        <v/>
      </c>
      <c r="L194" s="27">
        <f>W194</f>
        <v/>
      </c>
      <c r="M194" s="28">
        <f>AA194</f>
        <v/>
      </c>
      <c r="N194" s="23">
        <f>IF(AND(B194="",C194="",D194="",N(H194)=0),"",IF(B194="","Enter the date",IF(C194="","Pick the party",IF(P194="?","Add this party on the Parties sheet first",IF(D194="","Pick the entry type",IF(Q194="?","Pick the entry type from the list",IF(N(H194)=0,"Enter the amount",IF(AND(R194&lt;&gt;"Any",R194&lt;&gt;P194),"Sales, receipts and credit notes are for debtors; purchases, payments and debit notes for creditors",IF(AND(F194&lt;&gt;"",D194&lt;&gt;"Purchase bill"),"The received-on date is only for purchase bills",IF(AND(P194="Creditor",X194=1,AA194&gt;0),"Past due to a micro or small supplier: interest runs under MSMED s.16, and if unpaid at year end it is not deductible that year, s.37(2)(g)",IF(AND(P194="Debtor",X194=1,AA194&gt;0),"Past due to you: as a micro or small supplier you can claim interest under MSMED s.16","OK")))))))))))</f>
        <v/>
      </c>
      <c r="P194">
        <f>IF(C194="","",IFERROR(VLOOKUP(C194,'Example Parties'!$B$13:$Q$112,2,FALSE),"?"))</f>
        <v/>
      </c>
      <c r="Q194">
        <f>IF(D194="","",IFERROR(VLOOKUP(D194,Lists!$A$2:$D$9,3,FALSE),"?"))</f>
        <v/>
      </c>
      <c r="R194">
        <f>IF(D194="","",IFERROR(VLOOKUP(D194,Lists!$A$2:$D$9,4,FALSE),"?"))</f>
        <v/>
      </c>
      <c r="S194">
        <f>IF(P194="Debtor",I194,IF(P194="Creditor",J194,0))</f>
        <v/>
      </c>
      <c r="T194">
        <f>IF(P194="Debtor",J194,IF(P194="Creditor",I194,0))</f>
        <v/>
      </c>
      <c r="U194">
        <f>IF(OR(S194=0,B194=""),0,IFERROR(VLOOKUP(C194,'Example Parties'!$B$13:$Q$112,13,FALSE),0)+SUMIFS($S$7:$S$506,$C$7:$C$506,C194,$B$7:$B$506,"&lt;"&amp;B194)+SUMIFS(S$7:S194,C$7:C194,C194,B$7:B194,B194))</f>
        <v/>
      </c>
      <c r="V194">
        <f>IF(S194=0,0,IFERROR(VLOOKUP(C194,'Example Parties'!$B$13:$Q$112,14,FALSE),0)+SUMIFS($T$7:$T$506,$C$7:$C$506,C194,$B$7:$B$506,"&lt;="&amp;'Example Outstanding'!$E$5))</f>
        <v/>
      </c>
      <c r="W194">
        <f>IF(OR('Example Outstanding'!$E$5="",S194=0,B194="",B194&gt;'Example Outstanding'!$E$5),0,MAX(0,MIN(S194,U194-V194)))</f>
        <v/>
      </c>
      <c r="X194">
        <f>IF(C194="",0,IFERROR(VLOOKUP(C194,'Example Parties'!$B$13:$Q$112,15,FALSE),0))</f>
        <v/>
      </c>
      <c r="Y194">
        <f>IF(C194="","",IFERROR(VLOOKUP(C194,'Example Parties'!$B$13:$Q$112,16,FALSE),0))</f>
        <v/>
      </c>
      <c r="Z194">
        <f>IF(OR(S194=0,B194="",Y194=""),"",IF(AND(F194&lt;&gt;"",D194="Purchase bill"),F194,B194)+Y194)</f>
        <v/>
      </c>
      <c r="AA194">
        <f>IF(OR(W194=0,Z194=""),0,MAX(0,'Example Outstanding'!$E$5-Z194))</f>
        <v/>
      </c>
      <c r="AB194">
        <f>IF(AND(X194=1,AA194&gt;0),W194*((1+3*N('Example Parties'!$E$10)/12)^(AA194*12/365)-1),0)</f>
        <v/>
      </c>
      <c r="AC194">
        <f>IF(W194=0,"",'Example Outstanding'!$E$5-B194)</f>
        <v/>
      </c>
      <c r="AD194">
        <f>IF(S194=0,0,IFERROR(VLOOKUP(C194,'Example Parties'!$B$13:$Q$112,14,FALSE),0)+SUMIFS($T$7:$T$506,$C$7:$C$506,C194,$B$7:$B$506,"&lt;="&amp;'Example Parties'!$E$8))</f>
        <v/>
      </c>
      <c r="AE194">
        <f>IF(OR('Example Parties'!$E$8="",S194=0,B194="",B194&gt;'Example Parties'!$E$8),0,MAX(0,MIN(S194,U194-AD194)))</f>
        <v/>
      </c>
      <c r="AF194">
        <f>IF(AND(P194="Creditor",X194=1,AE194&gt;0,Z194&lt;&gt;""),IF(Z194&lt;='Example Parties'!$E$8,AE194,0),0)</f>
        <v/>
      </c>
      <c r="AG194">
        <f>IF(OR(AE194=0,Z194=""),0,MAX(0,'Example Parties'!$E$8-Z194))</f>
        <v/>
      </c>
      <c r="AH194">
        <f>IF(AND(P194="Creditor",X194=1,AG194&gt;0),AE194*((1+3*N('Example Parties'!$E$10)/12)^(AG194*12/365)-1),0)</f>
        <v/>
      </c>
      <c r="AI194">
        <f>IF(AND(C194&lt;&gt;"",C194='Example Ledger'!$D$4,B194&lt;&gt;"",B194&gt;='Example Ledger'!$D$5,B194&lt;='Example Ledger'!$D$6),1,0)</f>
        <v/>
      </c>
      <c r="AJ194">
        <f>IF(AI194=1,SUM(AI$7:AI194),"")</f>
        <v/>
      </c>
      <c r="AK194">
        <f>IF(OR(N194="",N194="OK"),0,1)</f>
        <v/>
      </c>
    </row>
    <row r="195">
      <c r="B195" s="24" t="n"/>
      <c r="C195" s="14" t="n"/>
      <c r="D195" s="14" t="n"/>
      <c r="E195" s="20" t="n"/>
      <c r="F195" s="24" t="n"/>
      <c r="G195" s="14" t="n"/>
      <c r="H195" s="22" t="n"/>
      <c r="I195" s="25">
        <f>IF(Q195="D",N(H195),0)</f>
        <v/>
      </c>
      <c r="J195" s="25">
        <f>IF(Q195="C",N(H195),0)</f>
        <v/>
      </c>
      <c r="K195" s="26">
        <f>IF(Z195="","",Z195)</f>
        <v/>
      </c>
      <c r="L195" s="27">
        <f>W195</f>
        <v/>
      </c>
      <c r="M195" s="28">
        <f>AA195</f>
        <v/>
      </c>
      <c r="N195" s="23">
        <f>IF(AND(B195="",C195="",D195="",N(H195)=0),"",IF(B195="","Enter the date",IF(C195="","Pick the party",IF(P195="?","Add this party on the Parties sheet first",IF(D195="","Pick the entry type",IF(Q195="?","Pick the entry type from the list",IF(N(H195)=0,"Enter the amount",IF(AND(R195&lt;&gt;"Any",R195&lt;&gt;P195),"Sales, receipts and credit notes are for debtors; purchases, payments and debit notes for creditors",IF(AND(F195&lt;&gt;"",D195&lt;&gt;"Purchase bill"),"The received-on date is only for purchase bills",IF(AND(P195="Creditor",X195=1,AA195&gt;0),"Past due to a micro or small supplier: interest runs under MSMED s.16, and if unpaid at year end it is not deductible that year, s.37(2)(g)",IF(AND(P195="Debtor",X195=1,AA195&gt;0),"Past due to you: as a micro or small supplier you can claim interest under MSMED s.16","OK")))))))))))</f>
        <v/>
      </c>
      <c r="P195">
        <f>IF(C195="","",IFERROR(VLOOKUP(C195,'Example Parties'!$B$13:$Q$112,2,FALSE),"?"))</f>
        <v/>
      </c>
      <c r="Q195">
        <f>IF(D195="","",IFERROR(VLOOKUP(D195,Lists!$A$2:$D$9,3,FALSE),"?"))</f>
        <v/>
      </c>
      <c r="R195">
        <f>IF(D195="","",IFERROR(VLOOKUP(D195,Lists!$A$2:$D$9,4,FALSE),"?"))</f>
        <v/>
      </c>
      <c r="S195">
        <f>IF(P195="Debtor",I195,IF(P195="Creditor",J195,0))</f>
        <v/>
      </c>
      <c r="T195">
        <f>IF(P195="Debtor",J195,IF(P195="Creditor",I195,0))</f>
        <v/>
      </c>
      <c r="U195">
        <f>IF(OR(S195=0,B195=""),0,IFERROR(VLOOKUP(C195,'Example Parties'!$B$13:$Q$112,13,FALSE),0)+SUMIFS($S$7:$S$506,$C$7:$C$506,C195,$B$7:$B$506,"&lt;"&amp;B195)+SUMIFS(S$7:S195,C$7:C195,C195,B$7:B195,B195))</f>
        <v/>
      </c>
      <c r="V195">
        <f>IF(S195=0,0,IFERROR(VLOOKUP(C195,'Example Parties'!$B$13:$Q$112,14,FALSE),0)+SUMIFS($T$7:$T$506,$C$7:$C$506,C195,$B$7:$B$506,"&lt;="&amp;'Example Outstanding'!$E$5))</f>
        <v/>
      </c>
      <c r="W195">
        <f>IF(OR('Example Outstanding'!$E$5="",S195=0,B195="",B195&gt;'Example Outstanding'!$E$5),0,MAX(0,MIN(S195,U195-V195)))</f>
        <v/>
      </c>
      <c r="X195">
        <f>IF(C195="",0,IFERROR(VLOOKUP(C195,'Example Parties'!$B$13:$Q$112,15,FALSE),0))</f>
        <v/>
      </c>
      <c r="Y195">
        <f>IF(C195="","",IFERROR(VLOOKUP(C195,'Example Parties'!$B$13:$Q$112,16,FALSE),0))</f>
        <v/>
      </c>
      <c r="Z195">
        <f>IF(OR(S195=0,B195="",Y195=""),"",IF(AND(F195&lt;&gt;"",D195="Purchase bill"),F195,B195)+Y195)</f>
        <v/>
      </c>
      <c r="AA195">
        <f>IF(OR(W195=0,Z195=""),0,MAX(0,'Example Outstanding'!$E$5-Z195))</f>
        <v/>
      </c>
      <c r="AB195">
        <f>IF(AND(X195=1,AA195&gt;0),W195*((1+3*N('Example Parties'!$E$10)/12)^(AA195*12/365)-1),0)</f>
        <v/>
      </c>
      <c r="AC195">
        <f>IF(W195=0,"",'Example Outstanding'!$E$5-B195)</f>
        <v/>
      </c>
      <c r="AD195">
        <f>IF(S195=0,0,IFERROR(VLOOKUP(C195,'Example Parties'!$B$13:$Q$112,14,FALSE),0)+SUMIFS($T$7:$T$506,$C$7:$C$506,C195,$B$7:$B$506,"&lt;="&amp;'Example Parties'!$E$8))</f>
        <v/>
      </c>
      <c r="AE195">
        <f>IF(OR('Example Parties'!$E$8="",S195=0,B195="",B195&gt;'Example Parties'!$E$8),0,MAX(0,MIN(S195,U195-AD195)))</f>
        <v/>
      </c>
      <c r="AF195">
        <f>IF(AND(P195="Creditor",X195=1,AE195&gt;0,Z195&lt;&gt;""),IF(Z195&lt;='Example Parties'!$E$8,AE195,0),0)</f>
        <v/>
      </c>
      <c r="AG195">
        <f>IF(OR(AE195=0,Z195=""),0,MAX(0,'Example Parties'!$E$8-Z195))</f>
        <v/>
      </c>
      <c r="AH195">
        <f>IF(AND(P195="Creditor",X195=1,AG195&gt;0),AE195*((1+3*N('Example Parties'!$E$10)/12)^(AG195*12/365)-1),0)</f>
        <v/>
      </c>
      <c r="AI195">
        <f>IF(AND(C195&lt;&gt;"",C195='Example Ledger'!$D$4,B195&lt;&gt;"",B195&gt;='Example Ledger'!$D$5,B195&lt;='Example Ledger'!$D$6),1,0)</f>
        <v/>
      </c>
      <c r="AJ195">
        <f>IF(AI195=1,SUM(AI$7:AI195),"")</f>
        <v/>
      </c>
      <c r="AK195">
        <f>IF(OR(N195="",N195="OK"),0,1)</f>
        <v/>
      </c>
    </row>
    <row r="196">
      <c r="B196" s="24" t="n"/>
      <c r="C196" s="14" t="n"/>
      <c r="D196" s="14" t="n"/>
      <c r="E196" s="20" t="n"/>
      <c r="F196" s="24" t="n"/>
      <c r="G196" s="14" t="n"/>
      <c r="H196" s="22" t="n"/>
      <c r="I196" s="25">
        <f>IF(Q196="D",N(H196),0)</f>
        <v/>
      </c>
      <c r="J196" s="25">
        <f>IF(Q196="C",N(H196),0)</f>
        <v/>
      </c>
      <c r="K196" s="26">
        <f>IF(Z196="","",Z196)</f>
        <v/>
      </c>
      <c r="L196" s="27">
        <f>W196</f>
        <v/>
      </c>
      <c r="M196" s="28">
        <f>AA196</f>
        <v/>
      </c>
      <c r="N196" s="23">
        <f>IF(AND(B196="",C196="",D196="",N(H196)=0),"",IF(B196="","Enter the date",IF(C196="","Pick the party",IF(P196="?","Add this party on the Parties sheet first",IF(D196="","Pick the entry type",IF(Q196="?","Pick the entry type from the list",IF(N(H196)=0,"Enter the amount",IF(AND(R196&lt;&gt;"Any",R196&lt;&gt;P196),"Sales, receipts and credit notes are for debtors; purchases, payments and debit notes for creditors",IF(AND(F196&lt;&gt;"",D196&lt;&gt;"Purchase bill"),"The received-on date is only for purchase bills",IF(AND(P196="Creditor",X196=1,AA196&gt;0),"Past due to a micro or small supplier: interest runs under MSMED s.16, and if unpaid at year end it is not deductible that year, s.37(2)(g)",IF(AND(P196="Debtor",X196=1,AA196&gt;0),"Past due to you: as a micro or small supplier you can claim interest under MSMED s.16","OK")))))))))))</f>
        <v/>
      </c>
      <c r="P196">
        <f>IF(C196="","",IFERROR(VLOOKUP(C196,'Example Parties'!$B$13:$Q$112,2,FALSE),"?"))</f>
        <v/>
      </c>
      <c r="Q196">
        <f>IF(D196="","",IFERROR(VLOOKUP(D196,Lists!$A$2:$D$9,3,FALSE),"?"))</f>
        <v/>
      </c>
      <c r="R196">
        <f>IF(D196="","",IFERROR(VLOOKUP(D196,Lists!$A$2:$D$9,4,FALSE),"?"))</f>
        <v/>
      </c>
      <c r="S196">
        <f>IF(P196="Debtor",I196,IF(P196="Creditor",J196,0))</f>
        <v/>
      </c>
      <c r="T196">
        <f>IF(P196="Debtor",J196,IF(P196="Creditor",I196,0))</f>
        <v/>
      </c>
      <c r="U196">
        <f>IF(OR(S196=0,B196=""),0,IFERROR(VLOOKUP(C196,'Example Parties'!$B$13:$Q$112,13,FALSE),0)+SUMIFS($S$7:$S$506,$C$7:$C$506,C196,$B$7:$B$506,"&lt;"&amp;B196)+SUMIFS(S$7:S196,C$7:C196,C196,B$7:B196,B196))</f>
        <v/>
      </c>
      <c r="V196">
        <f>IF(S196=0,0,IFERROR(VLOOKUP(C196,'Example Parties'!$B$13:$Q$112,14,FALSE),0)+SUMIFS($T$7:$T$506,$C$7:$C$506,C196,$B$7:$B$506,"&lt;="&amp;'Example Outstanding'!$E$5))</f>
        <v/>
      </c>
      <c r="W196">
        <f>IF(OR('Example Outstanding'!$E$5="",S196=0,B196="",B196&gt;'Example Outstanding'!$E$5),0,MAX(0,MIN(S196,U196-V196)))</f>
        <v/>
      </c>
      <c r="X196">
        <f>IF(C196="",0,IFERROR(VLOOKUP(C196,'Example Parties'!$B$13:$Q$112,15,FALSE),0))</f>
        <v/>
      </c>
      <c r="Y196">
        <f>IF(C196="","",IFERROR(VLOOKUP(C196,'Example Parties'!$B$13:$Q$112,16,FALSE),0))</f>
        <v/>
      </c>
      <c r="Z196">
        <f>IF(OR(S196=0,B196="",Y196=""),"",IF(AND(F196&lt;&gt;"",D196="Purchase bill"),F196,B196)+Y196)</f>
        <v/>
      </c>
      <c r="AA196">
        <f>IF(OR(W196=0,Z196=""),0,MAX(0,'Example Outstanding'!$E$5-Z196))</f>
        <v/>
      </c>
      <c r="AB196">
        <f>IF(AND(X196=1,AA196&gt;0),W196*((1+3*N('Example Parties'!$E$10)/12)^(AA196*12/365)-1),0)</f>
        <v/>
      </c>
      <c r="AC196">
        <f>IF(W196=0,"",'Example Outstanding'!$E$5-B196)</f>
        <v/>
      </c>
      <c r="AD196">
        <f>IF(S196=0,0,IFERROR(VLOOKUP(C196,'Example Parties'!$B$13:$Q$112,14,FALSE),0)+SUMIFS($T$7:$T$506,$C$7:$C$506,C196,$B$7:$B$506,"&lt;="&amp;'Example Parties'!$E$8))</f>
        <v/>
      </c>
      <c r="AE196">
        <f>IF(OR('Example Parties'!$E$8="",S196=0,B196="",B196&gt;'Example Parties'!$E$8),0,MAX(0,MIN(S196,U196-AD196)))</f>
        <v/>
      </c>
      <c r="AF196">
        <f>IF(AND(P196="Creditor",X196=1,AE196&gt;0,Z196&lt;&gt;""),IF(Z196&lt;='Example Parties'!$E$8,AE196,0),0)</f>
        <v/>
      </c>
      <c r="AG196">
        <f>IF(OR(AE196=0,Z196=""),0,MAX(0,'Example Parties'!$E$8-Z196))</f>
        <v/>
      </c>
      <c r="AH196">
        <f>IF(AND(P196="Creditor",X196=1,AG196&gt;0),AE196*((1+3*N('Example Parties'!$E$10)/12)^(AG196*12/365)-1),0)</f>
        <v/>
      </c>
      <c r="AI196">
        <f>IF(AND(C196&lt;&gt;"",C196='Example Ledger'!$D$4,B196&lt;&gt;"",B196&gt;='Example Ledger'!$D$5,B196&lt;='Example Ledger'!$D$6),1,0)</f>
        <v/>
      </c>
      <c r="AJ196">
        <f>IF(AI196=1,SUM(AI$7:AI196),"")</f>
        <v/>
      </c>
      <c r="AK196">
        <f>IF(OR(N196="",N196="OK"),0,1)</f>
        <v/>
      </c>
    </row>
    <row r="197">
      <c r="B197" s="24" t="n"/>
      <c r="C197" s="14" t="n"/>
      <c r="D197" s="14" t="n"/>
      <c r="E197" s="20" t="n"/>
      <c r="F197" s="24" t="n"/>
      <c r="G197" s="14" t="n"/>
      <c r="H197" s="22" t="n"/>
      <c r="I197" s="25">
        <f>IF(Q197="D",N(H197),0)</f>
        <v/>
      </c>
      <c r="J197" s="25">
        <f>IF(Q197="C",N(H197),0)</f>
        <v/>
      </c>
      <c r="K197" s="26">
        <f>IF(Z197="","",Z197)</f>
        <v/>
      </c>
      <c r="L197" s="27">
        <f>W197</f>
        <v/>
      </c>
      <c r="M197" s="28">
        <f>AA197</f>
        <v/>
      </c>
      <c r="N197" s="23">
        <f>IF(AND(B197="",C197="",D197="",N(H197)=0),"",IF(B197="","Enter the date",IF(C197="","Pick the party",IF(P197="?","Add this party on the Parties sheet first",IF(D197="","Pick the entry type",IF(Q197="?","Pick the entry type from the list",IF(N(H197)=0,"Enter the amount",IF(AND(R197&lt;&gt;"Any",R197&lt;&gt;P197),"Sales, receipts and credit notes are for debtors; purchases, payments and debit notes for creditors",IF(AND(F197&lt;&gt;"",D197&lt;&gt;"Purchase bill"),"The received-on date is only for purchase bills",IF(AND(P197="Creditor",X197=1,AA197&gt;0),"Past due to a micro or small supplier: interest runs under MSMED s.16, and if unpaid at year end it is not deductible that year, s.37(2)(g)",IF(AND(P197="Debtor",X197=1,AA197&gt;0),"Past due to you: as a micro or small supplier you can claim interest under MSMED s.16","OK")))))))))))</f>
        <v/>
      </c>
      <c r="P197">
        <f>IF(C197="","",IFERROR(VLOOKUP(C197,'Example Parties'!$B$13:$Q$112,2,FALSE),"?"))</f>
        <v/>
      </c>
      <c r="Q197">
        <f>IF(D197="","",IFERROR(VLOOKUP(D197,Lists!$A$2:$D$9,3,FALSE),"?"))</f>
        <v/>
      </c>
      <c r="R197">
        <f>IF(D197="","",IFERROR(VLOOKUP(D197,Lists!$A$2:$D$9,4,FALSE),"?"))</f>
        <v/>
      </c>
      <c r="S197">
        <f>IF(P197="Debtor",I197,IF(P197="Creditor",J197,0))</f>
        <v/>
      </c>
      <c r="T197">
        <f>IF(P197="Debtor",J197,IF(P197="Creditor",I197,0))</f>
        <v/>
      </c>
      <c r="U197">
        <f>IF(OR(S197=0,B197=""),0,IFERROR(VLOOKUP(C197,'Example Parties'!$B$13:$Q$112,13,FALSE),0)+SUMIFS($S$7:$S$506,$C$7:$C$506,C197,$B$7:$B$506,"&lt;"&amp;B197)+SUMIFS(S$7:S197,C$7:C197,C197,B$7:B197,B197))</f>
        <v/>
      </c>
      <c r="V197">
        <f>IF(S197=0,0,IFERROR(VLOOKUP(C197,'Example Parties'!$B$13:$Q$112,14,FALSE),0)+SUMIFS($T$7:$T$506,$C$7:$C$506,C197,$B$7:$B$506,"&lt;="&amp;'Example Outstanding'!$E$5))</f>
        <v/>
      </c>
      <c r="W197">
        <f>IF(OR('Example Outstanding'!$E$5="",S197=0,B197="",B197&gt;'Example Outstanding'!$E$5),0,MAX(0,MIN(S197,U197-V197)))</f>
        <v/>
      </c>
      <c r="X197">
        <f>IF(C197="",0,IFERROR(VLOOKUP(C197,'Example Parties'!$B$13:$Q$112,15,FALSE),0))</f>
        <v/>
      </c>
      <c r="Y197">
        <f>IF(C197="","",IFERROR(VLOOKUP(C197,'Example Parties'!$B$13:$Q$112,16,FALSE),0))</f>
        <v/>
      </c>
      <c r="Z197">
        <f>IF(OR(S197=0,B197="",Y197=""),"",IF(AND(F197&lt;&gt;"",D197="Purchase bill"),F197,B197)+Y197)</f>
        <v/>
      </c>
      <c r="AA197">
        <f>IF(OR(W197=0,Z197=""),0,MAX(0,'Example Outstanding'!$E$5-Z197))</f>
        <v/>
      </c>
      <c r="AB197">
        <f>IF(AND(X197=1,AA197&gt;0),W197*((1+3*N('Example Parties'!$E$10)/12)^(AA197*12/365)-1),0)</f>
        <v/>
      </c>
      <c r="AC197">
        <f>IF(W197=0,"",'Example Outstanding'!$E$5-B197)</f>
        <v/>
      </c>
      <c r="AD197">
        <f>IF(S197=0,0,IFERROR(VLOOKUP(C197,'Example Parties'!$B$13:$Q$112,14,FALSE),0)+SUMIFS($T$7:$T$506,$C$7:$C$506,C197,$B$7:$B$506,"&lt;="&amp;'Example Parties'!$E$8))</f>
        <v/>
      </c>
      <c r="AE197">
        <f>IF(OR('Example Parties'!$E$8="",S197=0,B197="",B197&gt;'Example Parties'!$E$8),0,MAX(0,MIN(S197,U197-AD197)))</f>
        <v/>
      </c>
      <c r="AF197">
        <f>IF(AND(P197="Creditor",X197=1,AE197&gt;0,Z197&lt;&gt;""),IF(Z197&lt;='Example Parties'!$E$8,AE197,0),0)</f>
        <v/>
      </c>
      <c r="AG197">
        <f>IF(OR(AE197=0,Z197=""),0,MAX(0,'Example Parties'!$E$8-Z197))</f>
        <v/>
      </c>
      <c r="AH197">
        <f>IF(AND(P197="Creditor",X197=1,AG197&gt;0),AE197*((1+3*N('Example Parties'!$E$10)/12)^(AG197*12/365)-1),0)</f>
        <v/>
      </c>
      <c r="AI197">
        <f>IF(AND(C197&lt;&gt;"",C197='Example Ledger'!$D$4,B197&lt;&gt;"",B197&gt;='Example Ledger'!$D$5,B197&lt;='Example Ledger'!$D$6),1,0)</f>
        <v/>
      </c>
      <c r="AJ197">
        <f>IF(AI197=1,SUM(AI$7:AI197),"")</f>
        <v/>
      </c>
      <c r="AK197">
        <f>IF(OR(N197="",N197="OK"),0,1)</f>
        <v/>
      </c>
    </row>
    <row r="198">
      <c r="B198" s="24" t="n"/>
      <c r="C198" s="14" t="n"/>
      <c r="D198" s="14" t="n"/>
      <c r="E198" s="20" t="n"/>
      <c r="F198" s="24" t="n"/>
      <c r="G198" s="14" t="n"/>
      <c r="H198" s="22" t="n"/>
      <c r="I198" s="25">
        <f>IF(Q198="D",N(H198),0)</f>
        <v/>
      </c>
      <c r="J198" s="25">
        <f>IF(Q198="C",N(H198),0)</f>
        <v/>
      </c>
      <c r="K198" s="26">
        <f>IF(Z198="","",Z198)</f>
        <v/>
      </c>
      <c r="L198" s="27">
        <f>W198</f>
        <v/>
      </c>
      <c r="M198" s="28">
        <f>AA198</f>
        <v/>
      </c>
      <c r="N198" s="23">
        <f>IF(AND(B198="",C198="",D198="",N(H198)=0),"",IF(B198="","Enter the date",IF(C198="","Pick the party",IF(P198="?","Add this party on the Parties sheet first",IF(D198="","Pick the entry type",IF(Q198="?","Pick the entry type from the list",IF(N(H198)=0,"Enter the amount",IF(AND(R198&lt;&gt;"Any",R198&lt;&gt;P198),"Sales, receipts and credit notes are for debtors; purchases, payments and debit notes for creditors",IF(AND(F198&lt;&gt;"",D198&lt;&gt;"Purchase bill"),"The received-on date is only for purchase bills",IF(AND(P198="Creditor",X198=1,AA198&gt;0),"Past due to a micro or small supplier: interest runs under MSMED s.16, and if unpaid at year end it is not deductible that year, s.37(2)(g)",IF(AND(P198="Debtor",X198=1,AA198&gt;0),"Past due to you: as a micro or small supplier you can claim interest under MSMED s.16","OK")))))))))))</f>
        <v/>
      </c>
      <c r="P198">
        <f>IF(C198="","",IFERROR(VLOOKUP(C198,'Example Parties'!$B$13:$Q$112,2,FALSE),"?"))</f>
        <v/>
      </c>
      <c r="Q198">
        <f>IF(D198="","",IFERROR(VLOOKUP(D198,Lists!$A$2:$D$9,3,FALSE),"?"))</f>
        <v/>
      </c>
      <c r="R198">
        <f>IF(D198="","",IFERROR(VLOOKUP(D198,Lists!$A$2:$D$9,4,FALSE),"?"))</f>
        <v/>
      </c>
      <c r="S198">
        <f>IF(P198="Debtor",I198,IF(P198="Creditor",J198,0))</f>
        <v/>
      </c>
      <c r="T198">
        <f>IF(P198="Debtor",J198,IF(P198="Creditor",I198,0))</f>
        <v/>
      </c>
      <c r="U198">
        <f>IF(OR(S198=0,B198=""),0,IFERROR(VLOOKUP(C198,'Example Parties'!$B$13:$Q$112,13,FALSE),0)+SUMIFS($S$7:$S$506,$C$7:$C$506,C198,$B$7:$B$506,"&lt;"&amp;B198)+SUMIFS(S$7:S198,C$7:C198,C198,B$7:B198,B198))</f>
        <v/>
      </c>
      <c r="V198">
        <f>IF(S198=0,0,IFERROR(VLOOKUP(C198,'Example Parties'!$B$13:$Q$112,14,FALSE),0)+SUMIFS($T$7:$T$506,$C$7:$C$506,C198,$B$7:$B$506,"&lt;="&amp;'Example Outstanding'!$E$5))</f>
        <v/>
      </c>
      <c r="W198">
        <f>IF(OR('Example Outstanding'!$E$5="",S198=0,B198="",B198&gt;'Example Outstanding'!$E$5),0,MAX(0,MIN(S198,U198-V198)))</f>
        <v/>
      </c>
      <c r="X198">
        <f>IF(C198="",0,IFERROR(VLOOKUP(C198,'Example Parties'!$B$13:$Q$112,15,FALSE),0))</f>
        <v/>
      </c>
      <c r="Y198">
        <f>IF(C198="","",IFERROR(VLOOKUP(C198,'Example Parties'!$B$13:$Q$112,16,FALSE),0))</f>
        <v/>
      </c>
      <c r="Z198">
        <f>IF(OR(S198=0,B198="",Y198=""),"",IF(AND(F198&lt;&gt;"",D198="Purchase bill"),F198,B198)+Y198)</f>
        <v/>
      </c>
      <c r="AA198">
        <f>IF(OR(W198=0,Z198=""),0,MAX(0,'Example Outstanding'!$E$5-Z198))</f>
        <v/>
      </c>
      <c r="AB198">
        <f>IF(AND(X198=1,AA198&gt;0),W198*((1+3*N('Example Parties'!$E$10)/12)^(AA198*12/365)-1),0)</f>
        <v/>
      </c>
      <c r="AC198">
        <f>IF(W198=0,"",'Example Outstanding'!$E$5-B198)</f>
        <v/>
      </c>
      <c r="AD198">
        <f>IF(S198=0,0,IFERROR(VLOOKUP(C198,'Example Parties'!$B$13:$Q$112,14,FALSE),0)+SUMIFS($T$7:$T$506,$C$7:$C$506,C198,$B$7:$B$506,"&lt;="&amp;'Example Parties'!$E$8))</f>
        <v/>
      </c>
      <c r="AE198">
        <f>IF(OR('Example Parties'!$E$8="",S198=0,B198="",B198&gt;'Example Parties'!$E$8),0,MAX(0,MIN(S198,U198-AD198)))</f>
        <v/>
      </c>
      <c r="AF198">
        <f>IF(AND(P198="Creditor",X198=1,AE198&gt;0,Z198&lt;&gt;""),IF(Z198&lt;='Example Parties'!$E$8,AE198,0),0)</f>
        <v/>
      </c>
      <c r="AG198">
        <f>IF(OR(AE198=0,Z198=""),0,MAX(0,'Example Parties'!$E$8-Z198))</f>
        <v/>
      </c>
      <c r="AH198">
        <f>IF(AND(P198="Creditor",X198=1,AG198&gt;0),AE198*((1+3*N('Example Parties'!$E$10)/12)^(AG198*12/365)-1),0)</f>
        <v/>
      </c>
      <c r="AI198">
        <f>IF(AND(C198&lt;&gt;"",C198='Example Ledger'!$D$4,B198&lt;&gt;"",B198&gt;='Example Ledger'!$D$5,B198&lt;='Example Ledger'!$D$6),1,0)</f>
        <v/>
      </c>
      <c r="AJ198">
        <f>IF(AI198=1,SUM(AI$7:AI198),"")</f>
        <v/>
      </c>
      <c r="AK198">
        <f>IF(OR(N198="",N198="OK"),0,1)</f>
        <v/>
      </c>
    </row>
    <row r="199">
      <c r="B199" s="24" t="n"/>
      <c r="C199" s="14" t="n"/>
      <c r="D199" s="14" t="n"/>
      <c r="E199" s="20" t="n"/>
      <c r="F199" s="24" t="n"/>
      <c r="G199" s="14" t="n"/>
      <c r="H199" s="22" t="n"/>
      <c r="I199" s="25">
        <f>IF(Q199="D",N(H199),0)</f>
        <v/>
      </c>
      <c r="J199" s="25">
        <f>IF(Q199="C",N(H199),0)</f>
        <v/>
      </c>
      <c r="K199" s="26">
        <f>IF(Z199="","",Z199)</f>
        <v/>
      </c>
      <c r="L199" s="27">
        <f>W199</f>
        <v/>
      </c>
      <c r="M199" s="28">
        <f>AA199</f>
        <v/>
      </c>
      <c r="N199" s="23">
        <f>IF(AND(B199="",C199="",D199="",N(H199)=0),"",IF(B199="","Enter the date",IF(C199="","Pick the party",IF(P199="?","Add this party on the Parties sheet first",IF(D199="","Pick the entry type",IF(Q199="?","Pick the entry type from the list",IF(N(H199)=0,"Enter the amount",IF(AND(R199&lt;&gt;"Any",R199&lt;&gt;P199),"Sales, receipts and credit notes are for debtors; purchases, payments and debit notes for creditors",IF(AND(F199&lt;&gt;"",D199&lt;&gt;"Purchase bill"),"The received-on date is only for purchase bills",IF(AND(P199="Creditor",X199=1,AA199&gt;0),"Past due to a micro or small supplier: interest runs under MSMED s.16, and if unpaid at year end it is not deductible that year, s.37(2)(g)",IF(AND(P199="Debtor",X199=1,AA199&gt;0),"Past due to you: as a micro or small supplier you can claim interest under MSMED s.16","OK")))))))))))</f>
        <v/>
      </c>
      <c r="P199">
        <f>IF(C199="","",IFERROR(VLOOKUP(C199,'Example Parties'!$B$13:$Q$112,2,FALSE),"?"))</f>
        <v/>
      </c>
      <c r="Q199">
        <f>IF(D199="","",IFERROR(VLOOKUP(D199,Lists!$A$2:$D$9,3,FALSE),"?"))</f>
        <v/>
      </c>
      <c r="R199">
        <f>IF(D199="","",IFERROR(VLOOKUP(D199,Lists!$A$2:$D$9,4,FALSE),"?"))</f>
        <v/>
      </c>
      <c r="S199">
        <f>IF(P199="Debtor",I199,IF(P199="Creditor",J199,0))</f>
        <v/>
      </c>
      <c r="T199">
        <f>IF(P199="Debtor",J199,IF(P199="Creditor",I199,0))</f>
        <v/>
      </c>
      <c r="U199">
        <f>IF(OR(S199=0,B199=""),0,IFERROR(VLOOKUP(C199,'Example Parties'!$B$13:$Q$112,13,FALSE),0)+SUMIFS($S$7:$S$506,$C$7:$C$506,C199,$B$7:$B$506,"&lt;"&amp;B199)+SUMIFS(S$7:S199,C$7:C199,C199,B$7:B199,B199))</f>
        <v/>
      </c>
      <c r="V199">
        <f>IF(S199=0,0,IFERROR(VLOOKUP(C199,'Example Parties'!$B$13:$Q$112,14,FALSE),0)+SUMIFS($T$7:$T$506,$C$7:$C$506,C199,$B$7:$B$506,"&lt;="&amp;'Example Outstanding'!$E$5))</f>
        <v/>
      </c>
      <c r="W199">
        <f>IF(OR('Example Outstanding'!$E$5="",S199=0,B199="",B199&gt;'Example Outstanding'!$E$5),0,MAX(0,MIN(S199,U199-V199)))</f>
        <v/>
      </c>
      <c r="X199">
        <f>IF(C199="",0,IFERROR(VLOOKUP(C199,'Example Parties'!$B$13:$Q$112,15,FALSE),0))</f>
        <v/>
      </c>
      <c r="Y199">
        <f>IF(C199="","",IFERROR(VLOOKUP(C199,'Example Parties'!$B$13:$Q$112,16,FALSE),0))</f>
        <v/>
      </c>
      <c r="Z199">
        <f>IF(OR(S199=0,B199="",Y199=""),"",IF(AND(F199&lt;&gt;"",D199="Purchase bill"),F199,B199)+Y199)</f>
        <v/>
      </c>
      <c r="AA199">
        <f>IF(OR(W199=0,Z199=""),0,MAX(0,'Example Outstanding'!$E$5-Z199))</f>
        <v/>
      </c>
      <c r="AB199">
        <f>IF(AND(X199=1,AA199&gt;0),W199*((1+3*N('Example Parties'!$E$10)/12)^(AA199*12/365)-1),0)</f>
        <v/>
      </c>
      <c r="AC199">
        <f>IF(W199=0,"",'Example Outstanding'!$E$5-B199)</f>
        <v/>
      </c>
      <c r="AD199">
        <f>IF(S199=0,0,IFERROR(VLOOKUP(C199,'Example Parties'!$B$13:$Q$112,14,FALSE),0)+SUMIFS($T$7:$T$506,$C$7:$C$506,C199,$B$7:$B$506,"&lt;="&amp;'Example Parties'!$E$8))</f>
        <v/>
      </c>
      <c r="AE199">
        <f>IF(OR('Example Parties'!$E$8="",S199=0,B199="",B199&gt;'Example Parties'!$E$8),0,MAX(0,MIN(S199,U199-AD199)))</f>
        <v/>
      </c>
      <c r="AF199">
        <f>IF(AND(P199="Creditor",X199=1,AE199&gt;0,Z199&lt;&gt;""),IF(Z199&lt;='Example Parties'!$E$8,AE199,0),0)</f>
        <v/>
      </c>
      <c r="AG199">
        <f>IF(OR(AE199=0,Z199=""),0,MAX(0,'Example Parties'!$E$8-Z199))</f>
        <v/>
      </c>
      <c r="AH199">
        <f>IF(AND(P199="Creditor",X199=1,AG199&gt;0),AE199*((1+3*N('Example Parties'!$E$10)/12)^(AG199*12/365)-1),0)</f>
        <v/>
      </c>
      <c r="AI199">
        <f>IF(AND(C199&lt;&gt;"",C199='Example Ledger'!$D$4,B199&lt;&gt;"",B199&gt;='Example Ledger'!$D$5,B199&lt;='Example Ledger'!$D$6),1,0)</f>
        <v/>
      </c>
      <c r="AJ199">
        <f>IF(AI199=1,SUM(AI$7:AI199),"")</f>
        <v/>
      </c>
      <c r="AK199">
        <f>IF(OR(N199="",N199="OK"),0,1)</f>
        <v/>
      </c>
    </row>
    <row r="200">
      <c r="B200" s="24" t="n"/>
      <c r="C200" s="14" t="n"/>
      <c r="D200" s="14" t="n"/>
      <c r="E200" s="20" t="n"/>
      <c r="F200" s="24" t="n"/>
      <c r="G200" s="14" t="n"/>
      <c r="H200" s="22" t="n"/>
      <c r="I200" s="25">
        <f>IF(Q200="D",N(H200),0)</f>
        <v/>
      </c>
      <c r="J200" s="25">
        <f>IF(Q200="C",N(H200),0)</f>
        <v/>
      </c>
      <c r="K200" s="26">
        <f>IF(Z200="","",Z200)</f>
        <v/>
      </c>
      <c r="L200" s="27">
        <f>W200</f>
        <v/>
      </c>
      <c r="M200" s="28">
        <f>AA200</f>
        <v/>
      </c>
      <c r="N200" s="23">
        <f>IF(AND(B200="",C200="",D200="",N(H200)=0),"",IF(B200="","Enter the date",IF(C200="","Pick the party",IF(P200="?","Add this party on the Parties sheet first",IF(D200="","Pick the entry type",IF(Q200="?","Pick the entry type from the list",IF(N(H200)=0,"Enter the amount",IF(AND(R200&lt;&gt;"Any",R200&lt;&gt;P200),"Sales, receipts and credit notes are for debtors; purchases, payments and debit notes for creditors",IF(AND(F200&lt;&gt;"",D200&lt;&gt;"Purchase bill"),"The received-on date is only for purchase bills",IF(AND(P200="Creditor",X200=1,AA200&gt;0),"Past due to a micro or small supplier: interest runs under MSMED s.16, and if unpaid at year end it is not deductible that year, s.37(2)(g)",IF(AND(P200="Debtor",X200=1,AA200&gt;0),"Past due to you: as a micro or small supplier you can claim interest under MSMED s.16","OK")))))))))))</f>
        <v/>
      </c>
      <c r="P200">
        <f>IF(C200="","",IFERROR(VLOOKUP(C200,'Example Parties'!$B$13:$Q$112,2,FALSE),"?"))</f>
        <v/>
      </c>
      <c r="Q200">
        <f>IF(D200="","",IFERROR(VLOOKUP(D200,Lists!$A$2:$D$9,3,FALSE),"?"))</f>
        <v/>
      </c>
      <c r="R200">
        <f>IF(D200="","",IFERROR(VLOOKUP(D200,Lists!$A$2:$D$9,4,FALSE),"?"))</f>
        <v/>
      </c>
      <c r="S200">
        <f>IF(P200="Debtor",I200,IF(P200="Creditor",J200,0))</f>
        <v/>
      </c>
      <c r="T200">
        <f>IF(P200="Debtor",J200,IF(P200="Creditor",I200,0))</f>
        <v/>
      </c>
      <c r="U200">
        <f>IF(OR(S200=0,B200=""),0,IFERROR(VLOOKUP(C200,'Example Parties'!$B$13:$Q$112,13,FALSE),0)+SUMIFS($S$7:$S$506,$C$7:$C$506,C200,$B$7:$B$506,"&lt;"&amp;B200)+SUMIFS(S$7:S200,C$7:C200,C200,B$7:B200,B200))</f>
        <v/>
      </c>
      <c r="V200">
        <f>IF(S200=0,0,IFERROR(VLOOKUP(C200,'Example Parties'!$B$13:$Q$112,14,FALSE),0)+SUMIFS($T$7:$T$506,$C$7:$C$506,C200,$B$7:$B$506,"&lt;="&amp;'Example Outstanding'!$E$5))</f>
        <v/>
      </c>
      <c r="W200">
        <f>IF(OR('Example Outstanding'!$E$5="",S200=0,B200="",B200&gt;'Example Outstanding'!$E$5),0,MAX(0,MIN(S200,U200-V200)))</f>
        <v/>
      </c>
      <c r="X200">
        <f>IF(C200="",0,IFERROR(VLOOKUP(C200,'Example Parties'!$B$13:$Q$112,15,FALSE),0))</f>
        <v/>
      </c>
      <c r="Y200">
        <f>IF(C200="","",IFERROR(VLOOKUP(C200,'Example Parties'!$B$13:$Q$112,16,FALSE),0))</f>
        <v/>
      </c>
      <c r="Z200">
        <f>IF(OR(S200=0,B200="",Y200=""),"",IF(AND(F200&lt;&gt;"",D200="Purchase bill"),F200,B200)+Y200)</f>
        <v/>
      </c>
      <c r="AA200">
        <f>IF(OR(W200=0,Z200=""),0,MAX(0,'Example Outstanding'!$E$5-Z200))</f>
        <v/>
      </c>
      <c r="AB200">
        <f>IF(AND(X200=1,AA200&gt;0),W200*((1+3*N('Example Parties'!$E$10)/12)^(AA200*12/365)-1),0)</f>
        <v/>
      </c>
      <c r="AC200">
        <f>IF(W200=0,"",'Example Outstanding'!$E$5-B200)</f>
        <v/>
      </c>
      <c r="AD200">
        <f>IF(S200=0,0,IFERROR(VLOOKUP(C200,'Example Parties'!$B$13:$Q$112,14,FALSE),0)+SUMIFS($T$7:$T$506,$C$7:$C$506,C200,$B$7:$B$506,"&lt;="&amp;'Example Parties'!$E$8))</f>
        <v/>
      </c>
      <c r="AE200">
        <f>IF(OR('Example Parties'!$E$8="",S200=0,B200="",B200&gt;'Example Parties'!$E$8),0,MAX(0,MIN(S200,U200-AD200)))</f>
        <v/>
      </c>
      <c r="AF200">
        <f>IF(AND(P200="Creditor",X200=1,AE200&gt;0,Z200&lt;&gt;""),IF(Z200&lt;='Example Parties'!$E$8,AE200,0),0)</f>
        <v/>
      </c>
      <c r="AG200">
        <f>IF(OR(AE200=0,Z200=""),0,MAX(0,'Example Parties'!$E$8-Z200))</f>
        <v/>
      </c>
      <c r="AH200">
        <f>IF(AND(P200="Creditor",X200=1,AG200&gt;0),AE200*((1+3*N('Example Parties'!$E$10)/12)^(AG200*12/365)-1),0)</f>
        <v/>
      </c>
      <c r="AI200">
        <f>IF(AND(C200&lt;&gt;"",C200='Example Ledger'!$D$4,B200&lt;&gt;"",B200&gt;='Example Ledger'!$D$5,B200&lt;='Example Ledger'!$D$6),1,0)</f>
        <v/>
      </c>
      <c r="AJ200">
        <f>IF(AI200=1,SUM(AI$7:AI200),"")</f>
        <v/>
      </c>
      <c r="AK200">
        <f>IF(OR(N200="",N200="OK"),0,1)</f>
        <v/>
      </c>
    </row>
    <row r="201">
      <c r="B201" s="24" t="n"/>
      <c r="C201" s="14" t="n"/>
      <c r="D201" s="14" t="n"/>
      <c r="E201" s="20" t="n"/>
      <c r="F201" s="24" t="n"/>
      <c r="G201" s="14" t="n"/>
      <c r="H201" s="22" t="n"/>
      <c r="I201" s="25">
        <f>IF(Q201="D",N(H201),0)</f>
        <v/>
      </c>
      <c r="J201" s="25">
        <f>IF(Q201="C",N(H201),0)</f>
        <v/>
      </c>
      <c r="K201" s="26">
        <f>IF(Z201="","",Z201)</f>
        <v/>
      </c>
      <c r="L201" s="27">
        <f>W201</f>
        <v/>
      </c>
      <c r="M201" s="28">
        <f>AA201</f>
        <v/>
      </c>
      <c r="N201" s="23">
        <f>IF(AND(B201="",C201="",D201="",N(H201)=0),"",IF(B201="","Enter the date",IF(C201="","Pick the party",IF(P201="?","Add this party on the Parties sheet first",IF(D201="","Pick the entry type",IF(Q201="?","Pick the entry type from the list",IF(N(H201)=0,"Enter the amount",IF(AND(R201&lt;&gt;"Any",R201&lt;&gt;P201),"Sales, receipts and credit notes are for debtors; purchases, payments and debit notes for creditors",IF(AND(F201&lt;&gt;"",D201&lt;&gt;"Purchase bill"),"The received-on date is only for purchase bills",IF(AND(P201="Creditor",X201=1,AA201&gt;0),"Past due to a micro or small supplier: interest runs under MSMED s.16, and if unpaid at year end it is not deductible that year, s.37(2)(g)",IF(AND(P201="Debtor",X201=1,AA201&gt;0),"Past due to you: as a micro or small supplier you can claim interest under MSMED s.16","OK")))))))))))</f>
        <v/>
      </c>
      <c r="P201">
        <f>IF(C201="","",IFERROR(VLOOKUP(C201,'Example Parties'!$B$13:$Q$112,2,FALSE),"?"))</f>
        <v/>
      </c>
      <c r="Q201">
        <f>IF(D201="","",IFERROR(VLOOKUP(D201,Lists!$A$2:$D$9,3,FALSE),"?"))</f>
        <v/>
      </c>
      <c r="R201">
        <f>IF(D201="","",IFERROR(VLOOKUP(D201,Lists!$A$2:$D$9,4,FALSE),"?"))</f>
        <v/>
      </c>
      <c r="S201">
        <f>IF(P201="Debtor",I201,IF(P201="Creditor",J201,0))</f>
        <v/>
      </c>
      <c r="T201">
        <f>IF(P201="Debtor",J201,IF(P201="Creditor",I201,0))</f>
        <v/>
      </c>
      <c r="U201">
        <f>IF(OR(S201=0,B201=""),0,IFERROR(VLOOKUP(C201,'Example Parties'!$B$13:$Q$112,13,FALSE),0)+SUMIFS($S$7:$S$506,$C$7:$C$506,C201,$B$7:$B$506,"&lt;"&amp;B201)+SUMIFS(S$7:S201,C$7:C201,C201,B$7:B201,B201))</f>
        <v/>
      </c>
      <c r="V201">
        <f>IF(S201=0,0,IFERROR(VLOOKUP(C201,'Example Parties'!$B$13:$Q$112,14,FALSE),0)+SUMIFS($T$7:$T$506,$C$7:$C$506,C201,$B$7:$B$506,"&lt;="&amp;'Example Outstanding'!$E$5))</f>
        <v/>
      </c>
      <c r="W201">
        <f>IF(OR('Example Outstanding'!$E$5="",S201=0,B201="",B201&gt;'Example Outstanding'!$E$5),0,MAX(0,MIN(S201,U201-V201)))</f>
        <v/>
      </c>
      <c r="X201">
        <f>IF(C201="",0,IFERROR(VLOOKUP(C201,'Example Parties'!$B$13:$Q$112,15,FALSE),0))</f>
        <v/>
      </c>
      <c r="Y201">
        <f>IF(C201="","",IFERROR(VLOOKUP(C201,'Example Parties'!$B$13:$Q$112,16,FALSE),0))</f>
        <v/>
      </c>
      <c r="Z201">
        <f>IF(OR(S201=0,B201="",Y201=""),"",IF(AND(F201&lt;&gt;"",D201="Purchase bill"),F201,B201)+Y201)</f>
        <v/>
      </c>
      <c r="AA201">
        <f>IF(OR(W201=0,Z201=""),0,MAX(0,'Example Outstanding'!$E$5-Z201))</f>
        <v/>
      </c>
      <c r="AB201">
        <f>IF(AND(X201=1,AA201&gt;0),W201*((1+3*N('Example Parties'!$E$10)/12)^(AA201*12/365)-1),0)</f>
        <v/>
      </c>
      <c r="AC201">
        <f>IF(W201=0,"",'Example Outstanding'!$E$5-B201)</f>
        <v/>
      </c>
      <c r="AD201">
        <f>IF(S201=0,0,IFERROR(VLOOKUP(C201,'Example Parties'!$B$13:$Q$112,14,FALSE),0)+SUMIFS($T$7:$T$506,$C$7:$C$506,C201,$B$7:$B$506,"&lt;="&amp;'Example Parties'!$E$8))</f>
        <v/>
      </c>
      <c r="AE201">
        <f>IF(OR('Example Parties'!$E$8="",S201=0,B201="",B201&gt;'Example Parties'!$E$8),0,MAX(0,MIN(S201,U201-AD201)))</f>
        <v/>
      </c>
      <c r="AF201">
        <f>IF(AND(P201="Creditor",X201=1,AE201&gt;0,Z201&lt;&gt;""),IF(Z201&lt;='Example Parties'!$E$8,AE201,0),0)</f>
        <v/>
      </c>
      <c r="AG201">
        <f>IF(OR(AE201=0,Z201=""),0,MAX(0,'Example Parties'!$E$8-Z201))</f>
        <v/>
      </c>
      <c r="AH201">
        <f>IF(AND(P201="Creditor",X201=1,AG201&gt;0),AE201*((1+3*N('Example Parties'!$E$10)/12)^(AG201*12/365)-1),0)</f>
        <v/>
      </c>
      <c r="AI201">
        <f>IF(AND(C201&lt;&gt;"",C201='Example Ledger'!$D$4,B201&lt;&gt;"",B201&gt;='Example Ledger'!$D$5,B201&lt;='Example Ledger'!$D$6),1,0)</f>
        <v/>
      </c>
      <c r="AJ201">
        <f>IF(AI201=1,SUM(AI$7:AI201),"")</f>
        <v/>
      </c>
      <c r="AK201">
        <f>IF(OR(N201="",N201="OK"),0,1)</f>
        <v/>
      </c>
    </row>
    <row r="202">
      <c r="B202" s="24" t="n"/>
      <c r="C202" s="14" t="n"/>
      <c r="D202" s="14" t="n"/>
      <c r="E202" s="20" t="n"/>
      <c r="F202" s="24" t="n"/>
      <c r="G202" s="14" t="n"/>
      <c r="H202" s="22" t="n"/>
      <c r="I202" s="25">
        <f>IF(Q202="D",N(H202),0)</f>
        <v/>
      </c>
      <c r="J202" s="25">
        <f>IF(Q202="C",N(H202),0)</f>
        <v/>
      </c>
      <c r="K202" s="26">
        <f>IF(Z202="","",Z202)</f>
        <v/>
      </c>
      <c r="L202" s="27">
        <f>W202</f>
        <v/>
      </c>
      <c r="M202" s="28">
        <f>AA202</f>
        <v/>
      </c>
      <c r="N202" s="23">
        <f>IF(AND(B202="",C202="",D202="",N(H202)=0),"",IF(B202="","Enter the date",IF(C202="","Pick the party",IF(P202="?","Add this party on the Parties sheet first",IF(D202="","Pick the entry type",IF(Q202="?","Pick the entry type from the list",IF(N(H202)=0,"Enter the amount",IF(AND(R202&lt;&gt;"Any",R202&lt;&gt;P202),"Sales, receipts and credit notes are for debtors; purchases, payments and debit notes for creditors",IF(AND(F202&lt;&gt;"",D202&lt;&gt;"Purchase bill"),"The received-on date is only for purchase bills",IF(AND(P202="Creditor",X202=1,AA202&gt;0),"Past due to a micro or small supplier: interest runs under MSMED s.16, and if unpaid at year end it is not deductible that year, s.37(2)(g)",IF(AND(P202="Debtor",X202=1,AA202&gt;0),"Past due to you: as a micro or small supplier you can claim interest under MSMED s.16","OK")))))))))))</f>
        <v/>
      </c>
      <c r="P202">
        <f>IF(C202="","",IFERROR(VLOOKUP(C202,'Example Parties'!$B$13:$Q$112,2,FALSE),"?"))</f>
        <v/>
      </c>
      <c r="Q202">
        <f>IF(D202="","",IFERROR(VLOOKUP(D202,Lists!$A$2:$D$9,3,FALSE),"?"))</f>
        <v/>
      </c>
      <c r="R202">
        <f>IF(D202="","",IFERROR(VLOOKUP(D202,Lists!$A$2:$D$9,4,FALSE),"?"))</f>
        <v/>
      </c>
      <c r="S202">
        <f>IF(P202="Debtor",I202,IF(P202="Creditor",J202,0))</f>
        <v/>
      </c>
      <c r="T202">
        <f>IF(P202="Debtor",J202,IF(P202="Creditor",I202,0))</f>
        <v/>
      </c>
      <c r="U202">
        <f>IF(OR(S202=0,B202=""),0,IFERROR(VLOOKUP(C202,'Example Parties'!$B$13:$Q$112,13,FALSE),0)+SUMIFS($S$7:$S$506,$C$7:$C$506,C202,$B$7:$B$506,"&lt;"&amp;B202)+SUMIFS(S$7:S202,C$7:C202,C202,B$7:B202,B202))</f>
        <v/>
      </c>
      <c r="V202">
        <f>IF(S202=0,0,IFERROR(VLOOKUP(C202,'Example Parties'!$B$13:$Q$112,14,FALSE),0)+SUMIFS($T$7:$T$506,$C$7:$C$506,C202,$B$7:$B$506,"&lt;="&amp;'Example Outstanding'!$E$5))</f>
        <v/>
      </c>
      <c r="W202">
        <f>IF(OR('Example Outstanding'!$E$5="",S202=0,B202="",B202&gt;'Example Outstanding'!$E$5),0,MAX(0,MIN(S202,U202-V202)))</f>
        <v/>
      </c>
      <c r="X202">
        <f>IF(C202="",0,IFERROR(VLOOKUP(C202,'Example Parties'!$B$13:$Q$112,15,FALSE),0))</f>
        <v/>
      </c>
      <c r="Y202">
        <f>IF(C202="","",IFERROR(VLOOKUP(C202,'Example Parties'!$B$13:$Q$112,16,FALSE),0))</f>
        <v/>
      </c>
      <c r="Z202">
        <f>IF(OR(S202=0,B202="",Y202=""),"",IF(AND(F202&lt;&gt;"",D202="Purchase bill"),F202,B202)+Y202)</f>
        <v/>
      </c>
      <c r="AA202">
        <f>IF(OR(W202=0,Z202=""),0,MAX(0,'Example Outstanding'!$E$5-Z202))</f>
        <v/>
      </c>
      <c r="AB202">
        <f>IF(AND(X202=1,AA202&gt;0),W202*((1+3*N('Example Parties'!$E$10)/12)^(AA202*12/365)-1),0)</f>
        <v/>
      </c>
      <c r="AC202">
        <f>IF(W202=0,"",'Example Outstanding'!$E$5-B202)</f>
        <v/>
      </c>
      <c r="AD202">
        <f>IF(S202=0,0,IFERROR(VLOOKUP(C202,'Example Parties'!$B$13:$Q$112,14,FALSE),0)+SUMIFS($T$7:$T$506,$C$7:$C$506,C202,$B$7:$B$506,"&lt;="&amp;'Example Parties'!$E$8))</f>
        <v/>
      </c>
      <c r="AE202">
        <f>IF(OR('Example Parties'!$E$8="",S202=0,B202="",B202&gt;'Example Parties'!$E$8),0,MAX(0,MIN(S202,U202-AD202)))</f>
        <v/>
      </c>
      <c r="AF202">
        <f>IF(AND(P202="Creditor",X202=1,AE202&gt;0,Z202&lt;&gt;""),IF(Z202&lt;='Example Parties'!$E$8,AE202,0),0)</f>
        <v/>
      </c>
      <c r="AG202">
        <f>IF(OR(AE202=0,Z202=""),0,MAX(0,'Example Parties'!$E$8-Z202))</f>
        <v/>
      </c>
      <c r="AH202">
        <f>IF(AND(P202="Creditor",X202=1,AG202&gt;0),AE202*((1+3*N('Example Parties'!$E$10)/12)^(AG202*12/365)-1),0)</f>
        <v/>
      </c>
      <c r="AI202">
        <f>IF(AND(C202&lt;&gt;"",C202='Example Ledger'!$D$4,B202&lt;&gt;"",B202&gt;='Example Ledger'!$D$5,B202&lt;='Example Ledger'!$D$6),1,0)</f>
        <v/>
      </c>
      <c r="AJ202">
        <f>IF(AI202=1,SUM(AI$7:AI202),"")</f>
        <v/>
      </c>
      <c r="AK202">
        <f>IF(OR(N202="",N202="OK"),0,1)</f>
        <v/>
      </c>
    </row>
    <row r="203">
      <c r="B203" s="24" t="n"/>
      <c r="C203" s="14" t="n"/>
      <c r="D203" s="14" t="n"/>
      <c r="E203" s="20" t="n"/>
      <c r="F203" s="24" t="n"/>
      <c r="G203" s="14" t="n"/>
      <c r="H203" s="22" t="n"/>
      <c r="I203" s="25">
        <f>IF(Q203="D",N(H203),0)</f>
        <v/>
      </c>
      <c r="J203" s="25">
        <f>IF(Q203="C",N(H203),0)</f>
        <v/>
      </c>
      <c r="K203" s="26">
        <f>IF(Z203="","",Z203)</f>
        <v/>
      </c>
      <c r="L203" s="27">
        <f>W203</f>
        <v/>
      </c>
      <c r="M203" s="28">
        <f>AA203</f>
        <v/>
      </c>
      <c r="N203" s="23">
        <f>IF(AND(B203="",C203="",D203="",N(H203)=0),"",IF(B203="","Enter the date",IF(C203="","Pick the party",IF(P203="?","Add this party on the Parties sheet first",IF(D203="","Pick the entry type",IF(Q203="?","Pick the entry type from the list",IF(N(H203)=0,"Enter the amount",IF(AND(R203&lt;&gt;"Any",R203&lt;&gt;P203),"Sales, receipts and credit notes are for debtors; purchases, payments and debit notes for creditors",IF(AND(F203&lt;&gt;"",D203&lt;&gt;"Purchase bill"),"The received-on date is only for purchase bills",IF(AND(P203="Creditor",X203=1,AA203&gt;0),"Past due to a micro or small supplier: interest runs under MSMED s.16, and if unpaid at year end it is not deductible that year, s.37(2)(g)",IF(AND(P203="Debtor",X203=1,AA203&gt;0),"Past due to you: as a micro or small supplier you can claim interest under MSMED s.16","OK")))))))))))</f>
        <v/>
      </c>
      <c r="P203">
        <f>IF(C203="","",IFERROR(VLOOKUP(C203,'Example Parties'!$B$13:$Q$112,2,FALSE),"?"))</f>
        <v/>
      </c>
      <c r="Q203">
        <f>IF(D203="","",IFERROR(VLOOKUP(D203,Lists!$A$2:$D$9,3,FALSE),"?"))</f>
        <v/>
      </c>
      <c r="R203">
        <f>IF(D203="","",IFERROR(VLOOKUP(D203,Lists!$A$2:$D$9,4,FALSE),"?"))</f>
        <v/>
      </c>
      <c r="S203">
        <f>IF(P203="Debtor",I203,IF(P203="Creditor",J203,0))</f>
        <v/>
      </c>
      <c r="T203">
        <f>IF(P203="Debtor",J203,IF(P203="Creditor",I203,0))</f>
        <v/>
      </c>
      <c r="U203">
        <f>IF(OR(S203=0,B203=""),0,IFERROR(VLOOKUP(C203,'Example Parties'!$B$13:$Q$112,13,FALSE),0)+SUMIFS($S$7:$S$506,$C$7:$C$506,C203,$B$7:$B$506,"&lt;"&amp;B203)+SUMIFS(S$7:S203,C$7:C203,C203,B$7:B203,B203))</f>
        <v/>
      </c>
      <c r="V203">
        <f>IF(S203=0,0,IFERROR(VLOOKUP(C203,'Example Parties'!$B$13:$Q$112,14,FALSE),0)+SUMIFS($T$7:$T$506,$C$7:$C$506,C203,$B$7:$B$506,"&lt;="&amp;'Example Outstanding'!$E$5))</f>
        <v/>
      </c>
      <c r="W203">
        <f>IF(OR('Example Outstanding'!$E$5="",S203=0,B203="",B203&gt;'Example Outstanding'!$E$5),0,MAX(0,MIN(S203,U203-V203)))</f>
        <v/>
      </c>
      <c r="X203">
        <f>IF(C203="",0,IFERROR(VLOOKUP(C203,'Example Parties'!$B$13:$Q$112,15,FALSE),0))</f>
        <v/>
      </c>
      <c r="Y203">
        <f>IF(C203="","",IFERROR(VLOOKUP(C203,'Example Parties'!$B$13:$Q$112,16,FALSE),0))</f>
        <v/>
      </c>
      <c r="Z203">
        <f>IF(OR(S203=0,B203="",Y203=""),"",IF(AND(F203&lt;&gt;"",D203="Purchase bill"),F203,B203)+Y203)</f>
        <v/>
      </c>
      <c r="AA203">
        <f>IF(OR(W203=0,Z203=""),0,MAX(0,'Example Outstanding'!$E$5-Z203))</f>
        <v/>
      </c>
      <c r="AB203">
        <f>IF(AND(X203=1,AA203&gt;0),W203*((1+3*N('Example Parties'!$E$10)/12)^(AA203*12/365)-1),0)</f>
        <v/>
      </c>
      <c r="AC203">
        <f>IF(W203=0,"",'Example Outstanding'!$E$5-B203)</f>
        <v/>
      </c>
      <c r="AD203">
        <f>IF(S203=0,0,IFERROR(VLOOKUP(C203,'Example Parties'!$B$13:$Q$112,14,FALSE),0)+SUMIFS($T$7:$T$506,$C$7:$C$506,C203,$B$7:$B$506,"&lt;="&amp;'Example Parties'!$E$8))</f>
        <v/>
      </c>
      <c r="AE203">
        <f>IF(OR('Example Parties'!$E$8="",S203=0,B203="",B203&gt;'Example Parties'!$E$8),0,MAX(0,MIN(S203,U203-AD203)))</f>
        <v/>
      </c>
      <c r="AF203">
        <f>IF(AND(P203="Creditor",X203=1,AE203&gt;0,Z203&lt;&gt;""),IF(Z203&lt;='Example Parties'!$E$8,AE203,0),0)</f>
        <v/>
      </c>
      <c r="AG203">
        <f>IF(OR(AE203=0,Z203=""),0,MAX(0,'Example Parties'!$E$8-Z203))</f>
        <v/>
      </c>
      <c r="AH203">
        <f>IF(AND(P203="Creditor",X203=1,AG203&gt;0),AE203*((1+3*N('Example Parties'!$E$10)/12)^(AG203*12/365)-1),0)</f>
        <v/>
      </c>
      <c r="AI203">
        <f>IF(AND(C203&lt;&gt;"",C203='Example Ledger'!$D$4,B203&lt;&gt;"",B203&gt;='Example Ledger'!$D$5,B203&lt;='Example Ledger'!$D$6),1,0)</f>
        <v/>
      </c>
      <c r="AJ203">
        <f>IF(AI203=1,SUM(AI$7:AI203),"")</f>
        <v/>
      </c>
      <c r="AK203">
        <f>IF(OR(N203="",N203="OK"),0,1)</f>
        <v/>
      </c>
    </row>
    <row r="204">
      <c r="B204" s="24" t="n"/>
      <c r="C204" s="14" t="n"/>
      <c r="D204" s="14" t="n"/>
      <c r="E204" s="20" t="n"/>
      <c r="F204" s="24" t="n"/>
      <c r="G204" s="14" t="n"/>
      <c r="H204" s="22" t="n"/>
      <c r="I204" s="25">
        <f>IF(Q204="D",N(H204),0)</f>
        <v/>
      </c>
      <c r="J204" s="25">
        <f>IF(Q204="C",N(H204),0)</f>
        <v/>
      </c>
      <c r="K204" s="26">
        <f>IF(Z204="","",Z204)</f>
        <v/>
      </c>
      <c r="L204" s="27">
        <f>W204</f>
        <v/>
      </c>
      <c r="M204" s="28">
        <f>AA204</f>
        <v/>
      </c>
      <c r="N204" s="23">
        <f>IF(AND(B204="",C204="",D204="",N(H204)=0),"",IF(B204="","Enter the date",IF(C204="","Pick the party",IF(P204="?","Add this party on the Parties sheet first",IF(D204="","Pick the entry type",IF(Q204="?","Pick the entry type from the list",IF(N(H204)=0,"Enter the amount",IF(AND(R204&lt;&gt;"Any",R204&lt;&gt;P204),"Sales, receipts and credit notes are for debtors; purchases, payments and debit notes for creditors",IF(AND(F204&lt;&gt;"",D204&lt;&gt;"Purchase bill"),"The received-on date is only for purchase bills",IF(AND(P204="Creditor",X204=1,AA204&gt;0),"Past due to a micro or small supplier: interest runs under MSMED s.16, and if unpaid at year end it is not deductible that year, s.37(2)(g)",IF(AND(P204="Debtor",X204=1,AA204&gt;0),"Past due to you: as a micro or small supplier you can claim interest under MSMED s.16","OK")))))))))))</f>
        <v/>
      </c>
      <c r="P204">
        <f>IF(C204="","",IFERROR(VLOOKUP(C204,'Example Parties'!$B$13:$Q$112,2,FALSE),"?"))</f>
        <v/>
      </c>
      <c r="Q204">
        <f>IF(D204="","",IFERROR(VLOOKUP(D204,Lists!$A$2:$D$9,3,FALSE),"?"))</f>
        <v/>
      </c>
      <c r="R204">
        <f>IF(D204="","",IFERROR(VLOOKUP(D204,Lists!$A$2:$D$9,4,FALSE),"?"))</f>
        <v/>
      </c>
      <c r="S204">
        <f>IF(P204="Debtor",I204,IF(P204="Creditor",J204,0))</f>
        <v/>
      </c>
      <c r="T204">
        <f>IF(P204="Debtor",J204,IF(P204="Creditor",I204,0))</f>
        <v/>
      </c>
      <c r="U204">
        <f>IF(OR(S204=0,B204=""),0,IFERROR(VLOOKUP(C204,'Example Parties'!$B$13:$Q$112,13,FALSE),0)+SUMIFS($S$7:$S$506,$C$7:$C$506,C204,$B$7:$B$506,"&lt;"&amp;B204)+SUMIFS(S$7:S204,C$7:C204,C204,B$7:B204,B204))</f>
        <v/>
      </c>
      <c r="V204">
        <f>IF(S204=0,0,IFERROR(VLOOKUP(C204,'Example Parties'!$B$13:$Q$112,14,FALSE),0)+SUMIFS($T$7:$T$506,$C$7:$C$506,C204,$B$7:$B$506,"&lt;="&amp;'Example Outstanding'!$E$5))</f>
        <v/>
      </c>
      <c r="W204">
        <f>IF(OR('Example Outstanding'!$E$5="",S204=0,B204="",B204&gt;'Example Outstanding'!$E$5),0,MAX(0,MIN(S204,U204-V204)))</f>
        <v/>
      </c>
      <c r="X204">
        <f>IF(C204="",0,IFERROR(VLOOKUP(C204,'Example Parties'!$B$13:$Q$112,15,FALSE),0))</f>
        <v/>
      </c>
      <c r="Y204">
        <f>IF(C204="","",IFERROR(VLOOKUP(C204,'Example Parties'!$B$13:$Q$112,16,FALSE),0))</f>
        <v/>
      </c>
      <c r="Z204">
        <f>IF(OR(S204=0,B204="",Y204=""),"",IF(AND(F204&lt;&gt;"",D204="Purchase bill"),F204,B204)+Y204)</f>
        <v/>
      </c>
      <c r="AA204">
        <f>IF(OR(W204=0,Z204=""),0,MAX(0,'Example Outstanding'!$E$5-Z204))</f>
        <v/>
      </c>
      <c r="AB204">
        <f>IF(AND(X204=1,AA204&gt;0),W204*((1+3*N('Example Parties'!$E$10)/12)^(AA204*12/365)-1),0)</f>
        <v/>
      </c>
      <c r="AC204">
        <f>IF(W204=0,"",'Example Outstanding'!$E$5-B204)</f>
        <v/>
      </c>
      <c r="AD204">
        <f>IF(S204=0,0,IFERROR(VLOOKUP(C204,'Example Parties'!$B$13:$Q$112,14,FALSE),0)+SUMIFS($T$7:$T$506,$C$7:$C$506,C204,$B$7:$B$506,"&lt;="&amp;'Example Parties'!$E$8))</f>
        <v/>
      </c>
      <c r="AE204">
        <f>IF(OR('Example Parties'!$E$8="",S204=0,B204="",B204&gt;'Example Parties'!$E$8),0,MAX(0,MIN(S204,U204-AD204)))</f>
        <v/>
      </c>
      <c r="AF204">
        <f>IF(AND(P204="Creditor",X204=1,AE204&gt;0,Z204&lt;&gt;""),IF(Z204&lt;='Example Parties'!$E$8,AE204,0),0)</f>
        <v/>
      </c>
      <c r="AG204">
        <f>IF(OR(AE204=0,Z204=""),0,MAX(0,'Example Parties'!$E$8-Z204))</f>
        <v/>
      </c>
      <c r="AH204">
        <f>IF(AND(P204="Creditor",X204=1,AG204&gt;0),AE204*((1+3*N('Example Parties'!$E$10)/12)^(AG204*12/365)-1),0)</f>
        <v/>
      </c>
      <c r="AI204">
        <f>IF(AND(C204&lt;&gt;"",C204='Example Ledger'!$D$4,B204&lt;&gt;"",B204&gt;='Example Ledger'!$D$5,B204&lt;='Example Ledger'!$D$6),1,0)</f>
        <v/>
      </c>
      <c r="AJ204">
        <f>IF(AI204=1,SUM(AI$7:AI204),"")</f>
        <v/>
      </c>
      <c r="AK204">
        <f>IF(OR(N204="",N204="OK"),0,1)</f>
        <v/>
      </c>
    </row>
    <row r="205">
      <c r="B205" s="24" t="n"/>
      <c r="C205" s="14" t="n"/>
      <c r="D205" s="14" t="n"/>
      <c r="E205" s="20" t="n"/>
      <c r="F205" s="24" t="n"/>
      <c r="G205" s="14" t="n"/>
      <c r="H205" s="22" t="n"/>
      <c r="I205" s="25">
        <f>IF(Q205="D",N(H205),0)</f>
        <v/>
      </c>
      <c r="J205" s="25">
        <f>IF(Q205="C",N(H205),0)</f>
        <v/>
      </c>
      <c r="K205" s="26">
        <f>IF(Z205="","",Z205)</f>
        <v/>
      </c>
      <c r="L205" s="27">
        <f>W205</f>
        <v/>
      </c>
      <c r="M205" s="28">
        <f>AA205</f>
        <v/>
      </c>
      <c r="N205" s="23">
        <f>IF(AND(B205="",C205="",D205="",N(H205)=0),"",IF(B205="","Enter the date",IF(C205="","Pick the party",IF(P205="?","Add this party on the Parties sheet first",IF(D205="","Pick the entry type",IF(Q205="?","Pick the entry type from the list",IF(N(H205)=0,"Enter the amount",IF(AND(R205&lt;&gt;"Any",R205&lt;&gt;P205),"Sales, receipts and credit notes are for debtors; purchases, payments and debit notes for creditors",IF(AND(F205&lt;&gt;"",D205&lt;&gt;"Purchase bill"),"The received-on date is only for purchase bills",IF(AND(P205="Creditor",X205=1,AA205&gt;0),"Past due to a micro or small supplier: interest runs under MSMED s.16, and if unpaid at year end it is not deductible that year, s.37(2)(g)",IF(AND(P205="Debtor",X205=1,AA205&gt;0),"Past due to you: as a micro or small supplier you can claim interest under MSMED s.16","OK")))))))))))</f>
        <v/>
      </c>
      <c r="P205">
        <f>IF(C205="","",IFERROR(VLOOKUP(C205,'Example Parties'!$B$13:$Q$112,2,FALSE),"?"))</f>
        <v/>
      </c>
      <c r="Q205">
        <f>IF(D205="","",IFERROR(VLOOKUP(D205,Lists!$A$2:$D$9,3,FALSE),"?"))</f>
        <v/>
      </c>
      <c r="R205">
        <f>IF(D205="","",IFERROR(VLOOKUP(D205,Lists!$A$2:$D$9,4,FALSE),"?"))</f>
        <v/>
      </c>
      <c r="S205">
        <f>IF(P205="Debtor",I205,IF(P205="Creditor",J205,0))</f>
        <v/>
      </c>
      <c r="T205">
        <f>IF(P205="Debtor",J205,IF(P205="Creditor",I205,0))</f>
        <v/>
      </c>
      <c r="U205">
        <f>IF(OR(S205=0,B205=""),0,IFERROR(VLOOKUP(C205,'Example Parties'!$B$13:$Q$112,13,FALSE),0)+SUMIFS($S$7:$S$506,$C$7:$C$506,C205,$B$7:$B$506,"&lt;"&amp;B205)+SUMIFS(S$7:S205,C$7:C205,C205,B$7:B205,B205))</f>
        <v/>
      </c>
      <c r="V205">
        <f>IF(S205=0,0,IFERROR(VLOOKUP(C205,'Example Parties'!$B$13:$Q$112,14,FALSE),0)+SUMIFS($T$7:$T$506,$C$7:$C$506,C205,$B$7:$B$506,"&lt;="&amp;'Example Outstanding'!$E$5))</f>
        <v/>
      </c>
      <c r="W205">
        <f>IF(OR('Example Outstanding'!$E$5="",S205=0,B205="",B205&gt;'Example Outstanding'!$E$5),0,MAX(0,MIN(S205,U205-V205)))</f>
        <v/>
      </c>
      <c r="X205">
        <f>IF(C205="",0,IFERROR(VLOOKUP(C205,'Example Parties'!$B$13:$Q$112,15,FALSE),0))</f>
        <v/>
      </c>
      <c r="Y205">
        <f>IF(C205="","",IFERROR(VLOOKUP(C205,'Example Parties'!$B$13:$Q$112,16,FALSE),0))</f>
        <v/>
      </c>
      <c r="Z205">
        <f>IF(OR(S205=0,B205="",Y205=""),"",IF(AND(F205&lt;&gt;"",D205="Purchase bill"),F205,B205)+Y205)</f>
        <v/>
      </c>
      <c r="AA205">
        <f>IF(OR(W205=0,Z205=""),0,MAX(0,'Example Outstanding'!$E$5-Z205))</f>
        <v/>
      </c>
      <c r="AB205">
        <f>IF(AND(X205=1,AA205&gt;0),W205*((1+3*N('Example Parties'!$E$10)/12)^(AA205*12/365)-1),0)</f>
        <v/>
      </c>
      <c r="AC205">
        <f>IF(W205=0,"",'Example Outstanding'!$E$5-B205)</f>
        <v/>
      </c>
      <c r="AD205">
        <f>IF(S205=0,0,IFERROR(VLOOKUP(C205,'Example Parties'!$B$13:$Q$112,14,FALSE),0)+SUMIFS($T$7:$T$506,$C$7:$C$506,C205,$B$7:$B$506,"&lt;="&amp;'Example Parties'!$E$8))</f>
        <v/>
      </c>
      <c r="AE205">
        <f>IF(OR('Example Parties'!$E$8="",S205=0,B205="",B205&gt;'Example Parties'!$E$8),0,MAX(0,MIN(S205,U205-AD205)))</f>
        <v/>
      </c>
      <c r="AF205">
        <f>IF(AND(P205="Creditor",X205=1,AE205&gt;0,Z205&lt;&gt;""),IF(Z205&lt;='Example Parties'!$E$8,AE205,0),0)</f>
        <v/>
      </c>
      <c r="AG205">
        <f>IF(OR(AE205=0,Z205=""),0,MAX(0,'Example Parties'!$E$8-Z205))</f>
        <v/>
      </c>
      <c r="AH205">
        <f>IF(AND(P205="Creditor",X205=1,AG205&gt;0),AE205*((1+3*N('Example Parties'!$E$10)/12)^(AG205*12/365)-1),0)</f>
        <v/>
      </c>
      <c r="AI205">
        <f>IF(AND(C205&lt;&gt;"",C205='Example Ledger'!$D$4,B205&lt;&gt;"",B205&gt;='Example Ledger'!$D$5,B205&lt;='Example Ledger'!$D$6),1,0)</f>
        <v/>
      </c>
      <c r="AJ205">
        <f>IF(AI205=1,SUM(AI$7:AI205),"")</f>
        <v/>
      </c>
      <c r="AK205">
        <f>IF(OR(N205="",N205="OK"),0,1)</f>
        <v/>
      </c>
    </row>
    <row r="206">
      <c r="B206" s="24" t="n"/>
      <c r="C206" s="14" t="n"/>
      <c r="D206" s="14" t="n"/>
      <c r="E206" s="20" t="n"/>
      <c r="F206" s="24" t="n"/>
      <c r="G206" s="14" t="n"/>
      <c r="H206" s="22" t="n"/>
      <c r="I206" s="25">
        <f>IF(Q206="D",N(H206),0)</f>
        <v/>
      </c>
      <c r="J206" s="25">
        <f>IF(Q206="C",N(H206),0)</f>
        <v/>
      </c>
      <c r="K206" s="26">
        <f>IF(Z206="","",Z206)</f>
        <v/>
      </c>
      <c r="L206" s="27">
        <f>W206</f>
        <v/>
      </c>
      <c r="M206" s="28">
        <f>AA206</f>
        <v/>
      </c>
      <c r="N206" s="23">
        <f>IF(AND(B206="",C206="",D206="",N(H206)=0),"",IF(B206="","Enter the date",IF(C206="","Pick the party",IF(P206="?","Add this party on the Parties sheet first",IF(D206="","Pick the entry type",IF(Q206="?","Pick the entry type from the list",IF(N(H206)=0,"Enter the amount",IF(AND(R206&lt;&gt;"Any",R206&lt;&gt;P206),"Sales, receipts and credit notes are for debtors; purchases, payments and debit notes for creditors",IF(AND(F206&lt;&gt;"",D206&lt;&gt;"Purchase bill"),"The received-on date is only for purchase bills",IF(AND(P206="Creditor",X206=1,AA206&gt;0),"Past due to a micro or small supplier: interest runs under MSMED s.16, and if unpaid at year end it is not deductible that year, s.37(2)(g)",IF(AND(P206="Debtor",X206=1,AA206&gt;0),"Past due to you: as a micro or small supplier you can claim interest under MSMED s.16","OK")))))))))))</f>
        <v/>
      </c>
      <c r="P206">
        <f>IF(C206="","",IFERROR(VLOOKUP(C206,'Example Parties'!$B$13:$Q$112,2,FALSE),"?"))</f>
        <v/>
      </c>
      <c r="Q206">
        <f>IF(D206="","",IFERROR(VLOOKUP(D206,Lists!$A$2:$D$9,3,FALSE),"?"))</f>
        <v/>
      </c>
      <c r="R206">
        <f>IF(D206="","",IFERROR(VLOOKUP(D206,Lists!$A$2:$D$9,4,FALSE),"?"))</f>
        <v/>
      </c>
      <c r="S206">
        <f>IF(P206="Debtor",I206,IF(P206="Creditor",J206,0))</f>
        <v/>
      </c>
      <c r="T206">
        <f>IF(P206="Debtor",J206,IF(P206="Creditor",I206,0))</f>
        <v/>
      </c>
      <c r="U206">
        <f>IF(OR(S206=0,B206=""),0,IFERROR(VLOOKUP(C206,'Example Parties'!$B$13:$Q$112,13,FALSE),0)+SUMIFS($S$7:$S$506,$C$7:$C$506,C206,$B$7:$B$506,"&lt;"&amp;B206)+SUMIFS(S$7:S206,C$7:C206,C206,B$7:B206,B206))</f>
        <v/>
      </c>
      <c r="V206">
        <f>IF(S206=0,0,IFERROR(VLOOKUP(C206,'Example Parties'!$B$13:$Q$112,14,FALSE),0)+SUMIFS($T$7:$T$506,$C$7:$C$506,C206,$B$7:$B$506,"&lt;="&amp;'Example Outstanding'!$E$5))</f>
        <v/>
      </c>
      <c r="W206">
        <f>IF(OR('Example Outstanding'!$E$5="",S206=0,B206="",B206&gt;'Example Outstanding'!$E$5),0,MAX(0,MIN(S206,U206-V206)))</f>
        <v/>
      </c>
      <c r="X206">
        <f>IF(C206="",0,IFERROR(VLOOKUP(C206,'Example Parties'!$B$13:$Q$112,15,FALSE),0))</f>
        <v/>
      </c>
      <c r="Y206">
        <f>IF(C206="","",IFERROR(VLOOKUP(C206,'Example Parties'!$B$13:$Q$112,16,FALSE),0))</f>
        <v/>
      </c>
      <c r="Z206">
        <f>IF(OR(S206=0,B206="",Y206=""),"",IF(AND(F206&lt;&gt;"",D206="Purchase bill"),F206,B206)+Y206)</f>
        <v/>
      </c>
      <c r="AA206">
        <f>IF(OR(W206=0,Z206=""),0,MAX(0,'Example Outstanding'!$E$5-Z206))</f>
        <v/>
      </c>
      <c r="AB206">
        <f>IF(AND(X206=1,AA206&gt;0),W206*((1+3*N('Example Parties'!$E$10)/12)^(AA206*12/365)-1),0)</f>
        <v/>
      </c>
      <c r="AC206">
        <f>IF(W206=0,"",'Example Outstanding'!$E$5-B206)</f>
        <v/>
      </c>
      <c r="AD206">
        <f>IF(S206=0,0,IFERROR(VLOOKUP(C206,'Example Parties'!$B$13:$Q$112,14,FALSE),0)+SUMIFS($T$7:$T$506,$C$7:$C$506,C206,$B$7:$B$506,"&lt;="&amp;'Example Parties'!$E$8))</f>
        <v/>
      </c>
      <c r="AE206">
        <f>IF(OR('Example Parties'!$E$8="",S206=0,B206="",B206&gt;'Example Parties'!$E$8),0,MAX(0,MIN(S206,U206-AD206)))</f>
        <v/>
      </c>
      <c r="AF206">
        <f>IF(AND(P206="Creditor",X206=1,AE206&gt;0,Z206&lt;&gt;""),IF(Z206&lt;='Example Parties'!$E$8,AE206,0),0)</f>
        <v/>
      </c>
      <c r="AG206">
        <f>IF(OR(AE206=0,Z206=""),0,MAX(0,'Example Parties'!$E$8-Z206))</f>
        <v/>
      </c>
      <c r="AH206">
        <f>IF(AND(P206="Creditor",X206=1,AG206&gt;0),AE206*((1+3*N('Example Parties'!$E$10)/12)^(AG206*12/365)-1),0)</f>
        <v/>
      </c>
      <c r="AI206">
        <f>IF(AND(C206&lt;&gt;"",C206='Example Ledger'!$D$4,B206&lt;&gt;"",B206&gt;='Example Ledger'!$D$5,B206&lt;='Example Ledger'!$D$6),1,0)</f>
        <v/>
      </c>
      <c r="AJ206">
        <f>IF(AI206=1,SUM(AI$7:AI206),"")</f>
        <v/>
      </c>
      <c r="AK206">
        <f>IF(OR(N206="",N206="OK"),0,1)</f>
        <v/>
      </c>
    </row>
    <row r="207">
      <c r="B207" s="24" t="n"/>
      <c r="C207" s="14" t="n"/>
      <c r="D207" s="14" t="n"/>
      <c r="E207" s="20" t="n"/>
      <c r="F207" s="24" t="n"/>
      <c r="G207" s="14" t="n"/>
      <c r="H207" s="22" t="n"/>
      <c r="I207" s="25">
        <f>IF(Q207="D",N(H207),0)</f>
        <v/>
      </c>
      <c r="J207" s="25">
        <f>IF(Q207="C",N(H207),0)</f>
        <v/>
      </c>
      <c r="K207" s="26">
        <f>IF(Z207="","",Z207)</f>
        <v/>
      </c>
      <c r="L207" s="27">
        <f>W207</f>
        <v/>
      </c>
      <c r="M207" s="28">
        <f>AA207</f>
        <v/>
      </c>
      <c r="N207" s="23">
        <f>IF(AND(B207="",C207="",D207="",N(H207)=0),"",IF(B207="","Enter the date",IF(C207="","Pick the party",IF(P207="?","Add this party on the Parties sheet first",IF(D207="","Pick the entry type",IF(Q207="?","Pick the entry type from the list",IF(N(H207)=0,"Enter the amount",IF(AND(R207&lt;&gt;"Any",R207&lt;&gt;P207),"Sales, receipts and credit notes are for debtors; purchases, payments and debit notes for creditors",IF(AND(F207&lt;&gt;"",D207&lt;&gt;"Purchase bill"),"The received-on date is only for purchase bills",IF(AND(P207="Creditor",X207=1,AA207&gt;0),"Past due to a micro or small supplier: interest runs under MSMED s.16, and if unpaid at year end it is not deductible that year, s.37(2)(g)",IF(AND(P207="Debtor",X207=1,AA207&gt;0),"Past due to you: as a micro or small supplier you can claim interest under MSMED s.16","OK")))))))))))</f>
        <v/>
      </c>
      <c r="P207">
        <f>IF(C207="","",IFERROR(VLOOKUP(C207,'Example Parties'!$B$13:$Q$112,2,FALSE),"?"))</f>
        <v/>
      </c>
      <c r="Q207">
        <f>IF(D207="","",IFERROR(VLOOKUP(D207,Lists!$A$2:$D$9,3,FALSE),"?"))</f>
        <v/>
      </c>
      <c r="R207">
        <f>IF(D207="","",IFERROR(VLOOKUP(D207,Lists!$A$2:$D$9,4,FALSE),"?"))</f>
        <v/>
      </c>
      <c r="S207">
        <f>IF(P207="Debtor",I207,IF(P207="Creditor",J207,0))</f>
        <v/>
      </c>
      <c r="T207">
        <f>IF(P207="Debtor",J207,IF(P207="Creditor",I207,0))</f>
        <v/>
      </c>
      <c r="U207">
        <f>IF(OR(S207=0,B207=""),0,IFERROR(VLOOKUP(C207,'Example Parties'!$B$13:$Q$112,13,FALSE),0)+SUMIFS($S$7:$S$506,$C$7:$C$506,C207,$B$7:$B$506,"&lt;"&amp;B207)+SUMIFS(S$7:S207,C$7:C207,C207,B$7:B207,B207))</f>
        <v/>
      </c>
      <c r="V207">
        <f>IF(S207=0,0,IFERROR(VLOOKUP(C207,'Example Parties'!$B$13:$Q$112,14,FALSE),0)+SUMIFS($T$7:$T$506,$C$7:$C$506,C207,$B$7:$B$506,"&lt;="&amp;'Example Outstanding'!$E$5))</f>
        <v/>
      </c>
      <c r="W207">
        <f>IF(OR('Example Outstanding'!$E$5="",S207=0,B207="",B207&gt;'Example Outstanding'!$E$5),0,MAX(0,MIN(S207,U207-V207)))</f>
        <v/>
      </c>
      <c r="X207">
        <f>IF(C207="",0,IFERROR(VLOOKUP(C207,'Example Parties'!$B$13:$Q$112,15,FALSE),0))</f>
        <v/>
      </c>
      <c r="Y207">
        <f>IF(C207="","",IFERROR(VLOOKUP(C207,'Example Parties'!$B$13:$Q$112,16,FALSE),0))</f>
        <v/>
      </c>
      <c r="Z207">
        <f>IF(OR(S207=0,B207="",Y207=""),"",IF(AND(F207&lt;&gt;"",D207="Purchase bill"),F207,B207)+Y207)</f>
        <v/>
      </c>
      <c r="AA207">
        <f>IF(OR(W207=0,Z207=""),0,MAX(0,'Example Outstanding'!$E$5-Z207))</f>
        <v/>
      </c>
      <c r="AB207">
        <f>IF(AND(X207=1,AA207&gt;0),W207*((1+3*N('Example Parties'!$E$10)/12)^(AA207*12/365)-1),0)</f>
        <v/>
      </c>
      <c r="AC207">
        <f>IF(W207=0,"",'Example Outstanding'!$E$5-B207)</f>
        <v/>
      </c>
      <c r="AD207">
        <f>IF(S207=0,0,IFERROR(VLOOKUP(C207,'Example Parties'!$B$13:$Q$112,14,FALSE),0)+SUMIFS($T$7:$T$506,$C$7:$C$506,C207,$B$7:$B$506,"&lt;="&amp;'Example Parties'!$E$8))</f>
        <v/>
      </c>
      <c r="AE207">
        <f>IF(OR('Example Parties'!$E$8="",S207=0,B207="",B207&gt;'Example Parties'!$E$8),0,MAX(0,MIN(S207,U207-AD207)))</f>
        <v/>
      </c>
      <c r="AF207">
        <f>IF(AND(P207="Creditor",X207=1,AE207&gt;0,Z207&lt;&gt;""),IF(Z207&lt;='Example Parties'!$E$8,AE207,0),0)</f>
        <v/>
      </c>
      <c r="AG207">
        <f>IF(OR(AE207=0,Z207=""),0,MAX(0,'Example Parties'!$E$8-Z207))</f>
        <v/>
      </c>
      <c r="AH207">
        <f>IF(AND(P207="Creditor",X207=1,AG207&gt;0),AE207*((1+3*N('Example Parties'!$E$10)/12)^(AG207*12/365)-1),0)</f>
        <v/>
      </c>
      <c r="AI207">
        <f>IF(AND(C207&lt;&gt;"",C207='Example Ledger'!$D$4,B207&lt;&gt;"",B207&gt;='Example Ledger'!$D$5,B207&lt;='Example Ledger'!$D$6),1,0)</f>
        <v/>
      </c>
      <c r="AJ207">
        <f>IF(AI207=1,SUM(AI$7:AI207),"")</f>
        <v/>
      </c>
      <c r="AK207">
        <f>IF(OR(N207="",N207="OK"),0,1)</f>
        <v/>
      </c>
    </row>
    <row r="208">
      <c r="B208" s="24" t="n"/>
      <c r="C208" s="14" t="n"/>
      <c r="D208" s="14" t="n"/>
      <c r="E208" s="20" t="n"/>
      <c r="F208" s="24" t="n"/>
      <c r="G208" s="14" t="n"/>
      <c r="H208" s="22" t="n"/>
      <c r="I208" s="25">
        <f>IF(Q208="D",N(H208),0)</f>
        <v/>
      </c>
      <c r="J208" s="25">
        <f>IF(Q208="C",N(H208),0)</f>
        <v/>
      </c>
      <c r="K208" s="26">
        <f>IF(Z208="","",Z208)</f>
        <v/>
      </c>
      <c r="L208" s="27">
        <f>W208</f>
        <v/>
      </c>
      <c r="M208" s="28">
        <f>AA208</f>
        <v/>
      </c>
      <c r="N208" s="23">
        <f>IF(AND(B208="",C208="",D208="",N(H208)=0),"",IF(B208="","Enter the date",IF(C208="","Pick the party",IF(P208="?","Add this party on the Parties sheet first",IF(D208="","Pick the entry type",IF(Q208="?","Pick the entry type from the list",IF(N(H208)=0,"Enter the amount",IF(AND(R208&lt;&gt;"Any",R208&lt;&gt;P208),"Sales, receipts and credit notes are for debtors; purchases, payments and debit notes for creditors",IF(AND(F208&lt;&gt;"",D208&lt;&gt;"Purchase bill"),"The received-on date is only for purchase bills",IF(AND(P208="Creditor",X208=1,AA208&gt;0),"Past due to a micro or small supplier: interest runs under MSMED s.16, and if unpaid at year end it is not deductible that year, s.37(2)(g)",IF(AND(P208="Debtor",X208=1,AA208&gt;0),"Past due to you: as a micro or small supplier you can claim interest under MSMED s.16","OK")))))))))))</f>
        <v/>
      </c>
      <c r="P208">
        <f>IF(C208="","",IFERROR(VLOOKUP(C208,'Example Parties'!$B$13:$Q$112,2,FALSE),"?"))</f>
        <v/>
      </c>
      <c r="Q208">
        <f>IF(D208="","",IFERROR(VLOOKUP(D208,Lists!$A$2:$D$9,3,FALSE),"?"))</f>
        <v/>
      </c>
      <c r="R208">
        <f>IF(D208="","",IFERROR(VLOOKUP(D208,Lists!$A$2:$D$9,4,FALSE),"?"))</f>
        <v/>
      </c>
      <c r="S208">
        <f>IF(P208="Debtor",I208,IF(P208="Creditor",J208,0))</f>
        <v/>
      </c>
      <c r="T208">
        <f>IF(P208="Debtor",J208,IF(P208="Creditor",I208,0))</f>
        <v/>
      </c>
      <c r="U208">
        <f>IF(OR(S208=0,B208=""),0,IFERROR(VLOOKUP(C208,'Example Parties'!$B$13:$Q$112,13,FALSE),0)+SUMIFS($S$7:$S$506,$C$7:$C$506,C208,$B$7:$B$506,"&lt;"&amp;B208)+SUMIFS(S$7:S208,C$7:C208,C208,B$7:B208,B208))</f>
        <v/>
      </c>
      <c r="V208">
        <f>IF(S208=0,0,IFERROR(VLOOKUP(C208,'Example Parties'!$B$13:$Q$112,14,FALSE),0)+SUMIFS($T$7:$T$506,$C$7:$C$506,C208,$B$7:$B$506,"&lt;="&amp;'Example Outstanding'!$E$5))</f>
        <v/>
      </c>
      <c r="W208">
        <f>IF(OR('Example Outstanding'!$E$5="",S208=0,B208="",B208&gt;'Example Outstanding'!$E$5),0,MAX(0,MIN(S208,U208-V208)))</f>
        <v/>
      </c>
      <c r="X208">
        <f>IF(C208="",0,IFERROR(VLOOKUP(C208,'Example Parties'!$B$13:$Q$112,15,FALSE),0))</f>
        <v/>
      </c>
      <c r="Y208">
        <f>IF(C208="","",IFERROR(VLOOKUP(C208,'Example Parties'!$B$13:$Q$112,16,FALSE),0))</f>
        <v/>
      </c>
      <c r="Z208">
        <f>IF(OR(S208=0,B208="",Y208=""),"",IF(AND(F208&lt;&gt;"",D208="Purchase bill"),F208,B208)+Y208)</f>
        <v/>
      </c>
      <c r="AA208">
        <f>IF(OR(W208=0,Z208=""),0,MAX(0,'Example Outstanding'!$E$5-Z208))</f>
        <v/>
      </c>
      <c r="AB208">
        <f>IF(AND(X208=1,AA208&gt;0),W208*((1+3*N('Example Parties'!$E$10)/12)^(AA208*12/365)-1),0)</f>
        <v/>
      </c>
      <c r="AC208">
        <f>IF(W208=0,"",'Example Outstanding'!$E$5-B208)</f>
        <v/>
      </c>
      <c r="AD208">
        <f>IF(S208=0,0,IFERROR(VLOOKUP(C208,'Example Parties'!$B$13:$Q$112,14,FALSE),0)+SUMIFS($T$7:$T$506,$C$7:$C$506,C208,$B$7:$B$506,"&lt;="&amp;'Example Parties'!$E$8))</f>
        <v/>
      </c>
      <c r="AE208">
        <f>IF(OR('Example Parties'!$E$8="",S208=0,B208="",B208&gt;'Example Parties'!$E$8),0,MAX(0,MIN(S208,U208-AD208)))</f>
        <v/>
      </c>
      <c r="AF208">
        <f>IF(AND(P208="Creditor",X208=1,AE208&gt;0,Z208&lt;&gt;""),IF(Z208&lt;='Example Parties'!$E$8,AE208,0),0)</f>
        <v/>
      </c>
      <c r="AG208">
        <f>IF(OR(AE208=0,Z208=""),0,MAX(0,'Example Parties'!$E$8-Z208))</f>
        <v/>
      </c>
      <c r="AH208">
        <f>IF(AND(P208="Creditor",X208=1,AG208&gt;0),AE208*((1+3*N('Example Parties'!$E$10)/12)^(AG208*12/365)-1),0)</f>
        <v/>
      </c>
      <c r="AI208">
        <f>IF(AND(C208&lt;&gt;"",C208='Example Ledger'!$D$4,B208&lt;&gt;"",B208&gt;='Example Ledger'!$D$5,B208&lt;='Example Ledger'!$D$6),1,0)</f>
        <v/>
      </c>
      <c r="AJ208">
        <f>IF(AI208=1,SUM(AI$7:AI208),"")</f>
        <v/>
      </c>
      <c r="AK208">
        <f>IF(OR(N208="",N208="OK"),0,1)</f>
        <v/>
      </c>
    </row>
    <row r="209">
      <c r="B209" s="24" t="n"/>
      <c r="C209" s="14" t="n"/>
      <c r="D209" s="14" t="n"/>
      <c r="E209" s="20" t="n"/>
      <c r="F209" s="24" t="n"/>
      <c r="G209" s="14" t="n"/>
      <c r="H209" s="22" t="n"/>
      <c r="I209" s="25">
        <f>IF(Q209="D",N(H209),0)</f>
        <v/>
      </c>
      <c r="J209" s="25">
        <f>IF(Q209="C",N(H209),0)</f>
        <v/>
      </c>
      <c r="K209" s="26">
        <f>IF(Z209="","",Z209)</f>
        <v/>
      </c>
      <c r="L209" s="27">
        <f>W209</f>
        <v/>
      </c>
      <c r="M209" s="28">
        <f>AA209</f>
        <v/>
      </c>
      <c r="N209" s="23">
        <f>IF(AND(B209="",C209="",D209="",N(H209)=0),"",IF(B209="","Enter the date",IF(C209="","Pick the party",IF(P209="?","Add this party on the Parties sheet first",IF(D209="","Pick the entry type",IF(Q209="?","Pick the entry type from the list",IF(N(H209)=0,"Enter the amount",IF(AND(R209&lt;&gt;"Any",R209&lt;&gt;P209),"Sales, receipts and credit notes are for debtors; purchases, payments and debit notes for creditors",IF(AND(F209&lt;&gt;"",D209&lt;&gt;"Purchase bill"),"The received-on date is only for purchase bills",IF(AND(P209="Creditor",X209=1,AA209&gt;0),"Past due to a micro or small supplier: interest runs under MSMED s.16, and if unpaid at year end it is not deductible that year, s.37(2)(g)",IF(AND(P209="Debtor",X209=1,AA209&gt;0),"Past due to you: as a micro or small supplier you can claim interest under MSMED s.16","OK")))))))))))</f>
        <v/>
      </c>
      <c r="P209">
        <f>IF(C209="","",IFERROR(VLOOKUP(C209,'Example Parties'!$B$13:$Q$112,2,FALSE),"?"))</f>
        <v/>
      </c>
      <c r="Q209">
        <f>IF(D209="","",IFERROR(VLOOKUP(D209,Lists!$A$2:$D$9,3,FALSE),"?"))</f>
        <v/>
      </c>
      <c r="R209">
        <f>IF(D209="","",IFERROR(VLOOKUP(D209,Lists!$A$2:$D$9,4,FALSE),"?"))</f>
        <v/>
      </c>
      <c r="S209">
        <f>IF(P209="Debtor",I209,IF(P209="Creditor",J209,0))</f>
        <v/>
      </c>
      <c r="T209">
        <f>IF(P209="Debtor",J209,IF(P209="Creditor",I209,0))</f>
        <v/>
      </c>
      <c r="U209">
        <f>IF(OR(S209=0,B209=""),0,IFERROR(VLOOKUP(C209,'Example Parties'!$B$13:$Q$112,13,FALSE),0)+SUMIFS($S$7:$S$506,$C$7:$C$506,C209,$B$7:$B$506,"&lt;"&amp;B209)+SUMIFS(S$7:S209,C$7:C209,C209,B$7:B209,B209))</f>
        <v/>
      </c>
      <c r="V209">
        <f>IF(S209=0,0,IFERROR(VLOOKUP(C209,'Example Parties'!$B$13:$Q$112,14,FALSE),0)+SUMIFS($T$7:$T$506,$C$7:$C$506,C209,$B$7:$B$506,"&lt;="&amp;'Example Outstanding'!$E$5))</f>
        <v/>
      </c>
      <c r="W209">
        <f>IF(OR('Example Outstanding'!$E$5="",S209=0,B209="",B209&gt;'Example Outstanding'!$E$5),0,MAX(0,MIN(S209,U209-V209)))</f>
        <v/>
      </c>
      <c r="X209">
        <f>IF(C209="",0,IFERROR(VLOOKUP(C209,'Example Parties'!$B$13:$Q$112,15,FALSE),0))</f>
        <v/>
      </c>
      <c r="Y209">
        <f>IF(C209="","",IFERROR(VLOOKUP(C209,'Example Parties'!$B$13:$Q$112,16,FALSE),0))</f>
        <v/>
      </c>
      <c r="Z209">
        <f>IF(OR(S209=0,B209="",Y209=""),"",IF(AND(F209&lt;&gt;"",D209="Purchase bill"),F209,B209)+Y209)</f>
        <v/>
      </c>
      <c r="AA209">
        <f>IF(OR(W209=0,Z209=""),0,MAX(0,'Example Outstanding'!$E$5-Z209))</f>
        <v/>
      </c>
      <c r="AB209">
        <f>IF(AND(X209=1,AA209&gt;0),W209*((1+3*N('Example Parties'!$E$10)/12)^(AA209*12/365)-1),0)</f>
        <v/>
      </c>
      <c r="AC209">
        <f>IF(W209=0,"",'Example Outstanding'!$E$5-B209)</f>
        <v/>
      </c>
      <c r="AD209">
        <f>IF(S209=0,0,IFERROR(VLOOKUP(C209,'Example Parties'!$B$13:$Q$112,14,FALSE),0)+SUMIFS($T$7:$T$506,$C$7:$C$506,C209,$B$7:$B$506,"&lt;="&amp;'Example Parties'!$E$8))</f>
        <v/>
      </c>
      <c r="AE209">
        <f>IF(OR('Example Parties'!$E$8="",S209=0,B209="",B209&gt;'Example Parties'!$E$8),0,MAX(0,MIN(S209,U209-AD209)))</f>
        <v/>
      </c>
      <c r="AF209">
        <f>IF(AND(P209="Creditor",X209=1,AE209&gt;0,Z209&lt;&gt;""),IF(Z209&lt;='Example Parties'!$E$8,AE209,0),0)</f>
        <v/>
      </c>
      <c r="AG209">
        <f>IF(OR(AE209=0,Z209=""),0,MAX(0,'Example Parties'!$E$8-Z209))</f>
        <v/>
      </c>
      <c r="AH209">
        <f>IF(AND(P209="Creditor",X209=1,AG209&gt;0),AE209*((1+3*N('Example Parties'!$E$10)/12)^(AG209*12/365)-1),0)</f>
        <v/>
      </c>
      <c r="AI209">
        <f>IF(AND(C209&lt;&gt;"",C209='Example Ledger'!$D$4,B209&lt;&gt;"",B209&gt;='Example Ledger'!$D$5,B209&lt;='Example Ledger'!$D$6),1,0)</f>
        <v/>
      </c>
      <c r="AJ209">
        <f>IF(AI209=1,SUM(AI$7:AI209),"")</f>
        <v/>
      </c>
      <c r="AK209">
        <f>IF(OR(N209="",N209="OK"),0,1)</f>
        <v/>
      </c>
    </row>
    <row r="210">
      <c r="B210" s="24" t="n"/>
      <c r="C210" s="14" t="n"/>
      <c r="D210" s="14" t="n"/>
      <c r="E210" s="20" t="n"/>
      <c r="F210" s="24" t="n"/>
      <c r="G210" s="14" t="n"/>
      <c r="H210" s="22" t="n"/>
      <c r="I210" s="25">
        <f>IF(Q210="D",N(H210),0)</f>
        <v/>
      </c>
      <c r="J210" s="25">
        <f>IF(Q210="C",N(H210),0)</f>
        <v/>
      </c>
      <c r="K210" s="26">
        <f>IF(Z210="","",Z210)</f>
        <v/>
      </c>
      <c r="L210" s="27">
        <f>W210</f>
        <v/>
      </c>
      <c r="M210" s="28">
        <f>AA210</f>
        <v/>
      </c>
      <c r="N210" s="23">
        <f>IF(AND(B210="",C210="",D210="",N(H210)=0),"",IF(B210="","Enter the date",IF(C210="","Pick the party",IF(P210="?","Add this party on the Parties sheet first",IF(D210="","Pick the entry type",IF(Q210="?","Pick the entry type from the list",IF(N(H210)=0,"Enter the amount",IF(AND(R210&lt;&gt;"Any",R210&lt;&gt;P210),"Sales, receipts and credit notes are for debtors; purchases, payments and debit notes for creditors",IF(AND(F210&lt;&gt;"",D210&lt;&gt;"Purchase bill"),"The received-on date is only for purchase bills",IF(AND(P210="Creditor",X210=1,AA210&gt;0),"Past due to a micro or small supplier: interest runs under MSMED s.16, and if unpaid at year end it is not deductible that year, s.37(2)(g)",IF(AND(P210="Debtor",X210=1,AA210&gt;0),"Past due to you: as a micro or small supplier you can claim interest under MSMED s.16","OK")))))))))))</f>
        <v/>
      </c>
      <c r="P210">
        <f>IF(C210="","",IFERROR(VLOOKUP(C210,'Example Parties'!$B$13:$Q$112,2,FALSE),"?"))</f>
        <v/>
      </c>
      <c r="Q210">
        <f>IF(D210="","",IFERROR(VLOOKUP(D210,Lists!$A$2:$D$9,3,FALSE),"?"))</f>
        <v/>
      </c>
      <c r="R210">
        <f>IF(D210="","",IFERROR(VLOOKUP(D210,Lists!$A$2:$D$9,4,FALSE),"?"))</f>
        <v/>
      </c>
      <c r="S210">
        <f>IF(P210="Debtor",I210,IF(P210="Creditor",J210,0))</f>
        <v/>
      </c>
      <c r="T210">
        <f>IF(P210="Debtor",J210,IF(P210="Creditor",I210,0))</f>
        <v/>
      </c>
      <c r="U210">
        <f>IF(OR(S210=0,B210=""),0,IFERROR(VLOOKUP(C210,'Example Parties'!$B$13:$Q$112,13,FALSE),0)+SUMIFS($S$7:$S$506,$C$7:$C$506,C210,$B$7:$B$506,"&lt;"&amp;B210)+SUMIFS(S$7:S210,C$7:C210,C210,B$7:B210,B210))</f>
        <v/>
      </c>
      <c r="V210">
        <f>IF(S210=0,0,IFERROR(VLOOKUP(C210,'Example Parties'!$B$13:$Q$112,14,FALSE),0)+SUMIFS($T$7:$T$506,$C$7:$C$506,C210,$B$7:$B$506,"&lt;="&amp;'Example Outstanding'!$E$5))</f>
        <v/>
      </c>
      <c r="W210">
        <f>IF(OR('Example Outstanding'!$E$5="",S210=0,B210="",B210&gt;'Example Outstanding'!$E$5),0,MAX(0,MIN(S210,U210-V210)))</f>
        <v/>
      </c>
      <c r="X210">
        <f>IF(C210="",0,IFERROR(VLOOKUP(C210,'Example Parties'!$B$13:$Q$112,15,FALSE),0))</f>
        <v/>
      </c>
      <c r="Y210">
        <f>IF(C210="","",IFERROR(VLOOKUP(C210,'Example Parties'!$B$13:$Q$112,16,FALSE),0))</f>
        <v/>
      </c>
      <c r="Z210">
        <f>IF(OR(S210=0,B210="",Y210=""),"",IF(AND(F210&lt;&gt;"",D210="Purchase bill"),F210,B210)+Y210)</f>
        <v/>
      </c>
      <c r="AA210">
        <f>IF(OR(W210=0,Z210=""),0,MAX(0,'Example Outstanding'!$E$5-Z210))</f>
        <v/>
      </c>
      <c r="AB210">
        <f>IF(AND(X210=1,AA210&gt;0),W210*((1+3*N('Example Parties'!$E$10)/12)^(AA210*12/365)-1),0)</f>
        <v/>
      </c>
      <c r="AC210">
        <f>IF(W210=0,"",'Example Outstanding'!$E$5-B210)</f>
        <v/>
      </c>
      <c r="AD210">
        <f>IF(S210=0,0,IFERROR(VLOOKUP(C210,'Example Parties'!$B$13:$Q$112,14,FALSE),0)+SUMIFS($T$7:$T$506,$C$7:$C$506,C210,$B$7:$B$506,"&lt;="&amp;'Example Parties'!$E$8))</f>
        <v/>
      </c>
      <c r="AE210">
        <f>IF(OR('Example Parties'!$E$8="",S210=0,B210="",B210&gt;'Example Parties'!$E$8),0,MAX(0,MIN(S210,U210-AD210)))</f>
        <v/>
      </c>
      <c r="AF210">
        <f>IF(AND(P210="Creditor",X210=1,AE210&gt;0,Z210&lt;&gt;""),IF(Z210&lt;='Example Parties'!$E$8,AE210,0),0)</f>
        <v/>
      </c>
      <c r="AG210">
        <f>IF(OR(AE210=0,Z210=""),0,MAX(0,'Example Parties'!$E$8-Z210))</f>
        <v/>
      </c>
      <c r="AH210">
        <f>IF(AND(P210="Creditor",X210=1,AG210&gt;0),AE210*((1+3*N('Example Parties'!$E$10)/12)^(AG210*12/365)-1),0)</f>
        <v/>
      </c>
      <c r="AI210">
        <f>IF(AND(C210&lt;&gt;"",C210='Example Ledger'!$D$4,B210&lt;&gt;"",B210&gt;='Example Ledger'!$D$5,B210&lt;='Example Ledger'!$D$6),1,0)</f>
        <v/>
      </c>
      <c r="AJ210">
        <f>IF(AI210=1,SUM(AI$7:AI210),"")</f>
        <v/>
      </c>
      <c r="AK210">
        <f>IF(OR(N210="",N210="OK"),0,1)</f>
        <v/>
      </c>
    </row>
    <row r="211">
      <c r="B211" s="24" t="n"/>
      <c r="C211" s="14" t="n"/>
      <c r="D211" s="14" t="n"/>
      <c r="E211" s="20" t="n"/>
      <c r="F211" s="24" t="n"/>
      <c r="G211" s="14" t="n"/>
      <c r="H211" s="22" t="n"/>
      <c r="I211" s="25">
        <f>IF(Q211="D",N(H211),0)</f>
        <v/>
      </c>
      <c r="J211" s="25">
        <f>IF(Q211="C",N(H211),0)</f>
        <v/>
      </c>
      <c r="K211" s="26">
        <f>IF(Z211="","",Z211)</f>
        <v/>
      </c>
      <c r="L211" s="27">
        <f>W211</f>
        <v/>
      </c>
      <c r="M211" s="28">
        <f>AA211</f>
        <v/>
      </c>
      <c r="N211" s="23">
        <f>IF(AND(B211="",C211="",D211="",N(H211)=0),"",IF(B211="","Enter the date",IF(C211="","Pick the party",IF(P211="?","Add this party on the Parties sheet first",IF(D211="","Pick the entry type",IF(Q211="?","Pick the entry type from the list",IF(N(H211)=0,"Enter the amount",IF(AND(R211&lt;&gt;"Any",R211&lt;&gt;P211),"Sales, receipts and credit notes are for debtors; purchases, payments and debit notes for creditors",IF(AND(F211&lt;&gt;"",D211&lt;&gt;"Purchase bill"),"The received-on date is only for purchase bills",IF(AND(P211="Creditor",X211=1,AA211&gt;0),"Past due to a micro or small supplier: interest runs under MSMED s.16, and if unpaid at year end it is not deductible that year, s.37(2)(g)",IF(AND(P211="Debtor",X211=1,AA211&gt;0),"Past due to you: as a micro or small supplier you can claim interest under MSMED s.16","OK")))))))))))</f>
        <v/>
      </c>
      <c r="P211">
        <f>IF(C211="","",IFERROR(VLOOKUP(C211,'Example Parties'!$B$13:$Q$112,2,FALSE),"?"))</f>
        <v/>
      </c>
      <c r="Q211">
        <f>IF(D211="","",IFERROR(VLOOKUP(D211,Lists!$A$2:$D$9,3,FALSE),"?"))</f>
        <v/>
      </c>
      <c r="R211">
        <f>IF(D211="","",IFERROR(VLOOKUP(D211,Lists!$A$2:$D$9,4,FALSE),"?"))</f>
        <v/>
      </c>
      <c r="S211">
        <f>IF(P211="Debtor",I211,IF(P211="Creditor",J211,0))</f>
        <v/>
      </c>
      <c r="T211">
        <f>IF(P211="Debtor",J211,IF(P211="Creditor",I211,0))</f>
        <v/>
      </c>
      <c r="U211">
        <f>IF(OR(S211=0,B211=""),0,IFERROR(VLOOKUP(C211,'Example Parties'!$B$13:$Q$112,13,FALSE),0)+SUMIFS($S$7:$S$506,$C$7:$C$506,C211,$B$7:$B$506,"&lt;"&amp;B211)+SUMIFS(S$7:S211,C$7:C211,C211,B$7:B211,B211))</f>
        <v/>
      </c>
      <c r="V211">
        <f>IF(S211=0,0,IFERROR(VLOOKUP(C211,'Example Parties'!$B$13:$Q$112,14,FALSE),0)+SUMIFS($T$7:$T$506,$C$7:$C$506,C211,$B$7:$B$506,"&lt;="&amp;'Example Outstanding'!$E$5))</f>
        <v/>
      </c>
      <c r="W211">
        <f>IF(OR('Example Outstanding'!$E$5="",S211=0,B211="",B211&gt;'Example Outstanding'!$E$5),0,MAX(0,MIN(S211,U211-V211)))</f>
        <v/>
      </c>
      <c r="X211">
        <f>IF(C211="",0,IFERROR(VLOOKUP(C211,'Example Parties'!$B$13:$Q$112,15,FALSE),0))</f>
        <v/>
      </c>
      <c r="Y211">
        <f>IF(C211="","",IFERROR(VLOOKUP(C211,'Example Parties'!$B$13:$Q$112,16,FALSE),0))</f>
        <v/>
      </c>
      <c r="Z211">
        <f>IF(OR(S211=0,B211="",Y211=""),"",IF(AND(F211&lt;&gt;"",D211="Purchase bill"),F211,B211)+Y211)</f>
        <v/>
      </c>
      <c r="AA211">
        <f>IF(OR(W211=0,Z211=""),0,MAX(0,'Example Outstanding'!$E$5-Z211))</f>
        <v/>
      </c>
      <c r="AB211">
        <f>IF(AND(X211=1,AA211&gt;0),W211*((1+3*N('Example Parties'!$E$10)/12)^(AA211*12/365)-1),0)</f>
        <v/>
      </c>
      <c r="AC211">
        <f>IF(W211=0,"",'Example Outstanding'!$E$5-B211)</f>
        <v/>
      </c>
      <c r="AD211">
        <f>IF(S211=0,0,IFERROR(VLOOKUP(C211,'Example Parties'!$B$13:$Q$112,14,FALSE),0)+SUMIFS($T$7:$T$506,$C$7:$C$506,C211,$B$7:$B$506,"&lt;="&amp;'Example Parties'!$E$8))</f>
        <v/>
      </c>
      <c r="AE211">
        <f>IF(OR('Example Parties'!$E$8="",S211=0,B211="",B211&gt;'Example Parties'!$E$8),0,MAX(0,MIN(S211,U211-AD211)))</f>
        <v/>
      </c>
      <c r="AF211">
        <f>IF(AND(P211="Creditor",X211=1,AE211&gt;0,Z211&lt;&gt;""),IF(Z211&lt;='Example Parties'!$E$8,AE211,0),0)</f>
        <v/>
      </c>
      <c r="AG211">
        <f>IF(OR(AE211=0,Z211=""),0,MAX(0,'Example Parties'!$E$8-Z211))</f>
        <v/>
      </c>
      <c r="AH211">
        <f>IF(AND(P211="Creditor",X211=1,AG211&gt;0),AE211*((1+3*N('Example Parties'!$E$10)/12)^(AG211*12/365)-1),0)</f>
        <v/>
      </c>
      <c r="AI211">
        <f>IF(AND(C211&lt;&gt;"",C211='Example Ledger'!$D$4,B211&lt;&gt;"",B211&gt;='Example Ledger'!$D$5,B211&lt;='Example Ledger'!$D$6),1,0)</f>
        <v/>
      </c>
      <c r="AJ211">
        <f>IF(AI211=1,SUM(AI$7:AI211),"")</f>
        <v/>
      </c>
      <c r="AK211">
        <f>IF(OR(N211="",N211="OK"),0,1)</f>
        <v/>
      </c>
    </row>
    <row r="212">
      <c r="B212" s="24" t="n"/>
      <c r="C212" s="14" t="n"/>
      <c r="D212" s="14" t="n"/>
      <c r="E212" s="20" t="n"/>
      <c r="F212" s="24" t="n"/>
      <c r="G212" s="14" t="n"/>
      <c r="H212" s="22" t="n"/>
      <c r="I212" s="25">
        <f>IF(Q212="D",N(H212),0)</f>
        <v/>
      </c>
      <c r="J212" s="25">
        <f>IF(Q212="C",N(H212),0)</f>
        <v/>
      </c>
      <c r="K212" s="26">
        <f>IF(Z212="","",Z212)</f>
        <v/>
      </c>
      <c r="L212" s="27">
        <f>W212</f>
        <v/>
      </c>
      <c r="M212" s="28">
        <f>AA212</f>
        <v/>
      </c>
      <c r="N212" s="23">
        <f>IF(AND(B212="",C212="",D212="",N(H212)=0),"",IF(B212="","Enter the date",IF(C212="","Pick the party",IF(P212="?","Add this party on the Parties sheet first",IF(D212="","Pick the entry type",IF(Q212="?","Pick the entry type from the list",IF(N(H212)=0,"Enter the amount",IF(AND(R212&lt;&gt;"Any",R212&lt;&gt;P212),"Sales, receipts and credit notes are for debtors; purchases, payments and debit notes for creditors",IF(AND(F212&lt;&gt;"",D212&lt;&gt;"Purchase bill"),"The received-on date is only for purchase bills",IF(AND(P212="Creditor",X212=1,AA212&gt;0),"Past due to a micro or small supplier: interest runs under MSMED s.16, and if unpaid at year end it is not deductible that year, s.37(2)(g)",IF(AND(P212="Debtor",X212=1,AA212&gt;0),"Past due to you: as a micro or small supplier you can claim interest under MSMED s.16","OK")))))))))))</f>
        <v/>
      </c>
      <c r="P212">
        <f>IF(C212="","",IFERROR(VLOOKUP(C212,'Example Parties'!$B$13:$Q$112,2,FALSE),"?"))</f>
        <v/>
      </c>
      <c r="Q212">
        <f>IF(D212="","",IFERROR(VLOOKUP(D212,Lists!$A$2:$D$9,3,FALSE),"?"))</f>
        <v/>
      </c>
      <c r="R212">
        <f>IF(D212="","",IFERROR(VLOOKUP(D212,Lists!$A$2:$D$9,4,FALSE),"?"))</f>
        <v/>
      </c>
      <c r="S212">
        <f>IF(P212="Debtor",I212,IF(P212="Creditor",J212,0))</f>
        <v/>
      </c>
      <c r="T212">
        <f>IF(P212="Debtor",J212,IF(P212="Creditor",I212,0))</f>
        <v/>
      </c>
      <c r="U212">
        <f>IF(OR(S212=0,B212=""),0,IFERROR(VLOOKUP(C212,'Example Parties'!$B$13:$Q$112,13,FALSE),0)+SUMIFS($S$7:$S$506,$C$7:$C$506,C212,$B$7:$B$506,"&lt;"&amp;B212)+SUMIFS(S$7:S212,C$7:C212,C212,B$7:B212,B212))</f>
        <v/>
      </c>
      <c r="V212">
        <f>IF(S212=0,0,IFERROR(VLOOKUP(C212,'Example Parties'!$B$13:$Q$112,14,FALSE),0)+SUMIFS($T$7:$T$506,$C$7:$C$506,C212,$B$7:$B$506,"&lt;="&amp;'Example Outstanding'!$E$5))</f>
        <v/>
      </c>
      <c r="W212">
        <f>IF(OR('Example Outstanding'!$E$5="",S212=0,B212="",B212&gt;'Example Outstanding'!$E$5),0,MAX(0,MIN(S212,U212-V212)))</f>
        <v/>
      </c>
      <c r="X212">
        <f>IF(C212="",0,IFERROR(VLOOKUP(C212,'Example Parties'!$B$13:$Q$112,15,FALSE),0))</f>
        <v/>
      </c>
      <c r="Y212">
        <f>IF(C212="","",IFERROR(VLOOKUP(C212,'Example Parties'!$B$13:$Q$112,16,FALSE),0))</f>
        <v/>
      </c>
      <c r="Z212">
        <f>IF(OR(S212=0,B212="",Y212=""),"",IF(AND(F212&lt;&gt;"",D212="Purchase bill"),F212,B212)+Y212)</f>
        <v/>
      </c>
      <c r="AA212">
        <f>IF(OR(W212=0,Z212=""),0,MAX(0,'Example Outstanding'!$E$5-Z212))</f>
        <v/>
      </c>
      <c r="AB212">
        <f>IF(AND(X212=1,AA212&gt;0),W212*((1+3*N('Example Parties'!$E$10)/12)^(AA212*12/365)-1),0)</f>
        <v/>
      </c>
      <c r="AC212">
        <f>IF(W212=0,"",'Example Outstanding'!$E$5-B212)</f>
        <v/>
      </c>
      <c r="AD212">
        <f>IF(S212=0,0,IFERROR(VLOOKUP(C212,'Example Parties'!$B$13:$Q$112,14,FALSE),0)+SUMIFS($T$7:$T$506,$C$7:$C$506,C212,$B$7:$B$506,"&lt;="&amp;'Example Parties'!$E$8))</f>
        <v/>
      </c>
      <c r="AE212">
        <f>IF(OR('Example Parties'!$E$8="",S212=0,B212="",B212&gt;'Example Parties'!$E$8),0,MAX(0,MIN(S212,U212-AD212)))</f>
        <v/>
      </c>
      <c r="AF212">
        <f>IF(AND(P212="Creditor",X212=1,AE212&gt;0,Z212&lt;&gt;""),IF(Z212&lt;='Example Parties'!$E$8,AE212,0),0)</f>
        <v/>
      </c>
      <c r="AG212">
        <f>IF(OR(AE212=0,Z212=""),0,MAX(0,'Example Parties'!$E$8-Z212))</f>
        <v/>
      </c>
      <c r="AH212">
        <f>IF(AND(P212="Creditor",X212=1,AG212&gt;0),AE212*((1+3*N('Example Parties'!$E$10)/12)^(AG212*12/365)-1),0)</f>
        <v/>
      </c>
      <c r="AI212">
        <f>IF(AND(C212&lt;&gt;"",C212='Example Ledger'!$D$4,B212&lt;&gt;"",B212&gt;='Example Ledger'!$D$5,B212&lt;='Example Ledger'!$D$6),1,0)</f>
        <v/>
      </c>
      <c r="AJ212">
        <f>IF(AI212=1,SUM(AI$7:AI212),"")</f>
        <v/>
      </c>
      <c r="AK212">
        <f>IF(OR(N212="",N212="OK"),0,1)</f>
        <v/>
      </c>
    </row>
    <row r="213">
      <c r="B213" s="24" t="n"/>
      <c r="C213" s="14" t="n"/>
      <c r="D213" s="14" t="n"/>
      <c r="E213" s="20" t="n"/>
      <c r="F213" s="24" t="n"/>
      <c r="G213" s="14" t="n"/>
      <c r="H213" s="22" t="n"/>
      <c r="I213" s="25">
        <f>IF(Q213="D",N(H213),0)</f>
        <v/>
      </c>
      <c r="J213" s="25">
        <f>IF(Q213="C",N(H213),0)</f>
        <v/>
      </c>
      <c r="K213" s="26">
        <f>IF(Z213="","",Z213)</f>
        <v/>
      </c>
      <c r="L213" s="27">
        <f>W213</f>
        <v/>
      </c>
      <c r="M213" s="28">
        <f>AA213</f>
        <v/>
      </c>
      <c r="N213" s="23">
        <f>IF(AND(B213="",C213="",D213="",N(H213)=0),"",IF(B213="","Enter the date",IF(C213="","Pick the party",IF(P213="?","Add this party on the Parties sheet first",IF(D213="","Pick the entry type",IF(Q213="?","Pick the entry type from the list",IF(N(H213)=0,"Enter the amount",IF(AND(R213&lt;&gt;"Any",R213&lt;&gt;P213),"Sales, receipts and credit notes are for debtors; purchases, payments and debit notes for creditors",IF(AND(F213&lt;&gt;"",D213&lt;&gt;"Purchase bill"),"The received-on date is only for purchase bills",IF(AND(P213="Creditor",X213=1,AA213&gt;0),"Past due to a micro or small supplier: interest runs under MSMED s.16, and if unpaid at year end it is not deductible that year, s.37(2)(g)",IF(AND(P213="Debtor",X213=1,AA213&gt;0),"Past due to you: as a micro or small supplier you can claim interest under MSMED s.16","OK")))))))))))</f>
        <v/>
      </c>
      <c r="P213">
        <f>IF(C213="","",IFERROR(VLOOKUP(C213,'Example Parties'!$B$13:$Q$112,2,FALSE),"?"))</f>
        <v/>
      </c>
      <c r="Q213">
        <f>IF(D213="","",IFERROR(VLOOKUP(D213,Lists!$A$2:$D$9,3,FALSE),"?"))</f>
        <v/>
      </c>
      <c r="R213">
        <f>IF(D213="","",IFERROR(VLOOKUP(D213,Lists!$A$2:$D$9,4,FALSE),"?"))</f>
        <v/>
      </c>
      <c r="S213">
        <f>IF(P213="Debtor",I213,IF(P213="Creditor",J213,0))</f>
        <v/>
      </c>
      <c r="T213">
        <f>IF(P213="Debtor",J213,IF(P213="Creditor",I213,0))</f>
        <v/>
      </c>
      <c r="U213">
        <f>IF(OR(S213=0,B213=""),0,IFERROR(VLOOKUP(C213,'Example Parties'!$B$13:$Q$112,13,FALSE),0)+SUMIFS($S$7:$S$506,$C$7:$C$506,C213,$B$7:$B$506,"&lt;"&amp;B213)+SUMIFS(S$7:S213,C$7:C213,C213,B$7:B213,B213))</f>
        <v/>
      </c>
      <c r="V213">
        <f>IF(S213=0,0,IFERROR(VLOOKUP(C213,'Example Parties'!$B$13:$Q$112,14,FALSE),0)+SUMIFS($T$7:$T$506,$C$7:$C$506,C213,$B$7:$B$506,"&lt;="&amp;'Example Outstanding'!$E$5))</f>
        <v/>
      </c>
      <c r="W213">
        <f>IF(OR('Example Outstanding'!$E$5="",S213=0,B213="",B213&gt;'Example Outstanding'!$E$5),0,MAX(0,MIN(S213,U213-V213)))</f>
        <v/>
      </c>
      <c r="X213">
        <f>IF(C213="",0,IFERROR(VLOOKUP(C213,'Example Parties'!$B$13:$Q$112,15,FALSE),0))</f>
        <v/>
      </c>
      <c r="Y213">
        <f>IF(C213="","",IFERROR(VLOOKUP(C213,'Example Parties'!$B$13:$Q$112,16,FALSE),0))</f>
        <v/>
      </c>
      <c r="Z213">
        <f>IF(OR(S213=0,B213="",Y213=""),"",IF(AND(F213&lt;&gt;"",D213="Purchase bill"),F213,B213)+Y213)</f>
        <v/>
      </c>
      <c r="AA213">
        <f>IF(OR(W213=0,Z213=""),0,MAX(0,'Example Outstanding'!$E$5-Z213))</f>
        <v/>
      </c>
      <c r="AB213">
        <f>IF(AND(X213=1,AA213&gt;0),W213*((1+3*N('Example Parties'!$E$10)/12)^(AA213*12/365)-1),0)</f>
        <v/>
      </c>
      <c r="AC213">
        <f>IF(W213=0,"",'Example Outstanding'!$E$5-B213)</f>
        <v/>
      </c>
      <c r="AD213">
        <f>IF(S213=0,0,IFERROR(VLOOKUP(C213,'Example Parties'!$B$13:$Q$112,14,FALSE),0)+SUMIFS($T$7:$T$506,$C$7:$C$506,C213,$B$7:$B$506,"&lt;="&amp;'Example Parties'!$E$8))</f>
        <v/>
      </c>
      <c r="AE213">
        <f>IF(OR('Example Parties'!$E$8="",S213=0,B213="",B213&gt;'Example Parties'!$E$8),0,MAX(0,MIN(S213,U213-AD213)))</f>
        <v/>
      </c>
      <c r="AF213">
        <f>IF(AND(P213="Creditor",X213=1,AE213&gt;0,Z213&lt;&gt;""),IF(Z213&lt;='Example Parties'!$E$8,AE213,0),0)</f>
        <v/>
      </c>
      <c r="AG213">
        <f>IF(OR(AE213=0,Z213=""),0,MAX(0,'Example Parties'!$E$8-Z213))</f>
        <v/>
      </c>
      <c r="AH213">
        <f>IF(AND(P213="Creditor",X213=1,AG213&gt;0),AE213*((1+3*N('Example Parties'!$E$10)/12)^(AG213*12/365)-1),0)</f>
        <v/>
      </c>
      <c r="AI213">
        <f>IF(AND(C213&lt;&gt;"",C213='Example Ledger'!$D$4,B213&lt;&gt;"",B213&gt;='Example Ledger'!$D$5,B213&lt;='Example Ledger'!$D$6),1,0)</f>
        <v/>
      </c>
      <c r="AJ213">
        <f>IF(AI213=1,SUM(AI$7:AI213),"")</f>
        <v/>
      </c>
      <c r="AK213">
        <f>IF(OR(N213="",N213="OK"),0,1)</f>
        <v/>
      </c>
    </row>
    <row r="214">
      <c r="B214" s="24" t="n"/>
      <c r="C214" s="14" t="n"/>
      <c r="D214" s="14" t="n"/>
      <c r="E214" s="20" t="n"/>
      <c r="F214" s="24" t="n"/>
      <c r="G214" s="14" t="n"/>
      <c r="H214" s="22" t="n"/>
      <c r="I214" s="25">
        <f>IF(Q214="D",N(H214),0)</f>
        <v/>
      </c>
      <c r="J214" s="25">
        <f>IF(Q214="C",N(H214),0)</f>
        <v/>
      </c>
      <c r="K214" s="26">
        <f>IF(Z214="","",Z214)</f>
        <v/>
      </c>
      <c r="L214" s="27">
        <f>W214</f>
        <v/>
      </c>
      <c r="M214" s="28">
        <f>AA214</f>
        <v/>
      </c>
      <c r="N214" s="23">
        <f>IF(AND(B214="",C214="",D214="",N(H214)=0),"",IF(B214="","Enter the date",IF(C214="","Pick the party",IF(P214="?","Add this party on the Parties sheet first",IF(D214="","Pick the entry type",IF(Q214="?","Pick the entry type from the list",IF(N(H214)=0,"Enter the amount",IF(AND(R214&lt;&gt;"Any",R214&lt;&gt;P214),"Sales, receipts and credit notes are for debtors; purchases, payments and debit notes for creditors",IF(AND(F214&lt;&gt;"",D214&lt;&gt;"Purchase bill"),"The received-on date is only for purchase bills",IF(AND(P214="Creditor",X214=1,AA214&gt;0),"Past due to a micro or small supplier: interest runs under MSMED s.16, and if unpaid at year end it is not deductible that year, s.37(2)(g)",IF(AND(P214="Debtor",X214=1,AA214&gt;0),"Past due to you: as a micro or small supplier you can claim interest under MSMED s.16","OK")))))))))))</f>
        <v/>
      </c>
      <c r="P214">
        <f>IF(C214="","",IFERROR(VLOOKUP(C214,'Example Parties'!$B$13:$Q$112,2,FALSE),"?"))</f>
        <v/>
      </c>
      <c r="Q214">
        <f>IF(D214="","",IFERROR(VLOOKUP(D214,Lists!$A$2:$D$9,3,FALSE),"?"))</f>
        <v/>
      </c>
      <c r="R214">
        <f>IF(D214="","",IFERROR(VLOOKUP(D214,Lists!$A$2:$D$9,4,FALSE),"?"))</f>
        <v/>
      </c>
      <c r="S214">
        <f>IF(P214="Debtor",I214,IF(P214="Creditor",J214,0))</f>
        <v/>
      </c>
      <c r="T214">
        <f>IF(P214="Debtor",J214,IF(P214="Creditor",I214,0))</f>
        <v/>
      </c>
      <c r="U214">
        <f>IF(OR(S214=0,B214=""),0,IFERROR(VLOOKUP(C214,'Example Parties'!$B$13:$Q$112,13,FALSE),0)+SUMIFS($S$7:$S$506,$C$7:$C$506,C214,$B$7:$B$506,"&lt;"&amp;B214)+SUMIFS(S$7:S214,C$7:C214,C214,B$7:B214,B214))</f>
        <v/>
      </c>
      <c r="V214">
        <f>IF(S214=0,0,IFERROR(VLOOKUP(C214,'Example Parties'!$B$13:$Q$112,14,FALSE),0)+SUMIFS($T$7:$T$506,$C$7:$C$506,C214,$B$7:$B$506,"&lt;="&amp;'Example Outstanding'!$E$5))</f>
        <v/>
      </c>
      <c r="W214">
        <f>IF(OR('Example Outstanding'!$E$5="",S214=0,B214="",B214&gt;'Example Outstanding'!$E$5),0,MAX(0,MIN(S214,U214-V214)))</f>
        <v/>
      </c>
      <c r="X214">
        <f>IF(C214="",0,IFERROR(VLOOKUP(C214,'Example Parties'!$B$13:$Q$112,15,FALSE),0))</f>
        <v/>
      </c>
      <c r="Y214">
        <f>IF(C214="","",IFERROR(VLOOKUP(C214,'Example Parties'!$B$13:$Q$112,16,FALSE),0))</f>
        <v/>
      </c>
      <c r="Z214">
        <f>IF(OR(S214=0,B214="",Y214=""),"",IF(AND(F214&lt;&gt;"",D214="Purchase bill"),F214,B214)+Y214)</f>
        <v/>
      </c>
      <c r="AA214">
        <f>IF(OR(W214=0,Z214=""),0,MAX(0,'Example Outstanding'!$E$5-Z214))</f>
        <v/>
      </c>
      <c r="AB214">
        <f>IF(AND(X214=1,AA214&gt;0),W214*((1+3*N('Example Parties'!$E$10)/12)^(AA214*12/365)-1),0)</f>
        <v/>
      </c>
      <c r="AC214">
        <f>IF(W214=0,"",'Example Outstanding'!$E$5-B214)</f>
        <v/>
      </c>
      <c r="AD214">
        <f>IF(S214=0,0,IFERROR(VLOOKUP(C214,'Example Parties'!$B$13:$Q$112,14,FALSE),0)+SUMIFS($T$7:$T$506,$C$7:$C$506,C214,$B$7:$B$506,"&lt;="&amp;'Example Parties'!$E$8))</f>
        <v/>
      </c>
      <c r="AE214">
        <f>IF(OR('Example Parties'!$E$8="",S214=0,B214="",B214&gt;'Example Parties'!$E$8),0,MAX(0,MIN(S214,U214-AD214)))</f>
        <v/>
      </c>
      <c r="AF214">
        <f>IF(AND(P214="Creditor",X214=1,AE214&gt;0,Z214&lt;&gt;""),IF(Z214&lt;='Example Parties'!$E$8,AE214,0),0)</f>
        <v/>
      </c>
      <c r="AG214">
        <f>IF(OR(AE214=0,Z214=""),0,MAX(0,'Example Parties'!$E$8-Z214))</f>
        <v/>
      </c>
      <c r="AH214">
        <f>IF(AND(P214="Creditor",X214=1,AG214&gt;0),AE214*((1+3*N('Example Parties'!$E$10)/12)^(AG214*12/365)-1),0)</f>
        <v/>
      </c>
      <c r="AI214">
        <f>IF(AND(C214&lt;&gt;"",C214='Example Ledger'!$D$4,B214&lt;&gt;"",B214&gt;='Example Ledger'!$D$5,B214&lt;='Example Ledger'!$D$6),1,0)</f>
        <v/>
      </c>
      <c r="AJ214">
        <f>IF(AI214=1,SUM(AI$7:AI214),"")</f>
        <v/>
      </c>
      <c r="AK214">
        <f>IF(OR(N214="",N214="OK"),0,1)</f>
        <v/>
      </c>
    </row>
    <row r="215">
      <c r="B215" s="24" t="n"/>
      <c r="C215" s="14" t="n"/>
      <c r="D215" s="14" t="n"/>
      <c r="E215" s="20" t="n"/>
      <c r="F215" s="24" t="n"/>
      <c r="G215" s="14" t="n"/>
      <c r="H215" s="22" t="n"/>
      <c r="I215" s="25">
        <f>IF(Q215="D",N(H215),0)</f>
        <v/>
      </c>
      <c r="J215" s="25">
        <f>IF(Q215="C",N(H215),0)</f>
        <v/>
      </c>
      <c r="K215" s="26">
        <f>IF(Z215="","",Z215)</f>
        <v/>
      </c>
      <c r="L215" s="27">
        <f>W215</f>
        <v/>
      </c>
      <c r="M215" s="28">
        <f>AA215</f>
        <v/>
      </c>
      <c r="N215" s="23">
        <f>IF(AND(B215="",C215="",D215="",N(H215)=0),"",IF(B215="","Enter the date",IF(C215="","Pick the party",IF(P215="?","Add this party on the Parties sheet first",IF(D215="","Pick the entry type",IF(Q215="?","Pick the entry type from the list",IF(N(H215)=0,"Enter the amount",IF(AND(R215&lt;&gt;"Any",R215&lt;&gt;P215),"Sales, receipts and credit notes are for debtors; purchases, payments and debit notes for creditors",IF(AND(F215&lt;&gt;"",D215&lt;&gt;"Purchase bill"),"The received-on date is only for purchase bills",IF(AND(P215="Creditor",X215=1,AA215&gt;0),"Past due to a micro or small supplier: interest runs under MSMED s.16, and if unpaid at year end it is not deductible that year, s.37(2)(g)",IF(AND(P215="Debtor",X215=1,AA215&gt;0),"Past due to you: as a micro or small supplier you can claim interest under MSMED s.16","OK")))))))))))</f>
        <v/>
      </c>
      <c r="P215">
        <f>IF(C215="","",IFERROR(VLOOKUP(C215,'Example Parties'!$B$13:$Q$112,2,FALSE),"?"))</f>
        <v/>
      </c>
      <c r="Q215">
        <f>IF(D215="","",IFERROR(VLOOKUP(D215,Lists!$A$2:$D$9,3,FALSE),"?"))</f>
        <v/>
      </c>
      <c r="R215">
        <f>IF(D215="","",IFERROR(VLOOKUP(D215,Lists!$A$2:$D$9,4,FALSE),"?"))</f>
        <v/>
      </c>
      <c r="S215">
        <f>IF(P215="Debtor",I215,IF(P215="Creditor",J215,0))</f>
        <v/>
      </c>
      <c r="T215">
        <f>IF(P215="Debtor",J215,IF(P215="Creditor",I215,0))</f>
        <v/>
      </c>
      <c r="U215">
        <f>IF(OR(S215=0,B215=""),0,IFERROR(VLOOKUP(C215,'Example Parties'!$B$13:$Q$112,13,FALSE),0)+SUMIFS($S$7:$S$506,$C$7:$C$506,C215,$B$7:$B$506,"&lt;"&amp;B215)+SUMIFS(S$7:S215,C$7:C215,C215,B$7:B215,B215))</f>
        <v/>
      </c>
      <c r="V215">
        <f>IF(S215=0,0,IFERROR(VLOOKUP(C215,'Example Parties'!$B$13:$Q$112,14,FALSE),0)+SUMIFS($T$7:$T$506,$C$7:$C$506,C215,$B$7:$B$506,"&lt;="&amp;'Example Outstanding'!$E$5))</f>
        <v/>
      </c>
      <c r="W215">
        <f>IF(OR('Example Outstanding'!$E$5="",S215=0,B215="",B215&gt;'Example Outstanding'!$E$5),0,MAX(0,MIN(S215,U215-V215)))</f>
        <v/>
      </c>
      <c r="X215">
        <f>IF(C215="",0,IFERROR(VLOOKUP(C215,'Example Parties'!$B$13:$Q$112,15,FALSE),0))</f>
        <v/>
      </c>
      <c r="Y215">
        <f>IF(C215="","",IFERROR(VLOOKUP(C215,'Example Parties'!$B$13:$Q$112,16,FALSE),0))</f>
        <v/>
      </c>
      <c r="Z215">
        <f>IF(OR(S215=0,B215="",Y215=""),"",IF(AND(F215&lt;&gt;"",D215="Purchase bill"),F215,B215)+Y215)</f>
        <v/>
      </c>
      <c r="AA215">
        <f>IF(OR(W215=0,Z215=""),0,MAX(0,'Example Outstanding'!$E$5-Z215))</f>
        <v/>
      </c>
      <c r="AB215">
        <f>IF(AND(X215=1,AA215&gt;0),W215*((1+3*N('Example Parties'!$E$10)/12)^(AA215*12/365)-1),0)</f>
        <v/>
      </c>
      <c r="AC215">
        <f>IF(W215=0,"",'Example Outstanding'!$E$5-B215)</f>
        <v/>
      </c>
      <c r="AD215">
        <f>IF(S215=0,0,IFERROR(VLOOKUP(C215,'Example Parties'!$B$13:$Q$112,14,FALSE),0)+SUMIFS($T$7:$T$506,$C$7:$C$506,C215,$B$7:$B$506,"&lt;="&amp;'Example Parties'!$E$8))</f>
        <v/>
      </c>
      <c r="AE215">
        <f>IF(OR('Example Parties'!$E$8="",S215=0,B215="",B215&gt;'Example Parties'!$E$8),0,MAX(0,MIN(S215,U215-AD215)))</f>
        <v/>
      </c>
      <c r="AF215">
        <f>IF(AND(P215="Creditor",X215=1,AE215&gt;0,Z215&lt;&gt;""),IF(Z215&lt;='Example Parties'!$E$8,AE215,0),0)</f>
        <v/>
      </c>
      <c r="AG215">
        <f>IF(OR(AE215=0,Z215=""),0,MAX(0,'Example Parties'!$E$8-Z215))</f>
        <v/>
      </c>
      <c r="AH215">
        <f>IF(AND(P215="Creditor",X215=1,AG215&gt;0),AE215*((1+3*N('Example Parties'!$E$10)/12)^(AG215*12/365)-1),0)</f>
        <v/>
      </c>
      <c r="AI215">
        <f>IF(AND(C215&lt;&gt;"",C215='Example Ledger'!$D$4,B215&lt;&gt;"",B215&gt;='Example Ledger'!$D$5,B215&lt;='Example Ledger'!$D$6),1,0)</f>
        <v/>
      </c>
      <c r="AJ215">
        <f>IF(AI215=1,SUM(AI$7:AI215),"")</f>
        <v/>
      </c>
      <c r="AK215">
        <f>IF(OR(N215="",N215="OK"),0,1)</f>
        <v/>
      </c>
    </row>
    <row r="216">
      <c r="B216" s="24" t="n"/>
      <c r="C216" s="14" t="n"/>
      <c r="D216" s="14" t="n"/>
      <c r="E216" s="20" t="n"/>
      <c r="F216" s="24" t="n"/>
      <c r="G216" s="14" t="n"/>
      <c r="H216" s="22" t="n"/>
      <c r="I216" s="25">
        <f>IF(Q216="D",N(H216),0)</f>
        <v/>
      </c>
      <c r="J216" s="25">
        <f>IF(Q216="C",N(H216),0)</f>
        <v/>
      </c>
      <c r="K216" s="26">
        <f>IF(Z216="","",Z216)</f>
        <v/>
      </c>
      <c r="L216" s="27">
        <f>W216</f>
        <v/>
      </c>
      <c r="M216" s="28">
        <f>AA216</f>
        <v/>
      </c>
      <c r="N216" s="23">
        <f>IF(AND(B216="",C216="",D216="",N(H216)=0),"",IF(B216="","Enter the date",IF(C216="","Pick the party",IF(P216="?","Add this party on the Parties sheet first",IF(D216="","Pick the entry type",IF(Q216="?","Pick the entry type from the list",IF(N(H216)=0,"Enter the amount",IF(AND(R216&lt;&gt;"Any",R216&lt;&gt;P216),"Sales, receipts and credit notes are for debtors; purchases, payments and debit notes for creditors",IF(AND(F216&lt;&gt;"",D216&lt;&gt;"Purchase bill"),"The received-on date is only for purchase bills",IF(AND(P216="Creditor",X216=1,AA216&gt;0),"Past due to a micro or small supplier: interest runs under MSMED s.16, and if unpaid at year end it is not deductible that year, s.37(2)(g)",IF(AND(P216="Debtor",X216=1,AA216&gt;0),"Past due to you: as a micro or small supplier you can claim interest under MSMED s.16","OK")))))))))))</f>
        <v/>
      </c>
      <c r="P216">
        <f>IF(C216="","",IFERROR(VLOOKUP(C216,'Example Parties'!$B$13:$Q$112,2,FALSE),"?"))</f>
        <v/>
      </c>
      <c r="Q216">
        <f>IF(D216="","",IFERROR(VLOOKUP(D216,Lists!$A$2:$D$9,3,FALSE),"?"))</f>
        <v/>
      </c>
      <c r="R216">
        <f>IF(D216="","",IFERROR(VLOOKUP(D216,Lists!$A$2:$D$9,4,FALSE),"?"))</f>
        <v/>
      </c>
      <c r="S216">
        <f>IF(P216="Debtor",I216,IF(P216="Creditor",J216,0))</f>
        <v/>
      </c>
      <c r="T216">
        <f>IF(P216="Debtor",J216,IF(P216="Creditor",I216,0))</f>
        <v/>
      </c>
      <c r="U216">
        <f>IF(OR(S216=0,B216=""),0,IFERROR(VLOOKUP(C216,'Example Parties'!$B$13:$Q$112,13,FALSE),0)+SUMIFS($S$7:$S$506,$C$7:$C$506,C216,$B$7:$B$506,"&lt;"&amp;B216)+SUMIFS(S$7:S216,C$7:C216,C216,B$7:B216,B216))</f>
        <v/>
      </c>
      <c r="V216">
        <f>IF(S216=0,0,IFERROR(VLOOKUP(C216,'Example Parties'!$B$13:$Q$112,14,FALSE),0)+SUMIFS($T$7:$T$506,$C$7:$C$506,C216,$B$7:$B$506,"&lt;="&amp;'Example Outstanding'!$E$5))</f>
        <v/>
      </c>
      <c r="W216">
        <f>IF(OR('Example Outstanding'!$E$5="",S216=0,B216="",B216&gt;'Example Outstanding'!$E$5),0,MAX(0,MIN(S216,U216-V216)))</f>
        <v/>
      </c>
      <c r="X216">
        <f>IF(C216="",0,IFERROR(VLOOKUP(C216,'Example Parties'!$B$13:$Q$112,15,FALSE),0))</f>
        <v/>
      </c>
      <c r="Y216">
        <f>IF(C216="","",IFERROR(VLOOKUP(C216,'Example Parties'!$B$13:$Q$112,16,FALSE),0))</f>
        <v/>
      </c>
      <c r="Z216">
        <f>IF(OR(S216=0,B216="",Y216=""),"",IF(AND(F216&lt;&gt;"",D216="Purchase bill"),F216,B216)+Y216)</f>
        <v/>
      </c>
      <c r="AA216">
        <f>IF(OR(W216=0,Z216=""),0,MAX(0,'Example Outstanding'!$E$5-Z216))</f>
        <v/>
      </c>
      <c r="AB216">
        <f>IF(AND(X216=1,AA216&gt;0),W216*((1+3*N('Example Parties'!$E$10)/12)^(AA216*12/365)-1),0)</f>
        <v/>
      </c>
      <c r="AC216">
        <f>IF(W216=0,"",'Example Outstanding'!$E$5-B216)</f>
        <v/>
      </c>
      <c r="AD216">
        <f>IF(S216=0,0,IFERROR(VLOOKUP(C216,'Example Parties'!$B$13:$Q$112,14,FALSE),0)+SUMIFS($T$7:$T$506,$C$7:$C$506,C216,$B$7:$B$506,"&lt;="&amp;'Example Parties'!$E$8))</f>
        <v/>
      </c>
      <c r="AE216">
        <f>IF(OR('Example Parties'!$E$8="",S216=0,B216="",B216&gt;'Example Parties'!$E$8),0,MAX(0,MIN(S216,U216-AD216)))</f>
        <v/>
      </c>
      <c r="AF216">
        <f>IF(AND(P216="Creditor",X216=1,AE216&gt;0,Z216&lt;&gt;""),IF(Z216&lt;='Example Parties'!$E$8,AE216,0),0)</f>
        <v/>
      </c>
      <c r="AG216">
        <f>IF(OR(AE216=0,Z216=""),0,MAX(0,'Example Parties'!$E$8-Z216))</f>
        <v/>
      </c>
      <c r="AH216">
        <f>IF(AND(P216="Creditor",X216=1,AG216&gt;0),AE216*((1+3*N('Example Parties'!$E$10)/12)^(AG216*12/365)-1),0)</f>
        <v/>
      </c>
      <c r="AI216">
        <f>IF(AND(C216&lt;&gt;"",C216='Example Ledger'!$D$4,B216&lt;&gt;"",B216&gt;='Example Ledger'!$D$5,B216&lt;='Example Ledger'!$D$6),1,0)</f>
        <v/>
      </c>
      <c r="AJ216">
        <f>IF(AI216=1,SUM(AI$7:AI216),"")</f>
        <v/>
      </c>
      <c r="AK216">
        <f>IF(OR(N216="",N216="OK"),0,1)</f>
        <v/>
      </c>
    </row>
    <row r="217">
      <c r="B217" s="24" t="n"/>
      <c r="C217" s="14" t="n"/>
      <c r="D217" s="14" t="n"/>
      <c r="E217" s="20" t="n"/>
      <c r="F217" s="24" t="n"/>
      <c r="G217" s="14" t="n"/>
      <c r="H217" s="22" t="n"/>
      <c r="I217" s="25">
        <f>IF(Q217="D",N(H217),0)</f>
        <v/>
      </c>
      <c r="J217" s="25">
        <f>IF(Q217="C",N(H217),0)</f>
        <v/>
      </c>
      <c r="K217" s="26">
        <f>IF(Z217="","",Z217)</f>
        <v/>
      </c>
      <c r="L217" s="27">
        <f>W217</f>
        <v/>
      </c>
      <c r="M217" s="28">
        <f>AA217</f>
        <v/>
      </c>
      <c r="N217" s="23">
        <f>IF(AND(B217="",C217="",D217="",N(H217)=0),"",IF(B217="","Enter the date",IF(C217="","Pick the party",IF(P217="?","Add this party on the Parties sheet first",IF(D217="","Pick the entry type",IF(Q217="?","Pick the entry type from the list",IF(N(H217)=0,"Enter the amount",IF(AND(R217&lt;&gt;"Any",R217&lt;&gt;P217),"Sales, receipts and credit notes are for debtors; purchases, payments and debit notes for creditors",IF(AND(F217&lt;&gt;"",D217&lt;&gt;"Purchase bill"),"The received-on date is only for purchase bills",IF(AND(P217="Creditor",X217=1,AA217&gt;0),"Past due to a micro or small supplier: interest runs under MSMED s.16, and if unpaid at year end it is not deductible that year, s.37(2)(g)",IF(AND(P217="Debtor",X217=1,AA217&gt;0),"Past due to you: as a micro or small supplier you can claim interest under MSMED s.16","OK")))))))))))</f>
        <v/>
      </c>
      <c r="P217">
        <f>IF(C217="","",IFERROR(VLOOKUP(C217,'Example Parties'!$B$13:$Q$112,2,FALSE),"?"))</f>
        <v/>
      </c>
      <c r="Q217">
        <f>IF(D217="","",IFERROR(VLOOKUP(D217,Lists!$A$2:$D$9,3,FALSE),"?"))</f>
        <v/>
      </c>
      <c r="R217">
        <f>IF(D217="","",IFERROR(VLOOKUP(D217,Lists!$A$2:$D$9,4,FALSE),"?"))</f>
        <v/>
      </c>
      <c r="S217">
        <f>IF(P217="Debtor",I217,IF(P217="Creditor",J217,0))</f>
        <v/>
      </c>
      <c r="T217">
        <f>IF(P217="Debtor",J217,IF(P217="Creditor",I217,0))</f>
        <v/>
      </c>
      <c r="U217">
        <f>IF(OR(S217=0,B217=""),0,IFERROR(VLOOKUP(C217,'Example Parties'!$B$13:$Q$112,13,FALSE),0)+SUMIFS($S$7:$S$506,$C$7:$C$506,C217,$B$7:$B$506,"&lt;"&amp;B217)+SUMIFS(S$7:S217,C$7:C217,C217,B$7:B217,B217))</f>
        <v/>
      </c>
      <c r="V217">
        <f>IF(S217=0,0,IFERROR(VLOOKUP(C217,'Example Parties'!$B$13:$Q$112,14,FALSE),0)+SUMIFS($T$7:$T$506,$C$7:$C$506,C217,$B$7:$B$506,"&lt;="&amp;'Example Outstanding'!$E$5))</f>
        <v/>
      </c>
      <c r="W217">
        <f>IF(OR('Example Outstanding'!$E$5="",S217=0,B217="",B217&gt;'Example Outstanding'!$E$5),0,MAX(0,MIN(S217,U217-V217)))</f>
        <v/>
      </c>
      <c r="X217">
        <f>IF(C217="",0,IFERROR(VLOOKUP(C217,'Example Parties'!$B$13:$Q$112,15,FALSE),0))</f>
        <v/>
      </c>
      <c r="Y217">
        <f>IF(C217="","",IFERROR(VLOOKUP(C217,'Example Parties'!$B$13:$Q$112,16,FALSE),0))</f>
        <v/>
      </c>
      <c r="Z217">
        <f>IF(OR(S217=0,B217="",Y217=""),"",IF(AND(F217&lt;&gt;"",D217="Purchase bill"),F217,B217)+Y217)</f>
        <v/>
      </c>
      <c r="AA217">
        <f>IF(OR(W217=0,Z217=""),0,MAX(0,'Example Outstanding'!$E$5-Z217))</f>
        <v/>
      </c>
      <c r="AB217">
        <f>IF(AND(X217=1,AA217&gt;0),W217*((1+3*N('Example Parties'!$E$10)/12)^(AA217*12/365)-1),0)</f>
        <v/>
      </c>
      <c r="AC217">
        <f>IF(W217=0,"",'Example Outstanding'!$E$5-B217)</f>
        <v/>
      </c>
      <c r="AD217">
        <f>IF(S217=0,0,IFERROR(VLOOKUP(C217,'Example Parties'!$B$13:$Q$112,14,FALSE),0)+SUMIFS($T$7:$T$506,$C$7:$C$506,C217,$B$7:$B$506,"&lt;="&amp;'Example Parties'!$E$8))</f>
        <v/>
      </c>
      <c r="AE217">
        <f>IF(OR('Example Parties'!$E$8="",S217=0,B217="",B217&gt;'Example Parties'!$E$8),0,MAX(0,MIN(S217,U217-AD217)))</f>
        <v/>
      </c>
      <c r="AF217">
        <f>IF(AND(P217="Creditor",X217=1,AE217&gt;0,Z217&lt;&gt;""),IF(Z217&lt;='Example Parties'!$E$8,AE217,0),0)</f>
        <v/>
      </c>
      <c r="AG217">
        <f>IF(OR(AE217=0,Z217=""),0,MAX(0,'Example Parties'!$E$8-Z217))</f>
        <v/>
      </c>
      <c r="AH217">
        <f>IF(AND(P217="Creditor",X217=1,AG217&gt;0),AE217*((1+3*N('Example Parties'!$E$10)/12)^(AG217*12/365)-1),0)</f>
        <v/>
      </c>
      <c r="AI217">
        <f>IF(AND(C217&lt;&gt;"",C217='Example Ledger'!$D$4,B217&lt;&gt;"",B217&gt;='Example Ledger'!$D$5,B217&lt;='Example Ledger'!$D$6),1,0)</f>
        <v/>
      </c>
      <c r="AJ217">
        <f>IF(AI217=1,SUM(AI$7:AI217),"")</f>
        <v/>
      </c>
      <c r="AK217">
        <f>IF(OR(N217="",N217="OK"),0,1)</f>
        <v/>
      </c>
    </row>
    <row r="218">
      <c r="B218" s="24" t="n"/>
      <c r="C218" s="14" t="n"/>
      <c r="D218" s="14" t="n"/>
      <c r="E218" s="20" t="n"/>
      <c r="F218" s="24" t="n"/>
      <c r="G218" s="14" t="n"/>
      <c r="H218" s="22" t="n"/>
      <c r="I218" s="25">
        <f>IF(Q218="D",N(H218),0)</f>
        <v/>
      </c>
      <c r="J218" s="25">
        <f>IF(Q218="C",N(H218),0)</f>
        <v/>
      </c>
      <c r="K218" s="26">
        <f>IF(Z218="","",Z218)</f>
        <v/>
      </c>
      <c r="L218" s="27">
        <f>W218</f>
        <v/>
      </c>
      <c r="M218" s="28">
        <f>AA218</f>
        <v/>
      </c>
      <c r="N218" s="23">
        <f>IF(AND(B218="",C218="",D218="",N(H218)=0),"",IF(B218="","Enter the date",IF(C218="","Pick the party",IF(P218="?","Add this party on the Parties sheet first",IF(D218="","Pick the entry type",IF(Q218="?","Pick the entry type from the list",IF(N(H218)=0,"Enter the amount",IF(AND(R218&lt;&gt;"Any",R218&lt;&gt;P218),"Sales, receipts and credit notes are for debtors; purchases, payments and debit notes for creditors",IF(AND(F218&lt;&gt;"",D218&lt;&gt;"Purchase bill"),"The received-on date is only for purchase bills",IF(AND(P218="Creditor",X218=1,AA218&gt;0),"Past due to a micro or small supplier: interest runs under MSMED s.16, and if unpaid at year end it is not deductible that year, s.37(2)(g)",IF(AND(P218="Debtor",X218=1,AA218&gt;0),"Past due to you: as a micro or small supplier you can claim interest under MSMED s.16","OK")))))))))))</f>
        <v/>
      </c>
      <c r="P218">
        <f>IF(C218="","",IFERROR(VLOOKUP(C218,'Example Parties'!$B$13:$Q$112,2,FALSE),"?"))</f>
        <v/>
      </c>
      <c r="Q218">
        <f>IF(D218="","",IFERROR(VLOOKUP(D218,Lists!$A$2:$D$9,3,FALSE),"?"))</f>
        <v/>
      </c>
      <c r="R218">
        <f>IF(D218="","",IFERROR(VLOOKUP(D218,Lists!$A$2:$D$9,4,FALSE),"?"))</f>
        <v/>
      </c>
      <c r="S218">
        <f>IF(P218="Debtor",I218,IF(P218="Creditor",J218,0))</f>
        <v/>
      </c>
      <c r="T218">
        <f>IF(P218="Debtor",J218,IF(P218="Creditor",I218,0))</f>
        <v/>
      </c>
      <c r="U218">
        <f>IF(OR(S218=0,B218=""),0,IFERROR(VLOOKUP(C218,'Example Parties'!$B$13:$Q$112,13,FALSE),0)+SUMIFS($S$7:$S$506,$C$7:$C$506,C218,$B$7:$B$506,"&lt;"&amp;B218)+SUMIFS(S$7:S218,C$7:C218,C218,B$7:B218,B218))</f>
        <v/>
      </c>
      <c r="V218">
        <f>IF(S218=0,0,IFERROR(VLOOKUP(C218,'Example Parties'!$B$13:$Q$112,14,FALSE),0)+SUMIFS($T$7:$T$506,$C$7:$C$506,C218,$B$7:$B$506,"&lt;="&amp;'Example Outstanding'!$E$5))</f>
        <v/>
      </c>
      <c r="W218">
        <f>IF(OR('Example Outstanding'!$E$5="",S218=0,B218="",B218&gt;'Example Outstanding'!$E$5),0,MAX(0,MIN(S218,U218-V218)))</f>
        <v/>
      </c>
      <c r="X218">
        <f>IF(C218="",0,IFERROR(VLOOKUP(C218,'Example Parties'!$B$13:$Q$112,15,FALSE),0))</f>
        <v/>
      </c>
      <c r="Y218">
        <f>IF(C218="","",IFERROR(VLOOKUP(C218,'Example Parties'!$B$13:$Q$112,16,FALSE),0))</f>
        <v/>
      </c>
      <c r="Z218">
        <f>IF(OR(S218=0,B218="",Y218=""),"",IF(AND(F218&lt;&gt;"",D218="Purchase bill"),F218,B218)+Y218)</f>
        <v/>
      </c>
      <c r="AA218">
        <f>IF(OR(W218=0,Z218=""),0,MAX(0,'Example Outstanding'!$E$5-Z218))</f>
        <v/>
      </c>
      <c r="AB218">
        <f>IF(AND(X218=1,AA218&gt;0),W218*((1+3*N('Example Parties'!$E$10)/12)^(AA218*12/365)-1),0)</f>
        <v/>
      </c>
      <c r="AC218">
        <f>IF(W218=0,"",'Example Outstanding'!$E$5-B218)</f>
        <v/>
      </c>
      <c r="AD218">
        <f>IF(S218=0,0,IFERROR(VLOOKUP(C218,'Example Parties'!$B$13:$Q$112,14,FALSE),0)+SUMIFS($T$7:$T$506,$C$7:$C$506,C218,$B$7:$B$506,"&lt;="&amp;'Example Parties'!$E$8))</f>
        <v/>
      </c>
      <c r="AE218">
        <f>IF(OR('Example Parties'!$E$8="",S218=0,B218="",B218&gt;'Example Parties'!$E$8),0,MAX(0,MIN(S218,U218-AD218)))</f>
        <v/>
      </c>
      <c r="AF218">
        <f>IF(AND(P218="Creditor",X218=1,AE218&gt;0,Z218&lt;&gt;""),IF(Z218&lt;='Example Parties'!$E$8,AE218,0),0)</f>
        <v/>
      </c>
      <c r="AG218">
        <f>IF(OR(AE218=0,Z218=""),0,MAX(0,'Example Parties'!$E$8-Z218))</f>
        <v/>
      </c>
      <c r="AH218">
        <f>IF(AND(P218="Creditor",X218=1,AG218&gt;0),AE218*((1+3*N('Example Parties'!$E$10)/12)^(AG218*12/365)-1),0)</f>
        <v/>
      </c>
      <c r="AI218">
        <f>IF(AND(C218&lt;&gt;"",C218='Example Ledger'!$D$4,B218&lt;&gt;"",B218&gt;='Example Ledger'!$D$5,B218&lt;='Example Ledger'!$D$6),1,0)</f>
        <v/>
      </c>
      <c r="AJ218">
        <f>IF(AI218=1,SUM(AI$7:AI218),"")</f>
        <v/>
      </c>
      <c r="AK218">
        <f>IF(OR(N218="",N218="OK"),0,1)</f>
        <v/>
      </c>
    </row>
    <row r="219">
      <c r="B219" s="24" t="n"/>
      <c r="C219" s="14" t="n"/>
      <c r="D219" s="14" t="n"/>
      <c r="E219" s="20" t="n"/>
      <c r="F219" s="24" t="n"/>
      <c r="G219" s="14" t="n"/>
      <c r="H219" s="22" t="n"/>
      <c r="I219" s="25">
        <f>IF(Q219="D",N(H219),0)</f>
        <v/>
      </c>
      <c r="J219" s="25">
        <f>IF(Q219="C",N(H219),0)</f>
        <v/>
      </c>
      <c r="K219" s="26">
        <f>IF(Z219="","",Z219)</f>
        <v/>
      </c>
      <c r="L219" s="27">
        <f>W219</f>
        <v/>
      </c>
      <c r="M219" s="28">
        <f>AA219</f>
        <v/>
      </c>
      <c r="N219" s="23">
        <f>IF(AND(B219="",C219="",D219="",N(H219)=0),"",IF(B219="","Enter the date",IF(C219="","Pick the party",IF(P219="?","Add this party on the Parties sheet first",IF(D219="","Pick the entry type",IF(Q219="?","Pick the entry type from the list",IF(N(H219)=0,"Enter the amount",IF(AND(R219&lt;&gt;"Any",R219&lt;&gt;P219),"Sales, receipts and credit notes are for debtors; purchases, payments and debit notes for creditors",IF(AND(F219&lt;&gt;"",D219&lt;&gt;"Purchase bill"),"The received-on date is only for purchase bills",IF(AND(P219="Creditor",X219=1,AA219&gt;0),"Past due to a micro or small supplier: interest runs under MSMED s.16, and if unpaid at year end it is not deductible that year, s.37(2)(g)",IF(AND(P219="Debtor",X219=1,AA219&gt;0),"Past due to you: as a micro or small supplier you can claim interest under MSMED s.16","OK")))))))))))</f>
        <v/>
      </c>
      <c r="P219">
        <f>IF(C219="","",IFERROR(VLOOKUP(C219,'Example Parties'!$B$13:$Q$112,2,FALSE),"?"))</f>
        <v/>
      </c>
      <c r="Q219">
        <f>IF(D219="","",IFERROR(VLOOKUP(D219,Lists!$A$2:$D$9,3,FALSE),"?"))</f>
        <v/>
      </c>
      <c r="R219">
        <f>IF(D219="","",IFERROR(VLOOKUP(D219,Lists!$A$2:$D$9,4,FALSE),"?"))</f>
        <v/>
      </c>
      <c r="S219">
        <f>IF(P219="Debtor",I219,IF(P219="Creditor",J219,0))</f>
        <v/>
      </c>
      <c r="T219">
        <f>IF(P219="Debtor",J219,IF(P219="Creditor",I219,0))</f>
        <v/>
      </c>
      <c r="U219">
        <f>IF(OR(S219=0,B219=""),0,IFERROR(VLOOKUP(C219,'Example Parties'!$B$13:$Q$112,13,FALSE),0)+SUMIFS($S$7:$S$506,$C$7:$C$506,C219,$B$7:$B$506,"&lt;"&amp;B219)+SUMIFS(S$7:S219,C$7:C219,C219,B$7:B219,B219))</f>
        <v/>
      </c>
      <c r="V219">
        <f>IF(S219=0,0,IFERROR(VLOOKUP(C219,'Example Parties'!$B$13:$Q$112,14,FALSE),0)+SUMIFS($T$7:$T$506,$C$7:$C$506,C219,$B$7:$B$506,"&lt;="&amp;'Example Outstanding'!$E$5))</f>
        <v/>
      </c>
      <c r="W219">
        <f>IF(OR('Example Outstanding'!$E$5="",S219=0,B219="",B219&gt;'Example Outstanding'!$E$5),0,MAX(0,MIN(S219,U219-V219)))</f>
        <v/>
      </c>
      <c r="X219">
        <f>IF(C219="",0,IFERROR(VLOOKUP(C219,'Example Parties'!$B$13:$Q$112,15,FALSE),0))</f>
        <v/>
      </c>
      <c r="Y219">
        <f>IF(C219="","",IFERROR(VLOOKUP(C219,'Example Parties'!$B$13:$Q$112,16,FALSE),0))</f>
        <v/>
      </c>
      <c r="Z219">
        <f>IF(OR(S219=0,B219="",Y219=""),"",IF(AND(F219&lt;&gt;"",D219="Purchase bill"),F219,B219)+Y219)</f>
        <v/>
      </c>
      <c r="AA219">
        <f>IF(OR(W219=0,Z219=""),0,MAX(0,'Example Outstanding'!$E$5-Z219))</f>
        <v/>
      </c>
      <c r="AB219">
        <f>IF(AND(X219=1,AA219&gt;0),W219*((1+3*N('Example Parties'!$E$10)/12)^(AA219*12/365)-1),0)</f>
        <v/>
      </c>
      <c r="AC219">
        <f>IF(W219=0,"",'Example Outstanding'!$E$5-B219)</f>
        <v/>
      </c>
      <c r="AD219">
        <f>IF(S219=0,0,IFERROR(VLOOKUP(C219,'Example Parties'!$B$13:$Q$112,14,FALSE),0)+SUMIFS($T$7:$T$506,$C$7:$C$506,C219,$B$7:$B$506,"&lt;="&amp;'Example Parties'!$E$8))</f>
        <v/>
      </c>
      <c r="AE219">
        <f>IF(OR('Example Parties'!$E$8="",S219=0,B219="",B219&gt;'Example Parties'!$E$8),0,MAX(0,MIN(S219,U219-AD219)))</f>
        <v/>
      </c>
      <c r="AF219">
        <f>IF(AND(P219="Creditor",X219=1,AE219&gt;0,Z219&lt;&gt;""),IF(Z219&lt;='Example Parties'!$E$8,AE219,0),0)</f>
        <v/>
      </c>
      <c r="AG219">
        <f>IF(OR(AE219=0,Z219=""),0,MAX(0,'Example Parties'!$E$8-Z219))</f>
        <v/>
      </c>
      <c r="AH219">
        <f>IF(AND(P219="Creditor",X219=1,AG219&gt;0),AE219*((1+3*N('Example Parties'!$E$10)/12)^(AG219*12/365)-1),0)</f>
        <v/>
      </c>
      <c r="AI219">
        <f>IF(AND(C219&lt;&gt;"",C219='Example Ledger'!$D$4,B219&lt;&gt;"",B219&gt;='Example Ledger'!$D$5,B219&lt;='Example Ledger'!$D$6),1,0)</f>
        <v/>
      </c>
      <c r="AJ219">
        <f>IF(AI219=1,SUM(AI$7:AI219),"")</f>
        <v/>
      </c>
      <c r="AK219">
        <f>IF(OR(N219="",N219="OK"),0,1)</f>
        <v/>
      </c>
    </row>
    <row r="220">
      <c r="B220" s="24" t="n"/>
      <c r="C220" s="14" t="n"/>
      <c r="D220" s="14" t="n"/>
      <c r="E220" s="20" t="n"/>
      <c r="F220" s="24" t="n"/>
      <c r="G220" s="14" t="n"/>
      <c r="H220" s="22" t="n"/>
      <c r="I220" s="25">
        <f>IF(Q220="D",N(H220),0)</f>
        <v/>
      </c>
      <c r="J220" s="25">
        <f>IF(Q220="C",N(H220),0)</f>
        <v/>
      </c>
      <c r="K220" s="26">
        <f>IF(Z220="","",Z220)</f>
        <v/>
      </c>
      <c r="L220" s="27">
        <f>W220</f>
        <v/>
      </c>
      <c r="M220" s="28">
        <f>AA220</f>
        <v/>
      </c>
      <c r="N220" s="23">
        <f>IF(AND(B220="",C220="",D220="",N(H220)=0),"",IF(B220="","Enter the date",IF(C220="","Pick the party",IF(P220="?","Add this party on the Parties sheet first",IF(D220="","Pick the entry type",IF(Q220="?","Pick the entry type from the list",IF(N(H220)=0,"Enter the amount",IF(AND(R220&lt;&gt;"Any",R220&lt;&gt;P220),"Sales, receipts and credit notes are for debtors; purchases, payments and debit notes for creditors",IF(AND(F220&lt;&gt;"",D220&lt;&gt;"Purchase bill"),"The received-on date is only for purchase bills",IF(AND(P220="Creditor",X220=1,AA220&gt;0),"Past due to a micro or small supplier: interest runs under MSMED s.16, and if unpaid at year end it is not deductible that year, s.37(2)(g)",IF(AND(P220="Debtor",X220=1,AA220&gt;0),"Past due to you: as a micro or small supplier you can claim interest under MSMED s.16","OK")))))))))))</f>
        <v/>
      </c>
      <c r="P220">
        <f>IF(C220="","",IFERROR(VLOOKUP(C220,'Example Parties'!$B$13:$Q$112,2,FALSE),"?"))</f>
        <v/>
      </c>
      <c r="Q220">
        <f>IF(D220="","",IFERROR(VLOOKUP(D220,Lists!$A$2:$D$9,3,FALSE),"?"))</f>
        <v/>
      </c>
      <c r="R220">
        <f>IF(D220="","",IFERROR(VLOOKUP(D220,Lists!$A$2:$D$9,4,FALSE),"?"))</f>
        <v/>
      </c>
      <c r="S220">
        <f>IF(P220="Debtor",I220,IF(P220="Creditor",J220,0))</f>
        <v/>
      </c>
      <c r="T220">
        <f>IF(P220="Debtor",J220,IF(P220="Creditor",I220,0))</f>
        <v/>
      </c>
      <c r="U220">
        <f>IF(OR(S220=0,B220=""),0,IFERROR(VLOOKUP(C220,'Example Parties'!$B$13:$Q$112,13,FALSE),0)+SUMIFS($S$7:$S$506,$C$7:$C$506,C220,$B$7:$B$506,"&lt;"&amp;B220)+SUMIFS(S$7:S220,C$7:C220,C220,B$7:B220,B220))</f>
        <v/>
      </c>
      <c r="V220">
        <f>IF(S220=0,0,IFERROR(VLOOKUP(C220,'Example Parties'!$B$13:$Q$112,14,FALSE),0)+SUMIFS($T$7:$T$506,$C$7:$C$506,C220,$B$7:$B$506,"&lt;="&amp;'Example Outstanding'!$E$5))</f>
        <v/>
      </c>
      <c r="W220">
        <f>IF(OR('Example Outstanding'!$E$5="",S220=0,B220="",B220&gt;'Example Outstanding'!$E$5),0,MAX(0,MIN(S220,U220-V220)))</f>
        <v/>
      </c>
      <c r="X220">
        <f>IF(C220="",0,IFERROR(VLOOKUP(C220,'Example Parties'!$B$13:$Q$112,15,FALSE),0))</f>
        <v/>
      </c>
      <c r="Y220">
        <f>IF(C220="","",IFERROR(VLOOKUP(C220,'Example Parties'!$B$13:$Q$112,16,FALSE),0))</f>
        <v/>
      </c>
      <c r="Z220">
        <f>IF(OR(S220=0,B220="",Y220=""),"",IF(AND(F220&lt;&gt;"",D220="Purchase bill"),F220,B220)+Y220)</f>
        <v/>
      </c>
      <c r="AA220">
        <f>IF(OR(W220=0,Z220=""),0,MAX(0,'Example Outstanding'!$E$5-Z220))</f>
        <v/>
      </c>
      <c r="AB220">
        <f>IF(AND(X220=1,AA220&gt;0),W220*((1+3*N('Example Parties'!$E$10)/12)^(AA220*12/365)-1),0)</f>
        <v/>
      </c>
      <c r="AC220">
        <f>IF(W220=0,"",'Example Outstanding'!$E$5-B220)</f>
        <v/>
      </c>
      <c r="AD220">
        <f>IF(S220=0,0,IFERROR(VLOOKUP(C220,'Example Parties'!$B$13:$Q$112,14,FALSE),0)+SUMIFS($T$7:$T$506,$C$7:$C$506,C220,$B$7:$B$506,"&lt;="&amp;'Example Parties'!$E$8))</f>
        <v/>
      </c>
      <c r="AE220">
        <f>IF(OR('Example Parties'!$E$8="",S220=0,B220="",B220&gt;'Example Parties'!$E$8),0,MAX(0,MIN(S220,U220-AD220)))</f>
        <v/>
      </c>
      <c r="AF220">
        <f>IF(AND(P220="Creditor",X220=1,AE220&gt;0,Z220&lt;&gt;""),IF(Z220&lt;='Example Parties'!$E$8,AE220,0),0)</f>
        <v/>
      </c>
      <c r="AG220">
        <f>IF(OR(AE220=0,Z220=""),0,MAX(0,'Example Parties'!$E$8-Z220))</f>
        <v/>
      </c>
      <c r="AH220">
        <f>IF(AND(P220="Creditor",X220=1,AG220&gt;0),AE220*((1+3*N('Example Parties'!$E$10)/12)^(AG220*12/365)-1),0)</f>
        <v/>
      </c>
      <c r="AI220">
        <f>IF(AND(C220&lt;&gt;"",C220='Example Ledger'!$D$4,B220&lt;&gt;"",B220&gt;='Example Ledger'!$D$5,B220&lt;='Example Ledger'!$D$6),1,0)</f>
        <v/>
      </c>
      <c r="AJ220">
        <f>IF(AI220=1,SUM(AI$7:AI220),"")</f>
        <v/>
      </c>
      <c r="AK220">
        <f>IF(OR(N220="",N220="OK"),0,1)</f>
        <v/>
      </c>
    </row>
    <row r="221">
      <c r="B221" s="24" t="n"/>
      <c r="C221" s="14" t="n"/>
      <c r="D221" s="14" t="n"/>
      <c r="E221" s="20" t="n"/>
      <c r="F221" s="24" t="n"/>
      <c r="G221" s="14" t="n"/>
      <c r="H221" s="22" t="n"/>
      <c r="I221" s="25">
        <f>IF(Q221="D",N(H221),0)</f>
        <v/>
      </c>
      <c r="J221" s="25">
        <f>IF(Q221="C",N(H221),0)</f>
        <v/>
      </c>
      <c r="K221" s="26">
        <f>IF(Z221="","",Z221)</f>
        <v/>
      </c>
      <c r="L221" s="27">
        <f>W221</f>
        <v/>
      </c>
      <c r="M221" s="28">
        <f>AA221</f>
        <v/>
      </c>
      <c r="N221" s="23">
        <f>IF(AND(B221="",C221="",D221="",N(H221)=0),"",IF(B221="","Enter the date",IF(C221="","Pick the party",IF(P221="?","Add this party on the Parties sheet first",IF(D221="","Pick the entry type",IF(Q221="?","Pick the entry type from the list",IF(N(H221)=0,"Enter the amount",IF(AND(R221&lt;&gt;"Any",R221&lt;&gt;P221),"Sales, receipts and credit notes are for debtors; purchases, payments and debit notes for creditors",IF(AND(F221&lt;&gt;"",D221&lt;&gt;"Purchase bill"),"The received-on date is only for purchase bills",IF(AND(P221="Creditor",X221=1,AA221&gt;0),"Past due to a micro or small supplier: interest runs under MSMED s.16, and if unpaid at year end it is not deductible that year, s.37(2)(g)",IF(AND(P221="Debtor",X221=1,AA221&gt;0),"Past due to you: as a micro or small supplier you can claim interest under MSMED s.16","OK")))))))))))</f>
        <v/>
      </c>
      <c r="P221">
        <f>IF(C221="","",IFERROR(VLOOKUP(C221,'Example Parties'!$B$13:$Q$112,2,FALSE),"?"))</f>
        <v/>
      </c>
      <c r="Q221">
        <f>IF(D221="","",IFERROR(VLOOKUP(D221,Lists!$A$2:$D$9,3,FALSE),"?"))</f>
        <v/>
      </c>
      <c r="R221">
        <f>IF(D221="","",IFERROR(VLOOKUP(D221,Lists!$A$2:$D$9,4,FALSE),"?"))</f>
        <v/>
      </c>
      <c r="S221">
        <f>IF(P221="Debtor",I221,IF(P221="Creditor",J221,0))</f>
        <v/>
      </c>
      <c r="T221">
        <f>IF(P221="Debtor",J221,IF(P221="Creditor",I221,0))</f>
        <v/>
      </c>
      <c r="U221">
        <f>IF(OR(S221=0,B221=""),0,IFERROR(VLOOKUP(C221,'Example Parties'!$B$13:$Q$112,13,FALSE),0)+SUMIFS($S$7:$S$506,$C$7:$C$506,C221,$B$7:$B$506,"&lt;"&amp;B221)+SUMIFS(S$7:S221,C$7:C221,C221,B$7:B221,B221))</f>
        <v/>
      </c>
      <c r="V221">
        <f>IF(S221=0,0,IFERROR(VLOOKUP(C221,'Example Parties'!$B$13:$Q$112,14,FALSE),0)+SUMIFS($T$7:$T$506,$C$7:$C$506,C221,$B$7:$B$506,"&lt;="&amp;'Example Outstanding'!$E$5))</f>
        <v/>
      </c>
      <c r="W221">
        <f>IF(OR('Example Outstanding'!$E$5="",S221=0,B221="",B221&gt;'Example Outstanding'!$E$5),0,MAX(0,MIN(S221,U221-V221)))</f>
        <v/>
      </c>
      <c r="X221">
        <f>IF(C221="",0,IFERROR(VLOOKUP(C221,'Example Parties'!$B$13:$Q$112,15,FALSE),0))</f>
        <v/>
      </c>
      <c r="Y221">
        <f>IF(C221="","",IFERROR(VLOOKUP(C221,'Example Parties'!$B$13:$Q$112,16,FALSE),0))</f>
        <v/>
      </c>
      <c r="Z221">
        <f>IF(OR(S221=0,B221="",Y221=""),"",IF(AND(F221&lt;&gt;"",D221="Purchase bill"),F221,B221)+Y221)</f>
        <v/>
      </c>
      <c r="AA221">
        <f>IF(OR(W221=0,Z221=""),0,MAX(0,'Example Outstanding'!$E$5-Z221))</f>
        <v/>
      </c>
      <c r="AB221">
        <f>IF(AND(X221=1,AA221&gt;0),W221*((1+3*N('Example Parties'!$E$10)/12)^(AA221*12/365)-1),0)</f>
        <v/>
      </c>
      <c r="AC221">
        <f>IF(W221=0,"",'Example Outstanding'!$E$5-B221)</f>
        <v/>
      </c>
      <c r="AD221">
        <f>IF(S221=0,0,IFERROR(VLOOKUP(C221,'Example Parties'!$B$13:$Q$112,14,FALSE),0)+SUMIFS($T$7:$T$506,$C$7:$C$506,C221,$B$7:$B$506,"&lt;="&amp;'Example Parties'!$E$8))</f>
        <v/>
      </c>
      <c r="AE221">
        <f>IF(OR('Example Parties'!$E$8="",S221=0,B221="",B221&gt;'Example Parties'!$E$8),0,MAX(0,MIN(S221,U221-AD221)))</f>
        <v/>
      </c>
      <c r="AF221">
        <f>IF(AND(P221="Creditor",X221=1,AE221&gt;0,Z221&lt;&gt;""),IF(Z221&lt;='Example Parties'!$E$8,AE221,0),0)</f>
        <v/>
      </c>
      <c r="AG221">
        <f>IF(OR(AE221=0,Z221=""),0,MAX(0,'Example Parties'!$E$8-Z221))</f>
        <v/>
      </c>
      <c r="AH221">
        <f>IF(AND(P221="Creditor",X221=1,AG221&gt;0),AE221*((1+3*N('Example Parties'!$E$10)/12)^(AG221*12/365)-1),0)</f>
        <v/>
      </c>
      <c r="AI221">
        <f>IF(AND(C221&lt;&gt;"",C221='Example Ledger'!$D$4,B221&lt;&gt;"",B221&gt;='Example Ledger'!$D$5,B221&lt;='Example Ledger'!$D$6),1,0)</f>
        <v/>
      </c>
      <c r="AJ221">
        <f>IF(AI221=1,SUM(AI$7:AI221),"")</f>
        <v/>
      </c>
      <c r="AK221">
        <f>IF(OR(N221="",N221="OK"),0,1)</f>
        <v/>
      </c>
    </row>
    <row r="222">
      <c r="B222" s="24" t="n"/>
      <c r="C222" s="14" t="n"/>
      <c r="D222" s="14" t="n"/>
      <c r="E222" s="20" t="n"/>
      <c r="F222" s="24" t="n"/>
      <c r="G222" s="14" t="n"/>
      <c r="H222" s="22" t="n"/>
      <c r="I222" s="25">
        <f>IF(Q222="D",N(H222),0)</f>
        <v/>
      </c>
      <c r="J222" s="25">
        <f>IF(Q222="C",N(H222),0)</f>
        <v/>
      </c>
      <c r="K222" s="26">
        <f>IF(Z222="","",Z222)</f>
        <v/>
      </c>
      <c r="L222" s="27">
        <f>W222</f>
        <v/>
      </c>
      <c r="M222" s="28">
        <f>AA222</f>
        <v/>
      </c>
      <c r="N222" s="23">
        <f>IF(AND(B222="",C222="",D222="",N(H222)=0),"",IF(B222="","Enter the date",IF(C222="","Pick the party",IF(P222="?","Add this party on the Parties sheet first",IF(D222="","Pick the entry type",IF(Q222="?","Pick the entry type from the list",IF(N(H222)=0,"Enter the amount",IF(AND(R222&lt;&gt;"Any",R222&lt;&gt;P222),"Sales, receipts and credit notes are for debtors; purchases, payments and debit notes for creditors",IF(AND(F222&lt;&gt;"",D222&lt;&gt;"Purchase bill"),"The received-on date is only for purchase bills",IF(AND(P222="Creditor",X222=1,AA222&gt;0),"Past due to a micro or small supplier: interest runs under MSMED s.16, and if unpaid at year end it is not deductible that year, s.37(2)(g)",IF(AND(P222="Debtor",X222=1,AA222&gt;0),"Past due to you: as a micro or small supplier you can claim interest under MSMED s.16","OK")))))))))))</f>
        <v/>
      </c>
      <c r="P222">
        <f>IF(C222="","",IFERROR(VLOOKUP(C222,'Example Parties'!$B$13:$Q$112,2,FALSE),"?"))</f>
        <v/>
      </c>
      <c r="Q222">
        <f>IF(D222="","",IFERROR(VLOOKUP(D222,Lists!$A$2:$D$9,3,FALSE),"?"))</f>
        <v/>
      </c>
      <c r="R222">
        <f>IF(D222="","",IFERROR(VLOOKUP(D222,Lists!$A$2:$D$9,4,FALSE),"?"))</f>
        <v/>
      </c>
      <c r="S222">
        <f>IF(P222="Debtor",I222,IF(P222="Creditor",J222,0))</f>
        <v/>
      </c>
      <c r="T222">
        <f>IF(P222="Debtor",J222,IF(P222="Creditor",I222,0))</f>
        <v/>
      </c>
      <c r="U222">
        <f>IF(OR(S222=0,B222=""),0,IFERROR(VLOOKUP(C222,'Example Parties'!$B$13:$Q$112,13,FALSE),0)+SUMIFS($S$7:$S$506,$C$7:$C$506,C222,$B$7:$B$506,"&lt;"&amp;B222)+SUMIFS(S$7:S222,C$7:C222,C222,B$7:B222,B222))</f>
        <v/>
      </c>
      <c r="V222">
        <f>IF(S222=0,0,IFERROR(VLOOKUP(C222,'Example Parties'!$B$13:$Q$112,14,FALSE),0)+SUMIFS($T$7:$T$506,$C$7:$C$506,C222,$B$7:$B$506,"&lt;="&amp;'Example Outstanding'!$E$5))</f>
        <v/>
      </c>
      <c r="W222">
        <f>IF(OR('Example Outstanding'!$E$5="",S222=0,B222="",B222&gt;'Example Outstanding'!$E$5),0,MAX(0,MIN(S222,U222-V222)))</f>
        <v/>
      </c>
      <c r="X222">
        <f>IF(C222="",0,IFERROR(VLOOKUP(C222,'Example Parties'!$B$13:$Q$112,15,FALSE),0))</f>
        <v/>
      </c>
      <c r="Y222">
        <f>IF(C222="","",IFERROR(VLOOKUP(C222,'Example Parties'!$B$13:$Q$112,16,FALSE),0))</f>
        <v/>
      </c>
      <c r="Z222">
        <f>IF(OR(S222=0,B222="",Y222=""),"",IF(AND(F222&lt;&gt;"",D222="Purchase bill"),F222,B222)+Y222)</f>
        <v/>
      </c>
      <c r="AA222">
        <f>IF(OR(W222=0,Z222=""),0,MAX(0,'Example Outstanding'!$E$5-Z222))</f>
        <v/>
      </c>
      <c r="AB222">
        <f>IF(AND(X222=1,AA222&gt;0),W222*((1+3*N('Example Parties'!$E$10)/12)^(AA222*12/365)-1),0)</f>
        <v/>
      </c>
      <c r="AC222">
        <f>IF(W222=0,"",'Example Outstanding'!$E$5-B222)</f>
        <v/>
      </c>
      <c r="AD222">
        <f>IF(S222=0,0,IFERROR(VLOOKUP(C222,'Example Parties'!$B$13:$Q$112,14,FALSE),0)+SUMIFS($T$7:$T$506,$C$7:$C$506,C222,$B$7:$B$506,"&lt;="&amp;'Example Parties'!$E$8))</f>
        <v/>
      </c>
      <c r="AE222">
        <f>IF(OR('Example Parties'!$E$8="",S222=0,B222="",B222&gt;'Example Parties'!$E$8),0,MAX(0,MIN(S222,U222-AD222)))</f>
        <v/>
      </c>
      <c r="AF222">
        <f>IF(AND(P222="Creditor",X222=1,AE222&gt;0,Z222&lt;&gt;""),IF(Z222&lt;='Example Parties'!$E$8,AE222,0),0)</f>
        <v/>
      </c>
      <c r="AG222">
        <f>IF(OR(AE222=0,Z222=""),0,MAX(0,'Example Parties'!$E$8-Z222))</f>
        <v/>
      </c>
      <c r="AH222">
        <f>IF(AND(P222="Creditor",X222=1,AG222&gt;0),AE222*((1+3*N('Example Parties'!$E$10)/12)^(AG222*12/365)-1),0)</f>
        <v/>
      </c>
      <c r="AI222">
        <f>IF(AND(C222&lt;&gt;"",C222='Example Ledger'!$D$4,B222&lt;&gt;"",B222&gt;='Example Ledger'!$D$5,B222&lt;='Example Ledger'!$D$6),1,0)</f>
        <v/>
      </c>
      <c r="AJ222">
        <f>IF(AI222=1,SUM(AI$7:AI222),"")</f>
        <v/>
      </c>
      <c r="AK222">
        <f>IF(OR(N222="",N222="OK"),0,1)</f>
        <v/>
      </c>
    </row>
    <row r="223">
      <c r="B223" s="24" t="n"/>
      <c r="C223" s="14" t="n"/>
      <c r="D223" s="14" t="n"/>
      <c r="E223" s="20" t="n"/>
      <c r="F223" s="24" t="n"/>
      <c r="G223" s="14" t="n"/>
      <c r="H223" s="22" t="n"/>
      <c r="I223" s="25">
        <f>IF(Q223="D",N(H223),0)</f>
        <v/>
      </c>
      <c r="J223" s="25">
        <f>IF(Q223="C",N(H223),0)</f>
        <v/>
      </c>
      <c r="K223" s="26">
        <f>IF(Z223="","",Z223)</f>
        <v/>
      </c>
      <c r="L223" s="27">
        <f>W223</f>
        <v/>
      </c>
      <c r="M223" s="28">
        <f>AA223</f>
        <v/>
      </c>
      <c r="N223" s="23">
        <f>IF(AND(B223="",C223="",D223="",N(H223)=0),"",IF(B223="","Enter the date",IF(C223="","Pick the party",IF(P223="?","Add this party on the Parties sheet first",IF(D223="","Pick the entry type",IF(Q223="?","Pick the entry type from the list",IF(N(H223)=0,"Enter the amount",IF(AND(R223&lt;&gt;"Any",R223&lt;&gt;P223),"Sales, receipts and credit notes are for debtors; purchases, payments and debit notes for creditors",IF(AND(F223&lt;&gt;"",D223&lt;&gt;"Purchase bill"),"The received-on date is only for purchase bills",IF(AND(P223="Creditor",X223=1,AA223&gt;0),"Past due to a micro or small supplier: interest runs under MSMED s.16, and if unpaid at year end it is not deductible that year, s.37(2)(g)",IF(AND(P223="Debtor",X223=1,AA223&gt;0),"Past due to you: as a micro or small supplier you can claim interest under MSMED s.16","OK")))))))))))</f>
        <v/>
      </c>
      <c r="P223">
        <f>IF(C223="","",IFERROR(VLOOKUP(C223,'Example Parties'!$B$13:$Q$112,2,FALSE),"?"))</f>
        <v/>
      </c>
      <c r="Q223">
        <f>IF(D223="","",IFERROR(VLOOKUP(D223,Lists!$A$2:$D$9,3,FALSE),"?"))</f>
        <v/>
      </c>
      <c r="R223">
        <f>IF(D223="","",IFERROR(VLOOKUP(D223,Lists!$A$2:$D$9,4,FALSE),"?"))</f>
        <v/>
      </c>
      <c r="S223">
        <f>IF(P223="Debtor",I223,IF(P223="Creditor",J223,0))</f>
        <v/>
      </c>
      <c r="T223">
        <f>IF(P223="Debtor",J223,IF(P223="Creditor",I223,0))</f>
        <v/>
      </c>
      <c r="U223">
        <f>IF(OR(S223=0,B223=""),0,IFERROR(VLOOKUP(C223,'Example Parties'!$B$13:$Q$112,13,FALSE),0)+SUMIFS($S$7:$S$506,$C$7:$C$506,C223,$B$7:$B$506,"&lt;"&amp;B223)+SUMIFS(S$7:S223,C$7:C223,C223,B$7:B223,B223))</f>
        <v/>
      </c>
      <c r="V223">
        <f>IF(S223=0,0,IFERROR(VLOOKUP(C223,'Example Parties'!$B$13:$Q$112,14,FALSE),0)+SUMIFS($T$7:$T$506,$C$7:$C$506,C223,$B$7:$B$506,"&lt;="&amp;'Example Outstanding'!$E$5))</f>
        <v/>
      </c>
      <c r="W223">
        <f>IF(OR('Example Outstanding'!$E$5="",S223=0,B223="",B223&gt;'Example Outstanding'!$E$5),0,MAX(0,MIN(S223,U223-V223)))</f>
        <v/>
      </c>
      <c r="X223">
        <f>IF(C223="",0,IFERROR(VLOOKUP(C223,'Example Parties'!$B$13:$Q$112,15,FALSE),0))</f>
        <v/>
      </c>
      <c r="Y223">
        <f>IF(C223="","",IFERROR(VLOOKUP(C223,'Example Parties'!$B$13:$Q$112,16,FALSE),0))</f>
        <v/>
      </c>
      <c r="Z223">
        <f>IF(OR(S223=0,B223="",Y223=""),"",IF(AND(F223&lt;&gt;"",D223="Purchase bill"),F223,B223)+Y223)</f>
        <v/>
      </c>
      <c r="AA223">
        <f>IF(OR(W223=0,Z223=""),0,MAX(0,'Example Outstanding'!$E$5-Z223))</f>
        <v/>
      </c>
      <c r="AB223">
        <f>IF(AND(X223=1,AA223&gt;0),W223*((1+3*N('Example Parties'!$E$10)/12)^(AA223*12/365)-1),0)</f>
        <v/>
      </c>
      <c r="AC223">
        <f>IF(W223=0,"",'Example Outstanding'!$E$5-B223)</f>
        <v/>
      </c>
      <c r="AD223">
        <f>IF(S223=0,0,IFERROR(VLOOKUP(C223,'Example Parties'!$B$13:$Q$112,14,FALSE),0)+SUMIFS($T$7:$T$506,$C$7:$C$506,C223,$B$7:$B$506,"&lt;="&amp;'Example Parties'!$E$8))</f>
        <v/>
      </c>
      <c r="AE223">
        <f>IF(OR('Example Parties'!$E$8="",S223=0,B223="",B223&gt;'Example Parties'!$E$8),0,MAX(0,MIN(S223,U223-AD223)))</f>
        <v/>
      </c>
      <c r="AF223">
        <f>IF(AND(P223="Creditor",X223=1,AE223&gt;0,Z223&lt;&gt;""),IF(Z223&lt;='Example Parties'!$E$8,AE223,0),0)</f>
        <v/>
      </c>
      <c r="AG223">
        <f>IF(OR(AE223=0,Z223=""),0,MAX(0,'Example Parties'!$E$8-Z223))</f>
        <v/>
      </c>
      <c r="AH223">
        <f>IF(AND(P223="Creditor",X223=1,AG223&gt;0),AE223*((1+3*N('Example Parties'!$E$10)/12)^(AG223*12/365)-1),0)</f>
        <v/>
      </c>
      <c r="AI223">
        <f>IF(AND(C223&lt;&gt;"",C223='Example Ledger'!$D$4,B223&lt;&gt;"",B223&gt;='Example Ledger'!$D$5,B223&lt;='Example Ledger'!$D$6),1,0)</f>
        <v/>
      </c>
      <c r="AJ223">
        <f>IF(AI223=1,SUM(AI$7:AI223),"")</f>
        <v/>
      </c>
      <c r="AK223">
        <f>IF(OR(N223="",N223="OK"),0,1)</f>
        <v/>
      </c>
    </row>
    <row r="224">
      <c r="B224" s="24" t="n"/>
      <c r="C224" s="14" t="n"/>
      <c r="D224" s="14" t="n"/>
      <c r="E224" s="20" t="n"/>
      <c r="F224" s="24" t="n"/>
      <c r="G224" s="14" t="n"/>
      <c r="H224" s="22" t="n"/>
      <c r="I224" s="25">
        <f>IF(Q224="D",N(H224),0)</f>
        <v/>
      </c>
      <c r="J224" s="25">
        <f>IF(Q224="C",N(H224),0)</f>
        <v/>
      </c>
      <c r="K224" s="26">
        <f>IF(Z224="","",Z224)</f>
        <v/>
      </c>
      <c r="L224" s="27">
        <f>W224</f>
        <v/>
      </c>
      <c r="M224" s="28">
        <f>AA224</f>
        <v/>
      </c>
      <c r="N224" s="23">
        <f>IF(AND(B224="",C224="",D224="",N(H224)=0),"",IF(B224="","Enter the date",IF(C224="","Pick the party",IF(P224="?","Add this party on the Parties sheet first",IF(D224="","Pick the entry type",IF(Q224="?","Pick the entry type from the list",IF(N(H224)=0,"Enter the amount",IF(AND(R224&lt;&gt;"Any",R224&lt;&gt;P224),"Sales, receipts and credit notes are for debtors; purchases, payments and debit notes for creditors",IF(AND(F224&lt;&gt;"",D224&lt;&gt;"Purchase bill"),"The received-on date is only for purchase bills",IF(AND(P224="Creditor",X224=1,AA224&gt;0),"Past due to a micro or small supplier: interest runs under MSMED s.16, and if unpaid at year end it is not deductible that year, s.37(2)(g)",IF(AND(P224="Debtor",X224=1,AA224&gt;0),"Past due to you: as a micro or small supplier you can claim interest under MSMED s.16","OK")))))))))))</f>
        <v/>
      </c>
      <c r="P224">
        <f>IF(C224="","",IFERROR(VLOOKUP(C224,'Example Parties'!$B$13:$Q$112,2,FALSE),"?"))</f>
        <v/>
      </c>
      <c r="Q224">
        <f>IF(D224="","",IFERROR(VLOOKUP(D224,Lists!$A$2:$D$9,3,FALSE),"?"))</f>
        <v/>
      </c>
      <c r="R224">
        <f>IF(D224="","",IFERROR(VLOOKUP(D224,Lists!$A$2:$D$9,4,FALSE),"?"))</f>
        <v/>
      </c>
      <c r="S224">
        <f>IF(P224="Debtor",I224,IF(P224="Creditor",J224,0))</f>
        <v/>
      </c>
      <c r="T224">
        <f>IF(P224="Debtor",J224,IF(P224="Creditor",I224,0))</f>
        <v/>
      </c>
      <c r="U224">
        <f>IF(OR(S224=0,B224=""),0,IFERROR(VLOOKUP(C224,'Example Parties'!$B$13:$Q$112,13,FALSE),0)+SUMIFS($S$7:$S$506,$C$7:$C$506,C224,$B$7:$B$506,"&lt;"&amp;B224)+SUMIFS(S$7:S224,C$7:C224,C224,B$7:B224,B224))</f>
        <v/>
      </c>
      <c r="V224">
        <f>IF(S224=0,0,IFERROR(VLOOKUP(C224,'Example Parties'!$B$13:$Q$112,14,FALSE),0)+SUMIFS($T$7:$T$506,$C$7:$C$506,C224,$B$7:$B$506,"&lt;="&amp;'Example Outstanding'!$E$5))</f>
        <v/>
      </c>
      <c r="W224">
        <f>IF(OR('Example Outstanding'!$E$5="",S224=0,B224="",B224&gt;'Example Outstanding'!$E$5),0,MAX(0,MIN(S224,U224-V224)))</f>
        <v/>
      </c>
      <c r="X224">
        <f>IF(C224="",0,IFERROR(VLOOKUP(C224,'Example Parties'!$B$13:$Q$112,15,FALSE),0))</f>
        <v/>
      </c>
      <c r="Y224">
        <f>IF(C224="","",IFERROR(VLOOKUP(C224,'Example Parties'!$B$13:$Q$112,16,FALSE),0))</f>
        <v/>
      </c>
      <c r="Z224">
        <f>IF(OR(S224=0,B224="",Y224=""),"",IF(AND(F224&lt;&gt;"",D224="Purchase bill"),F224,B224)+Y224)</f>
        <v/>
      </c>
      <c r="AA224">
        <f>IF(OR(W224=0,Z224=""),0,MAX(0,'Example Outstanding'!$E$5-Z224))</f>
        <v/>
      </c>
      <c r="AB224">
        <f>IF(AND(X224=1,AA224&gt;0),W224*((1+3*N('Example Parties'!$E$10)/12)^(AA224*12/365)-1),0)</f>
        <v/>
      </c>
      <c r="AC224">
        <f>IF(W224=0,"",'Example Outstanding'!$E$5-B224)</f>
        <v/>
      </c>
      <c r="AD224">
        <f>IF(S224=0,0,IFERROR(VLOOKUP(C224,'Example Parties'!$B$13:$Q$112,14,FALSE),0)+SUMIFS($T$7:$T$506,$C$7:$C$506,C224,$B$7:$B$506,"&lt;="&amp;'Example Parties'!$E$8))</f>
        <v/>
      </c>
      <c r="AE224">
        <f>IF(OR('Example Parties'!$E$8="",S224=0,B224="",B224&gt;'Example Parties'!$E$8),0,MAX(0,MIN(S224,U224-AD224)))</f>
        <v/>
      </c>
      <c r="AF224">
        <f>IF(AND(P224="Creditor",X224=1,AE224&gt;0,Z224&lt;&gt;""),IF(Z224&lt;='Example Parties'!$E$8,AE224,0),0)</f>
        <v/>
      </c>
      <c r="AG224">
        <f>IF(OR(AE224=0,Z224=""),0,MAX(0,'Example Parties'!$E$8-Z224))</f>
        <v/>
      </c>
      <c r="AH224">
        <f>IF(AND(P224="Creditor",X224=1,AG224&gt;0),AE224*((1+3*N('Example Parties'!$E$10)/12)^(AG224*12/365)-1),0)</f>
        <v/>
      </c>
      <c r="AI224">
        <f>IF(AND(C224&lt;&gt;"",C224='Example Ledger'!$D$4,B224&lt;&gt;"",B224&gt;='Example Ledger'!$D$5,B224&lt;='Example Ledger'!$D$6),1,0)</f>
        <v/>
      </c>
      <c r="AJ224">
        <f>IF(AI224=1,SUM(AI$7:AI224),"")</f>
        <v/>
      </c>
      <c r="AK224">
        <f>IF(OR(N224="",N224="OK"),0,1)</f>
        <v/>
      </c>
    </row>
    <row r="225">
      <c r="B225" s="24" t="n"/>
      <c r="C225" s="14" t="n"/>
      <c r="D225" s="14" t="n"/>
      <c r="E225" s="20" t="n"/>
      <c r="F225" s="24" t="n"/>
      <c r="G225" s="14" t="n"/>
      <c r="H225" s="22" t="n"/>
      <c r="I225" s="25">
        <f>IF(Q225="D",N(H225),0)</f>
        <v/>
      </c>
      <c r="J225" s="25">
        <f>IF(Q225="C",N(H225),0)</f>
        <v/>
      </c>
      <c r="K225" s="26">
        <f>IF(Z225="","",Z225)</f>
        <v/>
      </c>
      <c r="L225" s="27">
        <f>W225</f>
        <v/>
      </c>
      <c r="M225" s="28">
        <f>AA225</f>
        <v/>
      </c>
      <c r="N225" s="23">
        <f>IF(AND(B225="",C225="",D225="",N(H225)=0),"",IF(B225="","Enter the date",IF(C225="","Pick the party",IF(P225="?","Add this party on the Parties sheet first",IF(D225="","Pick the entry type",IF(Q225="?","Pick the entry type from the list",IF(N(H225)=0,"Enter the amount",IF(AND(R225&lt;&gt;"Any",R225&lt;&gt;P225),"Sales, receipts and credit notes are for debtors; purchases, payments and debit notes for creditors",IF(AND(F225&lt;&gt;"",D225&lt;&gt;"Purchase bill"),"The received-on date is only for purchase bills",IF(AND(P225="Creditor",X225=1,AA225&gt;0),"Past due to a micro or small supplier: interest runs under MSMED s.16, and if unpaid at year end it is not deductible that year, s.37(2)(g)",IF(AND(P225="Debtor",X225=1,AA225&gt;0),"Past due to you: as a micro or small supplier you can claim interest under MSMED s.16","OK")))))))))))</f>
        <v/>
      </c>
      <c r="P225">
        <f>IF(C225="","",IFERROR(VLOOKUP(C225,'Example Parties'!$B$13:$Q$112,2,FALSE),"?"))</f>
        <v/>
      </c>
      <c r="Q225">
        <f>IF(D225="","",IFERROR(VLOOKUP(D225,Lists!$A$2:$D$9,3,FALSE),"?"))</f>
        <v/>
      </c>
      <c r="R225">
        <f>IF(D225="","",IFERROR(VLOOKUP(D225,Lists!$A$2:$D$9,4,FALSE),"?"))</f>
        <v/>
      </c>
      <c r="S225">
        <f>IF(P225="Debtor",I225,IF(P225="Creditor",J225,0))</f>
        <v/>
      </c>
      <c r="T225">
        <f>IF(P225="Debtor",J225,IF(P225="Creditor",I225,0))</f>
        <v/>
      </c>
      <c r="U225">
        <f>IF(OR(S225=0,B225=""),0,IFERROR(VLOOKUP(C225,'Example Parties'!$B$13:$Q$112,13,FALSE),0)+SUMIFS($S$7:$S$506,$C$7:$C$506,C225,$B$7:$B$506,"&lt;"&amp;B225)+SUMIFS(S$7:S225,C$7:C225,C225,B$7:B225,B225))</f>
        <v/>
      </c>
      <c r="V225">
        <f>IF(S225=0,0,IFERROR(VLOOKUP(C225,'Example Parties'!$B$13:$Q$112,14,FALSE),0)+SUMIFS($T$7:$T$506,$C$7:$C$506,C225,$B$7:$B$506,"&lt;="&amp;'Example Outstanding'!$E$5))</f>
        <v/>
      </c>
      <c r="W225">
        <f>IF(OR('Example Outstanding'!$E$5="",S225=0,B225="",B225&gt;'Example Outstanding'!$E$5),0,MAX(0,MIN(S225,U225-V225)))</f>
        <v/>
      </c>
      <c r="X225">
        <f>IF(C225="",0,IFERROR(VLOOKUP(C225,'Example Parties'!$B$13:$Q$112,15,FALSE),0))</f>
        <v/>
      </c>
      <c r="Y225">
        <f>IF(C225="","",IFERROR(VLOOKUP(C225,'Example Parties'!$B$13:$Q$112,16,FALSE),0))</f>
        <v/>
      </c>
      <c r="Z225">
        <f>IF(OR(S225=0,B225="",Y225=""),"",IF(AND(F225&lt;&gt;"",D225="Purchase bill"),F225,B225)+Y225)</f>
        <v/>
      </c>
      <c r="AA225">
        <f>IF(OR(W225=0,Z225=""),0,MAX(0,'Example Outstanding'!$E$5-Z225))</f>
        <v/>
      </c>
      <c r="AB225">
        <f>IF(AND(X225=1,AA225&gt;0),W225*((1+3*N('Example Parties'!$E$10)/12)^(AA225*12/365)-1),0)</f>
        <v/>
      </c>
      <c r="AC225">
        <f>IF(W225=0,"",'Example Outstanding'!$E$5-B225)</f>
        <v/>
      </c>
      <c r="AD225">
        <f>IF(S225=0,0,IFERROR(VLOOKUP(C225,'Example Parties'!$B$13:$Q$112,14,FALSE),0)+SUMIFS($T$7:$T$506,$C$7:$C$506,C225,$B$7:$B$506,"&lt;="&amp;'Example Parties'!$E$8))</f>
        <v/>
      </c>
      <c r="AE225">
        <f>IF(OR('Example Parties'!$E$8="",S225=0,B225="",B225&gt;'Example Parties'!$E$8),0,MAX(0,MIN(S225,U225-AD225)))</f>
        <v/>
      </c>
      <c r="AF225">
        <f>IF(AND(P225="Creditor",X225=1,AE225&gt;0,Z225&lt;&gt;""),IF(Z225&lt;='Example Parties'!$E$8,AE225,0),0)</f>
        <v/>
      </c>
      <c r="AG225">
        <f>IF(OR(AE225=0,Z225=""),0,MAX(0,'Example Parties'!$E$8-Z225))</f>
        <v/>
      </c>
      <c r="AH225">
        <f>IF(AND(P225="Creditor",X225=1,AG225&gt;0),AE225*((1+3*N('Example Parties'!$E$10)/12)^(AG225*12/365)-1),0)</f>
        <v/>
      </c>
      <c r="AI225">
        <f>IF(AND(C225&lt;&gt;"",C225='Example Ledger'!$D$4,B225&lt;&gt;"",B225&gt;='Example Ledger'!$D$5,B225&lt;='Example Ledger'!$D$6),1,0)</f>
        <v/>
      </c>
      <c r="AJ225">
        <f>IF(AI225=1,SUM(AI$7:AI225),"")</f>
        <v/>
      </c>
      <c r="AK225">
        <f>IF(OR(N225="",N225="OK"),0,1)</f>
        <v/>
      </c>
    </row>
    <row r="226">
      <c r="B226" s="24" t="n"/>
      <c r="C226" s="14" t="n"/>
      <c r="D226" s="14" t="n"/>
      <c r="E226" s="20" t="n"/>
      <c r="F226" s="24" t="n"/>
      <c r="G226" s="14" t="n"/>
      <c r="H226" s="22" t="n"/>
      <c r="I226" s="25">
        <f>IF(Q226="D",N(H226),0)</f>
        <v/>
      </c>
      <c r="J226" s="25">
        <f>IF(Q226="C",N(H226),0)</f>
        <v/>
      </c>
      <c r="K226" s="26">
        <f>IF(Z226="","",Z226)</f>
        <v/>
      </c>
      <c r="L226" s="27">
        <f>W226</f>
        <v/>
      </c>
      <c r="M226" s="28">
        <f>AA226</f>
        <v/>
      </c>
      <c r="N226" s="23">
        <f>IF(AND(B226="",C226="",D226="",N(H226)=0),"",IF(B226="","Enter the date",IF(C226="","Pick the party",IF(P226="?","Add this party on the Parties sheet first",IF(D226="","Pick the entry type",IF(Q226="?","Pick the entry type from the list",IF(N(H226)=0,"Enter the amount",IF(AND(R226&lt;&gt;"Any",R226&lt;&gt;P226),"Sales, receipts and credit notes are for debtors; purchases, payments and debit notes for creditors",IF(AND(F226&lt;&gt;"",D226&lt;&gt;"Purchase bill"),"The received-on date is only for purchase bills",IF(AND(P226="Creditor",X226=1,AA226&gt;0),"Past due to a micro or small supplier: interest runs under MSMED s.16, and if unpaid at year end it is not deductible that year, s.37(2)(g)",IF(AND(P226="Debtor",X226=1,AA226&gt;0),"Past due to you: as a micro or small supplier you can claim interest under MSMED s.16","OK")))))))))))</f>
        <v/>
      </c>
      <c r="P226">
        <f>IF(C226="","",IFERROR(VLOOKUP(C226,'Example Parties'!$B$13:$Q$112,2,FALSE),"?"))</f>
        <v/>
      </c>
      <c r="Q226">
        <f>IF(D226="","",IFERROR(VLOOKUP(D226,Lists!$A$2:$D$9,3,FALSE),"?"))</f>
        <v/>
      </c>
      <c r="R226">
        <f>IF(D226="","",IFERROR(VLOOKUP(D226,Lists!$A$2:$D$9,4,FALSE),"?"))</f>
        <v/>
      </c>
      <c r="S226">
        <f>IF(P226="Debtor",I226,IF(P226="Creditor",J226,0))</f>
        <v/>
      </c>
      <c r="T226">
        <f>IF(P226="Debtor",J226,IF(P226="Creditor",I226,0))</f>
        <v/>
      </c>
      <c r="U226">
        <f>IF(OR(S226=0,B226=""),0,IFERROR(VLOOKUP(C226,'Example Parties'!$B$13:$Q$112,13,FALSE),0)+SUMIFS($S$7:$S$506,$C$7:$C$506,C226,$B$7:$B$506,"&lt;"&amp;B226)+SUMIFS(S$7:S226,C$7:C226,C226,B$7:B226,B226))</f>
        <v/>
      </c>
      <c r="V226">
        <f>IF(S226=0,0,IFERROR(VLOOKUP(C226,'Example Parties'!$B$13:$Q$112,14,FALSE),0)+SUMIFS($T$7:$T$506,$C$7:$C$506,C226,$B$7:$B$506,"&lt;="&amp;'Example Outstanding'!$E$5))</f>
        <v/>
      </c>
      <c r="W226">
        <f>IF(OR('Example Outstanding'!$E$5="",S226=0,B226="",B226&gt;'Example Outstanding'!$E$5),0,MAX(0,MIN(S226,U226-V226)))</f>
        <v/>
      </c>
      <c r="X226">
        <f>IF(C226="",0,IFERROR(VLOOKUP(C226,'Example Parties'!$B$13:$Q$112,15,FALSE),0))</f>
        <v/>
      </c>
      <c r="Y226">
        <f>IF(C226="","",IFERROR(VLOOKUP(C226,'Example Parties'!$B$13:$Q$112,16,FALSE),0))</f>
        <v/>
      </c>
      <c r="Z226">
        <f>IF(OR(S226=0,B226="",Y226=""),"",IF(AND(F226&lt;&gt;"",D226="Purchase bill"),F226,B226)+Y226)</f>
        <v/>
      </c>
      <c r="AA226">
        <f>IF(OR(W226=0,Z226=""),0,MAX(0,'Example Outstanding'!$E$5-Z226))</f>
        <v/>
      </c>
      <c r="AB226">
        <f>IF(AND(X226=1,AA226&gt;0),W226*((1+3*N('Example Parties'!$E$10)/12)^(AA226*12/365)-1),0)</f>
        <v/>
      </c>
      <c r="AC226">
        <f>IF(W226=0,"",'Example Outstanding'!$E$5-B226)</f>
        <v/>
      </c>
      <c r="AD226">
        <f>IF(S226=0,0,IFERROR(VLOOKUP(C226,'Example Parties'!$B$13:$Q$112,14,FALSE),0)+SUMIFS($T$7:$T$506,$C$7:$C$506,C226,$B$7:$B$506,"&lt;="&amp;'Example Parties'!$E$8))</f>
        <v/>
      </c>
      <c r="AE226">
        <f>IF(OR('Example Parties'!$E$8="",S226=0,B226="",B226&gt;'Example Parties'!$E$8),0,MAX(0,MIN(S226,U226-AD226)))</f>
        <v/>
      </c>
      <c r="AF226">
        <f>IF(AND(P226="Creditor",X226=1,AE226&gt;0,Z226&lt;&gt;""),IF(Z226&lt;='Example Parties'!$E$8,AE226,0),0)</f>
        <v/>
      </c>
      <c r="AG226">
        <f>IF(OR(AE226=0,Z226=""),0,MAX(0,'Example Parties'!$E$8-Z226))</f>
        <v/>
      </c>
      <c r="AH226">
        <f>IF(AND(P226="Creditor",X226=1,AG226&gt;0),AE226*((1+3*N('Example Parties'!$E$10)/12)^(AG226*12/365)-1),0)</f>
        <v/>
      </c>
      <c r="AI226">
        <f>IF(AND(C226&lt;&gt;"",C226='Example Ledger'!$D$4,B226&lt;&gt;"",B226&gt;='Example Ledger'!$D$5,B226&lt;='Example Ledger'!$D$6),1,0)</f>
        <v/>
      </c>
      <c r="AJ226">
        <f>IF(AI226=1,SUM(AI$7:AI226),"")</f>
        <v/>
      </c>
      <c r="AK226">
        <f>IF(OR(N226="",N226="OK"),0,1)</f>
        <v/>
      </c>
    </row>
    <row r="227">
      <c r="B227" s="24" t="n"/>
      <c r="C227" s="14" t="n"/>
      <c r="D227" s="14" t="n"/>
      <c r="E227" s="20" t="n"/>
      <c r="F227" s="24" t="n"/>
      <c r="G227" s="14" t="n"/>
      <c r="H227" s="22" t="n"/>
      <c r="I227" s="25">
        <f>IF(Q227="D",N(H227),0)</f>
        <v/>
      </c>
      <c r="J227" s="25">
        <f>IF(Q227="C",N(H227),0)</f>
        <v/>
      </c>
      <c r="K227" s="26">
        <f>IF(Z227="","",Z227)</f>
        <v/>
      </c>
      <c r="L227" s="27">
        <f>W227</f>
        <v/>
      </c>
      <c r="M227" s="28">
        <f>AA227</f>
        <v/>
      </c>
      <c r="N227" s="23">
        <f>IF(AND(B227="",C227="",D227="",N(H227)=0),"",IF(B227="","Enter the date",IF(C227="","Pick the party",IF(P227="?","Add this party on the Parties sheet first",IF(D227="","Pick the entry type",IF(Q227="?","Pick the entry type from the list",IF(N(H227)=0,"Enter the amount",IF(AND(R227&lt;&gt;"Any",R227&lt;&gt;P227),"Sales, receipts and credit notes are for debtors; purchases, payments and debit notes for creditors",IF(AND(F227&lt;&gt;"",D227&lt;&gt;"Purchase bill"),"The received-on date is only for purchase bills",IF(AND(P227="Creditor",X227=1,AA227&gt;0),"Past due to a micro or small supplier: interest runs under MSMED s.16, and if unpaid at year end it is not deductible that year, s.37(2)(g)",IF(AND(P227="Debtor",X227=1,AA227&gt;0),"Past due to you: as a micro or small supplier you can claim interest under MSMED s.16","OK")))))))))))</f>
        <v/>
      </c>
      <c r="P227">
        <f>IF(C227="","",IFERROR(VLOOKUP(C227,'Example Parties'!$B$13:$Q$112,2,FALSE),"?"))</f>
        <v/>
      </c>
      <c r="Q227">
        <f>IF(D227="","",IFERROR(VLOOKUP(D227,Lists!$A$2:$D$9,3,FALSE),"?"))</f>
        <v/>
      </c>
      <c r="R227">
        <f>IF(D227="","",IFERROR(VLOOKUP(D227,Lists!$A$2:$D$9,4,FALSE),"?"))</f>
        <v/>
      </c>
      <c r="S227">
        <f>IF(P227="Debtor",I227,IF(P227="Creditor",J227,0))</f>
        <v/>
      </c>
      <c r="T227">
        <f>IF(P227="Debtor",J227,IF(P227="Creditor",I227,0))</f>
        <v/>
      </c>
      <c r="U227">
        <f>IF(OR(S227=0,B227=""),0,IFERROR(VLOOKUP(C227,'Example Parties'!$B$13:$Q$112,13,FALSE),0)+SUMIFS($S$7:$S$506,$C$7:$C$506,C227,$B$7:$B$506,"&lt;"&amp;B227)+SUMIFS(S$7:S227,C$7:C227,C227,B$7:B227,B227))</f>
        <v/>
      </c>
      <c r="V227">
        <f>IF(S227=0,0,IFERROR(VLOOKUP(C227,'Example Parties'!$B$13:$Q$112,14,FALSE),0)+SUMIFS($T$7:$T$506,$C$7:$C$506,C227,$B$7:$B$506,"&lt;="&amp;'Example Outstanding'!$E$5))</f>
        <v/>
      </c>
      <c r="W227">
        <f>IF(OR('Example Outstanding'!$E$5="",S227=0,B227="",B227&gt;'Example Outstanding'!$E$5),0,MAX(0,MIN(S227,U227-V227)))</f>
        <v/>
      </c>
      <c r="X227">
        <f>IF(C227="",0,IFERROR(VLOOKUP(C227,'Example Parties'!$B$13:$Q$112,15,FALSE),0))</f>
        <v/>
      </c>
      <c r="Y227">
        <f>IF(C227="","",IFERROR(VLOOKUP(C227,'Example Parties'!$B$13:$Q$112,16,FALSE),0))</f>
        <v/>
      </c>
      <c r="Z227">
        <f>IF(OR(S227=0,B227="",Y227=""),"",IF(AND(F227&lt;&gt;"",D227="Purchase bill"),F227,B227)+Y227)</f>
        <v/>
      </c>
      <c r="AA227">
        <f>IF(OR(W227=0,Z227=""),0,MAX(0,'Example Outstanding'!$E$5-Z227))</f>
        <v/>
      </c>
      <c r="AB227">
        <f>IF(AND(X227=1,AA227&gt;0),W227*((1+3*N('Example Parties'!$E$10)/12)^(AA227*12/365)-1),0)</f>
        <v/>
      </c>
      <c r="AC227">
        <f>IF(W227=0,"",'Example Outstanding'!$E$5-B227)</f>
        <v/>
      </c>
      <c r="AD227">
        <f>IF(S227=0,0,IFERROR(VLOOKUP(C227,'Example Parties'!$B$13:$Q$112,14,FALSE),0)+SUMIFS($T$7:$T$506,$C$7:$C$506,C227,$B$7:$B$506,"&lt;="&amp;'Example Parties'!$E$8))</f>
        <v/>
      </c>
      <c r="AE227">
        <f>IF(OR('Example Parties'!$E$8="",S227=0,B227="",B227&gt;'Example Parties'!$E$8),0,MAX(0,MIN(S227,U227-AD227)))</f>
        <v/>
      </c>
      <c r="AF227">
        <f>IF(AND(P227="Creditor",X227=1,AE227&gt;0,Z227&lt;&gt;""),IF(Z227&lt;='Example Parties'!$E$8,AE227,0),0)</f>
        <v/>
      </c>
      <c r="AG227">
        <f>IF(OR(AE227=0,Z227=""),0,MAX(0,'Example Parties'!$E$8-Z227))</f>
        <v/>
      </c>
      <c r="AH227">
        <f>IF(AND(P227="Creditor",X227=1,AG227&gt;0),AE227*((1+3*N('Example Parties'!$E$10)/12)^(AG227*12/365)-1),0)</f>
        <v/>
      </c>
      <c r="AI227">
        <f>IF(AND(C227&lt;&gt;"",C227='Example Ledger'!$D$4,B227&lt;&gt;"",B227&gt;='Example Ledger'!$D$5,B227&lt;='Example Ledger'!$D$6),1,0)</f>
        <v/>
      </c>
      <c r="AJ227">
        <f>IF(AI227=1,SUM(AI$7:AI227),"")</f>
        <v/>
      </c>
      <c r="AK227">
        <f>IF(OR(N227="",N227="OK"),0,1)</f>
        <v/>
      </c>
    </row>
    <row r="228">
      <c r="B228" s="24" t="n"/>
      <c r="C228" s="14" t="n"/>
      <c r="D228" s="14" t="n"/>
      <c r="E228" s="20" t="n"/>
      <c r="F228" s="24" t="n"/>
      <c r="G228" s="14" t="n"/>
      <c r="H228" s="22" t="n"/>
      <c r="I228" s="25">
        <f>IF(Q228="D",N(H228),0)</f>
        <v/>
      </c>
      <c r="J228" s="25">
        <f>IF(Q228="C",N(H228),0)</f>
        <v/>
      </c>
      <c r="K228" s="26">
        <f>IF(Z228="","",Z228)</f>
        <v/>
      </c>
      <c r="L228" s="27">
        <f>W228</f>
        <v/>
      </c>
      <c r="M228" s="28">
        <f>AA228</f>
        <v/>
      </c>
      <c r="N228" s="23">
        <f>IF(AND(B228="",C228="",D228="",N(H228)=0),"",IF(B228="","Enter the date",IF(C228="","Pick the party",IF(P228="?","Add this party on the Parties sheet first",IF(D228="","Pick the entry type",IF(Q228="?","Pick the entry type from the list",IF(N(H228)=0,"Enter the amount",IF(AND(R228&lt;&gt;"Any",R228&lt;&gt;P228),"Sales, receipts and credit notes are for debtors; purchases, payments and debit notes for creditors",IF(AND(F228&lt;&gt;"",D228&lt;&gt;"Purchase bill"),"The received-on date is only for purchase bills",IF(AND(P228="Creditor",X228=1,AA228&gt;0),"Past due to a micro or small supplier: interest runs under MSMED s.16, and if unpaid at year end it is not deductible that year, s.37(2)(g)",IF(AND(P228="Debtor",X228=1,AA228&gt;0),"Past due to you: as a micro or small supplier you can claim interest under MSMED s.16","OK")))))))))))</f>
        <v/>
      </c>
      <c r="P228">
        <f>IF(C228="","",IFERROR(VLOOKUP(C228,'Example Parties'!$B$13:$Q$112,2,FALSE),"?"))</f>
        <v/>
      </c>
      <c r="Q228">
        <f>IF(D228="","",IFERROR(VLOOKUP(D228,Lists!$A$2:$D$9,3,FALSE),"?"))</f>
        <v/>
      </c>
      <c r="R228">
        <f>IF(D228="","",IFERROR(VLOOKUP(D228,Lists!$A$2:$D$9,4,FALSE),"?"))</f>
        <v/>
      </c>
      <c r="S228">
        <f>IF(P228="Debtor",I228,IF(P228="Creditor",J228,0))</f>
        <v/>
      </c>
      <c r="T228">
        <f>IF(P228="Debtor",J228,IF(P228="Creditor",I228,0))</f>
        <v/>
      </c>
      <c r="U228">
        <f>IF(OR(S228=0,B228=""),0,IFERROR(VLOOKUP(C228,'Example Parties'!$B$13:$Q$112,13,FALSE),0)+SUMIFS($S$7:$S$506,$C$7:$C$506,C228,$B$7:$B$506,"&lt;"&amp;B228)+SUMIFS(S$7:S228,C$7:C228,C228,B$7:B228,B228))</f>
        <v/>
      </c>
      <c r="V228">
        <f>IF(S228=0,0,IFERROR(VLOOKUP(C228,'Example Parties'!$B$13:$Q$112,14,FALSE),0)+SUMIFS($T$7:$T$506,$C$7:$C$506,C228,$B$7:$B$506,"&lt;="&amp;'Example Outstanding'!$E$5))</f>
        <v/>
      </c>
      <c r="W228">
        <f>IF(OR('Example Outstanding'!$E$5="",S228=0,B228="",B228&gt;'Example Outstanding'!$E$5),0,MAX(0,MIN(S228,U228-V228)))</f>
        <v/>
      </c>
      <c r="X228">
        <f>IF(C228="",0,IFERROR(VLOOKUP(C228,'Example Parties'!$B$13:$Q$112,15,FALSE),0))</f>
        <v/>
      </c>
      <c r="Y228">
        <f>IF(C228="","",IFERROR(VLOOKUP(C228,'Example Parties'!$B$13:$Q$112,16,FALSE),0))</f>
        <v/>
      </c>
      <c r="Z228">
        <f>IF(OR(S228=0,B228="",Y228=""),"",IF(AND(F228&lt;&gt;"",D228="Purchase bill"),F228,B228)+Y228)</f>
        <v/>
      </c>
      <c r="AA228">
        <f>IF(OR(W228=0,Z228=""),0,MAX(0,'Example Outstanding'!$E$5-Z228))</f>
        <v/>
      </c>
      <c r="AB228">
        <f>IF(AND(X228=1,AA228&gt;0),W228*((1+3*N('Example Parties'!$E$10)/12)^(AA228*12/365)-1),0)</f>
        <v/>
      </c>
      <c r="AC228">
        <f>IF(W228=0,"",'Example Outstanding'!$E$5-B228)</f>
        <v/>
      </c>
      <c r="AD228">
        <f>IF(S228=0,0,IFERROR(VLOOKUP(C228,'Example Parties'!$B$13:$Q$112,14,FALSE),0)+SUMIFS($T$7:$T$506,$C$7:$C$506,C228,$B$7:$B$506,"&lt;="&amp;'Example Parties'!$E$8))</f>
        <v/>
      </c>
      <c r="AE228">
        <f>IF(OR('Example Parties'!$E$8="",S228=0,B228="",B228&gt;'Example Parties'!$E$8),0,MAX(0,MIN(S228,U228-AD228)))</f>
        <v/>
      </c>
      <c r="AF228">
        <f>IF(AND(P228="Creditor",X228=1,AE228&gt;0,Z228&lt;&gt;""),IF(Z228&lt;='Example Parties'!$E$8,AE228,0),0)</f>
        <v/>
      </c>
      <c r="AG228">
        <f>IF(OR(AE228=0,Z228=""),0,MAX(0,'Example Parties'!$E$8-Z228))</f>
        <v/>
      </c>
      <c r="AH228">
        <f>IF(AND(P228="Creditor",X228=1,AG228&gt;0),AE228*((1+3*N('Example Parties'!$E$10)/12)^(AG228*12/365)-1),0)</f>
        <v/>
      </c>
      <c r="AI228">
        <f>IF(AND(C228&lt;&gt;"",C228='Example Ledger'!$D$4,B228&lt;&gt;"",B228&gt;='Example Ledger'!$D$5,B228&lt;='Example Ledger'!$D$6),1,0)</f>
        <v/>
      </c>
      <c r="AJ228">
        <f>IF(AI228=1,SUM(AI$7:AI228),"")</f>
        <v/>
      </c>
      <c r="AK228">
        <f>IF(OR(N228="",N228="OK"),0,1)</f>
        <v/>
      </c>
    </row>
    <row r="229">
      <c r="B229" s="24" t="n"/>
      <c r="C229" s="14" t="n"/>
      <c r="D229" s="14" t="n"/>
      <c r="E229" s="20" t="n"/>
      <c r="F229" s="24" t="n"/>
      <c r="G229" s="14" t="n"/>
      <c r="H229" s="22" t="n"/>
      <c r="I229" s="25">
        <f>IF(Q229="D",N(H229),0)</f>
        <v/>
      </c>
      <c r="J229" s="25">
        <f>IF(Q229="C",N(H229),0)</f>
        <v/>
      </c>
      <c r="K229" s="26">
        <f>IF(Z229="","",Z229)</f>
        <v/>
      </c>
      <c r="L229" s="27">
        <f>W229</f>
        <v/>
      </c>
      <c r="M229" s="28">
        <f>AA229</f>
        <v/>
      </c>
      <c r="N229" s="23">
        <f>IF(AND(B229="",C229="",D229="",N(H229)=0),"",IF(B229="","Enter the date",IF(C229="","Pick the party",IF(P229="?","Add this party on the Parties sheet first",IF(D229="","Pick the entry type",IF(Q229="?","Pick the entry type from the list",IF(N(H229)=0,"Enter the amount",IF(AND(R229&lt;&gt;"Any",R229&lt;&gt;P229),"Sales, receipts and credit notes are for debtors; purchases, payments and debit notes for creditors",IF(AND(F229&lt;&gt;"",D229&lt;&gt;"Purchase bill"),"The received-on date is only for purchase bills",IF(AND(P229="Creditor",X229=1,AA229&gt;0),"Past due to a micro or small supplier: interest runs under MSMED s.16, and if unpaid at year end it is not deductible that year, s.37(2)(g)",IF(AND(P229="Debtor",X229=1,AA229&gt;0),"Past due to you: as a micro or small supplier you can claim interest under MSMED s.16","OK")))))))))))</f>
        <v/>
      </c>
      <c r="P229">
        <f>IF(C229="","",IFERROR(VLOOKUP(C229,'Example Parties'!$B$13:$Q$112,2,FALSE),"?"))</f>
        <v/>
      </c>
      <c r="Q229">
        <f>IF(D229="","",IFERROR(VLOOKUP(D229,Lists!$A$2:$D$9,3,FALSE),"?"))</f>
        <v/>
      </c>
      <c r="R229">
        <f>IF(D229="","",IFERROR(VLOOKUP(D229,Lists!$A$2:$D$9,4,FALSE),"?"))</f>
        <v/>
      </c>
      <c r="S229">
        <f>IF(P229="Debtor",I229,IF(P229="Creditor",J229,0))</f>
        <v/>
      </c>
      <c r="T229">
        <f>IF(P229="Debtor",J229,IF(P229="Creditor",I229,0))</f>
        <v/>
      </c>
      <c r="U229">
        <f>IF(OR(S229=0,B229=""),0,IFERROR(VLOOKUP(C229,'Example Parties'!$B$13:$Q$112,13,FALSE),0)+SUMIFS($S$7:$S$506,$C$7:$C$506,C229,$B$7:$B$506,"&lt;"&amp;B229)+SUMIFS(S$7:S229,C$7:C229,C229,B$7:B229,B229))</f>
        <v/>
      </c>
      <c r="V229">
        <f>IF(S229=0,0,IFERROR(VLOOKUP(C229,'Example Parties'!$B$13:$Q$112,14,FALSE),0)+SUMIFS($T$7:$T$506,$C$7:$C$506,C229,$B$7:$B$506,"&lt;="&amp;'Example Outstanding'!$E$5))</f>
        <v/>
      </c>
      <c r="W229">
        <f>IF(OR('Example Outstanding'!$E$5="",S229=0,B229="",B229&gt;'Example Outstanding'!$E$5),0,MAX(0,MIN(S229,U229-V229)))</f>
        <v/>
      </c>
      <c r="X229">
        <f>IF(C229="",0,IFERROR(VLOOKUP(C229,'Example Parties'!$B$13:$Q$112,15,FALSE),0))</f>
        <v/>
      </c>
      <c r="Y229">
        <f>IF(C229="","",IFERROR(VLOOKUP(C229,'Example Parties'!$B$13:$Q$112,16,FALSE),0))</f>
        <v/>
      </c>
      <c r="Z229">
        <f>IF(OR(S229=0,B229="",Y229=""),"",IF(AND(F229&lt;&gt;"",D229="Purchase bill"),F229,B229)+Y229)</f>
        <v/>
      </c>
      <c r="AA229">
        <f>IF(OR(W229=0,Z229=""),0,MAX(0,'Example Outstanding'!$E$5-Z229))</f>
        <v/>
      </c>
      <c r="AB229">
        <f>IF(AND(X229=1,AA229&gt;0),W229*((1+3*N('Example Parties'!$E$10)/12)^(AA229*12/365)-1),0)</f>
        <v/>
      </c>
      <c r="AC229">
        <f>IF(W229=0,"",'Example Outstanding'!$E$5-B229)</f>
        <v/>
      </c>
      <c r="AD229">
        <f>IF(S229=0,0,IFERROR(VLOOKUP(C229,'Example Parties'!$B$13:$Q$112,14,FALSE),0)+SUMIFS($T$7:$T$506,$C$7:$C$506,C229,$B$7:$B$506,"&lt;="&amp;'Example Parties'!$E$8))</f>
        <v/>
      </c>
      <c r="AE229">
        <f>IF(OR('Example Parties'!$E$8="",S229=0,B229="",B229&gt;'Example Parties'!$E$8),0,MAX(0,MIN(S229,U229-AD229)))</f>
        <v/>
      </c>
      <c r="AF229">
        <f>IF(AND(P229="Creditor",X229=1,AE229&gt;0,Z229&lt;&gt;""),IF(Z229&lt;='Example Parties'!$E$8,AE229,0),0)</f>
        <v/>
      </c>
      <c r="AG229">
        <f>IF(OR(AE229=0,Z229=""),0,MAX(0,'Example Parties'!$E$8-Z229))</f>
        <v/>
      </c>
      <c r="AH229">
        <f>IF(AND(P229="Creditor",X229=1,AG229&gt;0),AE229*((1+3*N('Example Parties'!$E$10)/12)^(AG229*12/365)-1),0)</f>
        <v/>
      </c>
      <c r="AI229">
        <f>IF(AND(C229&lt;&gt;"",C229='Example Ledger'!$D$4,B229&lt;&gt;"",B229&gt;='Example Ledger'!$D$5,B229&lt;='Example Ledger'!$D$6),1,0)</f>
        <v/>
      </c>
      <c r="AJ229">
        <f>IF(AI229=1,SUM(AI$7:AI229),"")</f>
        <v/>
      </c>
      <c r="AK229">
        <f>IF(OR(N229="",N229="OK"),0,1)</f>
        <v/>
      </c>
    </row>
    <row r="230">
      <c r="B230" s="24" t="n"/>
      <c r="C230" s="14" t="n"/>
      <c r="D230" s="14" t="n"/>
      <c r="E230" s="20" t="n"/>
      <c r="F230" s="24" t="n"/>
      <c r="G230" s="14" t="n"/>
      <c r="H230" s="22" t="n"/>
      <c r="I230" s="25">
        <f>IF(Q230="D",N(H230),0)</f>
        <v/>
      </c>
      <c r="J230" s="25">
        <f>IF(Q230="C",N(H230),0)</f>
        <v/>
      </c>
      <c r="K230" s="26">
        <f>IF(Z230="","",Z230)</f>
        <v/>
      </c>
      <c r="L230" s="27">
        <f>W230</f>
        <v/>
      </c>
      <c r="M230" s="28">
        <f>AA230</f>
        <v/>
      </c>
      <c r="N230" s="23">
        <f>IF(AND(B230="",C230="",D230="",N(H230)=0),"",IF(B230="","Enter the date",IF(C230="","Pick the party",IF(P230="?","Add this party on the Parties sheet first",IF(D230="","Pick the entry type",IF(Q230="?","Pick the entry type from the list",IF(N(H230)=0,"Enter the amount",IF(AND(R230&lt;&gt;"Any",R230&lt;&gt;P230),"Sales, receipts and credit notes are for debtors; purchases, payments and debit notes for creditors",IF(AND(F230&lt;&gt;"",D230&lt;&gt;"Purchase bill"),"The received-on date is only for purchase bills",IF(AND(P230="Creditor",X230=1,AA230&gt;0),"Past due to a micro or small supplier: interest runs under MSMED s.16, and if unpaid at year end it is not deductible that year, s.37(2)(g)",IF(AND(P230="Debtor",X230=1,AA230&gt;0),"Past due to you: as a micro or small supplier you can claim interest under MSMED s.16","OK")))))))))))</f>
        <v/>
      </c>
      <c r="P230">
        <f>IF(C230="","",IFERROR(VLOOKUP(C230,'Example Parties'!$B$13:$Q$112,2,FALSE),"?"))</f>
        <v/>
      </c>
      <c r="Q230">
        <f>IF(D230="","",IFERROR(VLOOKUP(D230,Lists!$A$2:$D$9,3,FALSE),"?"))</f>
        <v/>
      </c>
      <c r="R230">
        <f>IF(D230="","",IFERROR(VLOOKUP(D230,Lists!$A$2:$D$9,4,FALSE),"?"))</f>
        <v/>
      </c>
      <c r="S230">
        <f>IF(P230="Debtor",I230,IF(P230="Creditor",J230,0))</f>
        <v/>
      </c>
      <c r="T230">
        <f>IF(P230="Debtor",J230,IF(P230="Creditor",I230,0))</f>
        <v/>
      </c>
      <c r="U230">
        <f>IF(OR(S230=0,B230=""),0,IFERROR(VLOOKUP(C230,'Example Parties'!$B$13:$Q$112,13,FALSE),0)+SUMIFS($S$7:$S$506,$C$7:$C$506,C230,$B$7:$B$506,"&lt;"&amp;B230)+SUMIFS(S$7:S230,C$7:C230,C230,B$7:B230,B230))</f>
        <v/>
      </c>
      <c r="V230">
        <f>IF(S230=0,0,IFERROR(VLOOKUP(C230,'Example Parties'!$B$13:$Q$112,14,FALSE),0)+SUMIFS($T$7:$T$506,$C$7:$C$506,C230,$B$7:$B$506,"&lt;="&amp;'Example Outstanding'!$E$5))</f>
        <v/>
      </c>
      <c r="W230">
        <f>IF(OR('Example Outstanding'!$E$5="",S230=0,B230="",B230&gt;'Example Outstanding'!$E$5),0,MAX(0,MIN(S230,U230-V230)))</f>
        <v/>
      </c>
      <c r="X230">
        <f>IF(C230="",0,IFERROR(VLOOKUP(C230,'Example Parties'!$B$13:$Q$112,15,FALSE),0))</f>
        <v/>
      </c>
      <c r="Y230">
        <f>IF(C230="","",IFERROR(VLOOKUP(C230,'Example Parties'!$B$13:$Q$112,16,FALSE),0))</f>
        <v/>
      </c>
      <c r="Z230">
        <f>IF(OR(S230=0,B230="",Y230=""),"",IF(AND(F230&lt;&gt;"",D230="Purchase bill"),F230,B230)+Y230)</f>
        <v/>
      </c>
      <c r="AA230">
        <f>IF(OR(W230=0,Z230=""),0,MAX(0,'Example Outstanding'!$E$5-Z230))</f>
        <v/>
      </c>
      <c r="AB230">
        <f>IF(AND(X230=1,AA230&gt;0),W230*((1+3*N('Example Parties'!$E$10)/12)^(AA230*12/365)-1),0)</f>
        <v/>
      </c>
      <c r="AC230">
        <f>IF(W230=0,"",'Example Outstanding'!$E$5-B230)</f>
        <v/>
      </c>
      <c r="AD230">
        <f>IF(S230=0,0,IFERROR(VLOOKUP(C230,'Example Parties'!$B$13:$Q$112,14,FALSE),0)+SUMIFS($T$7:$T$506,$C$7:$C$506,C230,$B$7:$B$506,"&lt;="&amp;'Example Parties'!$E$8))</f>
        <v/>
      </c>
      <c r="AE230">
        <f>IF(OR('Example Parties'!$E$8="",S230=0,B230="",B230&gt;'Example Parties'!$E$8),0,MAX(0,MIN(S230,U230-AD230)))</f>
        <v/>
      </c>
      <c r="AF230">
        <f>IF(AND(P230="Creditor",X230=1,AE230&gt;0,Z230&lt;&gt;""),IF(Z230&lt;='Example Parties'!$E$8,AE230,0),0)</f>
        <v/>
      </c>
      <c r="AG230">
        <f>IF(OR(AE230=0,Z230=""),0,MAX(0,'Example Parties'!$E$8-Z230))</f>
        <v/>
      </c>
      <c r="AH230">
        <f>IF(AND(P230="Creditor",X230=1,AG230&gt;0),AE230*((1+3*N('Example Parties'!$E$10)/12)^(AG230*12/365)-1),0)</f>
        <v/>
      </c>
      <c r="AI230">
        <f>IF(AND(C230&lt;&gt;"",C230='Example Ledger'!$D$4,B230&lt;&gt;"",B230&gt;='Example Ledger'!$D$5,B230&lt;='Example Ledger'!$D$6),1,0)</f>
        <v/>
      </c>
      <c r="AJ230">
        <f>IF(AI230=1,SUM(AI$7:AI230),"")</f>
        <v/>
      </c>
      <c r="AK230">
        <f>IF(OR(N230="",N230="OK"),0,1)</f>
        <v/>
      </c>
    </row>
    <row r="231">
      <c r="B231" s="24" t="n"/>
      <c r="C231" s="14" t="n"/>
      <c r="D231" s="14" t="n"/>
      <c r="E231" s="20" t="n"/>
      <c r="F231" s="24" t="n"/>
      <c r="G231" s="14" t="n"/>
      <c r="H231" s="22" t="n"/>
      <c r="I231" s="25">
        <f>IF(Q231="D",N(H231),0)</f>
        <v/>
      </c>
      <c r="J231" s="25">
        <f>IF(Q231="C",N(H231),0)</f>
        <v/>
      </c>
      <c r="K231" s="26">
        <f>IF(Z231="","",Z231)</f>
        <v/>
      </c>
      <c r="L231" s="27">
        <f>W231</f>
        <v/>
      </c>
      <c r="M231" s="28">
        <f>AA231</f>
        <v/>
      </c>
      <c r="N231" s="23">
        <f>IF(AND(B231="",C231="",D231="",N(H231)=0),"",IF(B231="","Enter the date",IF(C231="","Pick the party",IF(P231="?","Add this party on the Parties sheet first",IF(D231="","Pick the entry type",IF(Q231="?","Pick the entry type from the list",IF(N(H231)=0,"Enter the amount",IF(AND(R231&lt;&gt;"Any",R231&lt;&gt;P231),"Sales, receipts and credit notes are for debtors; purchases, payments and debit notes for creditors",IF(AND(F231&lt;&gt;"",D231&lt;&gt;"Purchase bill"),"The received-on date is only for purchase bills",IF(AND(P231="Creditor",X231=1,AA231&gt;0),"Past due to a micro or small supplier: interest runs under MSMED s.16, and if unpaid at year end it is not deductible that year, s.37(2)(g)",IF(AND(P231="Debtor",X231=1,AA231&gt;0),"Past due to you: as a micro or small supplier you can claim interest under MSMED s.16","OK")))))))))))</f>
        <v/>
      </c>
      <c r="P231">
        <f>IF(C231="","",IFERROR(VLOOKUP(C231,'Example Parties'!$B$13:$Q$112,2,FALSE),"?"))</f>
        <v/>
      </c>
      <c r="Q231">
        <f>IF(D231="","",IFERROR(VLOOKUP(D231,Lists!$A$2:$D$9,3,FALSE),"?"))</f>
        <v/>
      </c>
      <c r="R231">
        <f>IF(D231="","",IFERROR(VLOOKUP(D231,Lists!$A$2:$D$9,4,FALSE),"?"))</f>
        <v/>
      </c>
      <c r="S231">
        <f>IF(P231="Debtor",I231,IF(P231="Creditor",J231,0))</f>
        <v/>
      </c>
      <c r="T231">
        <f>IF(P231="Debtor",J231,IF(P231="Creditor",I231,0))</f>
        <v/>
      </c>
      <c r="U231">
        <f>IF(OR(S231=0,B231=""),0,IFERROR(VLOOKUP(C231,'Example Parties'!$B$13:$Q$112,13,FALSE),0)+SUMIFS($S$7:$S$506,$C$7:$C$506,C231,$B$7:$B$506,"&lt;"&amp;B231)+SUMIFS(S$7:S231,C$7:C231,C231,B$7:B231,B231))</f>
        <v/>
      </c>
      <c r="V231">
        <f>IF(S231=0,0,IFERROR(VLOOKUP(C231,'Example Parties'!$B$13:$Q$112,14,FALSE),0)+SUMIFS($T$7:$T$506,$C$7:$C$506,C231,$B$7:$B$506,"&lt;="&amp;'Example Outstanding'!$E$5))</f>
        <v/>
      </c>
      <c r="W231">
        <f>IF(OR('Example Outstanding'!$E$5="",S231=0,B231="",B231&gt;'Example Outstanding'!$E$5),0,MAX(0,MIN(S231,U231-V231)))</f>
        <v/>
      </c>
      <c r="X231">
        <f>IF(C231="",0,IFERROR(VLOOKUP(C231,'Example Parties'!$B$13:$Q$112,15,FALSE),0))</f>
        <v/>
      </c>
      <c r="Y231">
        <f>IF(C231="","",IFERROR(VLOOKUP(C231,'Example Parties'!$B$13:$Q$112,16,FALSE),0))</f>
        <v/>
      </c>
      <c r="Z231">
        <f>IF(OR(S231=0,B231="",Y231=""),"",IF(AND(F231&lt;&gt;"",D231="Purchase bill"),F231,B231)+Y231)</f>
        <v/>
      </c>
      <c r="AA231">
        <f>IF(OR(W231=0,Z231=""),0,MAX(0,'Example Outstanding'!$E$5-Z231))</f>
        <v/>
      </c>
      <c r="AB231">
        <f>IF(AND(X231=1,AA231&gt;0),W231*((1+3*N('Example Parties'!$E$10)/12)^(AA231*12/365)-1),0)</f>
        <v/>
      </c>
      <c r="AC231">
        <f>IF(W231=0,"",'Example Outstanding'!$E$5-B231)</f>
        <v/>
      </c>
      <c r="AD231">
        <f>IF(S231=0,0,IFERROR(VLOOKUP(C231,'Example Parties'!$B$13:$Q$112,14,FALSE),0)+SUMIFS($T$7:$T$506,$C$7:$C$506,C231,$B$7:$B$506,"&lt;="&amp;'Example Parties'!$E$8))</f>
        <v/>
      </c>
      <c r="AE231">
        <f>IF(OR('Example Parties'!$E$8="",S231=0,B231="",B231&gt;'Example Parties'!$E$8),0,MAX(0,MIN(S231,U231-AD231)))</f>
        <v/>
      </c>
      <c r="AF231">
        <f>IF(AND(P231="Creditor",X231=1,AE231&gt;0,Z231&lt;&gt;""),IF(Z231&lt;='Example Parties'!$E$8,AE231,0),0)</f>
        <v/>
      </c>
      <c r="AG231">
        <f>IF(OR(AE231=0,Z231=""),0,MAX(0,'Example Parties'!$E$8-Z231))</f>
        <v/>
      </c>
      <c r="AH231">
        <f>IF(AND(P231="Creditor",X231=1,AG231&gt;0),AE231*((1+3*N('Example Parties'!$E$10)/12)^(AG231*12/365)-1),0)</f>
        <v/>
      </c>
      <c r="AI231">
        <f>IF(AND(C231&lt;&gt;"",C231='Example Ledger'!$D$4,B231&lt;&gt;"",B231&gt;='Example Ledger'!$D$5,B231&lt;='Example Ledger'!$D$6),1,0)</f>
        <v/>
      </c>
      <c r="AJ231">
        <f>IF(AI231=1,SUM(AI$7:AI231),"")</f>
        <v/>
      </c>
      <c r="AK231">
        <f>IF(OR(N231="",N231="OK"),0,1)</f>
        <v/>
      </c>
    </row>
    <row r="232">
      <c r="B232" s="24" t="n"/>
      <c r="C232" s="14" t="n"/>
      <c r="D232" s="14" t="n"/>
      <c r="E232" s="20" t="n"/>
      <c r="F232" s="24" t="n"/>
      <c r="G232" s="14" t="n"/>
      <c r="H232" s="22" t="n"/>
      <c r="I232" s="25">
        <f>IF(Q232="D",N(H232),0)</f>
        <v/>
      </c>
      <c r="J232" s="25">
        <f>IF(Q232="C",N(H232),0)</f>
        <v/>
      </c>
      <c r="K232" s="26">
        <f>IF(Z232="","",Z232)</f>
        <v/>
      </c>
      <c r="L232" s="27">
        <f>W232</f>
        <v/>
      </c>
      <c r="M232" s="28">
        <f>AA232</f>
        <v/>
      </c>
      <c r="N232" s="23">
        <f>IF(AND(B232="",C232="",D232="",N(H232)=0),"",IF(B232="","Enter the date",IF(C232="","Pick the party",IF(P232="?","Add this party on the Parties sheet first",IF(D232="","Pick the entry type",IF(Q232="?","Pick the entry type from the list",IF(N(H232)=0,"Enter the amount",IF(AND(R232&lt;&gt;"Any",R232&lt;&gt;P232),"Sales, receipts and credit notes are for debtors; purchases, payments and debit notes for creditors",IF(AND(F232&lt;&gt;"",D232&lt;&gt;"Purchase bill"),"The received-on date is only for purchase bills",IF(AND(P232="Creditor",X232=1,AA232&gt;0),"Past due to a micro or small supplier: interest runs under MSMED s.16, and if unpaid at year end it is not deductible that year, s.37(2)(g)",IF(AND(P232="Debtor",X232=1,AA232&gt;0),"Past due to you: as a micro or small supplier you can claim interest under MSMED s.16","OK")))))))))))</f>
        <v/>
      </c>
      <c r="P232">
        <f>IF(C232="","",IFERROR(VLOOKUP(C232,'Example Parties'!$B$13:$Q$112,2,FALSE),"?"))</f>
        <v/>
      </c>
      <c r="Q232">
        <f>IF(D232="","",IFERROR(VLOOKUP(D232,Lists!$A$2:$D$9,3,FALSE),"?"))</f>
        <v/>
      </c>
      <c r="R232">
        <f>IF(D232="","",IFERROR(VLOOKUP(D232,Lists!$A$2:$D$9,4,FALSE),"?"))</f>
        <v/>
      </c>
      <c r="S232">
        <f>IF(P232="Debtor",I232,IF(P232="Creditor",J232,0))</f>
        <v/>
      </c>
      <c r="T232">
        <f>IF(P232="Debtor",J232,IF(P232="Creditor",I232,0))</f>
        <v/>
      </c>
      <c r="U232">
        <f>IF(OR(S232=0,B232=""),0,IFERROR(VLOOKUP(C232,'Example Parties'!$B$13:$Q$112,13,FALSE),0)+SUMIFS($S$7:$S$506,$C$7:$C$506,C232,$B$7:$B$506,"&lt;"&amp;B232)+SUMIFS(S$7:S232,C$7:C232,C232,B$7:B232,B232))</f>
        <v/>
      </c>
      <c r="V232">
        <f>IF(S232=0,0,IFERROR(VLOOKUP(C232,'Example Parties'!$B$13:$Q$112,14,FALSE),0)+SUMIFS($T$7:$T$506,$C$7:$C$506,C232,$B$7:$B$506,"&lt;="&amp;'Example Outstanding'!$E$5))</f>
        <v/>
      </c>
      <c r="W232">
        <f>IF(OR('Example Outstanding'!$E$5="",S232=0,B232="",B232&gt;'Example Outstanding'!$E$5),0,MAX(0,MIN(S232,U232-V232)))</f>
        <v/>
      </c>
      <c r="X232">
        <f>IF(C232="",0,IFERROR(VLOOKUP(C232,'Example Parties'!$B$13:$Q$112,15,FALSE),0))</f>
        <v/>
      </c>
      <c r="Y232">
        <f>IF(C232="","",IFERROR(VLOOKUP(C232,'Example Parties'!$B$13:$Q$112,16,FALSE),0))</f>
        <v/>
      </c>
      <c r="Z232">
        <f>IF(OR(S232=0,B232="",Y232=""),"",IF(AND(F232&lt;&gt;"",D232="Purchase bill"),F232,B232)+Y232)</f>
        <v/>
      </c>
      <c r="AA232">
        <f>IF(OR(W232=0,Z232=""),0,MAX(0,'Example Outstanding'!$E$5-Z232))</f>
        <v/>
      </c>
      <c r="AB232">
        <f>IF(AND(X232=1,AA232&gt;0),W232*((1+3*N('Example Parties'!$E$10)/12)^(AA232*12/365)-1),0)</f>
        <v/>
      </c>
      <c r="AC232">
        <f>IF(W232=0,"",'Example Outstanding'!$E$5-B232)</f>
        <v/>
      </c>
      <c r="AD232">
        <f>IF(S232=0,0,IFERROR(VLOOKUP(C232,'Example Parties'!$B$13:$Q$112,14,FALSE),0)+SUMIFS($T$7:$T$506,$C$7:$C$506,C232,$B$7:$B$506,"&lt;="&amp;'Example Parties'!$E$8))</f>
        <v/>
      </c>
      <c r="AE232">
        <f>IF(OR('Example Parties'!$E$8="",S232=0,B232="",B232&gt;'Example Parties'!$E$8),0,MAX(0,MIN(S232,U232-AD232)))</f>
        <v/>
      </c>
      <c r="AF232">
        <f>IF(AND(P232="Creditor",X232=1,AE232&gt;0,Z232&lt;&gt;""),IF(Z232&lt;='Example Parties'!$E$8,AE232,0),0)</f>
        <v/>
      </c>
      <c r="AG232">
        <f>IF(OR(AE232=0,Z232=""),0,MAX(0,'Example Parties'!$E$8-Z232))</f>
        <v/>
      </c>
      <c r="AH232">
        <f>IF(AND(P232="Creditor",X232=1,AG232&gt;0),AE232*((1+3*N('Example Parties'!$E$10)/12)^(AG232*12/365)-1),0)</f>
        <v/>
      </c>
      <c r="AI232">
        <f>IF(AND(C232&lt;&gt;"",C232='Example Ledger'!$D$4,B232&lt;&gt;"",B232&gt;='Example Ledger'!$D$5,B232&lt;='Example Ledger'!$D$6),1,0)</f>
        <v/>
      </c>
      <c r="AJ232">
        <f>IF(AI232=1,SUM(AI$7:AI232),"")</f>
        <v/>
      </c>
      <c r="AK232">
        <f>IF(OR(N232="",N232="OK"),0,1)</f>
        <v/>
      </c>
    </row>
    <row r="233">
      <c r="B233" s="24" t="n"/>
      <c r="C233" s="14" t="n"/>
      <c r="D233" s="14" t="n"/>
      <c r="E233" s="20" t="n"/>
      <c r="F233" s="24" t="n"/>
      <c r="G233" s="14" t="n"/>
      <c r="H233" s="22" t="n"/>
      <c r="I233" s="25">
        <f>IF(Q233="D",N(H233),0)</f>
        <v/>
      </c>
      <c r="J233" s="25">
        <f>IF(Q233="C",N(H233),0)</f>
        <v/>
      </c>
      <c r="K233" s="26">
        <f>IF(Z233="","",Z233)</f>
        <v/>
      </c>
      <c r="L233" s="27">
        <f>W233</f>
        <v/>
      </c>
      <c r="M233" s="28">
        <f>AA233</f>
        <v/>
      </c>
      <c r="N233" s="23">
        <f>IF(AND(B233="",C233="",D233="",N(H233)=0),"",IF(B233="","Enter the date",IF(C233="","Pick the party",IF(P233="?","Add this party on the Parties sheet first",IF(D233="","Pick the entry type",IF(Q233="?","Pick the entry type from the list",IF(N(H233)=0,"Enter the amount",IF(AND(R233&lt;&gt;"Any",R233&lt;&gt;P233),"Sales, receipts and credit notes are for debtors; purchases, payments and debit notes for creditors",IF(AND(F233&lt;&gt;"",D233&lt;&gt;"Purchase bill"),"The received-on date is only for purchase bills",IF(AND(P233="Creditor",X233=1,AA233&gt;0),"Past due to a micro or small supplier: interest runs under MSMED s.16, and if unpaid at year end it is not deductible that year, s.37(2)(g)",IF(AND(P233="Debtor",X233=1,AA233&gt;0),"Past due to you: as a micro or small supplier you can claim interest under MSMED s.16","OK")))))))))))</f>
        <v/>
      </c>
      <c r="P233">
        <f>IF(C233="","",IFERROR(VLOOKUP(C233,'Example Parties'!$B$13:$Q$112,2,FALSE),"?"))</f>
        <v/>
      </c>
      <c r="Q233">
        <f>IF(D233="","",IFERROR(VLOOKUP(D233,Lists!$A$2:$D$9,3,FALSE),"?"))</f>
        <v/>
      </c>
      <c r="R233">
        <f>IF(D233="","",IFERROR(VLOOKUP(D233,Lists!$A$2:$D$9,4,FALSE),"?"))</f>
        <v/>
      </c>
      <c r="S233">
        <f>IF(P233="Debtor",I233,IF(P233="Creditor",J233,0))</f>
        <v/>
      </c>
      <c r="T233">
        <f>IF(P233="Debtor",J233,IF(P233="Creditor",I233,0))</f>
        <v/>
      </c>
      <c r="U233">
        <f>IF(OR(S233=0,B233=""),0,IFERROR(VLOOKUP(C233,'Example Parties'!$B$13:$Q$112,13,FALSE),0)+SUMIFS($S$7:$S$506,$C$7:$C$506,C233,$B$7:$B$506,"&lt;"&amp;B233)+SUMIFS(S$7:S233,C$7:C233,C233,B$7:B233,B233))</f>
        <v/>
      </c>
      <c r="V233">
        <f>IF(S233=0,0,IFERROR(VLOOKUP(C233,'Example Parties'!$B$13:$Q$112,14,FALSE),0)+SUMIFS($T$7:$T$506,$C$7:$C$506,C233,$B$7:$B$506,"&lt;="&amp;'Example Outstanding'!$E$5))</f>
        <v/>
      </c>
      <c r="W233">
        <f>IF(OR('Example Outstanding'!$E$5="",S233=0,B233="",B233&gt;'Example Outstanding'!$E$5),0,MAX(0,MIN(S233,U233-V233)))</f>
        <v/>
      </c>
      <c r="X233">
        <f>IF(C233="",0,IFERROR(VLOOKUP(C233,'Example Parties'!$B$13:$Q$112,15,FALSE),0))</f>
        <v/>
      </c>
      <c r="Y233">
        <f>IF(C233="","",IFERROR(VLOOKUP(C233,'Example Parties'!$B$13:$Q$112,16,FALSE),0))</f>
        <v/>
      </c>
      <c r="Z233">
        <f>IF(OR(S233=0,B233="",Y233=""),"",IF(AND(F233&lt;&gt;"",D233="Purchase bill"),F233,B233)+Y233)</f>
        <v/>
      </c>
      <c r="AA233">
        <f>IF(OR(W233=0,Z233=""),0,MAX(0,'Example Outstanding'!$E$5-Z233))</f>
        <v/>
      </c>
      <c r="AB233">
        <f>IF(AND(X233=1,AA233&gt;0),W233*((1+3*N('Example Parties'!$E$10)/12)^(AA233*12/365)-1),0)</f>
        <v/>
      </c>
      <c r="AC233">
        <f>IF(W233=0,"",'Example Outstanding'!$E$5-B233)</f>
        <v/>
      </c>
      <c r="AD233">
        <f>IF(S233=0,0,IFERROR(VLOOKUP(C233,'Example Parties'!$B$13:$Q$112,14,FALSE),0)+SUMIFS($T$7:$T$506,$C$7:$C$506,C233,$B$7:$B$506,"&lt;="&amp;'Example Parties'!$E$8))</f>
        <v/>
      </c>
      <c r="AE233">
        <f>IF(OR('Example Parties'!$E$8="",S233=0,B233="",B233&gt;'Example Parties'!$E$8),0,MAX(0,MIN(S233,U233-AD233)))</f>
        <v/>
      </c>
      <c r="AF233">
        <f>IF(AND(P233="Creditor",X233=1,AE233&gt;0,Z233&lt;&gt;""),IF(Z233&lt;='Example Parties'!$E$8,AE233,0),0)</f>
        <v/>
      </c>
      <c r="AG233">
        <f>IF(OR(AE233=0,Z233=""),0,MAX(0,'Example Parties'!$E$8-Z233))</f>
        <v/>
      </c>
      <c r="AH233">
        <f>IF(AND(P233="Creditor",X233=1,AG233&gt;0),AE233*((1+3*N('Example Parties'!$E$10)/12)^(AG233*12/365)-1),0)</f>
        <v/>
      </c>
      <c r="AI233">
        <f>IF(AND(C233&lt;&gt;"",C233='Example Ledger'!$D$4,B233&lt;&gt;"",B233&gt;='Example Ledger'!$D$5,B233&lt;='Example Ledger'!$D$6),1,0)</f>
        <v/>
      </c>
      <c r="AJ233">
        <f>IF(AI233=1,SUM(AI$7:AI233),"")</f>
        <v/>
      </c>
      <c r="AK233">
        <f>IF(OR(N233="",N233="OK"),0,1)</f>
        <v/>
      </c>
    </row>
    <row r="234">
      <c r="B234" s="24" t="n"/>
      <c r="C234" s="14" t="n"/>
      <c r="D234" s="14" t="n"/>
      <c r="E234" s="20" t="n"/>
      <c r="F234" s="24" t="n"/>
      <c r="G234" s="14" t="n"/>
      <c r="H234" s="22" t="n"/>
      <c r="I234" s="25">
        <f>IF(Q234="D",N(H234),0)</f>
        <v/>
      </c>
      <c r="J234" s="25">
        <f>IF(Q234="C",N(H234),0)</f>
        <v/>
      </c>
      <c r="K234" s="26">
        <f>IF(Z234="","",Z234)</f>
        <v/>
      </c>
      <c r="L234" s="27">
        <f>W234</f>
        <v/>
      </c>
      <c r="M234" s="28">
        <f>AA234</f>
        <v/>
      </c>
      <c r="N234" s="23">
        <f>IF(AND(B234="",C234="",D234="",N(H234)=0),"",IF(B234="","Enter the date",IF(C234="","Pick the party",IF(P234="?","Add this party on the Parties sheet first",IF(D234="","Pick the entry type",IF(Q234="?","Pick the entry type from the list",IF(N(H234)=0,"Enter the amount",IF(AND(R234&lt;&gt;"Any",R234&lt;&gt;P234),"Sales, receipts and credit notes are for debtors; purchases, payments and debit notes for creditors",IF(AND(F234&lt;&gt;"",D234&lt;&gt;"Purchase bill"),"The received-on date is only for purchase bills",IF(AND(P234="Creditor",X234=1,AA234&gt;0),"Past due to a micro or small supplier: interest runs under MSMED s.16, and if unpaid at year end it is not deductible that year, s.37(2)(g)",IF(AND(P234="Debtor",X234=1,AA234&gt;0),"Past due to you: as a micro or small supplier you can claim interest under MSMED s.16","OK")))))))))))</f>
        <v/>
      </c>
      <c r="P234">
        <f>IF(C234="","",IFERROR(VLOOKUP(C234,'Example Parties'!$B$13:$Q$112,2,FALSE),"?"))</f>
        <v/>
      </c>
      <c r="Q234">
        <f>IF(D234="","",IFERROR(VLOOKUP(D234,Lists!$A$2:$D$9,3,FALSE),"?"))</f>
        <v/>
      </c>
      <c r="R234">
        <f>IF(D234="","",IFERROR(VLOOKUP(D234,Lists!$A$2:$D$9,4,FALSE),"?"))</f>
        <v/>
      </c>
      <c r="S234">
        <f>IF(P234="Debtor",I234,IF(P234="Creditor",J234,0))</f>
        <v/>
      </c>
      <c r="T234">
        <f>IF(P234="Debtor",J234,IF(P234="Creditor",I234,0))</f>
        <v/>
      </c>
      <c r="U234">
        <f>IF(OR(S234=0,B234=""),0,IFERROR(VLOOKUP(C234,'Example Parties'!$B$13:$Q$112,13,FALSE),0)+SUMIFS($S$7:$S$506,$C$7:$C$506,C234,$B$7:$B$506,"&lt;"&amp;B234)+SUMIFS(S$7:S234,C$7:C234,C234,B$7:B234,B234))</f>
        <v/>
      </c>
      <c r="V234">
        <f>IF(S234=0,0,IFERROR(VLOOKUP(C234,'Example Parties'!$B$13:$Q$112,14,FALSE),0)+SUMIFS($T$7:$T$506,$C$7:$C$506,C234,$B$7:$B$506,"&lt;="&amp;'Example Outstanding'!$E$5))</f>
        <v/>
      </c>
      <c r="W234">
        <f>IF(OR('Example Outstanding'!$E$5="",S234=0,B234="",B234&gt;'Example Outstanding'!$E$5),0,MAX(0,MIN(S234,U234-V234)))</f>
        <v/>
      </c>
      <c r="X234">
        <f>IF(C234="",0,IFERROR(VLOOKUP(C234,'Example Parties'!$B$13:$Q$112,15,FALSE),0))</f>
        <v/>
      </c>
      <c r="Y234">
        <f>IF(C234="","",IFERROR(VLOOKUP(C234,'Example Parties'!$B$13:$Q$112,16,FALSE),0))</f>
        <v/>
      </c>
      <c r="Z234">
        <f>IF(OR(S234=0,B234="",Y234=""),"",IF(AND(F234&lt;&gt;"",D234="Purchase bill"),F234,B234)+Y234)</f>
        <v/>
      </c>
      <c r="AA234">
        <f>IF(OR(W234=0,Z234=""),0,MAX(0,'Example Outstanding'!$E$5-Z234))</f>
        <v/>
      </c>
      <c r="AB234">
        <f>IF(AND(X234=1,AA234&gt;0),W234*((1+3*N('Example Parties'!$E$10)/12)^(AA234*12/365)-1),0)</f>
        <v/>
      </c>
      <c r="AC234">
        <f>IF(W234=0,"",'Example Outstanding'!$E$5-B234)</f>
        <v/>
      </c>
      <c r="AD234">
        <f>IF(S234=0,0,IFERROR(VLOOKUP(C234,'Example Parties'!$B$13:$Q$112,14,FALSE),0)+SUMIFS($T$7:$T$506,$C$7:$C$506,C234,$B$7:$B$506,"&lt;="&amp;'Example Parties'!$E$8))</f>
        <v/>
      </c>
      <c r="AE234">
        <f>IF(OR('Example Parties'!$E$8="",S234=0,B234="",B234&gt;'Example Parties'!$E$8),0,MAX(0,MIN(S234,U234-AD234)))</f>
        <v/>
      </c>
      <c r="AF234">
        <f>IF(AND(P234="Creditor",X234=1,AE234&gt;0,Z234&lt;&gt;""),IF(Z234&lt;='Example Parties'!$E$8,AE234,0),0)</f>
        <v/>
      </c>
      <c r="AG234">
        <f>IF(OR(AE234=0,Z234=""),0,MAX(0,'Example Parties'!$E$8-Z234))</f>
        <v/>
      </c>
      <c r="AH234">
        <f>IF(AND(P234="Creditor",X234=1,AG234&gt;0),AE234*((1+3*N('Example Parties'!$E$10)/12)^(AG234*12/365)-1),0)</f>
        <v/>
      </c>
      <c r="AI234">
        <f>IF(AND(C234&lt;&gt;"",C234='Example Ledger'!$D$4,B234&lt;&gt;"",B234&gt;='Example Ledger'!$D$5,B234&lt;='Example Ledger'!$D$6),1,0)</f>
        <v/>
      </c>
      <c r="AJ234">
        <f>IF(AI234=1,SUM(AI$7:AI234),"")</f>
        <v/>
      </c>
      <c r="AK234">
        <f>IF(OR(N234="",N234="OK"),0,1)</f>
        <v/>
      </c>
    </row>
    <row r="235">
      <c r="B235" s="24" t="n"/>
      <c r="C235" s="14" t="n"/>
      <c r="D235" s="14" t="n"/>
      <c r="E235" s="20" t="n"/>
      <c r="F235" s="24" t="n"/>
      <c r="G235" s="14" t="n"/>
      <c r="H235" s="22" t="n"/>
      <c r="I235" s="25">
        <f>IF(Q235="D",N(H235),0)</f>
        <v/>
      </c>
      <c r="J235" s="25">
        <f>IF(Q235="C",N(H235),0)</f>
        <v/>
      </c>
      <c r="K235" s="26">
        <f>IF(Z235="","",Z235)</f>
        <v/>
      </c>
      <c r="L235" s="27">
        <f>W235</f>
        <v/>
      </c>
      <c r="M235" s="28">
        <f>AA235</f>
        <v/>
      </c>
      <c r="N235" s="23">
        <f>IF(AND(B235="",C235="",D235="",N(H235)=0),"",IF(B235="","Enter the date",IF(C235="","Pick the party",IF(P235="?","Add this party on the Parties sheet first",IF(D235="","Pick the entry type",IF(Q235="?","Pick the entry type from the list",IF(N(H235)=0,"Enter the amount",IF(AND(R235&lt;&gt;"Any",R235&lt;&gt;P235),"Sales, receipts and credit notes are for debtors; purchases, payments and debit notes for creditors",IF(AND(F235&lt;&gt;"",D235&lt;&gt;"Purchase bill"),"The received-on date is only for purchase bills",IF(AND(P235="Creditor",X235=1,AA235&gt;0),"Past due to a micro or small supplier: interest runs under MSMED s.16, and if unpaid at year end it is not deductible that year, s.37(2)(g)",IF(AND(P235="Debtor",X235=1,AA235&gt;0),"Past due to you: as a micro or small supplier you can claim interest under MSMED s.16","OK")))))))))))</f>
        <v/>
      </c>
      <c r="P235">
        <f>IF(C235="","",IFERROR(VLOOKUP(C235,'Example Parties'!$B$13:$Q$112,2,FALSE),"?"))</f>
        <v/>
      </c>
      <c r="Q235">
        <f>IF(D235="","",IFERROR(VLOOKUP(D235,Lists!$A$2:$D$9,3,FALSE),"?"))</f>
        <v/>
      </c>
      <c r="R235">
        <f>IF(D235="","",IFERROR(VLOOKUP(D235,Lists!$A$2:$D$9,4,FALSE),"?"))</f>
        <v/>
      </c>
      <c r="S235">
        <f>IF(P235="Debtor",I235,IF(P235="Creditor",J235,0))</f>
        <v/>
      </c>
      <c r="T235">
        <f>IF(P235="Debtor",J235,IF(P235="Creditor",I235,0))</f>
        <v/>
      </c>
      <c r="U235">
        <f>IF(OR(S235=0,B235=""),0,IFERROR(VLOOKUP(C235,'Example Parties'!$B$13:$Q$112,13,FALSE),0)+SUMIFS($S$7:$S$506,$C$7:$C$506,C235,$B$7:$B$506,"&lt;"&amp;B235)+SUMIFS(S$7:S235,C$7:C235,C235,B$7:B235,B235))</f>
        <v/>
      </c>
      <c r="V235">
        <f>IF(S235=0,0,IFERROR(VLOOKUP(C235,'Example Parties'!$B$13:$Q$112,14,FALSE),0)+SUMIFS($T$7:$T$506,$C$7:$C$506,C235,$B$7:$B$506,"&lt;="&amp;'Example Outstanding'!$E$5))</f>
        <v/>
      </c>
      <c r="W235">
        <f>IF(OR('Example Outstanding'!$E$5="",S235=0,B235="",B235&gt;'Example Outstanding'!$E$5),0,MAX(0,MIN(S235,U235-V235)))</f>
        <v/>
      </c>
      <c r="X235">
        <f>IF(C235="",0,IFERROR(VLOOKUP(C235,'Example Parties'!$B$13:$Q$112,15,FALSE),0))</f>
        <v/>
      </c>
      <c r="Y235">
        <f>IF(C235="","",IFERROR(VLOOKUP(C235,'Example Parties'!$B$13:$Q$112,16,FALSE),0))</f>
        <v/>
      </c>
      <c r="Z235">
        <f>IF(OR(S235=0,B235="",Y235=""),"",IF(AND(F235&lt;&gt;"",D235="Purchase bill"),F235,B235)+Y235)</f>
        <v/>
      </c>
      <c r="AA235">
        <f>IF(OR(W235=0,Z235=""),0,MAX(0,'Example Outstanding'!$E$5-Z235))</f>
        <v/>
      </c>
      <c r="AB235">
        <f>IF(AND(X235=1,AA235&gt;0),W235*((1+3*N('Example Parties'!$E$10)/12)^(AA235*12/365)-1),0)</f>
        <v/>
      </c>
      <c r="AC235">
        <f>IF(W235=0,"",'Example Outstanding'!$E$5-B235)</f>
        <v/>
      </c>
      <c r="AD235">
        <f>IF(S235=0,0,IFERROR(VLOOKUP(C235,'Example Parties'!$B$13:$Q$112,14,FALSE),0)+SUMIFS($T$7:$T$506,$C$7:$C$506,C235,$B$7:$B$506,"&lt;="&amp;'Example Parties'!$E$8))</f>
        <v/>
      </c>
      <c r="AE235">
        <f>IF(OR('Example Parties'!$E$8="",S235=0,B235="",B235&gt;'Example Parties'!$E$8),0,MAX(0,MIN(S235,U235-AD235)))</f>
        <v/>
      </c>
      <c r="AF235">
        <f>IF(AND(P235="Creditor",X235=1,AE235&gt;0,Z235&lt;&gt;""),IF(Z235&lt;='Example Parties'!$E$8,AE235,0),0)</f>
        <v/>
      </c>
      <c r="AG235">
        <f>IF(OR(AE235=0,Z235=""),0,MAX(0,'Example Parties'!$E$8-Z235))</f>
        <v/>
      </c>
      <c r="AH235">
        <f>IF(AND(P235="Creditor",X235=1,AG235&gt;0),AE235*((1+3*N('Example Parties'!$E$10)/12)^(AG235*12/365)-1),0)</f>
        <v/>
      </c>
      <c r="AI235">
        <f>IF(AND(C235&lt;&gt;"",C235='Example Ledger'!$D$4,B235&lt;&gt;"",B235&gt;='Example Ledger'!$D$5,B235&lt;='Example Ledger'!$D$6),1,0)</f>
        <v/>
      </c>
      <c r="AJ235">
        <f>IF(AI235=1,SUM(AI$7:AI235),"")</f>
        <v/>
      </c>
      <c r="AK235">
        <f>IF(OR(N235="",N235="OK"),0,1)</f>
        <v/>
      </c>
    </row>
    <row r="236">
      <c r="B236" s="24" t="n"/>
      <c r="C236" s="14" t="n"/>
      <c r="D236" s="14" t="n"/>
      <c r="E236" s="20" t="n"/>
      <c r="F236" s="24" t="n"/>
      <c r="G236" s="14" t="n"/>
      <c r="H236" s="22" t="n"/>
      <c r="I236" s="25">
        <f>IF(Q236="D",N(H236),0)</f>
        <v/>
      </c>
      <c r="J236" s="25">
        <f>IF(Q236="C",N(H236),0)</f>
        <v/>
      </c>
      <c r="K236" s="26">
        <f>IF(Z236="","",Z236)</f>
        <v/>
      </c>
      <c r="L236" s="27">
        <f>W236</f>
        <v/>
      </c>
      <c r="M236" s="28">
        <f>AA236</f>
        <v/>
      </c>
      <c r="N236" s="23">
        <f>IF(AND(B236="",C236="",D236="",N(H236)=0),"",IF(B236="","Enter the date",IF(C236="","Pick the party",IF(P236="?","Add this party on the Parties sheet first",IF(D236="","Pick the entry type",IF(Q236="?","Pick the entry type from the list",IF(N(H236)=0,"Enter the amount",IF(AND(R236&lt;&gt;"Any",R236&lt;&gt;P236),"Sales, receipts and credit notes are for debtors; purchases, payments and debit notes for creditors",IF(AND(F236&lt;&gt;"",D236&lt;&gt;"Purchase bill"),"The received-on date is only for purchase bills",IF(AND(P236="Creditor",X236=1,AA236&gt;0),"Past due to a micro or small supplier: interest runs under MSMED s.16, and if unpaid at year end it is not deductible that year, s.37(2)(g)",IF(AND(P236="Debtor",X236=1,AA236&gt;0),"Past due to you: as a micro or small supplier you can claim interest under MSMED s.16","OK")))))))))))</f>
        <v/>
      </c>
      <c r="P236">
        <f>IF(C236="","",IFERROR(VLOOKUP(C236,'Example Parties'!$B$13:$Q$112,2,FALSE),"?"))</f>
        <v/>
      </c>
      <c r="Q236">
        <f>IF(D236="","",IFERROR(VLOOKUP(D236,Lists!$A$2:$D$9,3,FALSE),"?"))</f>
        <v/>
      </c>
      <c r="R236">
        <f>IF(D236="","",IFERROR(VLOOKUP(D236,Lists!$A$2:$D$9,4,FALSE),"?"))</f>
        <v/>
      </c>
      <c r="S236">
        <f>IF(P236="Debtor",I236,IF(P236="Creditor",J236,0))</f>
        <v/>
      </c>
      <c r="T236">
        <f>IF(P236="Debtor",J236,IF(P236="Creditor",I236,0))</f>
        <v/>
      </c>
      <c r="U236">
        <f>IF(OR(S236=0,B236=""),0,IFERROR(VLOOKUP(C236,'Example Parties'!$B$13:$Q$112,13,FALSE),0)+SUMIFS($S$7:$S$506,$C$7:$C$506,C236,$B$7:$B$506,"&lt;"&amp;B236)+SUMIFS(S$7:S236,C$7:C236,C236,B$7:B236,B236))</f>
        <v/>
      </c>
      <c r="V236">
        <f>IF(S236=0,0,IFERROR(VLOOKUP(C236,'Example Parties'!$B$13:$Q$112,14,FALSE),0)+SUMIFS($T$7:$T$506,$C$7:$C$506,C236,$B$7:$B$506,"&lt;="&amp;'Example Outstanding'!$E$5))</f>
        <v/>
      </c>
      <c r="W236">
        <f>IF(OR('Example Outstanding'!$E$5="",S236=0,B236="",B236&gt;'Example Outstanding'!$E$5),0,MAX(0,MIN(S236,U236-V236)))</f>
        <v/>
      </c>
      <c r="X236">
        <f>IF(C236="",0,IFERROR(VLOOKUP(C236,'Example Parties'!$B$13:$Q$112,15,FALSE),0))</f>
        <v/>
      </c>
      <c r="Y236">
        <f>IF(C236="","",IFERROR(VLOOKUP(C236,'Example Parties'!$B$13:$Q$112,16,FALSE),0))</f>
        <v/>
      </c>
      <c r="Z236">
        <f>IF(OR(S236=0,B236="",Y236=""),"",IF(AND(F236&lt;&gt;"",D236="Purchase bill"),F236,B236)+Y236)</f>
        <v/>
      </c>
      <c r="AA236">
        <f>IF(OR(W236=0,Z236=""),0,MAX(0,'Example Outstanding'!$E$5-Z236))</f>
        <v/>
      </c>
      <c r="AB236">
        <f>IF(AND(X236=1,AA236&gt;0),W236*((1+3*N('Example Parties'!$E$10)/12)^(AA236*12/365)-1),0)</f>
        <v/>
      </c>
      <c r="AC236">
        <f>IF(W236=0,"",'Example Outstanding'!$E$5-B236)</f>
        <v/>
      </c>
      <c r="AD236">
        <f>IF(S236=0,0,IFERROR(VLOOKUP(C236,'Example Parties'!$B$13:$Q$112,14,FALSE),0)+SUMIFS($T$7:$T$506,$C$7:$C$506,C236,$B$7:$B$506,"&lt;="&amp;'Example Parties'!$E$8))</f>
        <v/>
      </c>
      <c r="AE236">
        <f>IF(OR('Example Parties'!$E$8="",S236=0,B236="",B236&gt;'Example Parties'!$E$8),0,MAX(0,MIN(S236,U236-AD236)))</f>
        <v/>
      </c>
      <c r="AF236">
        <f>IF(AND(P236="Creditor",X236=1,AE236&gt;0,Z236&lt;&gt;""),IF(Z236&lt;='Example Parties'!$E$8,AE236,0),0)</f>
        <v/>
      </c>
      <c r="AG236">
        <f>IF(OR(AE236=0,Z236=""),0,MAX(0,'Example Parties'!$E$8-Z236))</f>
        <v/>
      </c>
      <c r="AH236">
        <f>IF(AND(P236="Creditor",X236=1,AG236&gt;0),AE236*((1+3*N('Example Parties'!$E$10)/12)^(AG236*12/365)-1),0)</f>
        <v/>
      </c>
      <c r="AI236">
        <f>IF(AND(C236&lt;&gt;"",C236='Example Ledger'!$D$4,B236&lt;&gt;"",B236&gt;='Example Ledger'!$D$5,B236&lt;='Example Ledger'!$D$6),1,0)</f>
        <v/>
      </c>
      <c r="AJ236">
        <f>IF(AI236=1,SUM(AI$7:AI236),"")</f>
        <v/>
      </c>
      <c r="AK236">
        <f>IF(OR(N236="",N236="OK"),0,1)</f>
        <v/>
      </c>
    </row>
    <row r="237">
      <c r="B237" s="24" t="n"/>
      <c r="C237" s="14" t="n"/>
      <c r="D237" s="14" t="n"/>
      <c r="E237" s="20" t="n"/>
      <c r="F237" s="24" t="n"/>
      <c r="G237" s="14" t="n"/>
      <c r="H237" s="22" t="n"/>
      <c r="I237" s="25">
        <f>IF(Q237="D",N(H237),0)</f>
        <v/>
      </c>
      <c r="J237" s="25">
        <f>IF(Q237="C",N(H237),0)</f>
        <v/>
      </c>
      <c r="K237" s="26">
        <f>IF(Z237="","",Z237)</f>
        <v/>
      </c>
      <c r="L237" s="27">
        <f>W237</f>
        <v/>
      </c>
      <c r="M237" s="28">
        <f>AA237</f>
        <v/>
      </c>
      <c r="N237" s="23">
        <f>IF(AND(B237="",C237="",D237="",N(H237)=0),"",IF(B237="","Enter the date",IF(C237="","Pick the party",IF(P237="?","Add this party on the Parties sheet first",IF(D237="","Pick the entry type",IF(Q237="?","Pick the entry type from the list",IF(N(H237)=0,"Enter the amount",IF(AND(R237&lt;&gt;"Any",R237&lt;&gt;P237),"Sales, receipts and credit notes are for debtors; purchases, payments and debit notes for creditors",IF(AND(F237&lt;&gt;"",D237&lt;&gt;"Purchase bill"),"The received-on date is only for purchase bills",IF(AND(P237="Creditor",X237=1,AA237&gt;0),"Past due to a micro or small supplier: interest runs under MSMED s.16, and if unpaid at year end it is not deductible that year, s.37(2)(g)",IF(AND(P237="Debtor",X237=1,AA237&gt;0),"Past due to you: as a micro or small supplier you can claim interest under MSMED s.16","OK")))))))))))</f>
        <v/>
      </c>
      <c r="P237">
        <f>IF(C237="","",IFERROR(VLOOKUP(C237,'Example Parties'!$B$13:$Q$112,2,FALSE),"?"))</f>
        <v/>
      </c>
      <c r="Q237">
        <f>IF(D237="","",IFERROR(VLOOKUP(D237,Lists!$A$2:$D$9,3,FALSE),"?"))</f>
        <v/>
      </c>
      <c r="R237">
        <f>IF(D237="","",IFERROR(VLOOKUP(D237,Lists!$A$2:$D$9,4,FALSE),"?"))</f>
        <v/>
      </c>
      <c r="S237">
        <f>IF(P237="Debtor",I237,IF(P237="Creditor",J237,0))</f>
        <v/>
      </c>
      <c r="T237">
        <f>IF(P237="Debtor",J237,IF(P237="Creditor",I237,0))</f>
        <v/>
      </c>
      <c r="U237">
        <f>IF(OR(S237=0,B237=""),0,IFERROR(VLOOKUP(C237,'Example Parties'!$B$13:$Q$112,13,FALSE),0)+SUMIFS($S$7:$S$506,$C$7:$C$506,C237,$B$7:$B$506,"&lt;"&amp;B237)+SUMIFS(S$7:S237,C$7:C237,C237,B$7:B237,B237))</f>
        <v/>
      </c>
      <c r="V237">
        <f>IF(S237=0,0,IFERROR(VLOOKUP(C237,'Example Parties'!$B$13:$Q$112,14,FALSE),0)+SUMIFS($T$7:$T$506,$C$7:$C$506,C237,$B$7:$B$506,"&lt;="&amp;'Example Outstanding'!$E$5))</f>
        <v/>
      </c>
      <c r="W237">
        <f>IF(OR('Example Outstanding'!$E$5="",S237=0,B237="",B237&gt;'Example Outstanding'!$E$5),0,MAX(0,MIN(S237,U237-V237)))</f>
        <v/>
      </c>
      <c r="X237">
        <f>IF(C237="",0,IFERROR(VLOOKUP(C237,'Example Parties'!$B$13:$Q$112,15,FALSE),0))</f>
        <v/>
      </c>
      <c r="Y237">
        <f>IF(C237="","",IFERROR(VLOOKUP(C237,'Example Parties'!$B$13:$Q$112,16,FALSE),0))</f>
        <v/>
      </c>
      <c r="Z237">
        <f>IF(OR(S237=0,B237="",Y237=""),"",IF(AND(F237&lt;&gt;"",D237="Purchase bill"),F237,B237)+Y237)</f>
        <v/>
      </c>
      <c r="AA237">
        <f>IF(OR(W237=0,Z237=""),0,MAX(0,'Example Outstanding'!$E$5-Z237))</f>
        <v/>
      </c>
      <c r="AB237">
        <f>IF(AND(X237=1,AA237&gt;0),W237*((1+3*N('Example Parties'!$E$10)/12)^(AA237*12/365)-1),0)</f>
        <v/>
      </c>
      <c r="AC237">
        <f>IF(W237=0,"",'Example Outstanding'!$E$5-B237)</f>
        <v/>
      </c>
      <c r="AD237">
        <f>IF(S237=0,0,IFERROR(VLOOKUP(C237,'Example Parties'!$B$13:$Q$112,14,FALSE),0)+SUMIFS($T$7:$T$506,$C$7:$C$506,C237,$B$7:$B$506,"&lt;="&amp;'Example Parties'!$E$8))</f>
        <v/>
      </c>
      <c r="AE237">
        <f>IF(OR('Example Parties'!$E$8="",S237=0,B237="",B237&gt;'Example Parties'!$E$8),0,MAX(0,MIN(S237,U237-AD237)))</f>
        <v/>
      </c>
      <c r="AF237">
        <f>IF(AND(P237="Creditor",X237=1,AE237&gt;0,Z237&lt;&gt;""),IF(Z237&lt;='Example Parties'!$E$8,AE237,0),0)</f>
        <v/>
      </c>
      <c r="AG237">
        <f>IF(OR(AE237=0,Z237=""),0,MAX(0,'Example Parties'!$E$8-Z237))</f>
        <v/>
      </c>
      <c r="AH237">
        <f>IF(AND(P237="Creditor",X237=1,AG237&gt;0),AE237*((1+3*N('Example Parties'!$E$10)/12)^(AG237*12/365)-1),0)</f>
        <v/>
      </c>
      <c r="AI237">
        <f>IF(AND(C237&lt;&gt;"",C237='Example Ledger'!$D$4,B237&lt;&gt;"",B237&gt;='Example Ledger'!$D$5,B237&lt;='Example Ledger'!$D$6),1,0)</f>
        <v/>
      </c>
      <c r="AJ237">
        <f>IF(AI237=1,SUM(AI$7:AI237),"")</f>
        <v/>
      </c>
      <c r="AK237">
        <f>IF(OR(N237="",N237="OK"),0,1)</f>
        <v/>
      </c>
    </row>
    <row r="238">
      <c r="B238" s="24" t="n"/>
      <c r="C238" s="14" t="n"/>
      <c r="D238" s="14" t="n"/>
      <c r="E238" s="20" t="n"/>
      <c r="F238" s="24" t="n"/>
      <c r="G238" s="14" t="n"/>
      <c r="H238" s="22" t="n"/>
      <c r="I238" s="25">
        <f>IF(Q238="D",N(H238),0)</f>
        <v/>
      </c>
      <c r="J238" s="25">
        <f>IF(Q238="C",N(H238),0)</f>
        <v/>
      </c>
      <c r="K238" s="26">
        <f>IF(Z238="","",Z238)</f>
        <v/>
      </c>
      <c r="L238" s="27">
        <f>W238</f>
        <v/>
      </c>
      <c r="M238" s="28">
        <f>AA238</f>
        <v/>
      </c>
      <c r="N238" s="23">
        <f>IF(AND(B238="",C238="",D238="",N(H238)=0),"",IF(B238="","Enter the date",IF(C238="","Pick the party",IF(P238="?","Add this party on the Parties sheet first",IF(D238="","Pick the entry type",IF(Q238="?","Pick the entry type from the list",IF(N(H238)=0,"Enter the amount",IF(AND(R238&lt;&gt;"Any",R238&lt;&gt;P238),"Sales, receipts and credit notes are for debtors; purchases, payments and debit notes for creditors",IF(AND(F238&lt;&gt;"",D238&lt;&gt;"Purchase bill"),"The received-on date is only for purchase bills",IF(AND(P238="Creditor",X238=1,AA238&gt;0),"Past due to a micro or small supplier: interest runs under MSMED s.16, and if unpaid at year end it is not deductible that year, s.37(2)(g)",IF(AND(P238="Debtor",X238=1,AA238&gt;0),"Past due to you: as a micro or small supplier you can claim interest under MSMED s.16","OK")))))))))))</f>
        <v/>
      </c>
      <c r="P238">
        <f>IF(C238="","",IFERROR(VLOOKUP(C238,'Example Parties'!$B$13:$Q$112,2,FALSE),"?"))</f>
        <v/>
      </c>
      <c r="Q238">
        <f>IF(D238="","",IFERROR(VLOOKUP(D238,Lists!$A$2:$D$9,3,FALSE),"?"))</f>
        <v/>
      </c>
      <c r="R238">
        <f>IF(D238="","",IFERROR(VLOOKUP(D238,Lists!$A$2:$D$9,4,FALSE),"?"))</f>
        <v/>
      </c>
      <c r="S238">
        <f>IF(P238="Debtor",I238,IF(P238="Creditor",J238,0))</f>
        <v/>
      </c>
      <c r="T238">
        <f>IF(P238="Debtor",J238,IF(P238="Creditor",I238,0))</f>
        <v/>
      </c>
      <c r="U238">
        <f>IF(OR(S238=0,B238=""),0,IFERROR(VLOOKUP(C238,'Example Parties'!$B$13:$Q$112,13,FALSE),0)+SUMIFS($S$7:$S$506,$C$7:$C$506,C238,$B$7:$B$506,"&lt;"&amp;B238)+SUMIFS(S$7:S238,C$7:C238,C238,B$7:B238,B238))</f>
        <v/>
      </c>
      <c r="V238">
        <f>IF(S238=0,0,IFERROR(VLOOKUP(C238,'Example Parties'!$B$13:$Q$112,14,FALSE),0)+SUMIFS($T$7:$T$506,$C$7:$C$506,C238,$B$7:$B$506,"&lt;="&amp;'Example Outstanding'!$E$5))</f>
        <v/>
      </c>
      <c r="W238">
        <f>IF(OR('Example Outstanding'!$E$5="",S238=0,B238="",B238&gt;'Example Outstanding'!$E$5),0,MAX(0,MIN(S238,U238-V238)))</f>
        <v/>
      </c>
      <c r="X238">
        <f>IF(C238="",0,IFERROR(VLOOKUP(C238,'Example Parties'!$B$13:$Q$112,15,FALSE),0))</f>
        <v/>
      </c>
      <c r="Y238">
        <f>IF(C238="","",IFERROR(VLOOKUP(C238,'Example Parties'!$B$13:$Q$112,16,FALSE),0))</f>
        <v/>
      </c>
      <c r="Z238">
        <f>IF(OR(S238=0,B238="",Y238=""),"",IF(AND(F238&lt;&gt;"",D238="Purchase bill"),F238,B238)+Y238)</f>
        <v/>
      </c>
      <c r="AA238">
        <f>IF(OR(W238=0,Z238=""),0,MAX(0,'Example Outstanding'!$E$5-Z238))</f>
        <v/>
      </c>
      <c r="AB238">
        <f>IF(AND(X238=1,AA238&gt;0),W238*((1+3*N('Example Parties'!$E$10)/12)^(AA238*12/365)-1),0)</f>
        <v/>
      </c>
      <c r="AC238">
        <f>IF(W238=0,"",'Example Outstanding'!$E$5-B238)</f>
        <v/>
      </c>
      <c r="AD238">
        <f>IF(S238=0,0,IFERROR(VLOOKUP(C238,'Example Parties'!$B$13:$Q$112,14,FALSE),0)+SUMIFS($T$7:$T$506,$C$7:$C$506,C238,$B$7:$B$506,"&lt;="&amp;'Example Parties'!$E$8))</f>
        <v/>
      </c>
      <c r="AE238">
        <f>IF(OR('Example Parties'!$E$8="",S238=0,B238="",B238&gt;'Example Parties'!$E$8),0,MAX(0,MIN(S238,U238-AD238)))</f>
        <v/>
      </c>
      <c r="AF238">
        <f>IF(AND(P238="Creditor",X238=1,AE238&gt;0,Z238&lt;&gt;""),IF(Z238&lt;='Example Parties'!$E$8,AE238,0),0)</f>
        <v/>
      </c>
      <c r="AG238">
        <f>IF(OR(AE238=0,Z238=""),0,MAX(0,'Example Parties'!$E$8-Z238))</f>
        <v/>
      </c>
      <c r="AH238">
        <f>IF(AND(P238="Creditor",X238=1,AG238&gt;0),AE238*((1+3*N('Example Parties'!$E$10)/12)^(AG238*12/365)-1),0)</f>
        <v/>
      </c>
      <c r="AI238">
        <f>IF(AND(C238&lt;&gt;"",C238='Example Ledger'!$D$4,B238&lt;&gt;"",B238&gt;='Example Ledger'!$D$5,B238&lt;='Example Ledger'!$D$6),1,0)</f>
        <v/>
      </c>
      <c r="AJ238">
        <f>IF(AI238=1,SUM(AI$7:AI238),"")</f>
        <v/>
      </c>
      <c r="AK238">
        <f>IF(OR(N238="",N238="OK"),0,1)</f>
        <v/>
      </c>
    </row>
    <row r="239">
      <c r="B239" s="24" t="n"/>
      <c r="C239" s="14" t="n"/>
      <c r="D239" s="14" t="n"/>
      <c r="E239" s="20" t="n"/>
      <c r="F239" s="24" t="n"/>
      <c r="G239" s="14" t="n"/>
      <c r="H239" s="22" t="n"/>
      <c r="I239" s="25">
        <f>IF(Q239="D",N(H239),0)</f>
        <v/>
      </c>
      <c r="J239" s="25">
        <f>IF(Q239="C",N(H239),0)</f>
        <v/>
      </c>
      <c r="K239" s="26">
        <f>IF(Z239="","",Z239)</f>
        <v/>
      </c>
      <c r="L239" s="27">
        <f>W239</f>
        <v/>
      </c>
      <c r="M239" s="28">
        <f>AA239</f>
        <v/>
      </c>
      <c r="N239" s="23">
        <f>IF(AND(B239="",C239="",D239="",N(H239)=0),"",IF(B239="","Enter the date",IF(C239="","Pick the party",IF(P239="?","Add this party on the Parties sheet first",IF(D239="","Pick the entry type",IF(Q239="?","Pick the entry type from the list",IF(N(H239)=0,"Enter the amount",IF(AND(R239&lt;&gt;"Any",R239&lt;&gt;P239),"Sales, receipts and credit notes are for debtors; purchases, payments and debit notes for creditors",IF(AND(F239&lt;&gt;"",D239&lt;&gt;"Purchase bill"),"The received-on date is only for purchase bills",IF(AND(P239="Creditor",X239=1,AA239&gt;0),"Past due to a micro or small supplier: interest runs under MSMED s.16, and if unpaid at year end it is not deductible that year, s.37(2)(g)",IF(AND(P239="Debtor",X239=1,AA239&gt;0),"Past due to you: as a micro or small supplier you can claim interest under MSMED s.16","OK")))))))))))</f>
        <v/>
      </c>
      <c r="P239">
        <f>IF(C239="","",IFERROR(VLOOKUP(C239,'Example Parties'!$B$13:$Q$112,2,FALSE),"?"))</f>
        <v/>
      </c>
      <c r="Q239">
        <f>IF(D239="","",IFERROR(VLOOKUP(D239,Lists!$A$2:$D$9,3,FALSE),"?"))</f>
        <v/>
      </c>
      <c r="R239">
        <f>IF(D239="","",IFERROR(VLOOKUP(D239,Lists!$A$2:$D$9,4,FALSE),"?"))</f>
        <v/>
      </c>
      <c r="S239">
        <f>IF(P239="Debtor",I239,IF(P239="Creditor",J239,0))</f>
        <v/>
      </c>
      <c r="T239">
        <f>IF(P239="Debtor",J239,IF(P239="Creditor",I239,0))</f>
        <v/>
      </c>
      <c r="U239">
        <f>IF(OR(S239=0,B239=""),0,IFERROR(VLOOKUP(C239,'Example Parties'!$B$13:$Q$112,13,FALSE),0)+SUMIFS($S$7:$S$506,$C$7:$C$506,C239,$B$7:$B$506,"&lt;"&amp;B239)+SUMIFS(S$7:S239,C$7:C239,C239,B$7:B239,B239))</f>
        <v/>
      </c>
      <c r="V239">
        <f>IF(S239=0,0,IFERROR(VLOOKUP(C239,'Example Parties'!$B$13:$Q$112,14,FALSE),0)+SUMIFS($T$7:$T$506,$C$7:$C$506,C239,$B$7:$B$506,"&lt;="&amp;'Example Outstanding'!$E$5))</f>
        <v/>
      </c>
      <c r="W239">
        <f>IF(OR('Example Outstanding'!$E$5="",S239=0,B239="",B239&gt;'Example Outstanding'!$E$5),0,MAX(0,MIN(S239,U239-V239)))</f>
        <v/>
      </c>
      <c r="X239">
        <f>IF(C239="",0,IFERROR(VLOOKUP(C239,'Example Parties'!$B$13:$Q$112,15,FALSE),0))</f>
        <v/>
      </c>
      <c r="Y239">
        <f>IF(C239="","",IFERROR(VLOOKUP(C239,'Example Parties'!$B$13:$Q$112,16,FALSE),0))</f>
        <v/>
      </c>
      <c r="Z239">
        <f>IF(OR(S239=0,B239="",Y239=""),"",IF(AND(F239&lt;&gt;"",D239="Purchase bill"),F239,B239)+Y239)</f>
        <v/>
      </c>
      <c r="AA239">
        <f>IF(OR(W239=0,Z239=""),0,MAX(0,'Example Outstanding'!$E$5-Z239))</f>
        <v/>
      </c>
      <c r="AB239">
        <f>IF(AND(X239=1,AA239&gt;0),W239*((1+3*N('Example Parties'!$E$10)/12)^(AA239*12/365)-1),0)</f>
        <v/>
      </c>
      <c r="AC239">
        <f>IF(W239=0,"",'Example Outstanding'!$E$5-B239)</f>
        <v/>
      </c>
      <c r="AD239">
        <f>IF(S239=0,0,IFERROR(VLOOKUP(C239,'Example Parties'!$B$13:$Q$112,14,FALSE),0)+SUMIFS($T$7:$T$506,$C$7:$C$506,C239,$B$7:$B$506,"&lt;="&amp;'Example Parties'!$E$8))</f>
        <v/>
      </c>
      <c r="AE239">
        <f>IF(OR('Example Parties'!$E$8="",S239=0,B239="",B239&gt;'Example Parties'!$E$8),0,MAX(0,MIN(S239,U239-AD239)))</f>
        <v/>
      </c>
      <c r="AF239">
        <f>IF(AND(P239="Creditor",X239=1,AE239&gt;0,Z239&lt;&gt;""),IF(Z239&lt;='Example Parties'!$E$8,AE239,0),0)</f>
        <v/>
      </c>
      <c r="AG239">
        <f>IF(OR(AE239=0,Z239=""),0,MAX(0,'Example Parties'!$E$8-Z239))</f>
        <v/>
      </c>
      <c r="AH239">
        <f>IF(AND(P239="Creditor",X239=1,AG239&gt;0),AE239*((1+3*N('Example Parties'!$E$10)/12)^(AG239*12/365)-1),0)</f>
        <v/>
      </c>
      <c r="AI239">
        <f>IF(AND(C239&lt;&gt;"",C239='Example Ledger'!$D$4,B239&lt;&gt;"",B239&gt;='Example Ledger'!$D$5,B239&lt;='Example Ledger'!$D$6),1,0)</f>
        <v/>
      </c>
      <c r="AJ239">
        <f>IF(AI239=1,SUM(AI$7:AI239),"")</f>
        <v/>
      </c>
      <c r="AK239">
        <f>IF(OR(N239="",N239="OK"),0,1)</f>
        <v/>
      </c>
    </row>
    <row r="240">
      <c r="B240" s="24" t="n"/>
      <c r="C240" s="14" t="n"/>
      <c r="D240" s="14" t="n"/>
      <c r="E240" s="20" t="n"/>
      <c r="F240" s="24" t="n"/>
      <c r="G240" s="14" t="n"/>
      <c r="H240" s="22" t="n"/>
      <c r="I240" s="25">
        <f>IF(Q240="D",N(H240),0)</f>
        <v/>
      </c>
      <c r="J240" s="25">
        <f>IF(Q240="C",N(H240),0)</f>
        <v/>
      </c>
      <c r="K240" s="26">
        <f>IF(Z240="","",Z240)</f>
        <v/>
      </c>
      <c r="L240" s="27">
        <f>W240</f>
        <v/>
      </c>
      <c r="M240" s="28">
        <f>AA240</f>
        <v/>
      </c>
      <c r="N240" s="23">
        <f>IF(AND(B240="",C240="",D240="",N(H240)=0),"",IF(B240="","Enter the date",IF(C240="","Pick the party",IF(P240="?","Add this party on the Parties sheet first",IF(D240="","Pick the entry type",IF(Q240="?","Pick the entry type from the list",IF(N(H240)=0,"Enter the amount",IF(AND(R240&lt;&gt;"Any",R240&lt;&gt;P240),"Sales, receipts and credit notes are for debtors; purchases, payments and debit notes for creditors",IF(AND(F240&lt;&gt;"",D240&lt;&gt;"Purchase bill"),"The received-on date is only for purchase bills",IF(AND(P240="Creditor",X240=1,AA240&gt;0),"Past due to a micro or small supplier: interest runs under MSMED s.16, and if unpaid at year end it is not deductible that year, s.37(2)(g)",IF(AND(P240="Debtor",X240=1,AA240&gt;0),"Past due to you: as a micro or small supplier you can claim interest under MSMED s.16","OK")))))))))))</f>
        <v/>
      </c>
      <c r="P240">
        <f>IF(C240="","",IFERROR(VLOOKUP(C240,'Example Parties'!$B$13:$Q$112,2,FALSE),"?"))</f>
        <v/>
      </c>
      <c r="Q240">
        <f>IF(D240="","",IFERROR(VLOOKUP(D240,Lists!$A$2:$D$9,3,FALSE),"?"))</f>
        <v/>
      </c>
      <c r="R240">
        <f>IF(D240="","",IFERROR(VLOOKUP(D240,Lists!$A$2:$D$9,4,FALSE),"?"))</f>
        <v/>
      </c>
      <c r="S240">
        <f>IF(P240="Debtor",I240,IF(P240="Creditor",J240,0))</f>
        <v/>
      </c>
      <c r="T240">
        <f>IF(P240="Debtor",J240,IF(P240="Creditor",I240,0))</f>
        <v/>
      </c>
      <c r="U240">
        <f>IF(OR(S240=0,B240=""),0,IFERROR(VLOOKUP(C240,'Example Parties'!$B$13:$Q$112,13,FALSE),0)+SUMIFS($S$7:$S$506,$C$7:$C$506,C240,$B$7:$B$506,"&lt;"&amp;B240)+SUMIFS(S$7:S240,C$7:C240,C240,B$7:B240,B240))</f>
        <v/>
      </c>
      <c r="V240">
        <f>IF(S240=0,0,IFERROR(VLOOKUP(C240,'Example Parties'!$B$13:$Q$112,14,FALSE),0)+SUMIFS($T$7:$T$506,$C$7:$C$506,C240,$B$7:$B$506,"&lt;="&amp;'Example Outstanding'!$E$5))</f>
        <v/>
      </c>
      <c r="W240">
        <f>IF(OR('Example Outstanding'!$E$5="",S240=0,B240="",B240&gt;'Example Outstanding'!$E$5),0,MAX(0,MIN(S240,U240-V240)))</f>
        <v/>
      </c>
      <c r="X240">
        <f>IF(C240="",0,IFERROR(VLOOKUP(C240,'Example Parties'!$B$13:$Q$112,15,FALSE),0))</f>
        <v/>
      </c>
      <c r="Y240">
        <f>IF(C240="","",IFERROR(VLOOKUP(C240,'Example Parties'!$B$13:$Q$112,16,FALSE),0))</f>
        <v/>
      </c>
      <c r="Z240">
        <f>IF(OR(S240=0,B240="",Y240=""),"",IF(AND(F240&lt;&gt;"",D240="Purchase bill"),F240,B240)+Y240)</f>
        <v/>
      </c>
      <c r="AA240">
        <f>IF(OR(W240=0,Z240=""),0,MAX(0,'Example Outstanding'!$E$5-Z240))</f>
        <v/>
      </c>
      <c r="AB240">
        <f>IF(AND(X240=1,AA240&gt;0),W240*((1+3*N('Example Parties'!$E$10)/12)^(AA240*12/365)-1),0)</f>
        <v/>
      </c>
      <c r="AC240">
        <f>IF(W240=0,"",'Example Outstanding'!$E$5-B240)</f>
        <v/>
      </c>
      <c r="AD240">
        <f>IF(S240=0,0,IFERROR(VLOOKUP(C240,'Example Parties'!$B$13:$Q$112,14,FALSE),0)+SUMIFS($T$7:$T$506,$C$7:$C$506,C240,$B$7:$B$506,"&lt;="&amp;'Example Parties'!$E$8))</f>
        <v/>
      </c>
      <c r="AE240">
        <f>IF(OR('Example Parties'!$E$8="",S240=0,B240="",B240&gt;'Example Parties'!$E$8),0,MAX(0,MIN(S240,U240-AD240)))</f>
        <v/>
      </c>
      <c r="AF240">
        <f>IF(AND(P240="Creditor",X240=1,AE240&gt;0,Z240&lt;&gt;""),IF(Z240&lt;='Example Parties'!$E$8,AE240,0),0)</f>
        <v/>
      </c>
      <c r="AG240">
        <f>IF(OR(AE240=0,Z240=""),0,MAX(0,'Example Parties'!$E$8-Z240))</f>
        <v/>
      </c>
      <c r="AH240">
        <f>IF(AND(P240="Creditor",X240=1,AG240&gt;0),AE240*((1+3*N('Example Parties'!$E$10)/12)^(AG240*12/365)-1),0)</f>
        <v/>
      </c>
      <c r="AI240">
        <f>IF(AND(C240&lt;&gt;"",C240='Example Ledger'!$D$4,B240&lt;&gt;"",B240&gt;='Example Ledger'!$D$5,B240&lt;='Example Ledger'!$D$6),1,0)</f>
        <v/>
      </c>
      <c r="AJ240">
        <f>IF(AI240=1,SUM(AI$7:AI240),"")</f>
        <v/>
      </c>
      <c r="AK240">
        <f>IF(OR(N240="",N240="OK"),0,1)</f>
        <v/>
      </c>
    </row>
    <row r="241">
      <c r="B241" s="24" t="n"/>
      <c r="C241" s="14" t="n"/>
      <c r="D241" s="14" t="n"/>
      <c r="E241" s="20" t="n"/>
      <c r="F241" s="24" t="n"/>
      <c r="G241" s="14" t="n"/>
      <c r="H241" s="22" t="n"/>
      <c r="I241" s="25">
        <f>IF(Q241="D",N(H241),0)</f>
        <v/>
      </c>
      <c r="J241" s="25">
        <f>IF(Q241="C",N(H241),0)</f>
        <v/>
      </c>
      <c r="K241" s="26">
        <f>IF(Z241="","",Z241)</f>
        <v/>
      </c>
      <c r="L241" s="27">
        <f>W241</f>
        <v/>
      </c>
      <c r="M241" s="28">
        <f>AA241</f>
        <v/>
      </c>
      <c r="N241" s="23">
        <f>IF(AND(B241="",C241="",D241="",N(H241)=0),"",IF(B241="","Enter the date",IF(C241="","Pick the party",IF(P241="?","Add this party on the Parties sheet first",IF(D241="","Pick the entry type",IF(Q241="?","Pick the entry type from the list",IF(N(H241)=0,"Enter the amount",IF(AND(R241&lt;&gt;"Any",R241&lt;&gt;P241),"Sales, receipts and credit notes are for debtors; purchases, payments and debit notes for creditors",IF(AND(F241&lt;&gt;"",D241&lt;&gt;"Purchase bill"),"The received-on date is only for purchase bills",IF(AND(P241="Creditor",X241=1,AA241&gt;0),"Past due to a micro or small supplier: interest runs under MSMED s.16, and if unpaid at year end it is not deductible that year, s.37(2)(g)",IF(AND(P241="Debtor",X241=1,AA241&gt;0),"Past due to you: as a micro or small supplier you can claim interest under MSMED s.16","OK")))))))))))</f>
        <v/>
      </c>
      <c r="P241">
        <f>IF(C241="","",IFERROR(VLOOKUP(C241,'Example Parties'!$B$13:$Q$112,2,FALSE),"?"))</f>
        <v/>
      </c>
      <c r="Q241">
        <f>IF(D241="","",IFERROR(VLOOKUP(D241,Lists!$A$2:$D$9,3,FALSE),"?"))</f>
        <v/>
      </c>
      <c r="R241">
        <f>IF(D241="","",IFERROR(VLOOKUP(D241,Lists!$A$2:$D$9,4,FALSE),"?"))</f>
        <v/>
      </c>
      <c r="S241">
        <f>IF(P241="Debtor",I241,IF(P241="Creditor",J241,0))</f>
        <v/>
      </c>
      <c r="T241">
        <f>IF(P241="Debtor",J241,IF(P241="Creditor",I241,0))</f>
        <v/>
      </c>
      <c r="U241">
        <f>IF(OR(S241=0,B241=""),0,IFERROR(VLOOKUP(C241,'Example Parties'!$B$13:$Q$112,13,FALSE),0)+SUMIFS($S$7:$S$506,$C$7:$C$506,C241,$B$7:$B$506,"&lt;"&amp;B241)+SUMIFS(S$7:S241,C$7:C241,C241,B$7:B241,B241))</f>
        <v/>
      </c>
      <c r="V241">
        <f>IF(S241=0,0,IFERROR(VLOOKUP(C241,'Example Parties'!$B$13:$Q$112,14,FALSE),0)+SUMIFS($T$7:$T$506,$C$7:$C$506,C241,$B$7:$B$506,"&lt;="&amp;'Example Outstanding'!$E$5))</f>
        <v/>
      </c>
      <c r="W241">
        <f>IF(OR('Example Outstanding'!$E$5="",S241=0,B241="",B241&gt;'Example Outstanding'!$E$5),0,MAX(0,MIN(S241,U241-V241)))</f>
        <v/>
      </c>
      <c r="X241">
        <f>IF(C241="",0,IFERROR(VLOOKUP(C241,'Example Parties'!$B$13:$Q$112,15,FALSE),0))</f>
        <v/>
      </c>
      <c r="Y241">
        <f>IF(C241="","",IFERROR(VLOOKUP(C241,'Example Parties'!$B$13:$Q$112,16,FALSE),0))</f>
        <v/>
      </c>
      <c r="Z241">
        <f>IF(OR(S241=0,B241="",Y241=""),"",IF(AND(F241&lt;&gt;"",D241="Purchase bill"),F241,B241)+Y241)</f>
        <v/>
      </c>
      <c r="AA241">
        <f>IF(OR(W241=0,Z241=""),0,MAX(0,'Example Outstanding'!$E$5-Z241))</f>
        <v/>
      </c>
      <c r="AB241">
        <f>IF(AND(X241=1,AA241&gt;0),W241*((1+3*N('Example Parties'!$E$10)/12)^(AA241*12/365)-1),0)</f>
        <v/>
      </c>
      <c r="AC241">
        <f>IF(W241=0,"",'Example Outstanding'!$E$5-B241)</f>
        <v/>
      </c>
      <c r="AD241">
        <f>IF(S241=0,0,IFERROR(VLOOKUP(C241,'Example Parties'!$B$13:$Q$112,14,FALSE),0)+SUMIFS($T$7:$T$506,$C$7:$C$506,C241,$B$7:$B$506,"&lt;="&amp;'Example Parties'!$E$8))</f>
        <v/>
      </c>
      <c r="AE241">
        <f>IF(OR('Example Parties'!$E$8="",S241=0,B241="",B241&gt;'Example Parties'!$E$8),0,MAX(0,MIN(S241,U241-AD241)))</f>
        <v/>
      </c>
      <c r="AF241">
        <f>IF(AND(P241="Creditor",X241=1,AE241&gt;0,Z241&lt;&gt;""),IF(Z241&lt;='Example Parties'!$E$8,AE241,0),0)</f>
        <v/>
      </c>
      <c r="AG241">
        <f>IF(OR(AE241=0,Z241=""),0,MAX(0,'Example Parties'!$E$8-Z241))</f>
        <v/>
      </c>
      <c r="AH241">
        <f>IF(AND(P241="Creditor",X241=1,AG241&gt;0),AE241*((1+3*N('Example Parties'!$E$10)/12)^(AG241*12/365)-1),0)</f>
        <v/>
      </c>
      <c r="AI241">
        <f>IF(AND(C241&lt;&gt;"",C241='Example Ledger'!$D$4,B241&lt;&gt;"",B241&gt;='Example Ledger'!$D$5,B241&lt;='Example Ledger'!$D$6),1,0)</f>
        <v/>
      </c>
      <c r="AJ241">
        <f>IF(AI241=1,SUM(AI$7:AI241),"")</f>
        <v/>
      </c>
      <c r="AK241">
        <f>IF(OR(N241="",N241="OK"),0,1)</f>
        <v/>
      </c>
    </row>
    <row r="242">
      <c r="B242" s="24" t="n"/>
      <c r="C242" s="14" t="n"/>
      <c r="D242" s="14" t="n"/>
      <c r="E242" s="20" t="n"/>
      <c r="F242" s="24" t="n"/>
      <c r="G242" s="14" t="n"/>
      <c r="H242" s="22" t="n"/>
      <c r="I242" s="25">
        <f>IF(Q242="D",N(H242),0)</f>
        <v/>
      </c>
      <c r="J242" s="25">
        <f>IF(Q242="C",N(H242),0)</f>
        <v/>
      </c>
      <c r="K242" s="26">
        <f>IF(Z242="","",Z242)</f>
        <v/>
      </c>
      <c r="L242" s="27">
        <f>W242</f>
        <v/>
      </c>
      <c r="M242" s="28">
        <f>AA242</f>
        <v/>
      </c>
      <c r="N242" s="23">
        <f>IF(AND(B242="",C242="",D242="",N(H242)=0),"",IF(B242="","Enter the date",IF(C242="","Pick the party",IF(P242="?","Add this party on the Parties sheet first",IF(D242="","Pick the entry type",IF(Q242="?","Pick the entry type from the list",IF(N(H242)=0,"Enter the amount",IF(AND(R242&lt;&gt;"Any",R242&lt;&gt;P242),"Sales, receipts and credit notes are for debtors; purchases, payments and debit notes for creditors",IF(AND(F242&lt;&gt;"",D242&lt;&gt;"Purchase bill"),"The received-on date is only for purchase bills",IF(AND(P242="Creditor",X242=1,AA242&gt;0),"Past due to a micro or small supplier: interest runs under MSMED s.16, and if unpaid at year end it is not deductible that year, s.37(2)(g)",IF(AND(P242="Debtor",X242=1,AA242&gt;0),"Past due to you: as a micro or small supplier you can claim interest under MSMED s.16","OK")))))))))))</f>
        <v/>
      </c>
      <c r="P242">
        <f>IF(C242="","",IFERROR(VLOOKUP(C242,'Example Parties'!$B$13:$Q$112,2,FALSE),"?"))</f>
        <v/>
      </c>
      <c r="Q242">
        <f>IF(D242="","",IFERROR(VLOOKUP(D242,Lists!$A$2:$D$9,3,FALSE),"?"))</f>
        <v/>
      </c>
      <c r="R242">
        <f>IF(D242="","",IFERROR(VLOOKUP(D242,Lists!$A$2:$D$9,4,FALSE),"?"))</f>
        <v/>
      </c>
      <c r="S242">
        <f>IF(P242="Debtor",I242,IF(P242="Creditor",J242,0))</f>
        <v/>
      </c>
      <c r="T242">
        <f>IF(P242="Debtor",J242,IF(P242="Creditor",I242,0))</f>
        <v/>
      </c>
      <c r="U242">
        <f>IF(OR(S242=0,B242=""),0,IFERROR(VLOOKUP(C242,'Example Parties'!$B$13:$Q$112,13,FALSE),0)+SUMIFS($S$7:$S$506,$C$7:$C$506,C242,$B$7:$B$506,"&lt;"&amp;B242)+SUMIFS(S$7:S242,C$7:C242,C242,B$7:B242,B242))</f>
        <v/>
      </c>
      <c r="V242">
        <f>IF(S242=0,0,IFERROR(VLOOKUP(C242,'Example Parties'!$B$13:$Q$112,14,FALSE),0)+SUMIFS($T$7:$T$506,$C$7:$C$506,C242,$B$7:$B$506,"&lt;="&amp;'Example Outstanding'!$E$5))</f>
        <v/>
      </c>
      <c r="W242">
        <f>IF(OR('Example Outstanding'!$E$5="",S242=0,B242="",B242&gt;'Example Outstanding'!$E$5),0,MAX(0,MIN(S242,U242-V242)))</f>
        <v/>
      </c>
      <c r="X242">
        <f>IF(C242="",0,IFERROR(VLOOKUP(C242,'Example Parties'!$B$13:$Q$112,15,FALSE),0))</f>
        <v/>
      </c>
      <c r="Y242">
        <f>IF(C242="","",IFERROR(VLOOKUP(C242,'Example Parties'!$B$13:$Q$112,16,FALSE),0))</f>
        <v/>
      </c>
      <c r="Z242">
        <f>IF(OR(S242=0,B242="",Y242=""),"",IF(AND(F242&lt;&gt;"",D242="Purchase bill"),F242,B242)+Y242)</f>
        <v/>
      </c>
      <c r="AA242">
        <f>IF(OR(W242=0,Z242=""),0,MAX(0,'Example Outstanding'!$E$5-Z242))</f>
        <v/>
      </c>
      <c r="AB242">
        <f>IF(AND(X242=1,AA242&gt;0),W242*((1+3*N('Example Parties'!$E$10)/12)^(AA242*12/365)-1),0)</f>
        <v/>
      </c>
      <c r="AC242">
        <f>IF(W242=0,"",'Example Outstanding'!$E$5-B242)</f>
        <v/>
      </c>
      <c r="AD242">
        <f>IF(S242=0,0,IFERROR(VLOOKUP(C242,'Example Parties'!$B$13:$Q$112,14,FALSE),0)+SUMIFS($T$7:$T$506,$C$7:$C$506,C242,$B$7:$B$506,"&lt;="&amp;'Example Parties'!$E$8))</f>
        <v/>
      </c>
      <c r="AE242">
        <f>IF(OR('Example Parties'!$E$8="",S242=0,B242="",B242&gt;'Example Parties'!$E$8),0,MAX(0,MIN(S242,U242-AD242)))</f>
        <v/>
      </c>
      <c r="AF242">
        <f>IF(AND(P242="Creditor",X242=1,AE242&gt;0,Z242&lt;&gt;""),IF(Z242&lt;='Example Parties'!$E$8,AE242,0),0)</f>
        <v/>
      </c>
      <c r="AG242">
        <f>IF(OR(AE242=0,Z242=""),0,MAX(0,'Example Parties'!$E$8-Z242))</f>
        <v/>
      </c>
      <c r="AH242">
        <f>IF(AND(P242="Creditor",X242=1,AG242&gt;0),AE242*((1+3*N('Example Parties'!$E$10)/12)^(AG242*12/365)-1),0)</f>
        <v/>
      </c>
      <c r="AI242">
        <f>IF(AND(C242&lt;&gt;"",C242='Example Ledger'!$D$4,B242&lt;&gt;"",B242&gt;='Example Ledger'!$D$5,B242&lt;='Example Ledger'!$D$6),1,0)</f>
        <v/>
      </c>
      <c r="AJ242">
        <f>IF(AI242=1,SUM(AI$7:AI242),"")</f>
        <v/>
      </c>
      <c r="AK242">
        <f>IF(OR(N242="",N242="OK"),0,1)</f>
        <v/>
      </c>
    </row>
    <row r="243">
      <c r="B243" s="24" t="n"/>
      <c r="C243" s="14" t="n"/>
      <c r="D243" s="14" t="n"/>
      <c r="E243" s="20" t="n"/>
      <c r="F243" s="24" t="n"/>
      <c r="G243" s="14" t="n"/>
      <c r="H243" s="22" t="n"/>
      <c r="I243" s="25">
        <f>IF(Q243="D",N(H243),0)</f>
        <v/>
      </c>
      <c r="J243" s="25">
        <f>IF(Q243="C",N(H243),0)</f>
        <v/>
      </c>
      <c r="K243" s="26">
        <f>IF(Z243="","",Z243)</f>
        <v/>
      </c>
      <c r="L243" s="27">
        <f>W243</f>
        <v/>
      </c>
      <c r="M243" s="28">
        <f>AA243</f>
        <v/>
      </c>
      <c r="N243" s="23">
        <f>IF(AND(B243="",C243="",D243="",N(H243)=0),"",IF(B243="","Enter the date",IF(C243="","Pick the party",IF(P243="?","Add this party on the Parties sheet first",IF(D243="","Pick the entry type",IF(Q243="?","Pick the entry type from the list",IF(N(H243)=0,"Enter the amount",IF(AND(R243&lt;&gt;"Any",R243&lt;&gt;P243),"Sales, receipts and credit notes are for debtors; purchases, payments and debit notes for creditors",IF(AND(F243&lt;&gt;"",D243&lt;&gt;"Purchase bill"),"The received-on date is only for purchase bills",IF(AND(P243="Creditor",X243=1,AA243&gt;0),"Past due to a micro or small supplier: interest runs under MSMED s.16, and if unpaid at year end it is not deductible that year, s.37(2)(g)",IF(AND(P243="Debtor",X243=1,AA243&gt;0),"Past due to you: as a micro or small supplier you can claim interest under MSMED s.16","OK")))))))))))</f>
        <v/>
      </c>
      <c r="P243">
        <f>IF(C243="","",IFERROR(VLOOKUP(C243,'Example Parties'!$B$13:$Q$112,2,FALSE),"?"))</f>
        <v/>
      </c>
      <c r="Q243">
        <f>IF(D243="","",IFERROR(VLOOKUP(D243,Lists!$A$2:$D$9,3,FALSE),"?"))</f>
        <v/>
      </c>
      <c r="R243">
        <f>IF(D243="","",IFERROR(VLOOKUP(D243,Lists!$A$2:$D$9,4,FALSE),"?"))</f>
        <v/>
      </c>
      <c r="S243">
        <f>IF(P243="Debtor",I243,IF(P243="Creditor",J243,0))</f>
        <v/>
      </c>
      <c r="T243">
        <f>IF(P243="Debtor",J243,IF(P243="Creditor",I243,0))</f>
        <v/>
      </c>
      <c r="U243">
        <f>IF(OR(S243=0,B243=""),0,IFERROR(VLOOKUP(C243,'Example Parties'!$B$13:$Q$112,13,FALSE),0)+SUMIFS($S$7:$S$506,$C$7:$C$506,C243,$B$7:$B$506,"&lt;"&amp;B243)+SUMIFS(S$7:S243,C$7:C243,C243,B$7:B243,B243))</f>
        <v/>
      </c>
      <c r="V243">
        <f>IF(S243=0,0,IFERROR(VLOOKUP(C243,'Example Parties'!$B$13:$Q$112,14,FALSE),0)+SUMIFS($T$7:$T$506,$C$7:$C$506,C243,$B$7:$B$506,"&lt;="&amp;'Example Outstanding'!$E$5))</f>
        <v/>
      </c>
      <c r="W243">
        <f>IF(OR('Example Outstanding'!$E$5="",S243=0,B243="",B243&gt;'Example Outstanding'!$E$5),0,MAX(0,MIN(S243,U243-V243)))</f>
        <v/>
      </c>
      <c r="X243">
        <f>IF(C243="",0,IFERROR(VLOOKUP(C243,'Example Parties'!$B$13:$Q$112,15,FALSE),0))</f>
        <v/>
      </c>
      <c r="Y243">
        <f>IF(C243="","",IFERROR(VLOOKUP(C243,'Example Parties'!$B$13:$Q$112,16,FALSE),0))</f>
        <v/>
      </c>
      <c r="Z243">
        <f>IF(OR(S243=0,B243="",Y243=""),"",IF(AND(F243&lt;&gt;"",D243="Purchase bill"),F243,B243)+Y243)</f>
        <v/>
      </c>
      <c r="AA243">
        <f>IF(OR(W243=0,Z243=""),0,MAX(0,'Example Outstanding'!$E$5-Z243))</f>
        <v/>
      </c>
      <c r="AB243">
        <f>IF(AND(X243=1,AA243&gt;0),W243*((1+3*N('Example Parties'!$E$10)/12)^(AA243*12/365)-1),0)</f>
        <v/>
      </c>
      <c r="AC243">
        <f>IF(W243=0,"",'Example Outstanding'!$E$5-B243)</f>
        <v/>
      </c>
      <c r="AD243">
        <f>IF(S243=0,0,IFERROR(VLOOKUP(C243,'Example Parties'!$B$13:$Q$112,14,FALSE),0)+SUMIFS($T$7:$T$506,$C$7:$C$506,C243,$B$7:$B$506,"&lt;="&amp;'Example Parties'!$E$8))</f>
        <v/>
      </c>
      <c r="AE243">
        <f>IF(OR('Example Parties'!$E$8="",S243=0,B243="",B243&gt;'Example Parties'!$E$8),0,MAX(0,MIN(S243,U243-AD243)))</f>
        <v/>
      </c>
      <c r="AF243">
        <f>IF(AND(P243="Creditor",X243=1,AE243&gt;0,Z243&lt;&gt;""),IF(Z243&lt;='Example Parties'!$E$8,AE243,0),0)</f>
        <v/>
      </c>
      <c r="AG243">
        <f>IF(OR(AE243=0,Z243=""),0,MAX(0,'Example Parties'!$E$8-Z243))</f>
        <v/>
      </c>
      <c r="AH243">
        <f>IF(AND(P243="Creditor",X243=1,AG243&gt;0),AE243*((1+3*N('Example Parties'!$E$10)/12)^(AG243*12/365)-1),0)</f>
        <v/>
      </c>
      <c r="AI243">
        <f>IF(AND(C243&lt;&gt;"",C243='Example Ledger'!$D$4,B243&lt;&gt;"",B243&gt;='Example Ledger'!$D$5,B243&lt;='Example Ledger'!$D$6),1,0)</f>
        <v/>
      </c>
      <c r="AJ243">
        <f>IF(AI243=1,SUM(AI$7:AI243),"")</f>
        <v/>
      </c>
      <c r="AK243">
        <f>IF(OR(N243="",N243="OK"),0,1)</f>
        <v/>
      </c>
    </row>
    <row r="244">
      <c r="B244" s="24" t="n"/>
      <c r="C244" s="14" t="n"/>
      <c r="D244" s="14" t="n"/>
      <c r="E244" s="20" t="n"/>
      <c r="F244" s="24" t="n"/>
      <c r="G244" s="14" t="n"/>
      <c r="H244" s="22" t="n"/>
      <c r="I244" s="25">
        <f>IF(Q244="D",N(H244),0)</f>
        <v/>
      </c>
      <c r="J244" s="25">
        <f>IF(Q244="C",N(H244),0)</f>
        <v/>
      </c>
      <c r="K244" s="26">
        <f>IF(Z244="","",Z244)</f>
        <v/>
      </c>
      <c r="L244" s="27">
        <f>W244</f>
        <v/>
      </c>
      <c r="M244" s="28">
        <f>AA244</f>
        <v/>
      </c>
      <c r="N244" s="23">
        <f>IF(AND(B244="",C244="",D244="",N(H244)=0),"",IF(B244="","Enter the date",IF(C244="","Pick the party",IF(P244="?","Add this party on the Parties sheet first",IF(D244="","Pick the entry type",IF(Q244="?","Pick the entry type from the list",IF(N(H244)=0,"Enter the amount",IF(AND(R244&lt;&gt;"Any",R244&lt;&gt;P244),"Sales, receipts and credit notes are for debtors; purchases, payments and debit notes for creditors",IF(AND(F244&lt;&gt;"",D244&lt;&gt;"Purchase bill"),"The received-on date is only for purchase bills",IF(AND(P244="Creditor",X244=1,AA244&gt;0),"Past due to a micro or small supplier: interest runs under MSMED s.16, and if unpaid at year end it is not deductible that year, s.37(2)(g)",IF(AND(P244="Debtor",X244=1,AA244&gt;0),"Past due to you: as a micro or small supplier you can claim interest under MSMED s.16","OK")))))))))))</f>
        <v/>
      </c>
      <c r="P244">
        <f>IF(C244="","",IFERROR(VLOOKUP(C244,'Example Parties'!$B$13:$Q$112,2,FALSE),"?"))</f>
        <v/>
      </c>
      <c r="Q244">
        <f>IF(D244="","",IFERROR(VLOOKUP(D244,Lists!$A$2:$D$9,3,FALSE),"?"))</f>
        <v/>
      </c>
      <c r="R244">
        <f>IF(D244="","",IFERROR(VLOOKUP(D244,Lists!$A$2:$D$9,4,FALSE),"?"))</f>
        <v/>
      </c>
      <c r="S244">
        <f>IF(P244="Debtor",I244,IF(P244="Creditor",J244,0))</f>
        <v/>
      </c>
      <c r="T244">
        <f>IF(P244="Debtor",J244,IF(P244="Creditor",I244,0))</f>
        <v/>
      </c>
      <c r="U244">
        <f>IF(OR(S244=0,B244=""),0,IFERROR(VLOOKUP(C244,'Example Parties'!$B$13:$Q$112,13,FALSE),0)+SUMIFS($S$7:$S$506,$C$7:$C$506,C244,$B$7:$B$506,"&lt;"&amp;B244)+SUMIFS(S$7:S244,C$7:C244,C244,B$7:B244,B244))</f>
        <v/>
      </c>
      <c r="V244">
        <f>IF(S244=0,0,IFERROR(VLOOKUP(C244,'Example Parties'!$B$13:$Q$112,14,FALSE),0)+SUMIFS($T$7:$T$506,$C$7:$C$506,C244,$B$7:$B$506,"&lt;="&amp;'Example Outstanding'!$E$5))</f>
        <v/>
      </c>
      <c r="W244">
        <f>IF(OR('Example Outstanding'!$E$5="",S244=0,B244="",B244&gt;'Example Outstanding'!$E$5),0,MAX(0,MIN(S244,U244-V244)))</f>
        <v/>
      </c>
      <c r="X244">
        <f>IF(C244="",0,IFERROR(VLOOKUP(C244,'Example Parties'!$B$13:$Q$112,15,FALSE),0))</f>
        <v/>
      </c>
      <c r="Y244">
        <f>IF(C244="","",IFERROR(VLOOKUP(C244,'Example Parties'!$B$13:$Q$112,16,FALSE),0))</f>
        <v/>
      </c>
      <c r="Z244">
        <f>IF(OR(S244=0,B244="",Y244=""),"",IF(AND(F244&lt;&gt;"",D244="Purchase bill"),F244,B244)+Y244)</f>
        <v/>
      </c>
      <c r="AA244">
        <f>IF(OR(W244=0,Z244=""),0,MAX(0,'Example Outstanding'!$E$5-Z244))</f>
        <v/>
      </c>
      <c r="AB244">
        <f>IF(AND(X244=1,AA244&gt;0),W244*((1+3*N('Example Parties'!$E$10)/12)^(AA244*12/365)-1),0)</f>
        <v/>
      </c>
      <c r="AC244">
        <f>IF(W244=0,"",'Example Outstanding'!$E$5-B244)</f>
        <v/>
      </c>
      <c r="AD244">
        <f>IF(S244=0,0,IFERROR(VLOOKUP(C244,'Example Parties'!$B$13:$Q$112,14,FALSE),0)+SUMIFS($T$7:$T$506,$C$7:$C$506,C244,$B$7:$B$506,"&lt;="&amp;'Example Parties'!$E$8))</f>
        <v/>
      </c>
      <c r="AE244">
        <f>IF(OR('Example Parties'!$E$8="",S244=0,B244="",B244&gt;'Example Parties'!$E$8),0,MAX(0,MIN(S244,U244-AD244)))</f>
        <v/>
      </c>
      <c r="AF244">
        <f>IF(AND(P244="Creditor",X244=1,AE244&gt;0,Z244&lt;&gt;""),IF(Z244&lt;='Example Parties'!$E$8,AE244,0),0)</f>
        <v/>
      </c>
      <c r="AG244">
        <f>IF(OR(AE244=0,Z244=""),0,MAX(0,'Example Parties'!$E$8-Z244))</f>
        <v/>
      </c>
      <c r="AH244">
        <f>IF(AND(P244="Creditor",X244=1,AG244&gt;0),AE244*((1+3*N('Example Parties'!$E$10)/12)^(AG244*12/365)-1),0)</f>
        <v/>
      </c>
      <c r="AI244">
        <f>IF(AND(C244&lt;&gt;"",C244='Example Ledger'!$D$4,B244&lt;&gt;"",B244&gt;='Example Ledger'!$D$5,B244&lt;='Example Ledger'!$D$6),1,0)</f>
        <v/>
      </c>
      <c r="AJ244">
        <f>IF(AI244=1,SUM(AI$7:AI244),"")</f>
        <v/>
      </c>
      <c r="AK244">
        <f>IF(OR(N244="",N244="OK"),0,1)</f>
        <v/>
      </c>
    </row>
    <row r="245">
      <c r="B245" s="24" t="n"/>
      <c r="C245" s="14" t="n"/>
      <c r="D245" s="14" t="n"/>
      <c r="E245" s="20" t="n"/>
      <c r="F245" s="24" t="n"/>
      <c r="G245" s="14" t="n"/>
      <c r="H245" s="22" t="n"/>
      <c r="I245" s="25">
        <f>IF(Q245="D",N(H245),0)</f>
        <v/>
      </c>
      <c r="J245" s="25">
        <f>IF(Q245="C",N(H245),0)</f>
        <v/>
      </c>
      <c r="K245" s="26">
        <f>IF(Z245="","",Z245)</f>
        <v/>
      </c>
      <c r="L245" s="27">
        <f>W245</f>
        <v/>
      </c>
      <c r="M245" s="28">
        <f>AA245</f>
        <v/>
      </c>
      <c r="N245" s="23">
        <f>IF(AND(B245="",C245="",D245="",N(H245)=0),"",IF(B245="","Enter the date",IF(C245="","Pick the party",IF(P245="?","Add this party on the Parties sheet first",IF(D245="","Pick the entry type",IF(Q245="?","Pick the entry type from the list",IF(N(H245)=0,"Enter the amount",IF(AND(R245&lt;&gt;"Any",R245&lt;&gt;P245),"Sales, receipts and credit notes are for debtors; purchases, payments and debit notes for creditors",IF(AND(F245&lt;&gt;"",D245&lt;&gt;"Purchase bill"),"The received-on date is only for purchase bills",IF(AND(P245="Creditor",X245=1,AA245&gt;0),"Past due to a micro or small supplier: interest runs under MSMED s.16, and if unpaid at year end it is not deductible that year, s.37(2)(g)",IF(AND(P245="Debtor",X245=1,AA245&gt;0),"Past due to you: as a micro or small supplier you can claim interest under MSMED s.16","OK")))))))))))</f>
        <v/>
      </c>
      <c r="P245">
        <f>IF(C245="","",IFERROR(VLOOKUP(C245,'Example Parties'!$B$13:$Q$112,2,FALSE),"?"))</f>
        <v/>
      </c>
      <c r="Q245">
        <f>IF(D245="","",IFERROR(VLOOKUP(D245,Lists!$A$2:$D$9,3,FALSE),"?"))</f>
        <v/>
      </c>
      <c r="R245">
        <f>IF(D245="","",IFERROR(VLOOKUP(D245,Lists!$A$2:$D$9,4,FALSE),"?"))</f>
        <v/>
      </c>
      <c r="S245">
        <f>IF(P245="Debtor",I245,IF(P245="Creditor",J245,0))</f>
        <v/>
      </c>
      <c r="T245">
        <f>IF(P245="Debtor",J245,IF(P245="Creditor",I245,0))</f>
        <v/>
      </c>
      <c r="U245">
        <f>IF(OR(S245=0,B245=""),0,IFERROR(VLOOKUP(C245,'Example Parties'!$B$13:$Q$112,13,FALSE),0)+SUMIFS($S$7:$S$506,$C$7:$C$506,C245,$B$7:$B$506,"&lt;"&amp;B245)+SUMIFS(S$7:S245,C$7:C245,C245,B$7:B245,B245))</f>
        <v/>
      </c>
      <c r="V245">
        <f>IF(S245=0,0,IFERROR(VLOOKUP(C245,'Example Parties'!$B$13:$Q$112,14,FALSE),0)+SUMIFS($T$7:$T$506,$C$7:$C$506,C245,$B$7:$B$506,"&lt;="&amp;'Example Outstanding'!$E$5))</f>
        <v/>
      </c>
      <c r="W245">
        <f>IF(OR('Example Outstanding'!$E$5="",S245=0,B245="",B245&gt;'Example Outstanding'!$E$5),0,MAX(0,MIN(S245,U245-V245)))</f>
        <v/>
      </c>
      <c r="X245">
        <f>IF(C245="",0,IFERROR(VLOOKUP(C245,'Example Parties'!$B$13:$Q$112,15,FALSE),0))</f>
        <v/>
      </c>
      <c r="Y245">
        <f>IF(C245="","",IFERROR(VLOOKUP(C245,'Example Parties'!$B$13:$Q$112,16,FALSE),0))</f>
        <v/>
      </c>
      <c r="Z245">
        <f>IF(OR(S245=0,B245="",Y245=""),"",IF(AND(F245&lt;&gt;"",D245="Purchase bill"),F245,B245)+Y245)</f>
        <v/>
      </c>
      <c r="AA245">
        <f>IF(OR(W245=0,Z245=""),0,MAX(0,'Example Outstanding'!$E$5-Z245))</f>
        <v/>
      </c>
      <c r="AB245">
        <f>IF(AND(X245=1,AA245&gt;0),W245*((1+3*N('Example Parties'!$E$10)/12)^(AA245*12/365)-1),0)</f>
        <v/>
      </c>
      <c r="AC245">
        <f>IF(W245=0,"",'Example Outstanding'!$E$5-B245)</f>
        <v/>
      </c>
      <c r="AD245">
        <f>IF(S245=0,0,IFERROR(VLOOKUP(C245,'Example Parties'!$B$13:$Q$112,14,FALSE),0)+SUMIFS($T$7:$T$506,$C$7:$C$506,C245,$B$7:$B$506,"&lt;="&amp;'Example Parties'!$E$8))</f>
        <v/>
      </c>
      <c r="AE245">
        <f>IF(OR('Example Parties'!$E$8="",S245=0,B245="",B245&gt;'Example Parties'!$E$8),0,MAX(0,MIN(S245,U245-AD245)))</f>
        <v/>
      </c>
      <c r="AF245">
        <f>IF(AND(P245="Creditor",X245=1,AE245&gt;0,Z245&lt;&gt;""),IF(Z245&lt;='Example Parties'!$E$8,AE245,0),0)</f>
        <v/>
      </c>
      <c r="AG245">
        <f>IF(OR(AE245=0,Z245=""),0,MAX(0,'Example Parties'!$E$8-Z245))</f>
        <v/>
      </c>
      <c r="AH245">
        <f>IF(AND(P245="Creditor",X245=1,AG245&gt;0),AE245*((1+3*N('Example Parties'!$E$10)/12)^(AG245*12/365)-1),0)</f>
        <v/>
      </c>
      <c r="AI245">
        <f>IF(AND(C245&lt;&gt;"",C245='Example Ledger'!$D$4,B245&lt;&gt;"",B245&gt;='Example Ledger'!$D$5,B245&lt;='Example Ledger'!$D$6),1,0)</f>
        <v/>
      </c>
      <c r="AJ245">
        <f>IF(AI245=1,SUM(AI$7:AI245),"")</f>
        <v/>
      </c>
      <c r="AK245">
        <f>IF(OR(N245="",N245="OK"),0,1)</f>
        <v/>
      </c>
    </row>
    <row r="246">
      <c r="B246" s="24" t="n"/>
      <c r="C246" s="14" t="n"/>
      <c r="D246" s="14" t="n"/>
      <c r="E246" s="20" t="n"/>
      <c r="F246" s="24" t="n"/>
      <c r="G246" s="14" t="n"/>
      <c r="H246" s="22" t="n"/>
      <c r="I246" s="25">
        <f>IF(Q246="D",N(H246),0)</f>
        <v/>
      </c>
      <c r="J246" s="25">
        <f>IF(Q246="C",N(H246),0)</f>
        <v/>
      </c>
      <c r="K246" s="26">
        <f>IF(Z246="","",Z246)</f>
        <v/>
      </c>
      <c r="L246" s="27">
        <f>W246</f>
        <v/>
      </c>
      <c r="M246" s="28">
        <f>AA246</f>
        <v/>
      </c>
      <c r="N246" s="23">
        <f>IF(AND(B246="",C246="",D246="",N(H246)=0),"",IF(B246="","Enter the date",IF(C246="","Pick the party",IF(P246="?","Add this party on the Parties sheet first",IF(D246="","Pick the entry type",IF(Q246="?","Pick the entry type from the list",IF(N(H246)=0,"Enter the amount",IF(AND(R246&lt;&gt;"Any",R246&lt;&gt;P246),"Sales, receipts and credit notes are for debtors; purchases, payments and debit notes for creditors",IF(AND(F246&lt;&gt;"",D246&lt;&gt;"Purchase bill"),"The received-on date is only for purchase bills",IF(AND(P246="Creditor",X246=1,AA246&gt;0),"Past due to a micro or small supplier: interest runs under MSMED s.16, and if unpaid at year end it is not deductible that year, s.37(2)(g)",IF(AND(P246="Debtor",X246=1,AA246&gt;0),"Past due to you: as a micro or small supplier you can claim interest under MSMED s.16","OK")))))))))))</f>
        <v/>
      </c>
      <c r="P246">
        <f>IF(C246="","",IFERROR(VLOOKUP(C246,'Example Parties'!$B$13:$Q$112,2,FALSE),"?"))</f>
        <v/>
      </c>
      <c r="Q246">
        <f>IF(D246="","",IFERROR(VLOOKUP(D246,Lists!$A$2:$D$9,3,FALSE),"?"))</f>
        <v/>
      </c>
      <c r="R246">
        <f>IF(D246="","",IFERROR(VLOOKUP(D246,Lists!$A$2:$D$9,4,FALSE),"?"))</f>
        <v/>
      </c>
      <c r="S246">
        <f>IF(P246="Debtor",I246,IF(P246="Creditor",J246,0))</f>
        <v/>
      </c>
      <c r="T246">
        <f>IF(P246="Debtor",J246,IF(P246="Creditor",I246,0))</f>
        <v/>
      </c>
      <c r="U246">
        <f>IF(OR(S246=0,B246=""),0,IFERROR(VLOOKUP(C246,'Example Parties'!$B$13:$Q$112,13,FALSE),0)+SUMIFS($S$7:$S$506,$C$7:$C$506,C246,$B$7:$B$506,"&lt;"&amp;B246)+SUMIFS(S$7:S246,C$7:C246,C246,B$7:B246,B246))</f>
        <v/>
      </c>
      <c r="V246">
        <f>IF(S246=0,0,IFERROR(VLOOKUP(C246,'Example Parties'!$B$13:$Q$112,14,FALSE),0)+SUMIFS($T$7:$T$506,$C$7:$C$506,C246,$B$7:$B$506,"&lt;="&amp;'Example Outstanding'!$E$5))</f>
        <v/>
      </c>
      <c r="W246">
        <f>IF(OR('Example Outstanding'!$E$5="",S246=0,B246="",B246&gt;'Example Outstanding'!$E$5),0,MAX(0,MIN(S246,U246-V246)))</f>
        <v/>
      </c>
      <c r="X246">
        <f>IF(C246="",0,IFERROR(VLOOKUP(C246,'Example Parties'!$B$13:$Q$112,15,FALSE),0))</f>
        <v/>
      </c>
      <c r="Y246">
        <f>IF(C246="","",IFERROR(VLOOKUP(C246,'Example Parties'!$B$13:$Q$112,16,FALSE),0))</f>
        <v/>
      </c>
      <c r="Z246">
        <f>IF(OR(S246=0,B246="",Y246=""),"",IF(AND(F246&lt;&gt;"",D246="Purchase bill"),F246,B246)+Y246)</f>
        <v/>
      </c>
      <c r="AA246">
        <f>IF(OR(W246=0,Z246=""),0,MAX(0,'Example Outstanding'!$E$5-Z246))</f>
        <v/>
      </c>
      <c r="AB246">
        <f>IF(AND(X246=1,AA246&gt;0),W246*((1+3*N('Example Parties'!$E$10)/12)^(AA246*12/365)-1),0)</f>
        <v/>
      </c>
      <c r="AC246">
        <f>IF(W246=0,"",'Example Outstanding'!$E$5-B246)</f>
        <v/>
      </c>
      <c r="AD246">
        <f>IF(S246=0,0,IFERROR(VLOOKUP(C246,'Example Parties'!$B$13:$Q$112,14,FALSE),0)+SUMIFS($T$7:$T$506,$C$7:$C$506,C246,$B$7:$B$506,"&lt;="&amp;'Example Parties'!$E$8))</f>
        <v/>
      </c>
      <c r="AE246">
        <f>IF(OR('Example Parties'!$E$8="",S246=0,B246="",B246&gt;'Example Parties'!$E$8),0,MAX(0,MIN(S246,U246-AD246)))</f>
        <v/>
      </c>
      <c r="AF246">
        <f>IF(AND(P246="Creditor",X246=1,AE246&gt;0,Z246&lt;&gt;""),IF(Z246&lt;='Example Parties'!$E$8,AE246,0),0)</f>
        <v/>
      </c>
      <c r="AG246">
        <f>IF(OR(AE246=0,Z246=""),0,MAX(0,'Example Parties'!$E$8-Z246))</f>
        <v/>
      </c>
      <c r="AH246">
        <f>IF(AND(P246="Creditor",X246=1,AG246&gt;0),AE246*((1+3*N('Example Parties'!$E$10)/12)^(AG246*12/365)-1),0)</f>
        <v/>
      </c>
      <c r="AI246">
        <f>IF(AND(C246&lt;&gt;"",C246='Example Ledger'!$D$4,B246&lt;&gt;"",B246&gt;='Example Ledger'!$D$5,B246&lt;='Example Ledger'!$D$6),1,0)</f>
        <v/>
      </c>
      <c r="AJ246">
        <f>IF(AI246=1,SUM(AI$7:AI246),"")</f>
        <v/>
      </c>
      <c r="AK246">
        <f>IF(OR(N246="",N246="OK"),0,1)</f>
        <v/>
      </c>
    </row>
    <row r="247">
      <c r="B247" s="24" t="n"/>
      <c r="C247" s="14" t="n"/>
      <c r="D247" s="14" t="n"/>
      <c r="E247" s="20" t="n"/>
      <c r="F247" s="24" t="n"/>
      <c r="G247" s="14" t="n"/>
      <c r="H247" s="22" t="n"/>
      <c r="I247" s="25">
        <f>IF(Q247="D",N(H247),0)</f>
        <v/>
      </c>
      <c r="J247" s="25">
        <f>IF(Q247="C",N(H247),0)</f>
        <v/>
      </c>
      <c r="K247" s="26">
        <f>IF(Z247="","",Z247)</f>
        <v/>
      </c>
      <c r="L247" s="27">
        <f>W247</f>
        <v/>
      </c>
      <c r="M247" s="28">
        <f>AA247</f>
        <v/>
      </c>
      <c r="N247" s="23">
        <f>IF(AND(B247="",C247="",D247="",N(H247)=0),"",IF(B247="","Enter the date",IF(C247="","Pick the party",IF(P247="?","Add this party on the Parties sheet first",IF(D247="","Pick the entry type",IF(Q247="?","Pick the entry type from the list",IF(N(H247)=0,"Enter the amount",IF(AND(R247&lt;&gt;"Any",R247&lt;&gt;P247),"Sales, receipts and credit notes are for debtors; purchases, payments and debit notes for creditors",IF(AND(F247&lt;&gt;"",D247&lt;&gt;"Purchase bill"),"The received-on date is only for purchase bills",IF(AND(P247="Creditor",X247=1,AA247&gt;0),"Past due to a micro or small supplier: interest runs under MSMED s.16, and if unpaid at year end it is not deductible that year, s.37(2)(g)",IF(AND(P247="Debtor",X247=1,AA247&gt;0),"Past due to you: as a micro or small supplier you can claim interest under MSMED s.16","OK")))))))))))</f>
        <v/>
      </c>
      <c r="P247">
        <f>IF(C247="","",IFERROR(VLOOKUP(C247,'Example Parties'!$B$13:$Q$112,2,FALSE),"?"))</f>
        <v/>
      </c>
      <c r="Q247">
        <f>IF(D247="","",IFERROR(VLOOKUP(D247,Lists!$A$2:$D$9,3,FALSE),"?"))</f>
        <v/>
      </c>
      <c r="R247">
        <f>IF(D247="","",IFERROR(VLOOKUP(D247,Lists!$A$2:$D$9,4,FALSE),"?"))</f>
        <v/>
      </c>
      <c r="S247">
        <f>IF(P247="Debtor",I247,IF(P247="Creditor",J247,0))</f>
        <v/>
      </c>
      <c r="T247">
        <f>IF(P247="Debtor",J247,IF(P247="Creditor",I247,0))</f>
        <v/>
      </c>
      <c r="U247">
        <f>IF(OR(S247=0,B247=""),0,IFERROR(VLOOKUP(C247,'Example Parties'!$B$13:$Q$112,13,FALSE),0)+SUMIFS($S$7:$S$506,$C$7:$C$506,C247,$B$7:$B$506,"&lt;"&amp;B247)+SUMIFS(S$7:S247,C$7:C247,C247,B$7:B247,B247))</f>
        <v/>
      </c>
      <c r="V247">
        <f>IF(S247=0,0,IFERROR(VLOOKUP(C247,'Example Parties'!$B$13:$Q$112,14,FALSE),0)+SUMIFS($T$7:$T$506,$C$7:$C$506,C247,$B$7:$B$506,"&lt;="&amp;'Example Outstanding'!$E$5))</f>
        <v/>
      </c>
      <c r="W247">
        <f>IF(OR('Example Outstanding'!$E$5="",S247=0,B247="",B247&gt;'Example Outstanding'!$E$5),0,MAX(0,MIN(S247,U247-V247)))</f>
        <v/>
      </c>
      <c r="X247">
        <f>IF(C247="",0,IFERROR(VLOOKUP(C247,'Example Parties'!$B$13:$Q$112,15,FALSE),0))</f>
        <v/>
      </c>
      <c r="Y247">
        <f>IF(C247="","",IFERROR(VLOOKUP(C247,'Example Parties'!$B$13:$Q$112,16,FALSE),0))</f>
        <v/>
      </c>
      <c r="Z247">
        <f>IF(OR(S247=0,B247="",Y247=""),"",IF(AND(F247&lt;&gt;"",D247="Purchase bill"),F247,B247)+Y247)</f>
        <v/>
      </c>
      <c r="AA247">
        <f>IF(OR(W247=0,Z247=""),0,MAX(0,'Example Outstanding'!$E$5-Z247))</f>
        <v/>
      </c>
      <c r="AB247">
        <f>IF(AND(X247=1,AA247&gt;0),W247*((1+3*N('Example Parties'!$E$10)/12)^(AA247*12/365)-1),0)</f>
        <v/>
      </c>
      <c r="AC247">
        <f>IF(W247=0,"",'Example Outstanding'!$E$5-B247)</f>
        <v/>
      </c>
      <c r="AD247">
        <f>IF(S247=0,0,IFERROR(VLOOKUP(C247,'Example Parties'!$B$13:$Q$112,14,FALSE),0)+SUMIFS($T$7:$T$506,$C$7:$C$506,C247,$B$7:$B$506,"&lt;="&amp;'Example Parties'!$E$8))</f>
        <v/>
      </c>
      <c r="AE247">
        <f>IF(OR('Example Parties'!$E$8="",S247=0,B247="",B247&gt;'Example Parties'!$E$8),0,MAX(0,MIN(S247,U247-AD247)))</f>
        <v/>
      </c>
      <c r="AF247">
        <f>IF(AND(P247="Creditor",X247=1,AE247&gt;0,Z247&lt;&gt;""),IF(Z247&lt;='Example Parties'!$E$8,AE247,0),0)</f>
        <v/>
      </c>
      <c r="AG247">
        <f>IF(OR(AE247=0,Z247=""),0,MAX(0,'Example Parties'!$E$8-Z247))</f>
        <v/>
      </c>
      <c r="AH247">
        <f>IF(AND(P247="Creditor",X247=1,AG247&gt;0),AE247*((1+3*N('Example Parties'!$E$10)/12)^(AG247*12/365)-1),0)</f>
        <v/>
      </c>
      <c r="AI247">
        <f>IF(AND(C247&lt;&gt;"",C247='Example Ledger'!$D$4,B247&lt;&gt;"",B247&gt;='Example Ledger'!$D$5,B247&lt;='Example Ledger'!$D$6),1,0)</f>
        <v/>
      </c>
      <c r="AJ247">
        <f>IF(AI247=1,SUM(AI$7:AI247),"")</f>
        <v/>
      </c>
      <c r="AK247">
        <f>IF(OR(N247="",N247="OK"),0,1)</f>
        <v/>
      </c>
    </row>
    <row r="248">
      <c r="B248" s="24" t="n"/>
      <c r="C248" s="14" t="n"/>
      <c r="D248" s="14" t="n"/>
      <c r="E248" s="20" t="n"/>
      <c r="F248" s="24" t="n"/>
      <c r="G248" s="14" t="n"/>
      <c r="H248" s="22" t="n"/>
      <c r="I248" s="25">
        <f>IF(Q248="D",N(H248),0)</f>
        <v/>
      </c>
      <c r="J248" s="25">
        <f>IF(Q248="C",N(H248),0)</f>
        <v/>
      </c>
      <c r="K248" s="26">
        <f>IF(Z248="","",Z248)</f>
        <v/>
      </c>
      <c r="L248" s="27">
        <f>W248</f>
        <v/>
      </c>
      <c r="M248" s="28">
        <f>AA248</f>
        <v/>
      </c>
      <c r="N248" s="23">
        <f>IF(AND(B248="",C248="",D248="",N(H248)=0),"",IF(B248="","Enter the date",IF(C248="","Pick the party",IF(P248="?","Add this party on the Parties sheet first",IF(D248="","Pick the entry type",IF(Q248="?","Pick the entry type from the list",IF(N(H248)=0,"Enter the amount",IF(AND(R248&lt;&gt;"Any",R248&lt;&gt;P248),"Sales, receipts and credit notes are for debtors; purchases, payments and debit notes for creditors",IF(AND(F248&lt;&gt;"",D248&lt;&gt;"Purchase bill"),"The received-on date is only for purchase bills",IF(AND(P248="Creditor",X248=1,AA248&gt;0),"Past due to a micro or small supplier: interest runs under MSMED s.16, and if unpaid at year end it is not deductible that year, s.37(2)(g)",IF(AND(P248="Debtor",X248=1,AA248&gt;0),"Past due to you: as a micro or small supplier you can claim interest under MSMED s.16","OK")))))))))))</f>
        <v/>
      </c>
      <c r="P248">
        <f>IF(C248="","",IFERROR(VLOOKUP(C248,'Example Parties'!$B$13:$Q$112,2,FALSE),"?"))</f>
        <v/>
      </c>
      <c r="Q248">
        <f>IF(D248="","",IFERROR(VLOOKUP(D248,Lists!$A$2:$D$9,3,FALSE),"?"))</f>
        <v/>
      </c>
      <c r="R248">
        <f>IF(D248="","",IFERROR(VLOOKUP(D248,Lists!$A$2:$D$9,4,FALSE),"?"))</f>
        <v/>
      </c>
      <c r="S248">
        <f>IF(P248="Debtor",I248,IF(P248="Creditor",J248,0))</f>
        <v/>
      </c>
      <c r="T248">
        <f>IF(P248="Debtor",J248,IF(P248="Creditor",I248,0))</f>
        <v/>
      </c>
      <c r="U248">
        <f>IF(OR(S248=0,B248=""),0,IFERROR(VLOOKUP(C248,'Example Parties'!$B$13:$Q$112,13,FALSE),0)+SUMIFS($S$7:$S$506,$C$7:$C$506,C248,$B$7:$B$506,"&lt;"&amp;B248)+SUMIFS(S$7:S248,C$7:C248,C248,B$7:B248,B248))</f>
        <v/>
      </c>
      <c r="V248">
        <f>IF(S248=0,0,IFERROR(VLOOKUP(C248,'Example Parties'!$B$13:$Q$112,14,FALSE),0)+SUMIFS($T$7:$T$506,$C$7:$C$506,C248,$B$7:$B$506,"&lt;="&amp;'Example Outstanding'!$E$5))</f>
        <v/>
      </c>
      <c r="W248">
        <f>IF(OR('Example Outstanding'!$E$5="",S248=0,B248="",B248&gt;'Example Outstanding'!$E$5),0,MAX(0,MIN(S248,U248-V248)))</f>
        <v/>
      </c>
      <c r="X248">
        <f>IF(C248="",0,IFERROR(VLOOKUP(C248,'Example Parties'!$B$13:$Q$112,15,FALSE),0))</f>
        <v/>
      </c>
      <c r="Y248">
        <f>IF(C248="","",IFERROR(VLOOKUP(C248,'Example Parties'!$B$13:$Q$112,16,FALSE),0))</f>
        <v/>
      </c>
      <c r="Z248">
        <f>IF(OR(S248=0,B248="",Y248=""),"",IF(AND(F248&lt;&gt;"",D248="Purchase bill"),F248,B248)+Y248)</f>
        <v/>
      </c>
      <c r="AA248">
        <f>IF(OR(W248=0,Z248=""),0,MAX(0,'Example Outstanding'!$E$5-Z248))</f>
        <v/>
      </c>
      <c r="AB248">
        <f>IF(AND(X248=1,AA248&gt;0),W248*((1+3*N('Example Parties'!$E$10)/12)^(AA248*12/365)-1),0)</f>
        <v/>
      </c>
      <c r="AC248">
        <f>IF(W248=0,"",'Example Outstanding'!$E$5-B248)</f>
        <v/>
      </c>
      <c r="AD248">
        <f>IF(S248=0,0,IFERROR(VLOOKUP(C248,'Example Parties'!$B$13:$Q$112,14,FALSE),0)+SUMIFS($T$7:$T$506,$C$7:$C$506,C248,$B$7:$B$506,"&lt;="&amp;'Example Parties'!$E$8))</f>
        <v/>
      </c>
      <c r="AE248">
        <f>IF(OR('Example Parties'!$E$8="",S248=0,B248="",B248&gt;'Example Parties'!$E$8),0,MAX(0,MIN(S248,U248-AD248)))</f>
        <v/>
      </c>
      <c r="AF248">
        <f>IF(AND(P248="Creditor",X248=1,AE248&gt;0,Z248&lt;&gt;""),IF(Z248&lt;='Example Parties'!$E$8,AE248,0),0)</f>
        <v/>
      </c>
      <c r="AG248">
        <f>IF(OR(AE248=0,Z248=""),0,MAX(0,'Example Parties'!$E$8-Z248))</f>
        <v/>
      </c>
      <c r="AH248">
        <f>IF(AND(P248="Creditor",X248=1,AG248&gt;0),AE248*((1+3*N('Example Parties'!$E$10)/12)^(AG248*12/365)-1),0)</f>
        <v/>
      </c>
      <c r="AI248">
        <f>IF(AND(C248&lt;&gt;"",C248='Example Ledger'!$D$4,B248&lt;&gt;"",B248&gt;='Example Ledger'!$D$5,B248&lt;='Example Ledger'!$D$6),1,0)</f>
        <v/>
      </c>
      <c r="AJ248">
        <f>IF(AI248=1,SUM(AI$7:AI248),"")</f>
        <v/>
      </c>
      <c r="AK248">
        <f>IF(OR(N248="",N248="OK"),0,1)</f>
        <v/>
      </c>
    </row>
    <row r="249">
      <c r="B249" s="24" t="n"/>
      <c r="C249" s="14" t="n"/>
      <c r="D249" s="14" t="n"/>
      <c r="E249" s="20" t="n"/>
      <c r="F249" s="24" t="n"/>
      <c r="G249" s="14" t="n"/>
      <c r="H249" s="22" t="n"/>
      <c r="I249" s="25">
        <f>IF(Q249="D",N(H249),0)</f>
        <v/>
      </c>
      <c r="J249" s="25">
        <f>IF(Q249="C",N(H249),0)</f>
        <v/>
      </c>
      <c r="K249" s="26">
        <f>IF(Z249="","",Z249)</f>
        <v/>
      </c>
      <c r="L249" s="27">
        <f>W249</f>
        <v/>
      </c>
      <c r="M249" s="28">
        <f>AA249</f>
        <v/>
      </c>
      <c r="N249" s="23">
        <f>IF(AND(B249="",C249="",D249="",N(H249)=0),"",IF(B249="","Enter the date",IF(C249="","Pick the party",IF(P249="?","Add this party on the Parties sheet first",IF(D249="","Pick the entry type",IF(Q249="?","Pick the entry type from the list",IF(N(H249)=0,"Enter the amount",IF(AND(R249&lt;&gt;"Any",R249&lt;&gt;P249),"Sales, receipts and credit notes are for debtors; purchases, payments and debit notes for creditors",IF(AND(F249&lt;&gt;"",D249&lt;&gt;"Purchase bill"),"The received-on date is only for purchase bills",IF(AND(P249="Creditor",X249=1,AA249&gt;0),"Past due to a micro or small supplier: interest runs under MSMED s.16, and if unpaid at year end it is not deductible that year, s.37(2)(g)",IF(AND(P249="Debtor",X249=1,AA249&gt;0),"Past due to you: as a micro or small supplier you can claim interest under MSMED s.16","OK")))))))))))</f>
        <v/>
      </c>
      <c r="P249">
        <f>IF(C249="","",IFERROR(VLOOKUP(C249,'Example Parties'!$B$13:$Q$112,2,FALSE),"?"))</f>
        <v/>
      </c>
      <c r="Q249">
        <f>IF(D249="","",IFERROR(VLOOKUP(D249,Lists!$A$2:$D$9,3,FALSE),"?"))</f>
        <v/>
      </c>
      <c r="R249">
        <f>IF(D249="","",IFERROR(VLOOKUP(D249,Lists!$A$2:$D$9,4,FALSE),"?"))</f>
        <v/>
      </c>
      <c r="S249">
        <f>IF(P249="Debtor",I249,IF(P249="Creditor",J249,0))</f>
        <v/>
      </c>
      <c r="T249">
        <f>IF(P249="Debtor",J249,IF(P249="Creditor",I249,0))</f>
        <v/>
      </c>
      <c r="U249">
        <f>IF(OR(S249=0,B249=""),0,IFERROR(VLOOKUP(C249,'Example Parties'!$B$13:$Q$112,13,FALSE),0)+SUMIFS($S$7:$S$506,$C$7:$C$506,C249,$B$7:$B$506,"&lt;"&amp;B249)+SUMIFS(S$7:S249,C$7:C249,C249,B$7:B249,B249))</f>
        <v/>
      </c>
      <c r="V249">
        <f>IF(S249=0,0,IFERROR(VLOOKUP(C249,'Example Parties'!$B$13:$Q$112,14,FALSE),0)+SUMIFS($T$7:$T$506,$C$7:$C$506,C249,$B$7:$B$506,"&lt;="&amp;'Example Outstanding'!$E$5))</f>
        <v/>
      </c>
      <c r="W249">
        <f>IF(OR('Example Outstanding'!$E$5="",S249=0,B249="",B249&gt;'Example Outstanding'!$E$5),0,MAX(0,MIN(S249,U249-V249)))</f>
        <v/>
      </c>
      <c r="X249">
        <f>IF(C249="",0,IFERROR(VLOOKUP(C249,'Example Parties'!$B$13:$Q$112,15,FALSE),0))</f>
        <v/>
      </c>
      <c r="Y249">
        <f>IF(C249="","",IFERROR(VLOOKUP(C249,'Example Parties'!$B$13:$Q$112,16,FALSE),0))</f>
        <v/>
      </c>
      <c r="Z249">
        <f>IF(OR(S249=0,B249="",Y249=""),"",IF(AND(F249&lt;&gt;"",D249="Purchase bill"),F249,B249)+Y249)</f>
        <v/>
      </c>
      <c r="AA249">
        <f>IF(OR(W249=0,Z249=""),0,MAX(0,'Example Outstanding'!$E$5-Z249))</f>
        <v/>
      </c>
      <c r="AB249">
        <f>IF(AND(X249=1,AA249&gt;0),W249*((1+3*N('Example Parties'!$E$10)/12)^(AA249*12/365)-1),0)</f>
        <v/>
      </c>
      <c r="AC249">
        <f>IF(W249=0,"",'Example Outstanding'!$E$5-B249)</f>
        <v/>
      </c>
      <c r="AD249">
        <f>IF(S249=0,0,IFERROR(VLOOKUP(C249,'Example Parties'!$B$13:$Q$112,14,FALSE),0)+SUMIFS($T$7:$T$506,$C$7:$C$506,C249,$B$7:$B$506,"&lt;="&amp;'Example Parties'!$E$8))</f>
        <v/>
      </c>
      <c r="AE249">
        <f>IF(OR('Example Parties'!$E$8="",S249=0,B249="",B249&gt;'Example Parties'!$E$8),0,MAX(0,MIN(S249,U249-AD249)))</f>
        <v/>
      </c>
      <c r="AF249">
        <f>IF(AND(P249="Creditor",X249=1,AE249&gt;0,Z249&lt;&gt;""),IF(Z249&lt;='Example Parties'!$E$8,AE249,0),0)</f>
        <v/>
      </c>
      <c r="AG249">
        <f>IF(OR(AE249=0,Z249=""),0,MAX(0,'Example Parties'!$E$8-Z249))</f>
        <v/>
      </c>
      <c r="AH249">
        <f>IF(AND(P249="Creditor",X249=1,AG249&gt;0),AE249*((1+3*N('Example Parties'!$E$10)/12)^(AG249*12/365)-1),0)</f>
        <v/>
      </c>
      <c r="AI249">
        <f>IF(AND(C249&lt;&gt;"",C249='Example Ledger'!$D$4,B249&lt;&gt;"",B249&gt;='Example Ledger'!$D$5,B249&lt;='Example Ledger'!$D$6),1,0)</f>
        <v/>
      </c>
      <c r="AJ249">
        <f>IF(AI249=1,SUM(AI$7:AI249),"")</f>
        <v/>
      </c>
      <c r="AK249">
        <f>IF(OR(N249="",N249="OK"),0,1)</f>
        <v/>
      </c>
    </row>
    <row r="250">
      <c r="B250" s="24" t="n"/>
      <c r="C250" s="14" t="n"/>
      <c r="D250" s="14" t="n"/>
      <c r="E250" s="20" t="n"/>
      <c r="F250" s="24" t="n"/>
      <c r="G250" s="14" t="n"/>
      <c r="H250" s="22" t="n"/>
      <c r="I250" s="25">
        <f>IF(Q250="D",N(H250),0)</f>
        <v/>
      </c>
      <c r="J250" s="25">
        <f>IF(Q250="C",N(H250),0)</f>
        <v/>
      </c>
      <c r="K250" s="26">
        <f>IF(Z250="","",Z250)</f>
        <v/>
      </c>
      <c r="L250" s="27">
        <f>W250</f>
        <v/>
      </c>
      <c r="M250" s="28">
        <f>AA250</f>
        <v/>
      </c>
      <c r="N250" s="23">
        <f>IF(AND(B250="",C250="",D250="",N(H250)=0),"",IF(B250="","Enter the date",IF(C250="","Pick the party",IF(P250="?","Add this party on the Parties sheet first",IF(D250="","Pick the entry type",IF(Q250="?","Pick the entry type from the list",IF(N(H250)=0,"Enter the amount",IF(AND(R250&lt;&gt;"Any",R250&lt;&gt;P250),"Sales, receipts and credit notes are for debtors; purchases, payments and debit notes for creditors",IF(AND(F250&lt;&gt;"",D250&lt;&gt;"Purchase bill"),"The received-on date is only for purchase bills",IF(AND(P250="Creditor",X250=1,AA250&gt;0),"Past due to a micro or small supplier: interest runs under MSMED s.16, and if unpaid at year end it is not deductible that year, s.37(2)(g)",IF(AND(P250="Debtor",X250=1,AA250&gt;0),"Past due to you: as a micro or small supplier you can claim interest under MSMED s.16","OK")))))))))))</f>
        <v/>
      </c>
      <c r="P250">
        <f>IF(C250="","",IFERROR(VLOOKUP(C250,'Example Parties'!$B$13:$Q$112,2,FALSE),"?"))</f>
        <v/>
      </c>
      <c r="Q250">
        <f>IF(D250="","",IFERROR(VLOOKUP(D250,Lists!$A$2:$D$9,3,FALSE),"?"))</f>
        <v/>
      </c>
      <c r="R250">
        <f>IF(D250="","",IFERROR(VLOOKUP(D250,Lists!$A$2:$D$9,4,FALSE),"?"))</f>
        <v/>
      </c>
      <c r="S250">
        <f>IF(P250="Debtor",I250,IF(P250="Creditor",J250,0))</f>
        <v/>
      </c>
      <c r="T250">
        <f>IF(P250="Debtor",J250,IF(P250="Creditor",I250,0))</f>
        <v/>
      </c>
      <c r="U250">
        <f>IF(OR(S250=0,B250=""),0,IFERROR(VLOOKUP(C250,'Example Parties'!$B$13:$Q$112,13,FALSE),0)+SUMIFS($S$7:$S$506,$C$7:$C$506,C250,$B$7:$B$506,"&lt;"&amp;B250)+SUMIFS(S$7:S250,C$7:C250,C250,B$7:B250,B250))</f>
        <v/>
      </c>
      <c r="V250">
        <f>IF(S250=0,0,IFERROR(VLOOKUP(C250,'Example Parties'!$B$13:$Q$112,14,FALSE),0)+SUMIFS($T$7:$T$506,$C$7:$C$506,C250,$B$7:$B$506,"&lt;="&amp;'Example Outstanding'!$E$5))</f>
        <v/>
      </c>
      <c r="W250">
        <f>IF(OR('Example Outstanding'!$E$5="",S250=0,B250="",B250&gt;'Example Outstanding'!$E$5),0,MAX(0,MIN(S250,U250-V250)))</f>
        <v/>
      </c>
      <c r="X250">
        <f>IF(C250="",0,IFERROR(VLOOKUP(C250,'Example Parties'!$B$13:$Q$112,15,FALSE),0))</f>
        <v/>
      </c>
      <c r="Y250">
        <f>IF(C250="","",IFERROR(VLOOKUP(C250,'Example Parties'!$B$13:$Q$112,16,FALSE),0))</f>
        <v/>
      </c>
      <c r="Z250">
        <f>IF(OR(S250=0,B250="",Y250=""),"",IF(AND(F250&lt;&gt;"",D250="Purchase bill"),F250,B250)+Y250)</f>
        <v/>
      </c>
      <c r="AA250">
        <f>IF(OR(W250=0,Z250=""),0,MAX(0,'Example Outstanding'!$E$5-Z250))</f>
        <v/>
      </c>
      <c r="AB250">
        <f>IF(AND(X250=1,AA250&gt;0),W250*((1+3*N('Example Parties'!$E$10)/12)^(AA250*12/365)-1),0)</f>
        <v/>
      </c>
      <c r="AC250">
        <f>IF(W250=0,"",'Example Outstanding'!$E$5-B250)</f>
        <v/>
      </c>
      <c r="AD250">
        <f>IF(S250=0,0,IFERROR(VLOOKUP(C250,'Example Parties'!$B$13:$Q$112,14,FALSE),0)+SUMIFS($T$7:$T$506,$C$7:$C$506,C250,$B$7:$B$506,"&lt;="&amp;'Example Parties'!$E$8))</f>
        <v/>
      </c>
      <c r="AE250">
        <f>IF(OR('Example Parties'!$E$8="",S250=0,B250="",B250&gt;'Example Parties'!$E$8),0,MAX(0,MIN(S250,U250-AD250)))</f>
        <v/>
      </c>
      <c r="AF250">
        <f>IF(AND(P250="Creditor",X250=1,AE250&gt;0,Z250&lt;&gt;""),IF(Z250&lt;='Example Parties'!$E$8,AE250,0),0)</f>
        <v/>
      </c>
      <c r="AG250">
        <f>IF(OR(AE250=0,Z250=""),0,MAX(0,'Example Parties'!$E$8-Z250))</f>
        <v/>
      </c>
      <c r="AH250">
        <f>IF(AND(P250="Creditor",X250=1,AG250&gt;0),AE250*((1+3*N('Example Parties'!$E$10)/12)^(AG250*12/365)-1),0)</f>
        <v/>
      </c>
      <c r="AI250">
        <f>IF(AND(C250&lt;&gt;"",C250='Example Ledger'!$D$4,B250&lt;&gt;"",B250&gt;='Example Ledger'!$D$5,B250&lt;='Example Ledger'!$D$6),1,0)</f>
        <v/>
      </c>
      <c r="AJ250">
        <f>IF(AI250=1,SUM(AI$7:AI250),"")</f>
        <v/>
      </c>
      <c r="AK250">
        <f>IF(OR(N250="",N250="OK"),0,1)</f>
        <v/>
      </c>
    </row>
    <row r="251">
      <c r="B251" s="24" t="n"/>
      <c r="C251" s="14" t="n"/>
      <c r="D251" s="14" t="n"/>
      <c r="E251" s="20" t="n"/>
      <c r="F251" s="24" t="n"/>
      <c r="G251" s="14" t="n"/>
      <c r="H251" s="22" t="n"/>
      <c r="I251" s="25">
        <f>IF(Q251="D",N(H251),0)</f>
        <v/>
      </c>
      <c r="J251" s="25">
        <f>IF(Q251="C",N(H251),0)</f>
        <v/>
      </c>
      <c r="K251" s="26">
        <f>IF(Z251="","",Z251)</f>
        <v/>
      </c>
      <c r="L251" s="27">
        <f>W251</f>
        <v/>
      </c>
      <c r="M251" s="28">
        <f>AA251</f>
        <v/>
      </c>
      <c r="N251" s="23">
        <f>IF(AND(B251="",C251="",D251="",N(H251)=0),"",IF(B251="","Enter the date",IF(C251="","Pick the party",IF(P251="?","Add this party on the Parties sheet first",IF(D251="","Pick the entry type",IF(Q251="?","Pick the entry type from the list",IF(N(H251)=0,"Enter the amount",IF(AND(R251&lt;&gt;"Any",R251&lt;&gt;P251),"Sales, receipts and credit notes are for debtors; purchases, payments and debit notes for creditors",IF(AND(F251&lt;&gt;"",D251&lt;&gt;"Purchase bill"),"The received-on date is only for purchase bills",IF(AND(P251="Creditor",X251=1,AA251&gt;0),"Past due to a micro or small supplier: interest runs under MSMED s.16, and if unpaid at year end it is not deductible that year, s.37(2)(g)",IF(AND(P251="Debtor",X251=1,AA251&gt;0),"Past due to you: as a micro or small supplier you can claim interest under MSMED s.16","OK")))))))))))</f>
        <v/>
      </c>
      <c r="P251">
        <f>IF(C251="","",IFERROR(VLOOKUP(C251,'Example Parties'!$B$13:$Q$112,2,FALSE),"?"))</f>
        <v/>
      </c>
      <c r="Q251">
        <f>IF(D251="","",IFERROR(VLOOKUP(D251,Lists!$A$2:$D$9,3,FALSE),"?"))</f>
        <v/>
      </c>
      <c r="R251">
        <f>IF(D251="","",IFERROR(VLOOKUP(D251,Lists!$A$2:$D$9,4,FALSE),"?"))</f>
        <v/>
      </c>
      <c r="S251">
        <f>IF(P251="Debtor",I251,IF(P251="Creditor",J251,0))</f>
        <v/>
      </c>
      <c r="T251">
        <f>IF(P251="Debtor",J251,IF(P251="Creditor",I251,0))</f>
        <v/>
      </c>
      <c r="U251">
        <f>IF(OR(S251=0,B251=""),0,IFERROR(VLOOKUP(C251,'Example Parties'!$B$13:$Q$112,13,FALSE),0)+SUMIFS($S$7:$S$506,$C$7:$C$506,C251,$B$7:$B$506,"&lt;"&amp;B251)+SUMIFS(S$7:S251,C$7:C251,C251,B$7:B251,B251))</f>
        <v/>
      </c>
      <c r="V251">
        <f>IF(S251=0,0,IFERROR(VLOOKUP(C251,'Example Parties'!$B$13:$Q$112,14,FALSE),0)+SUMIFS($T$7:$T$506,$C$7:$C$506,C251,$B$7:$B$506,"&lt;="&amp;'Example Outstanding'!$E$5))</f>
        <v/>
      </c>
      <c r="W251">
        <f>IF(OR('Example Outstanding'!$E$5="",S251=0,B251="",B251&gt;'Example Outstanding'!$E$5),0,MAX(0,MIN(S251,U251-V251)))</f>
        <v/>
      </c>
      <c r="X251">
        <f>IF(C251="",0,IFERROR(VLOOKUP(C251,'Example Parties'!$B$13:$Q$112,15,FALSE),0))</f>
        <v/>
      </c>
      <c r="Y251">
        <f>IF(C251="","",IFERROR(VLOOKUP(C251,'Example Parties'!$B$13:$Q$112,16,FALSE),0))</f>
        <v/>
      </c>
      <c r="Z251">
        <f>IF(OR(S251=0,B251="",Y251=""),"",IF(AND(F251&lt;&gt;"",D251="Purchase bill"),F251,B251)+Y251)</f>
        <v/>
      </c>
      <c r="AA251">
        <f>IF(OR(W251=0,Z251=""),0,MAX(0,'Example Outstanding'!$E$5-Z251))</f>
        <v/>
      </c>
      <c r="AB251">
        <f>IF(AND(X251=1,AA251&gt;0),W251*((1+3*N('Example Parties'!$E$10)/12)^(AA251*12/365)-1),0)</f>
        <v/>
      </c>
      <c r="AC251">
        <f>IF(W251=0,"",'Example Outstanding'!$E$5-B251)</f>
        <v/>
      </c>
      <c r="AD251">
        <f>IF(S251=0,0,IFERROR(VLOOKUP(C251,'Example Parties'!$B$13:$Q$112,14,FALSE),0)+SUMIFS($T$7:$T$506,$C$7:$C$506,C251,$B$7:$B$506,"&lt;="&amp;'Example Parties'!$E$8))</f>
        <v/>
      </c>
      <c r="AE251">
        <f>IF(OR('Example Parties'!$E$8="",S251=0,B251="",B251&gt;'Example Parties'!$E$8),0,MAX(0,MIN(S251,U251-AD251)))</f>
        <v/>
      </c>
      <c r="AF251">
        <f>IF(AND(P251="Creditor",X251=1,AE251&gt;0,Z251&lt;&gt;""),IF(Z251&lt;='Example Parties'!$E$8,AE251,0),0)</f>
        <v/>
      </c>
      <c r="AG251">
        <f>IF(OR(AE251=0,Z251=""),0,MAX(0,'Example Parties'!$E$8-Z251))</f>
        <v/>
      </c>
      <c r="AH251">
        <f>IF(AND(P251="Creditor",X251=1,AG251&gt;0),AE251*((1+3*N('Example Parties'!$E$10)/12)^(AG251*12/365)-1),0)</f>
        <v/>
      </c>
      <c r="AI251">
        <f>IF(AND(C251&lt;&gt;"",C251='Example Ledger'!$D$4,B251&lt;&gt;"",B251&gt;='Example Ledger'!$D$5,B251&lt;='Example Ledger'!$D$6),1,0)</f>
        <v/>
      </c>
      <c r="AJ251">
        <f>IF(AI251=1,SUM(AI$7:AI251),"")</f>
        <v/>
      </c>
      <c r="AK251">
        <f>IF(OR(N251="",N251="OK"),0,1)</f>
        <v/>
      </c>
    </row>
    <row r="252">
      <c r="B252" s="24" t="n"/>
      <c r="C252" s="14" t="n"/>
      <c r="D252" s="14" t="n"/>
      <c r="E252" s="20" t="n"/>
      <c r="F252" s="24" t="n"/>
      <c r="G252" s="14" t="n"/>
      <c r="H252" s="22" t="n"/>
      <c r="I252" s="25">
        <f>IF(Q252="D",N(H252),0)</f>
        <v/>
      </c>
      <c r="J252" s="25">
        <f>IF(Q252="C",N(H252),0)</f>
        <v/>
      </c>
      <c r="K252" s="26">
        <f>IF(Z252="","",Z252)</f>
        <v/>
      </c>
      <c r="L252" s="27">
        <f>W252</f>
        <v/>
      </c>
      <c r="M252" s="28">
        <f>AA252</f>
        <v/>
      </c>
      <c r="N252" s="23">
        <f>IF(AND(B252="",C252="",D252="",N(H252)=0),"",IF(B252="","Enter the date",IF(C252="","Pick the party",IF(P252="?","Add this party on the Parties sheet first",IF(D252="","Pick the entry type",IF(Q252="?","Pick the entry type from the list",IF(N(H252)=0,"Enter the amount",IF(AND(R252&lt;&gt;"Any",R252&lt;&gt;P252),"Sales, receipts and credit notes are for debtors; purchases, payments and debit notes for creditors",IF(AND(F252&lt;&gt;"",D252&lt;&gt;"Purchase bill"),"The received-on date is only for purchase bills",IF(AND(P252="Creditor",X252=1,AA252&gt;0),"Past due to a micro or small supplier: interest runs under MSMED s.16, and if unpaid at year end it is not deductible that year, s.37(2)(g)",IF(AND(P252="Debtor",X252=1,AA252&gt;0),"Past due to you: as a micro or small supplier you can claim interest under MSMED s.16","OK")))))))))))</f>
        <v/>
      </c>
      <c r="P252">
        <f>IF(C252="","",IFERROR(VLOOKUP(C252,'Example Parties'!$B$13:$Q$112,2,FALSE),"?"))</f>
        <v/>
      </c>
      <c r="Q252">
        <f>IF(D252="","",IFERROR(VLOOKUP(D252,Lists!$A$2:$D$9,3,FALSE),"?"))</f>
        <v/>
      </c>
      <c r="R252">
        <f>IF(D252="","",IFERROR(VLOOKUP(D252,Lists!$A$2:$D$9,4,FALSE),"?"))</f>
        <v/>
      </c>
      <c r="S252">
        <f>IF(P252="Debtor",I252,IF(P252="Creditor",J252,0))</f>
        <v/>
      </c>
      <c r="T252">
        <f>IF(P252="Debtor",J252,IF(P252="Creditor",I252,0))</f>
        <v/>
      </c>
      <c r="U252">
        <f>IF(OR(S252=0,B252=""),0,IFERROR(VLOOKUP(C252,'Example Parties'!$B$13:$Q$112,13,FALSE),0)+SUMIFS($S$7:$S$506,$C$7:$C$506,C252,$B$7:$B$506,"&lt;"&amp;B252)+SUMIFS(S$7:S252,C$7:C252,C252,B$7:B252,B252))</f>
        <v/>
      </c>
      <c r="V252">
        <f>IF(S252=0,0,IFERROR(VLOOKUP(C252,'Example Parties'!$B$13:$Q$112,14,FALSE),0)+SUMIFS($T$7:$T$506,$C$7:$C$506,C252,$B$7:$B$506,"&lt;="&amp;'Example Outstanding'!$E$5))</f>
        <v/>
      </c>
      <c r="W252">
        <f>IF(OR('Example Outstanding'!$E$5="",S252=0,B252="",B252&gt;'Example Outstanding'!$E$5),0,MAX(0,MIN(S252,U252-V252)))</f>
        <v/>
      </c>
      <c r="X252">
        <f>IF(C252="",0,IFERROR(VLOOKUP(C252,'Example Parties'!$B$13:$Q$112,15,FALSE),0))</f>
        <v/>
      </c>
      <c r="Y252">
        <f>IF(C252="","",IFERROR(VLOOKUP(C252,'Example Parties'!$B$13:$Q$112,16,FALSE),0))</f>
        <v/>
      </c>
      <c r="Z252">
        <f>IF(OR(S252=0,B252="",Y252=""),"",IF(AND(F252&lt;&gt;"",D252="Purchase bill"),F252,B252)+Y252)</f>
        <v/>
      </c>
      <c r="AA252">
        <f>IF(OR(W252=0,Z252=""),0,MAX(0,'Example Outstanding'!$E$5-Z252))</f>
        <v/>
      </c>
      <c r="AB252">
        <f>IF(AND(X252=1,AA252&gt;0),W252*((1+3*N('Example Parties'!$E$10)/12)^(AA252*12/365)-1),0)</f>
        <v/>
      </c>
      <c r="AC252">
        <f>IF(W252=0,"",'Example Outstanding'!$E$5-B252)</f>
        <v/>
      </c>
      <c r="AD252">
        <f>IF(S252=0,0,IFERROR(VLOOKUP(C252,'Example Parties'!$B$13:$Q$112,14,FALSE),0)+SUMIFS($T$7:$T$506,$C$7:$C$506,C252,$B$7:$B$506,"&lt;="&amp;'Example Parties'!$E$8))</f>
        <v/>
      </c>
      <c r="AE252">
        <f>IF(OR('Example Parties'!$E$8="",S252=0,B252="",B252&gt;'Example Parties'!$E$8),0,MAX(0,MIN(S252,U252-AD252)))</f>
        <v/>
      </c>
      <c r="AF252">
        <f>IF(AND(P252="Creditor",X252=1,AE252&gt;0,Z252&lt;&gt;""),IF(Z252&lt;='Example Parties'!$E$8,AE252,0),0)</f>
        <v/>
      </c>
      <c r="AG252">
        <f>IF(OR(AE252=0,Z252=""),0,MAX(0,'Example Parties'!$E$8-Z252))</f>
        <v/>
      </c>
      <c r="AH252">
        <f>IF(AND(P252="Creditor",X252=1,AG252&gt;0),AE252*((1+3*N('Example Parties'!$E$10)/12)^(AG252*12/365)-1),0)</f>
        <v/>
      </c>
      <c r="AI252">
        <f>IF(AND(C252&lt;&gt;"",C252='Example Ledger'!$D$4,B252&lt;&gt;"",B252&gt;='Example Ledger'!$D$5,B252&lt;='Example Ledger'!$D$6),1,0)</f>
        <v/>
      </c>
      <c r="AJ252">
        <f>IF(AI252=1,SUM(AI$7:AI252),"")</f>
        <v/>
      </c>
      <c r="AK252">
        <f>IF(OR(N252="",N252="OK"),0,1)</f>
        <v/>
      </c>
    </row>
    <row r="253">
      <c r="B253" s="24" t="n"/>
      <c r="C253" s="14" t="n"/>
      <c r="D253" s="14" t="n"/>
      <c r="E253" s="20" t="n"/>
      <c r="F253" s="24" t="n"/>
      <c r="G253" s="14" t="n"/>
      <c r="H253" s="22" t="n"/>
      <c r="I253" s="25">
        <f>IF(Q253="D",N(H253),0)</f>
        <v/>
      </c>
      <c r="J253" s="25">
        <f>IF(Q253="C",N(H253),0)</f>
        <v/>
      </c>
      <c r="K253" s="26">
        <f>IF(Z253="","",Z253)</f>
        <v/>
      </c>
      <c r="L253" s="27">
        <f>W253</f>
        <v/>
      </c>
      <c r="M253" s="28">
        <f>AA253</f>
        <v/>
      </c>
      <c r="N253" s="23">
        <f>IF(AND(B253="",C253="",D253="",N(H253)=0),"",IF(B253="","Enter the date",IF(C253="","Pick the party",IF(P253="?","Add this party on the Parties sheet first",IF(D253="","Pick the entry type",IF(Q253="?","Pick the entry type from the list",IF(N(H253)=0,"Enter the amount",IF(AND(R253&lt;&gt;"Any",R253&lt;&gt;P253),"Sales, receipts and credit notes are for debtors; purchases, payments and debit notes for creditors",IF(AND(F253&lt;&gt;"",D253&lt;&gt;"Purchase bill"),"The received-on date is only for purchase bills",IF(AND(P253="Creditor",X253=1,AA253&gt;0),"Past due to a micro or small supplier: interest runs under MSMED s.16, and if unpaid at year end it is not deductible that year, s.37(2)(g)",IF(AND(P253="Debtor",X253=1,AA253&gt;0),"Past due to you: as a micro or small supplier you can claim interest under MSMED s.16","OK")))))))))))</f>
        <v/>
      </c>
      <c r="P253">
        <f>IF(C253="","",IFERROR(VLOOKUP(C253,'Example Parties'!$B$13:$Q$112,2,FALSE),"?"))</f>
        <v/>
      </c>
      <c r="Q253">
        <f>IF(D253="","",IFERROR(VLOOKUP(D253,Lists!$A$2:$D$9,3,FALSE),"?"))</f>
        <v/>
      </c>
      <c r="R253">
        <f>IF(D253="","",IFERROR(VLOOKUP(D253,Lists!$A$2:$D$9,4,FALSE),"?"))</f>
        <v/>
      </c>
      <c r="S253">
        <f>IF(P253="Debtor",I253,IF(P253="Creditor",J253,0))</f>
        <v/>
      </c>
      <c r="T253">
        <f>IF(P253="Debtor",J253,IF(P253="Creditor",I253,0))</f>
        <v/>
      </c>
      <c r="U253">
        <f>IF(OR(S253=0,B253=""),0,IFERROR(VLOOKUP(C253,'Example Parties'!$B$13:$Q$112,13,FALSE),0)+SUMIFS($S$7:$S$506,$C$7:$C$506,C253,$B$7:$B$506,"&lt;"&amp;B253)+SUMIFS(S$7:S253,C$7:C253,C253,B$7:B253,B253))</f>
        <v/>
      </c>
      <c r="V253">
        <f>IF(S253=0,0,IFERROR(VLOOKUP(C253,'Example Parties'!$B$13:$Q$112,14,FALSE),0)+SUMIFS($T$7:$T$506,$C$7:$C$506,C253,$B$7:$B$506,"&lt;="&amp;'Example Outstanding'!$E$5))</f>
        <v/>
      </c>
      <c r="W253">
        <f>IF(OR('Example Outstanding'!$E$5="",S253=0,B253="",B253&gt;'Example Outstanding'!$E$5),0,MAX(0,MIN(S253,U253-V253)))</f>
        <v/>
      </c>
      <c r="X253">
        <f>IF(C253="",0,IFERROR(VLOOKUP(C253,'Example Parties'!$B$13:$Q$112,15,FALSE),0))</f>
        <v/>
      </c>
      <c r="Y253">
        <f>IF(C253="","",IFERROR(VLOOKUP(C253,'Example Parties'!$B$13:$Q$112,16,FALSE),0))</f>
        <v/>
      </c>
      <c r="Z253">
        <f>IF(OR(S253=0,B253="",Y253=""),"",IF(AND(F253&lt;&gt;"",D253="Purchase bill"),F253,B253)+Y253)</f>
        <v/>
      </c>
      <c r="AA253">
        <f>IF(OR(W253=0,Z253=""),0,MAX(0,'Example Outstanding'!$E$5-Z253))</f>
        <v/>
      </c>
      <c r="AB253">
        <f>IF(AND(X253=1,AA253&gt;0),W253*((1+3*N('Example Parties'!$E$10)/12)^(AA253*12/365)-1),0)</f>
        <v/>
      </c>
      <c r="AC253">
        <f>IF(W253=0,"",'Example Outstanding'!$E$5-B253)</f>
        <v/>
      </c>
      <c r="AD253">
        <f>IF(S253=0,0,IFERROR(VLOOKUP(C253,'Example Parties'!$B$13:$Q$112,14,FALSE),0)+SUMIFS($T$7:$T$506,$C$7:$C$506,C253,$B$7:$B$506,"&lt;="&amp;'Example Parties'!$E$8))</f>
        <v/>
      </c>
      <c r="AE253">
        <f>IF(OR('Example Parties'!$E$8="",S253=0,B253="",B253&gt;'Example Parties'!$E$8),0,MAX(0,MIN(S253,U253-AD253)))</f>
        <v/>
      </c>
      <c r="AF253">
        <f>IF(AND(P253="Creditor",X253=1,AE253&gt;0,Z253&lt;&gt;""),IF(Z253&lt;='Example Parties'!$E$8,AE253,0),0)</f>
        <v/>
      </c>
      <c r="AG253">
        <f>IF(OR(AE253=0,Z253=""),0,MAX(0,'Example Parties'!$E$8-Z253))</f>
        <v/>
      </c>
      <c r="AH253">
        <f>IF(AND(P253="Creditor",X253=1,AG253&gt;0),AE253*((1+3*N('Example Parties'!$E$10)/12)^(AG253*12/365)-1),0)</f>
        <v/>
      </c>
      <c r="AI253">
        <f>IF(AND(C253&lt;&gt;"",C253='Example Ledger'!$D$4,B253&lt;&gt;"",B253&gt;='Example Ledger'!$D$5,B253&lt;='Example Ledger'!$D$6),1,0)</f>
        <v/>
      </c>
      <c r="AJ253">
        <f>IF(AI253=1,SUM(AI$7:AI253),"")</f>
        <v/>
      </c>
      <c r="AK253">
        <f>IF(OR(N253="",N253="OK"),0,1)</f>
        <v/>
      </c>
    </row>
    <row r="254">
      <c r="B254" s="24" t="n"/>
      <c r="C254" s="14" t="n"/>
      <c r="D254" s="14" t="n"/>
      <c r="E254" s="20" t="n"/>
      <c r="F254" s="24" t="n"/>
      <c r="G254" s="14" t="n"/>
      <c r="H254" s="22" t="n"/>
      <c r="I254" s="25">
        <f>IF(Q254="D",N(H254),0)</f>
        <v/>
      </c>
      <c r="J254" s="25">
        <f>IF(Q254="C",N(H254),0)</f>
        <v/>
      </c>
      <c r="K254" s="26">
        <f>IF(Z254="","",Z254)</f>
        <v/>
      </c>
      <c r="L254" s="27">
        <f>W254</f>
        <v/>
      </c>
      <c r="M254" s="28">
        <f>AA254</f>
        <v/>
      </c>
      <c r="N254" s="23">
        <f>IF(AND(B254="",C254="",D254="",N(H254)=0),"",IF(B254="","Enter the date",IF(C254="","Pick the party",IF(P254="?","Add this party on the Parties sheet first",IF(D254="","Pick the entry type",IF(Q254="?","Pick the entry type from the list",IF(N(H254)=0,"Enter the amount",IF(AND(R254&lt;&gt;"Any",R254&lt;&gt;P254),"Sales, receipts and credit notes are for debtors; purchases, payments and debit notes for creditors",IF(AND(F254&lt;&gt;"",D254&lt;&gt;"Purchase bill"),"The received-on date is only for purchase bills",IF(AND(P254="Creditor",X254=1,AA254&gt;0),"Past due to a micro or small supplier: interest runs under MSMED s.16, and if unpaid at year end it is not deductible that year, s.37(2)(g)",IF(AND(P254="Debtor",X254=1,AA254&gt;0),"Past due to you: as a micro or small supplier you can claim interest under MSMED s.16","OK")))))))))))</f>
        <v/>
      </c>
      <c r="P254">
        <f>IF(C254="","",IFERROR(VLOOKUP(C254,'Example Parties'!$B$13:$Q$112,2,FALSE),"?"))</f>
        <v/>
      </c>
      <c r="Q254">
        <f>IF(D254="","",IFERROR(VLOOKUP(D254,Lists!$A$2:$D$9,3,FALSE),"?"))</f>
        <v/>
      </c>
      <c r="R254">
        <f>IF(D254="","",IFERROR(VLOOKUP(D254,Lists!$A$2:$D$9,4,FALSE),"?"))</f>
        <v/>
      </c>
      <c r="S254">
        <f>IF(P254="Debtor",I254,IF(P254="Creditor",J254,0))</f>
        <v/>
      </c>
      <c r="T254">
        <f>IF(P254="Debtor",J254,IF(P254="Creditor",I254,0))</f>
        <v/>
      </c>
      <c r="U254">
        <f>IF(OR(S254=0,B254=""),0,IFERROR(VLOOKUP(C254,'Example Parties'!$B$13:$Q$112,13,FALSE),0)+SUMIFS($S$7:$S$506,$C$7:$C$506,C254,$B$7:$B$506,"&lt;"&amp;B254)+SUMIFS(S$7:S254,C$7:C254,C254,B$7:B254,B254))</f>
        <v/>
      </c>
      <c r="V254">
        <f>IF(S254=0,0,IFERROR(VLOOKUP(C254,'Example Parties'!$B$13:$Q$112,14,FALSE),0)+SUMIFS($T$7:$T$506,$C$7:$C$506,C254,$B$7:$B$506,"&lt;="&amp;'Example Outstanding'!$E$5))</f>
        <v/>
      </c>
      <c r="W254">
        <f>IF(OR('Example Outstanding'!$E$5="",S254=0,B254="",B254&gt;'Example Outstanding'!$E$5),0,MAX(0,MIN(S254,U254-V254)))</f>
        <v/>
      </c>
      <c r="X254">
        <f>IF(C254="",0,IFERROR(VLOOKUP(C254,'Example Parties'!$B$13:$Q$112,15,FALSE),0))</f>
        <v/>
      </c>
      <c r="Y254">
        <f>IF(C254="","",IFERROR(VLOOKUP(C254,'Example Parties'!$B$13:$Q$112,16,FALSE),0))</f>
        <v/>
      </c>
      <c r="Z254">
        <f>IF(OR(S254=0,B254="",Y254=""),"",IF(AND(F254&lt;&gt;"",D254="Purchase bill"),F254,B254)+Y254)</f>
        <v/>
      </c>
      <c r="AA254">
        <f>IF(OR(W254=0,Z254=""),0,MAX(0,'Example Outstanding'!$E$5-Z254))</f>
        <v/>
      </c>
      <c r="AB254">
        <f>IF(AND(X254=1,AA254&gt;0),W254*((1+3*N('Example Parties'!$E$10)/12)^(AA254*12/365)-1),0)</f>
        <v/>
      </c>
      <c r="AC254">
        <f>IF(W254=0,"",'Example Outstanding'!$E$5-B254)</f>
        <v/>
      </c>
      <c r="AD254">
        <f>IF(S254=0,0,IFERROR(VLOOKUP(C254,'Example Parties'!$B$13:$Q$112,14,FALSE),0)+SUMIFS($T$7:$T$506,$C$7:$C$506,C254,$B$7:$B$506,"&lt;="&amp;'Example Parties'!$E$8))</f>
        <v/>
      </c>
      <c r="AE254">
        <f>IF(OR('Example Parties'!$E$8="",S254=0,B254="",B254&gt;'Example Parties'!$E$8),0,MAX(0,MIN(S254,U254-AD254)))</f>
        <v/>
      </c>
      <c r="AF254">
        <f>IF(AND(P254="Creditor",X254=1,AE254&gt;0,Z254&lt;&gt;""),IF(Z254&lt;='Example Parties'!$E$8,AE254,0),0)</f>
        <v/>
      </c>
      <c r="AG254">
        <f>IF(OR(AE254=0,Z254=""),0,MAX(0,'Example Parties'!$E$8-Z254))</f>
        <v/>
      </c>
      <c r="AH254">
        <f>IF(AND(P254="Creditor",X254=1,AG254&gt;0),AE254*((1+3*N('Example Parties'!$E$10)/12)^(AG254*12/365)-1),0)</f>
        <v/>
      </c>
      <c r="AI254">
        <f>IF(AND(C254&lt;&gt;"",C254='Example Ledger'!$D$4,B254&lt;&gt;"",B254&gt;='Example Ledger'!$D$5,B254&lt;='Example Ledger'!$D$6),1,0)</f>
        <v/>
      </c>
      <c r="AJ254">
        <f>IF(AI254=1,SUM(AI$7:AI254),"")</f>
        <v/>
      </c>
      <c r="AK254">
        <f>IF(OR(N254="",N254="OK"),0,1)</f>
        <v/>
      </c>
    </row>
    <row r="255">
      <c r="B255" s="24" t="n"/>
      <c r="C255" s="14" t="n"/>
      <c r="D255" s="14" t="n"/>
      <c r="E255" s="20" t="n"/>
      <c r="F255" s="24" t="n"/>
      <c r="G255" s="14" t="n"/>
      <c r="H255" s="22" t="n"/>
      <c r="I255" s="25">
        <f>IF(Q255="D",N(H255),0)</f>
        <v/>
      </c>
      <c r="J255" s="25">
        <f>IF(Q255="C",N(H255),0)</f>
        <v/>
      </c>
      <c r="K255" s="26">
        <f>IF(Z255="","",Z255)</f>
        <v/>
      </c>
      <c r="L255" s="27">
        <f>W255</f>
        <v/>
      </c>
      <c r="M255" s="28">
        <f>AA255</f>
        <v/>
      </c>
      <c r="N255" s="23">
        <f>IF(AND(B255="",C255="",D255="",N(H255)=0),"",IF(B255="","Enter the date",IF(C255="","Pick the party",IF(P255="?","Add this party on the Parties sheet first",IF(D255="","Pick the entry type",IF(Q255="?","Pick the entry type from the list",IF(N(H255)=0,"Enter the amount",IF(AND(R255&lt;&gt;"Any",R255&lt;&gt;P255),"Sales, receipts and credit notes are for debtors; purchases, payments and debit notes for creditors",IF(AND(F255&lt;&gt;"",D255&lt;&gt;"Purchase bill"),"The received-on date is only for purchase bills",IF(AND(P255="Creditor",X255=1,AA255&gt;0),"Past due to a micro or small supplier: interest runs under MSMED s.16, and if unpaid at year end it is not deductible that year, s.37(2)(g)",IF(AND(P255="Debtor",X255=1,AA255&gt;0),"Past due to you: as a micro or small supplier you can claim interest under MSMED s.16","OK")))))))))))</f>
        <v/>
      </c>
      <c r="P255">
        <f>IF(C255="","",IFERROR(VLOOKUP(C255,'Example Parties'!$B$13:$Q$112,2,FALSE),"?"))</f>
        <v/>
      </c>
      <c r="Q255">
        <f>IF(D255="","",IFERROR(VLOOKUP(D255,Lists!$A$2:$D$9,3,FALSE),"?"))</f>
        <v/>
      </c>
      <c r="R255">
        <f>IF(D255="","",IFERROR(VLOOKUP(D255,Lists!$A$2:$D$9,4,FALSE),"?"))</f>
        <v/>
      </c>
      <c r="S255">
        <f>IF(P255="Debtor",I255,IF(P255="Creditor",J255,0))</f>
        <v/>
      </c>
      <c r="T255">
        <f>IF(P255="Debtor",J255,IF(P255="Creditor",I255,0))</f>
        <v/>
      </c>
      <c r="U255">
        <f>IF(OR(S255=0,B255=""),0,IFERROR(VLOOKUP(C255,'Example Parties'!$B$13:$Q$112,13,FALSE),0)+SUMIFS($S$7:$S$506,$C$7:$C$506,C255,$B$7:$B$506,"&lt;"&amp;B255)+SUMIFS(S$7:S255,C$7:C255,C255,B$7:B255,B255))</f>
        <v/>
      </c>
      <c r="V255">
        <f>IF(S255=0,0,IFERROR(VLOOKUP(C255,'Example Parties'!$B$13:$Q$112,14,FALSE),0)+SUMIFS($T$7:$T$506,$C$7:$C$506,C255,$B$7:$B$506,"&lt;="&amp;'Example Outstanding'!$E$5))</f>
        <v/>
      </c>
      <c r="W255">
        <f>IF(OR('Example Outstanding'!$E$5="",S255=0,B255="",B255&gt;'Example Outstanding'!$E$5),0,MAX(0,MIN(S255,U255-V255)))</f>
        <v/>
      </c>
      <c r="X255">
        <f>IF(C255="",0,IFERROR(VLOOKUP(C255,'Example Parties'!$B$13:$Q$112,15,FALSE),0))</f>
        <v/>
      </c>
      <c r="Y255">
        <f>IF(C255="","",IFERROR(VLOOKUP(C255,'Example Parties'!$B$13:$Q$112,16,FALSE),0))</f>
        <v/>
      </c>
      <c r="Z255">
        <f>IF(OR(S255=0,B255="",Y255=""),"",IF(AND(F255&lt;&gt;"",D255="Purchase bill"),F255,B255)+Y255)</f>
        <v/>
      </c>
      <c r="AA255">
        <f>IF(OR(W255=0,Z255=""),0,MAX(0,'Example Outstanding'!$E$5-Z255))</f>
        <v/>
      </c>
      <c r="AB255">
        <f>IF(AND(X255=1,AA255&gt;0),W255*((1+3*N('Example Parties'!$E$10)/12)^(AA255*12/365)-1),0)</f>
        <v/>
      </c>
      <c r="AC255">
        <f>IF(W255=0,"",'Example Outstanding'!$E$5-B255)</f>
        <v/>
      </c>
      <c r="AD255">
        <f>IF(S255=0,0,IFERROR(VLOOKUP(C255,'Example Parties'!$B$13:$Q$112,14,FALSE),0)+SUMIFS($T$7:$T$506,$C$7:$C$506,C255,$B$7:$B$506,"&lt;="&amp;'Example Parties'!$E$8))</f>
        <v/>
      </c>
      <c r="AE255">
        <f>IF(OR('Example Parties'!$E$8="",S255=0,B255="",B255&gt;'Example Parties'!$E$8),0,MAX(0,MIN(S255,U255-AD255)))</f>
        <v/>
      </c>
      <c r="AF255">
        <f>IF(AND(P255="Creditor",X255=1,AE255&gt;0,Z255&lt;&gt;""),IF(Z255&lt;='Example Parties'!$E$8,AE255,0),0)</f>
        <v/>
      </c>
      <c r="AG255">
        <f>IF(OR(AE255=0,Z255=""),0,MAX(0,'Example Parties'!$E$8-Z255))</f>
        <v/>
      </c>
      <c r="AH255">
        <f>IF(AND(P255="Creditor",X255=1,AG255&gt;0),AE255*((1+3*N('Example Parties'!$E$10)/12)^(AG255*12/365)-1),0)</f>
        <v/>
      </c>
      <c r="AI255">
        <f>IF(AND(C255&lt;&gt;"",C255='Example Ledger'!$D$4,B255&lt;&gt;"",B255&gt;='Example Ledger'!$D$5,B255&lt;='Example Ledger'!$D$6),1,0)</f>
        <v/>
      </c>
      <c r="AJ255">
        <f>IF(AI255=1,SUM(AI$7:AI255),"")</f>
        <v/>
      </c>
      <c r="AK255">
        <f>IF(OR(N255="",N255="OK"),0,1)</f>
        <v/>
      </c>
    </row>
    <row r="256">
      <c r="B256" s="24" t="n"/>
      <c r="C256" s="14" t="n"/>
      <c r="D256" s="14" t="n"/>
      <c r="E256" s="20" t="n"/>
      <c r="F256" s="24" t="n"/>
      <c r="G256" s="14" t="n"/>
      <c r="H256" s="22" t="n"/>
      <c r="I256" s="25">
        <f>IF(Q256="D",N(H256),0)</f>
        <v/>
      </c>
      <c r="J256" s="25">
        <f>IF(Q256="C",N(H256),0)</f>
        <v/>
      </c>
      <c r="K256" s="26">
        <f>IF(Z256="","",Z256)</f>
        <v/>
      </c>
      <c r="L256" s="27">
        <f>W256</f>
        <v/>
      </c>
      <c r="M256" s="28">
        <f>AA256</f>
        <v/>
      </c>
      <c r="N256" s="23">
        <f>IF(AND(B256="",C256="",D256="",N(H256)=0),"",IF(B256="","Enter the date",IF(C256="","Pick the party",IF(P256="?","Add this party on the Parties sheet first",IF(D256="","Pick the entry type",IF(Q256="?","Pick the entry type from the list",IF(N(H256)=0,"Enter the amount",IF(AND(R256&lt;&gt;"Any",R256&lt;&gt;P256),"Sales, receipts and credit notes are for debtors; purchases, payments and debit notes for creditors",IF(AND(F256&lt;&gt;"",D256&lt;&gt;"Purchase bill"),"The received-on date is only for purchase bills",IF(AND(P256="Creditor",X256=1,AA256&gt;0),"Past due to a micro or small supplier: interest runs under MSMED s.16, and if unpaid at year end it is not deductible that year, s.37(2)(g)",IF(AND(P256="Debtor",X256=1,AA256&gt;0),"Past due to you: as a micro or small supplier you can claim interest under MSMED s.16","OK")))))))))))</f>
        <v/>
      </c>
      <c r="P256">
        <f>IF(C256="","",IFERROR(VLOOKUP(C256,'Example Parties'!$B$13:$Q$112,2,FALSE),"?"))</f>
        <v/>
      </c>
      <c r="Q256">
        <f>IF(D256="","",IFERROR(VLOOKUP(D256,Lists!$A$2:$D$9,3,FALSE),"?"))</f>
        <v/>
      </c>
      <c r="R256">
        <f>IF(D256="","",IFERROR(VLOOKUP(D256,Lists!$A$2:$D$9,4,FALSE),"?"))</f>
        <v/>
      </c>
      <c r="S256">
        <f>IF(P256="Debtor",I256,IF(P256="Creditor",J256,0))</f>
        <v/>
      </c>
      <c r="T256">
        <f>IF(P256="Debtor",J256,IF(P256="Creditor",I256,0))</f>
        <v/>
      </c>
      <c r="U256">
        <f>IF(OR(S256=0,B256=""),0,IFERROR(VLOOKUP(C256,'Example Parties'!$B$13:$Q$112,13,FALSE),0)+SUMIFS($S$7:$S$506,$C$7:$C$506,C256,$B$7:$B$506,"&lt;"&amp;B256)+SUMIFS(S$7:S256,C$7:C256,C256,B$7:B256,B256))</f>
        <v/>
      </c>
      <c r="V256">
        <f>IF(S256=0,0,IFERROR(VLOOKUP(C256,'Example Parties'!$B$13:$Q$112,14,FALSE),0)+SUMIFS($T$7:$T$506,$C$7:$C$506,C256,$B$7:$B$506,"&lt;="&amp;'Example Outstanding'!$E$5))</f>
        <v/>
      </c>
      <c r="W256">
        <f>IF(OR('Example Outstanding'!$E$5="",S256=0,B256="",B256&gt;'Example Outstanding'!$E$5),0,MAX(0,MIN(S256,U256-V256)))</f>
        <v/>
      </c>
      <c r="X256">
        <f>IF(C256="",0,IFERROR(VLOOKUP(C256,'Example Parties'!$B$13:$Q$112,15,FALSE),0))</f>
        <v/>
      </c>
      <c r="Y256">
        <f>IF(C256="","",IFERROR(VLOOKUP(C256,'Example Parties'!$B$13:$Q$112,16,FALSE),0))</f>
        <v/>
      </c>
      <c r="Z256">
        <f>IF(OR(S256=0,B256="",Y256=""),"",IF(AND(F256&lt;&gt;"",D256="Purchase bill"),F256,B256)+Y256)</f>
        <v/>
      </c>
      <c r="AA256">
        <f>IF(OR(W256=0,Z256=""),0,MAX(0,'Example Outstanding'!$E$5-Z256))</f>
        <v/>
      </c>
      <c r="AB256">
        <f>IF(AND(X256=1,AA256&gt;0),W256*((1+3*N('Example Parties'!$E$10)/12)^(AA256*12/365)-1),0)</f>
        <v/>
      </c>
      <c r="AC256">
        <f>IF(W256=0,"",'Example Outstanding'!$E$5-B256)</f>
        <v/>
      </c>
      <c r="AD256">
        <f>IF(S256=0,0,IFERROR(VLOOKUP(C256,'Example Parties'!$B$13:$Q$112,14,FALSE),0)+SUMIFS($T$7:$T$506,$C$7:$C$506,C256,$B$7:$B$506,"&lt;="&amp;'Example Parties'!$E$8))</f>
        <v/>
      </c>
      <c r="AE256">
        <f>IF(OR('Example Parties'!$E$8="",S256=0,B256="",B256&gt;'Example Parties'!$E$8),0,MAX(0,MIN(S256,U256-AD256)))</f>
        <v/>
      </c>
      <c r="AF256">
        <f>IF(AND(P256="Creditor",X256=1,AE256&gt;0,Z256&lt;&gt;""),IF(Z256&lt;='Example Parties'!$E$8,AE256,0),0)</f>
        <v/>
      </c>
      <c r="AG256">
        <f>IF(OR(AE256=0,Z256=""),0,MAX(0,'Example Parties'!$E$8-Z256))</f>
        <v/>
      </c>
      <c r="AH256">
        <f>IF(AND(P256="Creditor",X256=1,AG256&gt;0),AE256*((1+3*N('Example Parties'!$E$10)/12)^(AG256*12/365)-1),0)</f>
        <v/>
      </c>
      <c r="AI256">
        <f>IF(AND(C256&lt;&gt;"",C256='Example Ledger'!$D$4,B256&lt;&gt;"",B256&gt;='Example Ledger'!$D$5,B256&lt;='Example Ledger'!$D$6),1,0)</f>
        <v/>
      </c>
      <c r="AJ256">
        <f>IF(AI256=1,SUM(AI$7:AI256),"")</f>
        <v/>
      </c>
      <c r="AK256">
        <f>IF(OR(N256="",N256="OK"),0,1)</f>
        <v/>
      </c>
    </row>
    <row r="257">
      <c r="B257" s="24" t="n"/>
      <c r="C257" s="14" t="n"/>
      <c r="D257" s="14" t="n"/>
      <c r="E257" s="20" t="n"/>
      <c r="F257" s="24" t="n"/>
      <c r="G257" s="14" t="n"/>
      <c r="H257" s="22" t="n"/>
      <c r="I257" s="25">
        <f>IF(Q257="D",N(H257),0)</f>
        <v/>
      </c>
      <c r="J257" s="25">
        <f>IF(Q257="C",N(H257),0)</f>
        <v/>
      </c>
      <c r="K257" s="26">
        <f>IF(Z257="","",Z257)</f>
        <v/>
      </c>
      <c r="L257" s="27">
        <f>W257</f>
        <v/>
      </c>
      <c r="M257" s="28">
        <f>AA257</f>
        <v/>
      </c>
      <c r="N257" s="23">
        <f>IF(AND(B257="",C257="",D257="",N(H257)=0),"",IF(B257="","Enter the date",IF(C257="","Pick the party",IF(P257="?","Add this party on the Parties sheet first",IF(D257="","Pick the entry type",IF(Q257="?","Pick the entry type from the list",IF(N(H257)=0,"Enter the amount",IF(AND(R257&lt;&gt;"Any",R257&lt;&gt;P257),"Sales, receipts and credit notes are for debtors; purchases, payments and debit notes for creditors",IF(AND(F257&lt;&gt;"",D257&lt;&gt;"Purchase bill"),"The received-on date is only for purchase bills",IF(AND(P257="Creditor",X257=1,AA257&gt;0),"Past due to a micro or small supplier: interest runs under MSMED s.16, and if unpaid at year end it is not deductible that year, s.37(2)(g)",IF(AND(P257="Debtor",X257=1,AA257&gt;0),"Past due to you: as a micro or small supplier you can claim interest under MSMED s.16","OK")))))))))))</f>
        <v/>
      </c>
      <c r="P257">
        <f>IF(C257="","",IFERROR(VLOOKUP(C257,'Example Parties'!$B$13:$Q$112,2,FALSE),"?"))</f>
        <v/>
      </c>
      <c r="Q257">
        <f>IF(D257="","",IFERROR(VLOOKUP(D257,Lists!$A$2:$D$9,3,FALSE),"?"))</f>
        <v/>
      </c>
      <c r="R257">
        <f>IF(D257="","",IFERROR(VLOOKUP(D257,Lists!$A$2:$D$9,4,FALSE),"?"))</f>
        <v/>
      </c>
      <c r="S257">
        <f>IF(P257="Debtor",I257,IF(P257="Creditor",J257,0))</f>
        <v/>
      </c>
      <c r="T257">
        <f>IF(P257="Debtor",J257,IF(P257="Creditor",I257,0))</f>
        <v/>
      </c>
      <c r="U257">
        <f>IF(OR(S257=0,B257=""),0,IFERROR(VLOOKUP(C257,'Example Parties'!$B$13:$Q$112,13,FALSE),0)+SUMIFS($S$7:$S$506,$C$7:$C$506,C257,$B$7:$B$506,"&lt;"&amp;B257)+SUMIFS(S$7:S257,C$7:C257,C257,B$7:B257,B257))</f>
        <v/>
      </c>
      <c r="V257">
        <f>IF(S257=0,0,IFERROR(VLOOKUP(C257,'Example Parties'!$B$13:$Q$112,14,FALSE),0)+SUMIFS($T$7:$T$506,$C$7:$C$506,C257,$B$7:$B$506,"&lt;="&amp;'Example Outstanding'!$E$5))</f>
        <v/>
      </c>
      <c r="W257">
        <f>IF(OR('Example Outstanding'!$E$5="",S257=0,B257="",B257&gt;'Example Outstanding'!$E$5),0,MAX(0,MIN(S257,U257-V257)))</f>
        <v/>
      </c>
      <c r="X257">
        <f>IF(C257="",0,IFERROR(VLOOKUP(C257,'Example Parties'!$B$13:$Q$112,15,FALSE),0))</f>
        <v/>
      </c>
      <c r="Y257">
        <f>IF(C257="","",IFERROR(VLOOKUP(C257,'Example Parties'!$B$13:$Q$112,16,FALSE),0))</f>
        <v/>
      </c>
      <c r="Z257">
        <f>IF(OR(S257=0,B257="",Y257=""),"",IF(AND(F257&lt;&gt;"",D257="Purchase bill"),F257,B257)+Y257)</f>
        <v/>
      </c>
      <c r="AA257">
        <f>IF(OR(W257=0,Z257=""),0,MAX(0,'Example Outstanding'!$E$5-Z257))</f>
        <v/>
      </c>
      <c r="AB257">
        <f>IF(AND(X257=1,AA257&gt;0),W257*((1+3*N('Example Parties'!$E$10)/12)^(AA257*12/365)-1),0)</f>
        <v/>
      </c>
      <c r="AC257">
        <f>IF(W257=0,"",'Example Outstanding'!$E$5-B257)</f>
        <v/>
      </c>
      <c r="AD257">
        <f>IF(S257=0,0,IFERROR(VLOOKUP(C257,'Example Parties'!$B$13:$Q$112,14,FALSE),0)+SUMIFS($T$7:$T$506,$C$7:$C$506,C257,$B$7:$B$506,"&lt;="&amp;'Example Parties'!$E$8))</f>
        <v/>
      </c>
      <c r="AE257">
        <f>IF(OR('Example Parties'!$E$8="",S257=0,B257="",B257&gt;'Example Parties'!$E$8),0,MAX(0,MIN(S257,U257-AD257)))</f>
        <v/>
      </c>
      <c r="AF257">
        <f>IF(AND(P257="Creditor",X257=1,AE257&gt;0,Z257&lt;&gt;""),IF(Z257&lt;='Example Parties'!$E$8,AE257,0),0)</f>
        <v/>
      </c>
      <c r="AG257">
        <f>IF(OR(AE257=0,Z257=""),0,MAX(0,'Example Parties'!$E$8-Z257))</f>
        <v/>
      </c>
      <c r="AH257">
        <f>IF(AND(P257="Creditor",X257=1,AG257&gt;0),AE257*((1+3*N('Example Parties'!$E$10)/12)^(AG257*12/365)-1),0)</f>
        <v/>
      </c>
      <c r="AI257">
        <f>IF(AND(C257&lt;&gt;"",C257='Example Ledger'!$D$4,B257&lt;&gt;"",B257&gt;='Example Ledger'!$D$5,B257&lt;='Example Ledger'!$D$6),1,0)</f>
        <v/>
      </c>
      <c r="AJ257">
        <f>IF(AI257=1,SUM(AI$7:AI257),"")</f>
        <v/>
      </c>
      <c r="AK257">
        <f>IF(OR(N257="",N257="OK"),0,1)</f>
        <v/>
      </c>
    </row>
    <row r="258">
      <c r="B258" s="24" t="n"/>
      <c r="C258" s="14" t="n"/>
      <c r="D258" s="14" t="n"/>
      <c r="E258" s="20" t="n"/>
      <c r="F258" s="24" t="n"/>
      <c r="G258" s="14" t="n"/>
      <c r="H258" s="22" t="n"/>
      <c r="I258" s="25">
        <f>IF(Q258="D",N(H258),0)</f>
        <v/>
      </c>
      <c r="J258" s="25">
        <f>IF(Q258="C",N(H258),0)</f>
        <v/>
      </c>
      <c r="K258" s="26">
        <f>IF(Z258="","",Z258)</f>
        <v/>
      </c>
      <c r="L258" s="27">
        <f>W258</f>
        <v/>
      </c>
      <c r="M258" s="28">
        <f>AA258</f>
        <v/>
      </c>
      <c r="N258" s="23">
        <f>IF(AND(B258="",C258="",D258="",N(H258)=0),"",IF(B258="","Enter the date",IF(C258="","Pick the party",IF(P258="?","Add this party on the Parties sheet first",IF(D258="","Pick the entry type",IF(Q258="?","Pick the entry type from the list",IF(N(H258)=0,"Enter the amount",IF(AND(R258&lt;&gt;"Any",R258&lt;&gt;P258),"Sales, receipts and credit notes are for debtors; purchases, payments and debit notes for creditors",IF(AND(F258&lt;&gt;"",D258&lt;&gt;"Purchase bill"),"The received-on date is only for purchase bills",IF(AND(P258="Creditor",X258=1,AA258&gt;0),"Past due to a micro or small supplier: interest runs under MSMED s.16, and if unpaid at year end it is not deductible that year, s.37(2)(g)",IF(AND(P258="Debtor",X258=1,AA258&gt;0),"Past due to you: as a micro or small supplier you can claim interest under MSMED s.16","OK")))))))))))</f>
        <v/>
      </c>
      <c r="P258">
        <f>IF(C258="","",IFERROR(VLOOKUP(C258,'Example Parties'!$B$13:$Q$112,2,FALSE),"?"))</f>
        <v/>
      </c>
      <c r="Q258">
        <f>IF(D258="","",IFERROR(VLOOKUP(D258,Lists!$A$2:$D$9,3,FALSE),"?"))</f>
        <v/>
      </c>
      <c r="R258">
        <f>IF(D258="","",IFERROR(VLOOKUP(D258,Lists!$A$2:$D$9,4,FALSE),"?"))</f>
        <v/>
      </c>
      <c r="S258">
        <f>IF(P258="Debtor",I258,IF(P258="Creditor",J258,0))</f>
        <v/>
      </c>
      <c r="T258">
        <f>IF(P258="Debtor",J258,IF(P258="Creditor",I258,0))</f>
        <v/>
      </c>
      <c r="U258">
        <f>IF(OR(S258=0,B258=""),0,IFERROR(VLOOKUP(C258,'Example Parties'!$B$13:$Q$112,13,FALSE),0)+SUMIFS($S$7:$S$506,$C$7:$C$506,C258,$B$7:$B$506,"&lt;"&amp;B258)+SUMIFS(S$7:S258,C$7:C258,C258,B$7:B258,B258))</f>
        <v/>
      </c>
      <c r="V258">
        <f>IF(S258=0,0,IFERROR(VLOOKUP(C258,'Example Parties'!$B$13:$Q$112,14,FALSE),0)+SUMIFS($T$7:$T$506,$C$7:$C$506,C258,$B$7:$B$506,"&lt;="&amp;'Example Outstanding'!$E$5))</f>
        <v/>
      </c>
      <c r="W258">
        <f>IF(OR('Example Outstanding'!$E$5="",S258=0,B258="",B258&gt;'Example Outstanding'!$E$5),0,MAX(0,MIN(S258,U258-V258)))</f>
        <v/>
      </c>
      <c r="X258">
        <f>IF(C258="",0,IFERROR(VLOOKUP(C258,'Example Parties'!$B$13:$Q$112,15,FALSE),0))</f>
        <v/>
      </c>
      <c r="Y258">
        <f>IF(C258="","",IFERROR(VLOOKUP(C258,'Example Parties'!$B$13:$Q$112,16,FALSE),0))</f>
        <v/>
      </c>
      <c r="Z258">
        <f>IF(OR(S258=0,B258="",Y258=""),"",IF(AND(F258&lt;&gt;"",D258="Purchase bill"),F258,B258)+Y258)</f>
        <v/>
      </c>
      <c r="AA258">
        <f>IF(OR(W258=0,Z258=""),0,MAX(0,'Example Outstanding'!$E$5-Z258))</f>
        <v/>
      </c>
      <c r="AB258">
        <f>IF(AND(X258=1,AA258&gt;0),W258*((1+3*N('Example Parties'!$E$10)/12)^(AA258*12/365)-1),0)</f>
        <v/>
      </c>
      <c r="AC258">
        <f>IF(W258=0,"",'Example Outstanding'!$E$5-B258)</f>
        <v/>
      </c>
      <c r="AD258">
        <f>IF(S258=0,0,IFERROR(VLOOKUP(C258,'Example Parties'!$B$13:$Q$112,14,FALSE),0)+SUMIFS($T$7:$T$506,$C$7:$C$506,C258,$B$7:$B$506,"&lt;="&amp;'Example Parties'!$E$8))</f>
        <v/>
      </c>
      <c r="AE258">
        <f>IF(OR('Example Parties'!$E$8="",S258=0,B258="",B258&gt;'Example Parties'!$E$8),0,MAX(0,MIN(S258,U258-AD258)))</f>
        <v/>
      </c>
      <c r="AF258">
        <f>IF(AND(P258="Creditor",X258=1,AE258&gt;0,Z258&lt;&gt;""),IF(Z258&lt;='Example Parties'!$E$8,AE258,0),0)</f>
        <v/>
      </c>
      <c r="AG258">
        <f>IF(OR(AE258=0,Z258=""),0,MAX(0,'Example Parties'!$E$8-Z258))</f>
        <v/>
      </c>
      <c r="AH258">
        <f>IF(AND(P258="Creditor",X258=1,AG258&gt;0),AE258*((1+3*N('Example Parties'!$E$10)/12)^(AG258*12/365)-1),0)</f>
        <v/>
      </c>
      <c r="AI258">
        <f>IF(AND(C258&lt;&gt;"",C258='Example Ledger'!$D$4,B258&lt;&gt;"",B258&gt;='Example Ledger'!$D$5,B258&lt;='Example Ledger'!$D$6),1,0)</f>
        <v/>
      </c>
      <c r="AJ258">
        <f>IF(AI258=1,SUM(AI$7:AI258),"")</f>
        <v/>
      </c>
      <c r="AK258">
        <f>IF(OR(N258="",N258="OK"),0,1)</f>
        <v/>
      </c>
    </row>
    <row r="259">
      <c r="B259" s="24" t="n"/>
      <c r="C259" s="14" t="n"/>
      <c r="D259" s="14" t="n"/>
      <c r="E259" s="20" t="n"/>
      <c r="F259" s="24" t="n"/>
      <c r="G259" s="14" t="n"/>
      <c r="H259" s="22" t="n"/>
      <c r="I259" s="25">
        <f>IF(Q259="D",N(H259),0)</f>
        <v/>
      </c>
      <c r="J259" s="25">
        <f>IF(Q259="C",N(H259),0)</f>
        <v/>
      </c>
      <c r="K259" s="26">
        <f>IF(Z259="","",Z259)</f>
        <v/>
      </c>
      <c r="L259" s="27">
        <f>W259</f>
        <v/>
      </c>
      <c r="M259" s="28">
        <f>AA259</f>
        <v/>
      </c>
      <c r="N259" s="23">
        <f>IF(AND(B259="",C259="",D259="",N(H259)=0),"",IF(B259="","Enter the date",IF(C259="","Pick the party",IF(P259="?","Add this party on the Parties sheet first",IF(D259="","Pick the entry type",IF(Q259="?","Pick the entry type from the list",IF(N(H259)=0,"Enter the amount",IF(AND(R259&lt;&gt;"Any",R259&lt;&gt;P259),"Sales, receipts and credit notes are for debtors; purchases, payments and debit notes for creditors",IF(AND(F259&lt;&gt;"",D259&lt;&gt;"Purchase bill"),"The received-on date is only for purchase bills",IF(AND(P259="Creditor",X259=1,AA259&gt;0),"Past due to a micro or small supplier: interest runs under MSMED s.16, and if unpaid at year end it is not deductible that year, s.37(2)(g)",IF(AND(P259="Debtor",X259=1,AA259&gt;0),"Past due to you: as a micro or small supplier you can claim interest under MSMED s.16","OK")))))))))))</f>
        <v/>
      </c>
      <c r="P259">
        <f>IF(C259="","",IFERROR(VLOOKUP(C259,'Example Parties'!$B$13:$Q$112,2,FALSE),"?"))</f>
        <v/>
      </c>
      <c r="Q259">
        <f>IF(D259="","",IFERROR(VLOOKUP(D259,Lists!$A$2:$D$9,3,FALSE),"?"))</f>
        <v/>
      </c>
      <c r="R259">
        <f>IF(D259="","",IFERROR(VLOOKUP(D259,Lists!$A$2:$D$9,4,FALSE),"?"))</f>
        <v/>
      </c>
      <c r="S259">
        <f>IF(P259="Debtor",I259,IF(P259="Creditor",J259,0))</f>
        <v/>
      </c>
      <c r="T259">
        <f>IF(P259="Debtor",J259,IF(P259="Creditor",I259,0))</f>
        <v/>
      </c>
      <c r="U259">
        <f>IF(OR(S259=0,B259=""),0,IFERROR(VLOOKUP(C259,'Example Parties'!$B$13:$Q$112,13,FALSE),0)+SUMIFS($S$7:$S$506,$C$7:$C$506,C259,$B$7:$B$506,"&lt;"&amp;B259)+SUMIFS(S$7:S259,C$7:C259,C259,B$7:B259,B259))</f>
        <v/>
      </c>
      <c r="V259">
        <f>IF(S259=0,0,IFERROR(VLOOKUP(C259,'Example Parties'!$B$13:$Q$112,14,FALSE),0)+SUMIFS($T$7:$T$506,$C$7:$C$506,C259,$B$7:$B$506,"&lt;="&amp;'Example Outstanding'!$E$5))</f>
        <v/>
      </c>
      <c r="W259">
        <f>IF(OR('Example Outstanding'!$E$5="",S259=0,B259="",B259&gt;'Example Outstanding'!$E$5),0,MAX(0,MIN(S259,U259-V259)))</f>
        <v/>
      </c>
      <c r="X259">
        <f>IF(C259="",0,IFERROR(VLOOKUP(C259,'Example Parties'!$B$13:$Q$112,15,FALSE),0))</f>
        <v/>
      </c>
      <c r="Y259">
        <f>IF(C259="","",IFERROR(VLOOKUP(C259,'Example Parties'!$B$13:$Q$112,16,FALSE),0))</f>
        <v/>
      </c>
      <c r="Z259">
        <f>IF(OR(S259=0,B259="",Y259=""),"",IF(AND(F259&lt;&gt;"",D259="Purchase bill"),F259,B259)+Y259)</f>
        <v/>
      </c>
      <c r="AA259">
        <f>IF(OR(W259=0,Z259=""),0,MAX(0,'Example Outstanding'!$E$5-Z259))</f>
        <v/>
      </c>
      <c r="AB259">
        <f>IF(AND(X259=1,AA259&gt;0),W259*((1+3*N('Example Parties'!$E$10)/12)^(AA259*12/365)-1),0)</f>
        <v/>
      </c>
      <c r="AC259">
        <f>IF(W259=0,"",'Example Outstanding'!$E$5-B259)</f>
        <v/>
      </c>
      <c r="AD259">
        <f>IF(S259=0,0,IFERROR(VLOOKUP(C259,'Example Parties'!$B$13:$Q$112,14,FALSE),0)+SUMIFS($T$7:$T$506,$C$7:$C$506,C259,$B$7:$B$506,"&lt;="&amp;'Example Parties'!$E$8))</f>
        <v/>
      </c>
      <c r="AE259">
        <f>IF(OR('Example Parties'!$E$8="",S259=0,B259="",B259&gt;'Example Parties'!$E$8),0,MAX(0,MIN(S259,U259-AD259)))</f>
        <v/>
      </c>
      <c r="AF259">
        <f>IF(AND(P259="Creditor",X259=1,AE259&gt;0,Z259&lt;&gt;""),IF(Z259&lt;='Example Parties'!$E$8,AE259,0),0)</f>
        <v/>
      </c>
      <c r="AG259">
        <f>IF(OR(AE259=0,Z259=""),0,MAX(0,'Example Parties'!$E$8-Z259))</f>
        <v/>
      </c>
      <c r="AH259">
        <f>IF(AND(P259="Creditor",X259=1,AG259&gt;0),AE259*((1+3*N('Example Parties'!$E$10)/12)^(AG259*12/365)-1),0)</f>
        <v/>
      </c>
      <c r="AI259">
        <f>IF(AND(C259&lt;&gt;"",C259='Example Ledger'!$D$4,B259&lt;&gt;"",B259&gt;='Example Ledger'!$D$5,B259&lt;='Example Ledger'!$D$6),1,0)</f>
        <v/>
      </c>
      <c r="AJ259">
        <f>IF(AI259=1,SUM(AI$7:AI259),"")</f>
        <v/>
      </c>
      <c r="AK259">
        <f>IF(OR(N259="",N259="OK"),0,1)</f>
        <v/>
      </c>
    </row>
    <row r="260">
      <c r="B260" s="24" t="n"/>
      <c r="C260" s="14" t="n"/>
      <c r="D260" s="14" t="n"/>
      <c r="E260" s="20" t="n"/>
      <c r="F260" s="24" t="n"/>
      <c r="G260" s="14" t="n"/>
      <c r="H260" s="22" t="n"/>
      <c r="I260" s="25">
        <f>IF(Q260="D",N(H260),0)</f>
        <v/>
      </c>
      <c r="J260" s="25">
        <f>IF(Q260="C",N(H260),0)</f>
        <v/>
      </c>
      <c r="K260" s="26">
        <f>IF(Z260="","",Z260)</f>
        <v/>
      </c>
      <c r="L260" s="27">
        <f>W260</f>
        <v/>
      </c>
      <c r="M260" s="28">
        <f>AA260</f>
        <v/>
      </c>
      <c r="N260" s="23">
        <f>IF(AND(B260="",C260="",D260="",N(H260)=0),"",IF(B260="","Enter the date",IF(C260="","Pick the party",IF(P260="?","Add this party on the Parties sheet first",IF(D260="","Pick the entry type",IF(Q260="?","Pick the entry type from the list",IF(N(H260)=0,"Enter the amount",IF(AND(R260&lt;&gt;"Any",R260&lt;&gt;P260),"Sales, receipts and credit notes are for debtors; purchases, payments and debit notes for creditors",IF(AND(F260&lt;&gt;"",D260&lt;&gt;"Purchase bill"),"The received-on date is only for purchase bills",IF(AND(P260="Creditor",X260=1,AA260&gt;0),"Past due to a micro or small supplier: interest runs under MSMED s.16, and if unpaid at year end it is not deductible that year, s.37(2)(g)",IF(AND(P260="Debtor",X260=1,AA260&gt;0),"Past due to you: as a micro or small supplier you can claim interest under MSMED s.16","OK")))))))))))</f>
        <v/>
      </c>
      <c r="P260">
        <f>IF(C260="","",IFERROR(VLOOKUP(C260,'Example Parties'!$B$13:$Q$112,2,FALSE),"?"))</f>
        <v/>
      </c>
      <c r="Q260">
        <f>IF(D260="","",IFERROR(VLOOKUP(D260,Lists!$A$2:$D$9,3,FALSE),"?"))</f>
        <v/>
      </c>
      <c r="R260">
        <f>IF(D260="","",IFERROR(VLOOKUP(D260,Lists!$A$2:$D$9,4,FALSE),"?"))</f>
        <v/>
      </c>
      <c r="S260">
        <f>IF(P260="Debtor",I260,IF(P260="Creditor",J260,0))</f>
        <v/>
      </c>
      <c r="T260">
        <f>IF(P260="Debtor",J260,IF(P260="Creditor",I260,0))</f>
        <v/>
      </c>
      <c r="U260">
        <f>IF(OR(S260=0,B260=""),0,IFERROR(VLOOKUP(C260,'Example Parties'!$B$13:$Q$112,13,FALSE),0)+SUMIFS($S$7:$S$506,$C$7:$C$506,C260,$B$7:$B$506,"&lt;"&amp;B260)+SUMIFS(S$7:S260,C$7:C260,C260,B$7:B260,B260))</f>
        <v/>
      </c>
      <c r="V260">
        <f>IF(S260=0,0,IFERROR(VLOOKUP(C260,'Example Parties'!$B$13:$Q$112,14,FALSE),0)+SUMIFS($T$7:$T$506,$C$7:$C$506,C260,$B$7:$B$506,"&lt;="&amp;'Example Outstanding'!$E$5))</f>
        <v/>
      </c>
      <c r="W260">
        <f>IF(OR('Example Outstanding'!$E$5="",S260=0,B260="",B260&gt;'Example Outstanding'!$E$5),0,MAX(0,MIN(S260,U260-V260)))</f>
        <v/>
      </c>
      <c r="X260">
        <f>IF(C260="",0,IFERROR(VLOOKUP(C260,'Example Parties'!$B$13:$Q$112,15,FALSE),0))</f>
        <v/>
      </c>
      <c r="Y260">
        <f>IF(C260="","",IFERROR(VLOOKUP(C260,'Example Parties'!$B$13:$Q$112,16,FALSE),0))</f>
        <v/>
      </c>
      <c r="Z260">
        <f>IF(OR(S260=0,B260="",Y260=""),"",IF(AND(F260&lt;&gt;"",D260="Purchase bill"),F260,B260)+Y260)</f>
        <v/>
      </c>
      <c r="AA260">
        <f>IF(OR(W260=0,Z260=""),0,MAX(0,'Example Outstanding'!$E$5-Z260))</f>
        <v/>
      </c>
      <c r="AB260">
        <f>IF(AND(X260=1,AA260&gt;0),W260*((1+3*N('Example Parties'!$E$10)/12)^(AA260*12/365)-1),0)</f>
        <v/>
      </c>
      <c r="AC260">
        <f>IF(W260=0,"",'Example Outstanding'!$E$5-B260)</f>
        <v/>
      </c>
      <c r="AD260">
        <f>IF(S260=0,0,IFERROR(VLOOKUP(C260,'Example Parties'!$B$13:$Q$112,14,FALSE),0)+SUMIFS($T$7:$T$506,$C$7:$C$506,C260,$B$7:$B$506,"&lt;="&amp;'Example Parties'!$E$8))</f>
        <v/>
      </c>
      <c r="AE260">
        <f>IF(OR('Example Parties'!$E$8="",S260=0,B260="",B260&gt;'Example Parties'!$E$8),0,MAX(0,MIN(S260,U260-AD260)))</f>
        <v/>
      </c>
      <c r="AF260">
        <f>IF(AND(P260="Creditor",X260=1,AE260&gt;0,Z260&lt;&gt;""),IF(Z260&lt;='Example Parties'!$E$8,AE260,0),0)</f>
        <v/>
      </c>
      <c r="AG260">
        <f>IF(OR(AE260=0,Z260=""),0,MAX(0,'Example Parties'!$E$8-Z260))</f>
        <v/>
      </c>
      <c r="AH260">
        <f>IF(AND(P260="Creditor",X260=1,AG260&gt;0),AE260*((1+3*N('Example Parties'!$E$10)/12)^(AG260*12/365)-1),0)</f>
        <v/>
      </c>
      <c r="AI260">
        <f>IF(AND(C260&lt;&gt;"",C260='Example Ledger'!$D$4,B260&lt;&gt;"",B260&gt;='Example Ledger'!$D$5,B260&lt;='Example Ledger'!$D$6),1,0)</f>
        <v/>
      </c>
      <c r="AJ260">
        <f>IF(AI260=1,SUM(AI$7:AI260),"")</f>
        <v/>
      </c>
      <c r="AK260">
        <f>IF(OR(N260="",N260="OK"),0,1)</f>
        <v/>
      </c>
    </row>
    <row r="261">
      <c r="B261" s="24" t="n"/>
      <c r="C261" s="14" t="n"/>
      <c r="D261" s="14" t="n"/>
      <c r="E261" s="20" t="n"/>
      <c r="F261" s="24" t="n"/>
      <c r="G261" s="14" t="n"/>
      <c r="H261" s="22" t="n"/>
      <c r="I261" s="25">
        <f>IF(Q261="D",N(H261),0)</f>
        <v/>
      </c>
      <c r="J261" s="25">
        <f>IF(Q261="C",N(H261),0)</f>
        <v/>
      </c>
      <c r="K261" s="26">
        <f>IF(Z261="","",Z261)</f>
        <v/>
      </c>
      <c r="L261" s="27">
        <f>W261</f>
        <v/>
      </c>
      <c r="M261" s="28">
        <f>AA261</f>
        <v/>
      </c>
      <c r="N261" s="23">
        <f>IF(AND(B261="",C261="",D261="",N(H261)=0),"",IF(B261="","Enter the date",IF(C261="","Pick the party",IF(P261="?","Add this party on the Parties sheet first",IF(D261="","Pick the entry type",IF(Q261="?","Pick the entry type from the list",IF(N(H261)=0,"Enter the amount",IF(AND(R261&lt;&gt;"Any",R261&lt;&gt;P261),"Sales, receipts and credit notes are for debtors; purchases, payments and debit notes for creditors",IF(AND(F261&lt;&gt;"",D261&lt;&gt;"Purchase bill"),"The received-on date is only for purchase bills",IF(AND(P261="Creditor",X261=1,AA261&gt;0),"Past due to a micro or small supplier: interest runs under MSMED s.16, and if unpaid at year end it is not deductible that year, s.37(2)(g)",IF(AND(P261="Debtor",X261=1,AA261&gt;0),"Past due to you: as a micro or small supplier you can claim interest under MSMED s.16","OK")))))))))))</f>
        <v/>
      </c>
      <c r="P261">
        <f>IF(C261="","",IFERROR(VLOOKUP(C261,'Example Parties'!$B$13:$Q$112,2,FALSE),"?"))</f>
        <v/>
      </c>
      <c r="Q261">
        <f>IF(D261="","",IFERROR(VLOOKUP(D261,Lists!$A$2:$D$9,3,FALSE),"?"))</f>
        <v/>
      </c>
      <c r="R261">
        <f>IF(D261="","",IFERROR(VLOOKUP(D261,Lists!$A$2:$D$9,4,FALSE),"?"))</f>
        <v/>
      </c>
      <c r="S261">
        <f>IF(P261="Debtor",I261,IF(P261="Creditor",J261,0))</f>
        <v/>
      </c>
      <c r="T261">
        <f>IF(P261="Debtor",J261,IF(P261="Creditor",I261,0))</f>
        <v/>
      </c>
      <c r="U261">
        <f>IF(OR(S261=0,B261=""),0,IFERROR(VLOOKUP(C261,'Example Parties'!$B$13:$Q$112,13,FALSE),0)+SUMIFS($S$7:$S$506,$C$7:$C$506,C261,$B$7:$B$506,"&lt;"&amp;B261)+SUMIFS(S$7:S261,C$7:C261,C261,B$7:B261,B261))</f>
        <v/>
      </c>
      <c r="V261">
        <f>IF(S261=0,0,IFERROR(VLOOKUP(C261,'Example Parties'!$B$13:$Q$112,14,FALSE),0)+SUMIFS($T$7:$T$506,$C$7:$C$506,C261,$B$7:$B$506,"&lt;="&amp;'Example Outstanding'!$E$5))</f>
        <v/>
      </c>
      <c r="W261">
        <f>IF(OR('Example Outstanding'!$E$5="",S261=0,B261="",B261&gt;'Example Outstanding'!$E$5),0,MAX(0,MIN(S261,U261-V261)))</f>
        <v/>
      </c>
      <c r="X261">
        <f>IF(C261="",0,IFERROR(VLOOKUP(C261,'Example Parties'!$B$13:$Q$112,15,FALSE),0))</f>
        <v/>
      </c>
      <c r="Y261">
        <f>IF(C261="","",IFERROR(VLOOKUP(C261,'Example Parties'!$B$13:$Q$112,16,FALSE),0))</f>
        <v/>
      </c>
      <c r="Z261">
        <f>IF(OR(S261=0,B261="",Y261=""),"",IF(AND(F261&lt;&gt;"",D261="Purchase bill"),F261,B261)+Y261)</f>
        <v/>
      </c>
      <c r="AA261">
        <f>IF(OR(W261=0,Z261=""),0,MAX(0,'Example Outstanding'!$E$5-Z261))</f>
        <v/>
      </c>
      <c r="AB261">
        <f>IF(AND(X261=1,AA261&gt;0),W261*((1+3*N('Example Parties'!$E$10)/12)^(AA261*12/365)-1),0)</f>
        <v/>
      </c>
      <c r="AC261">
        <f>IF(W261=0,"",'Example Outstanding'!$E$5-B261)</f>
        <v/>
      </c>
      <c r="AD261">
        <f>IF(S261=0,0,IFERROR(VLOOKUP(C261,'Example Parties'!$B$13:$Q$112,14,FALSE),0)+SUMIFS($T$7:$T$506,$C$7:$C$506,C261,$B$7:$B$506,"&lt;="&amp;'Example Parties'!$E$8))</f>
        <v/>
      </c>
      <c r="AE261">
        <f>IF(OR('Example Parties'!$E$8="",S261=0,B261="",B261&gt;'Example Parties'!$E$8),0,MAX(0,MIN(S261,U261-AD261)))</f>
        <v/>
      </c>
      <c r="AF261">
        <f>IF(AND(P261="Creditor",X261=1,AE261&gt;0,Z261&lt;&gt;""),IF(Z261&lt;='Example Parties'!$E$8,AE261,0),0)</f>
        <v/>
      </c>
      <c r="AG261">
        <f>IF(OR(AE261=0,Z261=""),0,MAX(0,'Example Parties'!$E$8-Z261))</f>
        <v/>
      </c>
      <c r="AH261">
        <f>IF(AND(P261="Creditor",X261=1,AG261&gt;0),AE261*((1+3*N('Example Parties'!$E$10)/12)^(AG261*12/365)-1),0)</f>
        <v/>
      </c>
      <c r="AI261">
        <f>IF(AND(C261&lt;&gt;"",C261='Example Ledger'!$D$4,B261&lt;&gt;"",B261&gt;='Example Ledger'!$D$5,B261&lt;='Example Ledger'!$D$6),1,0)</f>
        <v/>
      </c>
      <c r="AJ261">
        <f>IF(AI261=1,SUM(AI$7:AI261),"")</f>
        <v/>
      </c>
      <c r="AK261">
        <f>IF(OR(N261="",N261="OK"),0,1)</f>
        <v/>
      </c>
    </row>
    <row r="262">
      <c r="B262" s="24" t="n"/>
      <c r="C262" s="14" t="n"/>
      <c r="D262" s="14" t="n"/>
      <c r="E262" s="20" t="n"/>
      <c r="F262" s="24" t="n"/>
      <c r="G262" s="14" t="n"/>
      <c r="H262" s="22" t="n"/>
      <c r="I262" s="25">
        <f>IF(Q262="D",N(H262),0)</f>
        <v/>
      </c>
      <c r="J262" s="25">
        <f>IF(Q262="C",N(H262),0)</f>
        <v/>
      </c>
      <c r="K262" s="26">
        <f>IF(Z262="","",Z262)</f>
        <v/>
      </c>
      <c r="L262" s="27">
        <f>W262</f>
        <v/>
      </c>
      <c r="M262" s="28">
        <f>AA262</f>
        <v/>
      </c>
      <c r="N262" s="23">
        <f>IF(AND(B262="",C262="",D262="",N(H262)=0),"",IF(B262="","Enter the date",IF(C262="","Pick the party",IF(P262="?","Add this party on the Parties sheet first",IF(D262="","Pick the entry type",IF(Q262="?","Pick the entry type from the list",IF(N(H262)=0,"Enter the amount",IF(AND(R262&lt;&gt;"Any",R262&lt;&gt;P262),"Sales, receipts and credit notes are for debtors; purchases, payments and debit notes for creditors",IF(AND(F262&lt;&gt;"",D262&lt;&gt;"Purchase bill"),"The received-on date is only for purchase bills",IF(AND(P262="Creditor",X262=1,AA262&gt;0),"Past due to a micro or small supplier: interest runs under MSMED s.16, and if unpaid at year end it is not deductible that year, s.37(2)(g)",IF(AND(P262="Debtor",X262=1,AA262&gt;0),"Past due to you: as a micro or small supplier you can claim interest under MSMED s.16","OK")))))))))))</f>
        <v/>
      </c>
      <c r="P262">
        <f>IF(C262="","",IFERROR(VLOOKUP(C262,'Example Parties'!$B$13:$Q$112,2,FALSE),"?"))</f>
        <v/>
      </c>
      <c r="Q262">
        <f>IF(D262="","",IFERROR(VLOOKUP(D262,Lists!$A$2:$D$9,3,FALSE),"?"))</f>
        <v/>
      </c>
      <c r="R262">
        <f>IF(D262="","",IFERROR(VLOOKUP(D262,Lists!$A$2:$D$9,4,FALSE),"?"))</f>
        <v/>
      </c>
      <c r="S262">
        <f>IF(P262="Debtor",I262,IF(P262="Creditor",J262,0))</f>
        <v/>
      </c>
      <c r="T262">
        <f>IF(P262="Debtor",J262,IF(P262="Creditor",I262,0))</f>
        <v/>
      </c>
      <c r="U262">
        <f>IF(OR(S262=0,B262=""),0,IFERROR(VLOOKUP(C262,'Example Parties'!$B$13:$Q$112,13,FALSE),0)+SUMIFS($S$7:$S$506,$C$7:$C$506,C262,$B$7:$B$506,"&lt;"&amp;B262)+SUMIFS(S$7:S262,C$7:C262,C262,B$7:B262,B262))</f>
        <v/>
      </c>
      <c r="V262">
        <f>IF(S262=0,0,IFERROR(VLOOKUP(C262,'Example Parties'!$B$13:$Q$112,14,FALSE),0)+SUMIFS($T$7:$T$506,$C$7:$C$506,C262,$B$7:$B$506,"&lt;="&amp;'Example Outstanding'!$E$5))</f>
        <v/>
      </c>
      <c r="W262">
        <f>IF(OR('Example Outstanding'!$E$5="",S262=0,B262="",B262&gt;'Example Outstanding'!$E$5),0,MAX(0,MIN(S262,U262-V262)))</f>
        <v/>
      </c>
      <c r="X262">
        <f>IF(C262="",0,IFERROR(VLOOKUP(C262,'Example Parties'!$B$13:$Q$112,15,FALSE),0))</f>
        <v/>
      </c>
      <c r="Y262">
        <f>IF(C262="","",IFERROR(VLOOKUP(C262,'Example Parties'!$B$13:$Q$112,16,FALSE),0))</f>
        <v/>
      </c>
      <c r="Z262">
        <f>IF(OR(S262=0,B262="",Y262=""),"",IF(AND(F262&lt;&gt;"",D262="Purchase bill"),F262,B262)+Y262)</f>
        <v/>
      </c>
      <c r="AA262">
        <f>IF(OR(W262=0,Z262=""),0,MAX(0,'Example Outstanding'!$E$5-Z262))</f>
        <v/>
      </c>
      <c r="AB262">
        <f>IF(AND(X262=1,AA262&gt;0),W262*((1+3*N('Example Parties'!$E$10)/12)^(AA262*12/365)-1),0)</f>
        <v/>
      </c>
      <c r="AC262">
        <f>IF(W262=0,"",'Example Outstanding'!$E$5-B262)</f>
        <v/>
      </c>
      <c r="AD262">
        <f>IF(S262=0,0,IFERROR(VLOOKUP(C262,'Example Parties'!$B$13:$Q$112,14,FALSE),0)+SUMIFS($T$7:$T$506,$C$7:$C$506,C262,$B$7:$B$506,"&lt;="&amp;'Example Parties'!$E$8))</f>
        <v/>
      </c>
      <c r="AE262">
        <f>IF(OR('Example Parties'!$E$8="",S262=0,B262="",B262&gt;'Example Parties'!$E$8),0,MAX(0,MIN(S262,U262-AD262)))</f>
        <v/>
      </c>
      <c r="AF262">
        <f>IF(AND(P262="Creditor",X262=1,AE262&gt;0,Z262&lt;&gt;""),IF(Z262&lt;='Example Parties'!$E$8,AE262,0),0)</f>
        <v/>
      </c>
      <c r="AG262">
        <f>IF(OR(AE262=0,Z262=""),0,MAX(0,'Example Parties'!$E$8-Z262))</f>
        <v/>
      </c>
      <c r="AH262">
        <f>IF(AND(P262="Creditor",X262=1,AG262&gt;0),AE262*((1+3*N('Example Parties'!$E$10)/12)^(AG262*12/365)-1),0)</f>
        <v/>
      </c>
      <c r="AI262">
        <f>IF(AND(C262&lt;&gt;"",C262='Example Ledger'!$D$4,B262&lt;&gt;"",B262&gt;='Example Ledger'!$D$5,B262&lt;='Example Ledger'!$D$6),1,0)</f>
        <v/>
      </c>
      <c r="AJ262">
        <f>IF(AI262=1,SUM(AI$7:AI262),"")</f>
        <v/>
      </c>
      <c r="AK262">
        <f>IF(OR(N262="",N262="OK"),0,1)</f>
        <v/>
      </c>
    </row>
    <row r="263">
      <c r="B263" s="24" t="n"/>
      <c r="C263" s="14" t="n"/>
      <c r="D263" s="14" t="n"/>
      <c r="E263" s="20" t="n"/>
      <c r="F263" s="24" t="n"/>
      <c r="G263" s="14" t="n"/>
      <c r="H263" s="22" t="n"/>
      <c r="I263" s="25">
        <f>IF(Q263="D",N(H263),0)</f>
        <v/>
      </c>
      <c r="J263" s="25">
        <f>IF(Q263="C",N(H263),0)</f>
        <v/>
      </c>
      <c r="K263" s="26">
        <f>IF(Z263="","",Z263)</f>
        <v/>
      </c>
      <c r="L263" s="27">
        <f>W263</f>
        <v/>
      </c>
      <c r="M263" s="28">
        <f>AA263</f>
        <v/>
      </c>
      <c r="N263" s="23">
        <f>IF(AND(B263="",C263="",D263="",N(H263)=0),"",IF(B263="","Enter the date",IF(C263="","Pick the party",IF(P263="?","Add this party on the Parties sheet first",IF(D263="","Pick the entry type",IF(Q263="?","Pick the entry type from the list",IF(N(H263)=0,"Enter the amount",IF(AND(R263&lt;&gt;"Any",R263&lt;&gt;P263),"Sales, receipts and credit notes are for debtors; purchases, payments and debit notes for creditors",IF(AND(F263&lt;&gt;"",D263&lt;&gt;"Purchase bill"),"The received-on date is only for purchase bills",IF(AND(P263="Creditor",X263=1,AA263&gt;0),"Past due to a micro or small supplier: interest runs under MSMED s.16, and if unpaid at year end it is not deductible that year, s.37(2)(g)",IF(AND(P263="Debtor",X263=1,AA263&gt;0),"Past due to you: as a micro or small supplier you can claim interest under MSMED s.16","OK")))))))))))</f>
        <v/>
      </c>
      <c r="P263">
        <f>IF(C263="","",IFERROR(VLOOKUP(C263,'Example Parties'!$B$13:$Q$112,2,FALSE),"?"))</f>
        <v/>
      </c>
      <c r="Q263">
        <f>IF(D263="","",IFERROR(VLOOKUP(D263,Lists!$A$2:$D$9,3,FALSE),"?"))</f>
        <v/>
      </c>
      <c r="R263">
        <f>IF(D263="","",IFERROR(VLOOKUP(D263,Lists!$A$2:$D$9,4,FALSE),"?"))</f>
        <v/>
      </c>
      <c r="S263">
        <f>IF(P263="Debtor",I263,IF(P263="Creditor",J263,0))</f>
        <v/>
      </c>
      <c r="T263">
        <f>IF(P263="Debtor",J263,IF(P263="Creditor",I263,0))</f>
        <v/>
      </c>
      <c r="U263">
        <f>IF(OR(S263=0,B263=""),0,IFERROR(VLOOKUP(C263,'Example Parties'!$B$13:$Q$112,13,FALSE),0)+SUMIFS($S$7:$S$506,$C$7:$C$506,C263,$B$7:$B$506,"&lt;"&amp;B263)+SUMIFS(S$7:S263,C$7:C263,C263,B$7:B263,B263))</f>
        <v/>
      </c>
      <c r="V263">
        <f>IF(S263=0,0,IFERROR(VLOOKUP(C263,'Example Parties'!$B$13:$Q$112,14,FALSE),0)+SUMIFS($T$7:$T$506,$C$7:$C$506,C263,$B$7:$B$506,"&lt;="&amp;'Example Outstanding'!$E$5))</f>
        <v/>
      </c>
      <c r="W263">
        <f>IF(OR('Example Outstanding'!$E$5="",S263=0,B263="",B263&gt;'Example Outstanding'!$E$5),0,MAX(0,MIN(S263,U263-V263)))</f>
        <v/>
      </c>
      <c r="X263">
        <f>IF(C263="",0,IFERROR(VLOOKUP(C263,'Example Parties'!$B$13:$Q$112,15,FALSE),0))</f>
        <v/>
      </c>
      <c r="Y263">
        <f>IF(C263="","",IFERROR(VLOOKUP(C263,'Example Parties'!$B$13:$Q$112,16,FALSE),0))</f>
        <v/>
      </c>
      <c r="Z263">
        <f>IF(OR(S263=0,B263="",Y263=""),"",IF(AND(F263&lt;&gt;"",D263="Purchase bill"),F263,B263)+Y263)</f>
        <v/>
      </c>
      <c r="AA263">
        <f>IF(OR(W263=0,Z263=""),0,MAX(0,'Example Outstanding'!$E$5-Z263))</f>
        <v/>
      </c>
      <c r="AB263">
        <f>IF(AND(X263=1,AA263&gt;0),W263*((1+3*N('Example Parties'!$E$10)/12)^(AA263*12/365)-1),0)</f>
        <v/>
      </c>
      <c r="AC263">
        <f>IF(W263=0,"",'Example Outstanding'!$E$5-B263)</f>
        <v/>
      </c>
      <c r="AD263">
        <f>IF(S263=0,0,IFERROR(VLOOKUP(C263,'Example Parties'!$B$13:$Q$112,14,FALSE),0)+SUMIFS($T$7:$T$506,$C$7:$C$506,C263,$B$7:$B$506,"&lt;="&amp;'Example Parties'!$E$8))</f>
        <v/>
      </c>
      <c r="AE263">
        <f>IF(OR('Example Parties'!$E$8="",S263=0,B263="",B263&gt;'Example Parties'!$E$8),0,MAX(0,MIN(S263,U263-AD263)))</f>
        <v/>
      </c>
      <c r="AF263">
        <f>IF(AND(P263="Creditor",X263=1,AE263&gt;0,Z263&lt;&gt;""),IF(Z263&lt;='Example Parties'!$E$8,AE263,0),0)</f>
        <v/>
      </c>
      <c r="AG263">
        <f>IF(OR(AE263=0,Z263=""),0,MAX(0,'Example Parties'!$E$8-Z263))</f>
        <v/>
      </c>
      <c r="AH263">
        <f>IF(AND(P263="Creditor",X263=1,AG263&gt;0),AE263*((1+3*N('Example Parties'!$E$10)/12)^(AG263*12/365)-1),0)</f>
        <v/>
      </c>
      <c r="AI263">
        <f>IF(AND(C263&lt;&gt;"",C263='Example Ledger'!$D$4,B263&lt;&gt;"",B263&gt;='Example Ledger'!$D$5,B263&lt;='Example Ledger'!$D$6),1,0)</f>
        <v/>
      </c>
      <c r="AJ263">
        <f>IF(AI263=1,SUM(AI$7:AI263),"")</f>
        <v/>
      </c>
      <c r="AK263">
        <f>IF(OR(N263="",N263="OK"),0,1)</f>
        <v/>
      </c>
    </row>
    <row r="264">
      <c r="B264" s="24" t="n"/>
      <c r="C264" s="14" t="n"/>
      <c r="D264" s="14" t="n"/>
      <c r="E264" s="20" t="n"/>
      <c r="F264" s="24" t="n"/>
      <c r="G264" s="14" t="n"/>
      <c r="H264" s="22" t="n"/>
      <c r="I264" s="25">
        <f>IF(Q264="D",N(H264),0)</f>
        <v/>
      </c>
      <c r="J264" s="25">
        <f>IF(Q264="C",N(H264),0)</f>
        <v/>
      </c>
      <c r="K264" s="26">
        <f>IF(Z264="","",Z264)</f>
        <v/>
      </c>
      <c r="L264" s="27">
        <f>W264</f>
        <v/>
      </c>
      <c r="M264" s="28">
        <f>AA264</f>
        <v/>
      </c>
      <c r="N264" s="23">
        <f>IF(AND(B264="",C264="",D264="",N(H264)=0),"",IF(B264="","Enter the date",IF(C264="","Pick the party",IF(P264="?","Add this party on the Parties sheet first",IF(D264="","Pick the entry type",IF(Q264="?","Pick the entry type from the list",IF(N(H264)=0,"Enter the amount",IF(AND(R264&lt;&gt;"Any",R264&lt;&gt;P264),"Sales, receipts and credit notes are for debtors; purchases, payments and debit notes for creditors",IF(AND(F264&lt;&gt;"",D264&lt;&gt;"Purchase bill"),"The received-on date is only for purchase bills",IF(AND(P264="Creditor",X264=1,AA264&gt;0),"Past due to a micro or small supplier: interest runs under MSMED s.16, and if unpaid at year end it is not deductible that year, s.37(2)(g)",IF(AND(P264="Debtor",X264=1,AA264&gt;0),"Past due to you: as a micro or small supplier you can claim interest under MSMED s.16","OK")))))))))))</f>
        <v/>
      </c>
      <c r="P264">
        <f>IF(C264="","",IFERROR(VLOOKUP(C264,'Example Parties'!$B$13:$Q$112,2,FALSE),"?"))</f>
        <v/>
      </c>
      <c r="Q264">
        <f>IF(D264="","",IFERROR(VLOOKUP(D264,Lists!$A$2:$D$9,3,FALSE),"?"))</f>
        <v/>
      </c>
      <c r="R264">
        <f>IF(D264="","",IFERROR(VLOOKUP(D264,Lists!$A$2:$D$9,4,FALSE),"?"))</f>
        <v/>
      </c>
      <c r="S264">
        <f>IF(P264="Debtor",I264,IF(P264="Creditor",J264,0))</f>
        <v/>
      </c>
      <c r="T264">
        <f>IF(P264="Debtor",J264,IF(P264="Creditor",I264,0))</f>
        <v/>
      </c>
      <c r="U264">
        <f>IF(OR(S264=0,B264=""),0,IFERROR(VLOOKUP(C264,'Example Parties'!$B$13:$Q$112,13,FALSE),0)+SUMIFS($S$7:$S$506,$C$7:$C$506,C264,$B$7:$B$506,"&lt;"&amp;B264)+SUMIFS(S$7:S264,C$7:C264,C264,B$7:B264,B264))</f>
        <v/>
      </c>
      <c r="V264">
        <f>IF(S264=0,0,IFERROR(VLOOKUP(C264,'Example Parties'!$B$13:$Q$112,14,FALSE),0)+SUMIFS($T$7:$T$506,$C$7:$C$506,C264,$B$7:$B$506,"&lt;="&amp;'Example Outstanding'!$E$5))</f>
        <v/>
      </c>
      <c r="W264">
        <f>IF(OR('Example Outstanding'!$E$5="",S264=0,B264="",B264&gt;'Example Outstanding'!$E$5),0,MAX(0,MIN(S264,U264-V264)))</f>
        <v/>
      </c>
      <c r="X264">
        <f>IF(C264="",0,IFERROR(VLOOKUP(C264,'Example Parties'!$B$13:$Q$112,15,FALSE),0))</f>
        <v/>
      </c>
      <c r="Y264">
        <f>IF(C264="","",IFERROR(VLOOKUP(C264,'Example Parties'!$B$13:$Q$112,16,FALSE),0))</f>
        <v/>
      </c>
      <c r="Z264">
        <f>IF(OR(S264=0,B264="",Y264=""),"",IF(AND(F264&lt;&gt;"",D264="Purchase bill"),F264,B264)+Y264)</f>
        <v/>
      </c>
      <c r="AA264">
        <f>IF(OR(W264=0,Z264=""),0,MAX(0,'Example Outstanding'!$E$5-Z264))</f>
        <v/>
      </c>
      <c r="AB264">
        <f>IF(AND(X264=1,AA264&gt;0),W264*((1+3*N('Example Parties'!$E$10)/12)^(AA264*12/365)-1),0)</f>
        <v/>
      </c>
      <c r="AC264">
        <f>IF(W264=0,"",'Example Outstanding'!$E$5-B264)</f>
        <v/>
      </c>
      <c r="AD264">
        <f>IF(S264=0,0,IFERROR(VLOOKUP(C264,'Example Parties'!$B$13:$Q$112,14,FALSE),0)+SUMIFS($T$7:$T$506,$C$7:$C$506,C264,$B$7:$B$506,"&lt;="&amp;'Example Parties'!$E$8))</f>
        <v/>
      </c>
      <c r="AE264">
        <f>IF(OR('Example Parties'!$E$8="",S264=0,B264="",B264&gt;'Example Parties'!$E$8),0,MAX(0,MIN(S264,U264-AD264)))</f>
        <v/>
      </c>
      <c r="AF264">
        <f>IF(AND(P264="Creditor",X264=1,AE264&gt;0,Z264&lt;&gt;""),IF(Z264&lt;='Example Parties'!$E$8,AE264,0),0)</f>
        <v/>
      </c>
      <c r="AG264">
        <f>IF(OR(AE264=0,Z264=""),0,MAX(0,'Example Parties'!$E$8-Z264))</f>
        <v/>
      </c>
      <c r="AH264">
        <f>IF(AND(P264="Creditor",X264=1,AG264&gt;0),AE264*((1+3*N('Example Parties'!$E$10)/12)^(AG264*12/365)-1),0)</f>
        <v/>
      </c>
      <c r="AI264">
        <f>IF(AND(C264&lt;&gt;"",C264='Example Ledger'!$D$4,B264&lt;&gt;"",B264&gt;='Example Ledger'!$D$5,B264&lt;='Example Ledger'!$D$6),1,0)</f>
        <v/>
      </c>
      <c r="AJ264">
        <f>IF(AI264=1,SUM(AI$7:AI264),"")</f>
        <v/>
      </c>
      <c r="AK264">
        <f>IF(OR(N264="",N264="OK"),0,1)</f>
        <v/>
      </c>
    </row>
    <row r="265">
      <c r="B265" s="24" t="n"/>
      <c r="C265" s="14" t="n"/>
      <c r="D265" s="14" t="n"/>
      <c r="E265" s="20" t="n"/>
      <c r="F265" s="24" t="n"/>
      <c r="G265" s="14" t="n"/>
      <c r="H265" s="22" t="n"/>
      <c r="I265" s="25">
        <f>IF(Q265="D",N(H265),0)</f>
        <v/>
      </c>
      <c r="J265" s="25">
        <f>IF(Q265="C",N(H265),0)</f>
        <v/>
      </c>
      <c r="K265" s="26">
        <f>IF(Z265="","",Z265)</f>
        <v/>
      </c>
      <c r="L265" s="27">
        <f>W265</f>
        <v/>
      </c>
      <c r="M265" s="28">
        <f>AA265</f>
        <v/>
      </c>
      <c r="N265" s="23">
        <f>IF(AND(B265="",C265="",D265="",N(H265)=0),"",IF(B265="","Enter the date",IF(C265="","Pick the party",IF(P265="?","Add this party on the Parties sheet first",IF(D265="","Pick the entry type",IF(Q265="?","Pick the entry type from the list",IF(N(H265)=0,"Enter the amount",IF(AND(R265&lt;&gt;"Any",R265&lt;&gt;P265),"Sales, receipts and credit notes are for debtors; purchases, payments and debit notes for creditors",IF(AND(F265&lt;&gt;"",D265&lt;&gt;"Purchase bill"),"The received-on date is only for purchase bills",IF(AND(P265="Creditor",X265=1,AA265&gt;0),"Past due to a micro or small supplier: interest runs under MSMED s.16, and if unpaid at year end it is not deductible that year, s.37(2)(g)",IF(AND(P265="Debtor",X265=1,AA265&gt;0),"Past due to you: as a micro or small supplier you can claim interest under MSMED s.16","OK")))))))))))</f>
        <v/>
      </c>
      <c r="P265">
        <f>IF(C265="","",IFERROR(VLOOKUP(C265,'Example Parties'!$B$13:$Q$112,2,FALSE),"?"))</f>
        <v/>
      </c>
      <c r="Q265">
        <f>IF(D265="","",IFERROR(VLOOKUP(D265,Lists!$A$2:$D$9,3,FALSE),"?"))</f>
        <v/>
      </c>
      <c r="R265">
        <f>IF(D265="","",IFERROR(VLOOKUP(D265,Lists!$A$2:$D$9,4,FALSE),"?"))</f>
        <v/>
      </c>
      <c r="S265">
        <f>IF(P265="Debtor",I265,IF(P265="Creditor",J265,0))</f>
        <v/>
      </c>
      <c r="T265">
        <f>IF(P265="Debtor",J265,IF(P265="Creditor",I265,0))</f>
        <v/>
      </c>
      <c r="U265">
        <f>IF(OR(S265=0,B265=""),0,IFERROR(VLOOKUP(C265,'Example Parties'!$B$13:$Q$112,13,FALSE),0)+SUMIFS($S$7:$S$506,$C$7:$C$506,C265,$B$7:$B$506,"&lt;"&amp;B265)+SUMIFS(S$7:S265,C$7:C265,C265,B$7:B265,B265))</f>
        <v/>
      </c>
      <c r="V265">
        <f>IF(S265=0,0,IFERROR(VLOOKUP(C265,'Example Parties'!$B$13:$Q$112,14,FALSE),0)+SUMIFS($T$7:$T$506,$C$7:$C$506,C265,$B$7:$B$506,"&lt;="&amp;'Example Outstanding'!$E$5))</f>
        <v/>
      </c>
      <c r="W265">
        <f>IF(OR('Example Outstanding'!$E$5="",S265=0,B265="",B265&gt;'Example Outstanding'!$E$5),0,MAX(0,MIN(S265,U265-V265)))</f>
        <v/>
      </c>
      <c r="X265">
        <f>IF(C265="",0,IFERROR(VLOOKUP(C265,'Example Parties'!$B$13:$Q$112,15,FALSE),0))</f>
        <v/>
      </c>
      <c r="Y265">
        <f>IF(C265="","",IFERROR(VLOOKUP(C265,'Example Parties'!$B$13:$Q$112,16,FALSE),0))</f>
        <v/>
      </c>
      <c r="Z265">
        <f>IF(OR(S265=0,B265="",Y265=""),"",IF(AND(F265&lt;&gt;"",D265="Purchase bill"),F265,B265)+Y265)</f>
        <v/>
      </c>
      <c r="AA265">
        <f>IF(OR(W265=0,Z265=""),0,MAX(0,'Example Outstanding'!$E$5-Z265))</f>
        <v/>
      </c>
      <c r="AB265">
        <f>IF(AND(X265=1,AA265&gt;0),W265*((1+3*N('Example Parties'!$E$10)/12)^(AA265*12/365)-1),0)</f>
        <v/>
      </c>
      <c r="AC265">
        <f>IF(W265=0,"",'Example Outstanding'!$E$5-B265)</f>
        <v/>
      </c>
      <c r="AD265">
        <f>IF(S265=0,0,IFERROR(VLOOKUP(C265,'Example Parties'!$B$13:$Q$112,14,FALSE),0)+SUMIFS($T$7:$T$506,$C$7:$C$506,C265,$B$7:$B$506,"&lt;="&amp;'Example Parties'!$E$8))</f>
        <v/>
      </c>
      <c r="AE265">
        <f>IF(OR('Example Parties'!$E$8="",S265=0,B265="",B265&gt;'Example Parties'!$E$8),0,MAX(0,MIN(S265,U265-AD265)))</f>
        <v/>
      </c>
      <c r="AF265">
        <f>IF(AND(P265="Creditor",X265=1,AE265&gt;0,Z265&lt;&gt;""),IF(Z265&lt;='Example Parties'!$E$8,AE265,0),0)</f>
        <v/>
      </c>
      <c r="AG265">
        <f>IF(OR(AE265=0,Z265=""),0,MAX(0,'Example Parties'!$E$8-Z265))</f>
        <v/>
      </c>
      <c r="AH265">
        <f>IF(AND(P265="Creditor",X265=1,AG265&gt;0),AE265*((1+3*N('Example Parties'!$E$10)/12)^(AG265*12/365)-1),0)</f>
        <v/>
      </c>
      <c r="AI265">
        <f>IF(AND(C265&lt;&gt;"",C265='Example Ledger'!$D$4,B265&lt;&gt;"",B265&gt;='Example Ledger'!$D$5,B265&lt;='Example Ledger'!$D$6),1,0)</f>
        <v/>
      </c>
      <c r="AJ265">
        <f>IF(AI265=1,SUM(AI$7:AI265),"")</f>
        <v/>
      </c>
      <c r="AK265">
        <f>IF(OR(N265="",N265="OK"),0,1)</f>
        <v/>
      </c>
    </row>
    <row r="266">
      <c r="B266" s="24" t="n"/>
      <c r="C266" s="14" t="n"/>
      <c r="D266" s="14" t="n"/>
      <c r="E266" s="20" t="n"/>
      <c r="F266" s="24" t="n"/>
      <c r="G266" s="14" t="n"/>
      <c r="H266" s="22" t="n"/>
      <c r="I266" s="25">
        <f>IF(Q266="D",N(H266),0)</f>
        <v/>
      </c>
      <c r="J266" s="25">
        <f>IF(Q266="C",N(H266),0)</f>
        <v/>
      </c>
      <c r="K266" s="26">
        <f>IF(Z266="","",Z266)</f>
        <v/>
      </c>
      <c r="L266" s="27">
        <f>W266</f>
        <v/>
      </c>
      <c r="M266" s="28">
        <f>AA266</f>
        <v/>
      </c>
      <c r="N266" s="23">
        <f>IF(AND(B266="",C266="",D266="",N(H266)=0),"",IF(B266="","Enter the date",IF(C266="","Pick the party",IF(P266="?","Add this party on the Parties sheet first",IF(D266="","Pick the entry type",IF(Q266="?","Pick the entry type from the list",IF(N(H266)=0,"Enter the amount",IF(AND(R266&lt;&gt;"Any",R266&lt;&gt;P266),"Sales, receipts and credit notes are for debtors; purchases, payments and debit notes for creditors",IF(AND(F266&lt;&gt;"",D266&lt;&gt;"Purchase bill"),"The received-on date is only for purchase bills",IF(AND(P266="Creditor",X266=1,AA266&gt;0),"Past due to a micro or small supplier: interest runs under MSMED s.16, and if unpaid at year end it is not deductible that year, s.37(2)(g)",IF(AND(P266="Debtor",X266=1,AA266&gt;0),"Past due to you: as a micro or small supplier you can claim interest under MSMED s.16","OK")))))))))))</f>
        <v/>
      </c>
      <c r="P266">
        <f>IF(C266="","",IFERROR(VLOOKUP(C266,'Example Parties'!$B$13:$Q$112,2,FALSE),"?"))</f>
        <v/>
      </c>
      <c r="Q266">
        <f>IF(D266="","",IFERROR(VLOOKUP(D266,Lists!$A$2:$D$9,3,FALSE),"?"))</f>
        <v/>
      </c>
      <c r="R266">
        <f>IF(D266="","",IFERROR(VLOOKUP(D266,Lists!$A$2:$D$9,4,FALSE),"?"))</f>
        <v/>
      </c>
      <c r="S266">
        <f>IF(P266="Debtor",I266,IF(P266="Creditor",J266,0))</f>
        <v/>
      </c>
      <c r="T266">
        <f>IF(P266="Debtor",J266,IF(P266="Creditor",I266,0))</f>
        <v/>
      </c>
      <c r="U266">
        <f>IF(OR(S266=0,B266=""),0,IFERROR(VLOOKUP(C266,'Example Parties'!$B$13:$Q$112,13,FALSE),0)+SUMIFS($S$7:$S$506,$C$7:$C$506,C266,$B$7:$B$506,"&lt;"&amp;B266)+SUMIFS(S$7:S266,C$7:C266,C266,B$7:B266,B266))</f>
        <v/>
      </c>
      <c r="V266">
        <f>IF(S266=0,0,IFERROR(VLOOKUP(C266,'Example Parties'!$B$13:$Q$112,14,FALSE),0)+SUMIFS($T$7:$T$506,$C$7:$C$506,C266,$B$7:$B$506,"&lt;="&amp;'Example Outstanding'!$E$5))</f>
        <v/>
      </c>
      <c r="W266">
        <f>IF(OR('Example Outstanding'!$E$5="",S266=0,B266="",B266&gt;'Example Outstanding'!$E$5),0,MAX(0,MIN(S266,U266-V266)))</f>
        <v/>
      </c>
      <c r="X266">
        <f>IF(C266="",0,IFERROR(VLOOKUP(C266,'Example Parties'!$B$13:$Q$112,15,FALSE),0))</f>
        <v/>
      </c>
      <c r="Y266">
        <f>IF(C266="","",IFERROR(VLOOKUP(C266,'Example Parties'!$B$13:$Q$112,16,FALSE),0))</f>
        <v/>
      </c>
      <c r="Z266">
        <f>IF(OR(S266=0,B266="",Y266=""),"",IF(AND(F266&lt;&gt;"",D266="Purchase bill"),F266,B266)+Y266)</f>
        <v/>
      </c>
      <c r="AA266">
        <f>IF(OR(W266=0,Z266=""),0,MAX(0,'Example Outstanding'!$E$5-Z266))</f>
        <v/>
      </c>
      <c r="AB266">
        <f>IF(AND(X266=1,AA266&gt;0),W266*((1+3*N('Example Parties'!$E$10)/12)^(AA266*12/365)-1),0)</f>
        <v/>
      </c>
      <c r="AC266">
        <f>IF(W266=0,"",'Example Outstanding'!$E$5-B266)</f>
        <v/>
      </c>
      <c r="AD266">
        <f>IF(S266=0,0,IFERROR(VLOOKUP(C266,'Example Parties'!$B$13:$Q$112,14,FALSE),0)+SUMIFS($T$7:$T$506,$C$7:$C$506,C266,$B$7:$B$506,"&lt;="&amp;'Example Parties'!$E$8))</f>
        <v/>
      </c>
      <c r="AE266">
        <f>IF(OR('Example Parties'!$E$8="",S266=0,B266="",B266&gt;'Example Parties'!$E$8),0,MAX(0,MIN(S266,U266-AD266)))</f>
        <v/>
      </c>
      <c r="AF266">
        <f>IF(AND(P266="Creditor",X266=1,AE266&gt;0,Z266&lt;&gt;""),IF(Z266&lt;='Example Parties'!$E$8,AE266,0),0)</f>
        <v/>
      </c>
      <c r="AG266">
        <f>IF(OR(AE266=0,Z266=""),0,MAX(0,'Example Parties'!$E$8-Z266))</f>
        <v/>
      </c>
      <c r="AH266">
        <f>IF(AND(P266="Creditor",X266=1,AG266&gt;0),AE266*((1+3*N('Example Parties'!$E$10)/12)^(AG266*12/365)-1),0)</f>
        <v/>
      </c>
      <c r="AI266">
        <f>IF(AND(C266&lt;&gt;"",C266='Example Ledger'!$D$4,B266&lt;&gt;"",B266&gt;='Example Ledger'!$D$5,B266&lt;='Example Ledger'!$D$6),1,0)</f>
        <v/>
      </c>
      <c r="AJ266">
        <f>IF(AI266=1,SUM(AI$7:AI266),"")</f>
        <v/>
      </c>
      <c r="AK266">
        <f>IF(OR(N266="",N266="OK"),0,1)</f>
        <v/>
      </c>
    </row>
    <row r="267">
      <c r="B267" s="24" t="n"/>
      <c r="C267" s="14" t="n"/>
      <c r="D267" s="14" t="n"/>
      <c r="E267" s="20" t="n"/>
      <c r="F267" s="24" t="n"/>
      <c r="G267" s="14" t="n"/>
      <c r="H267" s="22" t="n"/>
      <c r="I267" s="25">
        <f>IF(Q267="D",N(H267),0)</f>
        <v/>
      </c>
      <c r="J267" s="25">
        <f>IF(Q267="C",N(H267),0)</f>
        <v/>
      </c>
      <c r="K267" s="26">
        <f>IF(Z267="","",Z267)</f>
        <v/>
      </c>
      <c r="L267" s="27">
        <f>W267</f>
        <v/>
      </c>
      <c r="M267" s="28">
        <f>AA267</f>
        <v/>
      </c>
      <c r="N267" s="23">
        <f>IF(AND(B267="",C267="",D267="",N(H267)=0),"",IF(B267="","Enter the date",IF(C267="","Pick the party",IF(P267="?","Add this party on the Parties sheet first",IF(D267="","Pick the entry type",IF(Q267="?","Pick the entry type from the list",IF(N(H267)=0,"Enter the amount",IF(AND(R267&lt;&gt;"Any",R267&lt;&gt;P267),"Sales, receipts and credit notes are for debtors; purchases, payments and debit notes for creditors",IF(AND(F267&lt;&gt;"",D267&lt;&gt;"Purchase bill"),"The received-on date is only for purchase bills",IF(AND(P267="Creditor",X267=1,AA267&gt;0),"Past due to a micro or small supplier: interest runs under MSMED s.16, and if unpaid at year end it is not deductible that year, s.37(2)(g)",IF(AND(P267="Debtor",X267=1,AA267&gt;0),"Past due to you: as a micro or small supplier you can claim interest under MSMED s.16","OK")))))))))))</f>
        <v/>
      </c>
      <c r="P267">
        <f>IF(C267="","",IFERROR(VLOOKUP(C267,'Example Parties'!$B$13:$Q$112,2,FALSE),"?"))</f>
        <v/>
      </c>
      <c r="Q267">
        <f>IF(D267="","",IFERROR(VLOOKUP(D267,Lists!$A$2:$D$9,3,FALSE),"?"))</f>
        <v/>
      </c>
      <c r="R267">
        <f>IF(D267="","",IFERROR(VLOOKUP(D267,Lists!$A$2:$D$9,4,FALSE),"?"))</f>
        <v/>
      </c>
      <c r="S267">
        <f>IF(P267="Debtor",I267,IF(P267="Creditor",J267,0))</f>
        <v/>
      </c>
      <c r="T267">
        <f>IF(P267="Debtor",J267,IF(P267="Creditor",I267,0))</f>
        <v/>
      </c>
      <c r="U267">
        <f>IF(OR(S267=0,B267=""),0,IFERROR(VLOOKUP(C267,'Example Parties'!$B$13:$Q$112,13,FALSE),0)+SUMIFS($S$7:$S$506,$C$7:$C$506,C267,$B$7:$B$506,"&lt;"&amp;B267)+SUMIFS(S$7:S267,C$7:C267,C267,B$7:B267,B267))</f>
        <v/>
      </c>
      <c r="V267">
        <f>IF(S267=0,0,IFERROR(VLOOKUP(C267,'Example Parties'!$B$13:$Q$112,14,FALSE),0)+SUMIFS($T$7:$T$506,$C$7:$C$506,C267,$B$7:$B$506,"&lt;="&amp;'Example Outstanding'!$E$5))</f>
        <v/>
      </c>
      <c r="W267">
        <f>IF(OR('Example Outstanding'!$E$5="",S267=0,B267="",B267&gt;'Example Outstanding'!$E$5),0,MAX(0,MIN(S267,U267-V267)))</f>
        <v/>
      </c>
      <c r="X267">
        <f>IF(C267="",0,IFERROR(VLOOKUP(C267,'Example Parties'!$B$13:$Q$112,15,FALSE),0))</f>
        <v/>
      </c>
      <c r="Y267">
        <f>IF(C267="","",IFERROR(VLOOKUP(C267,'Example Parties'!$B$13:$Q$112,16,FALSE),0))</f>
        <v/>
      </c>
      <c r="Z267">
        <f>IF(OR(S267=0,B267="",Y267=""),"",IF(AND(F267&lt;&gt;"",D267="Purchase bill"),F267,B267)+Y267)</f>
        <v/>
      </c>
      <c r="AA267">
        <f>IF(OR(W267=0,Z267=""),0,MAX(0,'Example Outstanding'!$E$5-Z267))</f>
        <v/>
      </c>
      <c r="AB267">
        <f>IF(AND(X267=1,AA267&gt;0),W267*((1+3*N('Example Parties'!$E$10)/12)^(AA267*12/365)-1),0)</f>
        <v/>
      </c>
      <c r="AC267">
        <f>IF(W267=0,"",'Example Outstanding'!$E$5-B267)</f>
        <v/>
      </c>
      <c r="AD267">
        <f>IF(S267=0,0,IFERROR(VLOOKUP(C267,'Example Parties'!$B$13:$Q$112,14,FALSE),0)+SUMIFS($T$7:$T$506,$C$7:$C$506,C267,$B$7:$B$506,"&lt;="&amp;'Example Parties'!$E$8))</f>
        <v/>
      </c>
      <c r="AE267">
        <f>IF(OR('Example Parties'!$E$8="",S267=0,B267="",B267&gt;'Example Parties'!$E$8),0,MAX(0,MIN(S267,U267-AD267)))</f>
        <v/>
      </c>
      <c r="AF267">
        <f>IF(AND(P267="Creditor",X267=1,AE267&gt;0,Z267&lt;&gt;""),IF(Z267&lt;='Example Parties'!$E$8,AE267,0),0)</f>
        <v/>
      </c>
      <c r="AG267">
        <f>IF(OR(AE267=0,Z267=""),0,MAX(0,'Example Parties'!$E$8-Z267))</f>
        <v/>
      </c>
      <c r="AH267">
        <f>IF(AND(P267="Creditor",X267=1,AG267&gt;0),AE267*((1+3*N('Example Parties'!$E$10)/12)^(AG267*12/365)-1),0)</f>
        <v/>
      </c>
      <c r="AI267">
        <f>IF(AND(C267&lt;&gt;"",C267='Example Ledger'!$D$4,B267&lt;&gt;"",B267&gt;='Example Ledger'!$D$5,B267&lt;='Example Ledger'!$D$6),1,0)</f>
        <v/>
      </c>
      <c r="AJ267">
        <f>IF(AI267=1,SUM(AI$7:AI267),"")</f>
        <v/>
      </c>
      <c r="AK267">
        <f>IF(OR(N267="",N267="OK"),0,1)</f>
        <v/>
      </c>
    </row>
    <row r="268">
      <c r="B268" s="24" t="n"/>
      <c r="C268" s="14" t="n"/>
      <c r="D268" s="14" t="n"/>
      <c r="E268" s="20" t="n"/>
      <c r="F268" s="24" t="n"/>
      <c r="G268" s="14" t="n"/>
      <c r="H268" s="22" t="n"/>
      <c r="I268" s="25">
        <f>IF(Q268="D",N(H268),0)</f>
        <v/>
      </c>
      <c r="J268" s="25">
        <f>IF(Q268="C",N(H268),0)</f>
        <v/>
      </c>
      <c r="K268" s="26">
        <f>IF(Z268="","",Z268)</f>
        <v/>
      </c>
      <c r="L268" s="27">
        <f>W268</f>
        <v/>
      </c>
      <c r="M268" s="28">
        <f>AA268</f>
        <v/>
      </c>
      <c r="N268" s="23">
        <f>IF(AND(B268="",C268="",D268="",N(H268)=0),"",IF(B268="","Enter the date",IF(C268="","Pick the party",IF(P268="?","Add this party on the Parties sheet first",IF(D268="","Pick the entry type",IF(Q268="?","Pick the entry type from the list",IF(N(H268)=0,"Enter the amount",IF(AND(R268&lt;&gt;"Any",R268&lt;&gt;P268),"Sales, receipts and credit notes are for debtors; purchases, payments and debit notes for creditors",IF(AND(F268&lt;&gt;"",D268&lt;&gt;"Purchase bill"),"The received-on date is only for purchase bills",IF(AND(P268="Creditor",X268=1,AA268&gt;0),"Past due to a micro or small supplier: interest runs under MSMED s.16, and if unpaid at year end it is not deductible that year, s.37(2)(g)",IF(AND(P268="Debtor",X268=1,AA268&gt;0),"Past due to you: as a micro or small supplier you can claim interest under MSMED s.16","OK")))))))))))</f>
        <v/>
      </c>
      <c r="P268">
        <f>IF(C268="","",IFERROR(VLOOKUP(C268,'Example Parties'!$B$13:$Q$112,2,FALSE),"?"))</f>
        <v/>
      </c>
      <c r="Q268">
        <f>IF(D268="","",IFERROR(VLOOKUP(D268,Lists!$A$2:$D$9,3,FALSE),"?"))</f>
        <v/>
      </c>
      <c r="R268">
        <f>IF(D268="","",IFERROR(VLOOKUP(D268,Lists!$A$2:$D$9,4,FALSE),"?"))</f>
        <v/>
      </c>
      <c r="S268">
        <f>IF(P268="Debtor",I268,IF(P268="Creditor",J268,0))</f>
        <v/>
      </c>
      <c r="T268">
        <f>IF(P268="Debtor",J268,IF(P268="Creditor",I268,0))</f>
        <v/>
      </c>
      <c r="U268">
        <f>IF(OR(S268=0,B268=""),0,IFERROR(VLOOKUP(C268,'Example Parties'!$B$13:$Q$112,13,FALSE),0)+SUMIFS($S$7:$S$506,$C$7:$C$506,C268,$B$7:$B$506,"&lt;"&amp;B268)+SUMIFS(S$7:S268,C$7:C268,C268,B$7:B268,B268))</f>
        <v/>
      </c>
      <c r="V268">
        <f>IF(S268=0,0,IFERROR(VLOOKUP(C268,'Example Parties'!$B$13:$Q$112,14,FALSE),0)+SUMIFS($T$7:$T$506,$C$7:$C$506,C268,$B$7:$B$506,"&lt;="&amp;'Example Outstanding'!$E$5))</f>
        <v/>
      </c>
      <c r="W268">
        <f>IF(OR('Example Outstanding'!$E$5="",S268=0,B268="",B268&gt;'Example Outstanding'!$E$5),0,MAX(0,MIN(S268,U268-V268)))</f>
        <v/>
      </c>
      <c r="X268">
        <f>IF(C268="",0,IFERROR(VLOOKUP(C268,'Example Parties'!$B$13:$Q$112,15,FALSE),0))</f>
        <v/>
      </c>
      <c r="Y268">
        <f>IF(C268="","",IFERROR(VLOOKUP(C268,'Example Parties'!$B$13:$Q$112,16,FALSE),0))</f>
        <v/>
      </c>
      <c r="Z268">
        <f>IF(OR(S268=0,B268="",Y268=""),"",IF(AND(F268&lt;&gt;"",D268="Purchase bill"),F268,B268)+Y268)</f>
        <v/>
      </c>
      <c r="AA268">
        <f>IF(OR(W268=0,Z268=""),0,MAX(0,'Example Outstanding'!$E$5-Z268))</f>
        <v/>
      </c>
      <c r="AB268">
        <f>IF(AND(X268=1,AA268&gt;0),W268*((1+3*N('Example Parties'!$E$10)/12)^(AA268*12/365)-1),0)</f>
        <v/>
      </c>
      <c r="AC268">
        <f>IF(W268=0,"",'Example Outstanding'!$E$5-B268)</f>
        <v/>
      </c>
      <c r="AD268">
        <f>IF(S268=0,0,IFERROR(VLOOKUP(C268,'Example Parties'!$B$13:$Q$112,14,FALSE),0)+SUMIFS($T$7:$T$506,$C$7:$C$506,C268,$B$7:$B$506,"&lt;="&amp;'Example Parties'!$E$8))</f>
        <v/>
      </c>
      <c r="AE268">
        <f>IF(OR('Example Parties'!$E$8="",S268=0,B268="",B268&gt;'Example Parties'!$E$8),0,MAX(0,MIN(S268,U268-AD268)))</f>
        <v/>
      </c>
      <c r="AF268">
        <f>IF(AND(P268="Creditor",X268=1,AE268&gt;0,Z268&lt;&gt;""),IF(Z268&lt;='Example Parties'!$E$8,AE268,0),0)</f>
        <v/>
      </c>
      <c r="AG268">
        <f>IF(OR(AE268=0,Z268=""),0,MAX(0,'Example Parties'!$E$8-Z268))</f>
        <v/>
      </c>
      <c r="AH268">
        <f>IF(AND(P268="Creditor",X268=1,AG268&gt;0),AE268*((1+3*N('Example Parties'!$E$10)/12)^(AG268*12/365)-1),0)</f>
        <v/>
      </c>
      <c r="AI268">
        <f>IF(AND(C268&lt;&gt;"",C268='Example Ledger'!$D$4,B268&lt;&gt;"",B268&gt;='Example Ledger'!$D$5,B268&lt;='Example Ledger'!$D$6),1,0)</f>
        <v/>
      </c>
      <c r="AJ268">
        <f>IF(AI268=1,SUM(AI$7:AI268),"")</f>
        <v/>
      </c>
      <c r="AK268">
        <f>IF(OR(N268="",N268="OK"),0,1)</f>
        <v/>
      </c>
    </row>
    <row r="269">
      <c r="B269" s="24" t="n"/>
      <c r="C269" s="14" t="n"/>
      <c r="D269" s="14" t="n"/>
      <c r="E269" s="20" t="n"/>
      <c r="F269" s="24" t="n"/>
      <c r="G269" s="14" t="n"/>
      <c r="H269" s="22" t="n"/>
      <c r="I269" s="25">
        <f>IF(Q269="D",N(H269),0)</f>
        <v/>
      </c>
      <c r="J269" s="25">
        <f>IF(Q269="C",N(H269),0)</f>
        <v/>
      </c>
      <c r="K269" s="26">
        <f>IF(Z269="","",Z269)</f>
        <v/>
      </c>
      <c r="L269" s="27">
        <f>W269</f>
        <v/>
      </c>
      <c r="M269" s="28">
        <f>AA269</f>
        <v/>
      </c>
      <c r="N269" s="23">
        <f>IF(AND(B269="",C269="",D269="",N(H269)=0),"",IF(B269="","Enter the date",IF(C269="","Pick the party",IF(P269="?","Add this party on the Parties sheet first",IF(D269="","Pick the entry type",IF(Q269="?","Pick the entry type from the list",IF(N(H269)=0,"Enter the amount",IF(AND(R269&lt;&gt;"Any",R269&lt;&gt;P269),"Sales, receipts and credit notes are for debtors; purchases, payments and debit notes for creditors",IF(AND(F269&lt;&gt;"",D269&lt;&gt;"Purchase bill"),"The received-on date is only for purchase bills",IF(AND(P269="Creditor",X269=1,AA269&gt;0),"Past due to a micro or small supplier: interest runs under MSMED s.16, and if unpaid at year end it is not deductible that year, s.37(2)(g)",IF(AND(P269="Debtor",X269=1,AA269&gt;0),"Past due to you: as a micro or small supplier you can claim interest under MSMED s.16","OK")))))))))))</f>
        <v/>
      </c>
      <c r="P269">
        <f>IF(C269="","",IFERROR(VLOOKUP(C269,'Example Parties'!$B$13:$Q$112,2,FALSE),"?"))</f>
        <v/>
      </c>
      <c r="Q269">
        <f>IF(D269="","",IFERROR(VLOOKUP(D269,Lists!$A$2:$D$9,3,FALSE),"?"))</f>
        <v/>
      </c>
      <c r="R269">
        <f>IF(D269="","",IFERROR(VLOOKUP(D269,Lists!$A$2:$D$9,4,FALSE),"?"))</f>
        <v/>
      </c>
      <c r="S269">
        <f>IF(P269="Debtor",I269,IF(P269="Creditor",J269,0))</f>
        <v/>
      </c>
      <c r="T269">
        <f>IF(P269="Debtor",J269,IF(P269="Creditor",I269,0))</f>
        <v/>
      </c>
      <c r="U269">
        <f>IF(OR(S269=0,B269=""),0,IFERROR(VLOOKUP(C269,'Example Parties'!$B$13:$Q$112,13,FALSE),0)+SUMIFS($S$7:$S$506,$C$7:$C$506,C269,$B$7:$B$506,"&lt;"&amp;B269)+SUMIFS(S$7:S269,C$7:C269,C269,B$7:B269,B269))</f>
        <v/>
      </c>
      <c r="V269">
        <f>IF(S269=0,0,IFERROR(VLOOKUP(C269,'Example Parties'!$B$13:$Q$112,14,FALSE),0)+SUMIFS($T$7:$T$506,$C$7:$C$506,C269,$B$7:$B$506,"&lt;="&amp;'Example Outstanding'!$E$5))</f>
        <v/>
      </c>
      <c r="W269">
        <f>IF(OR('Example Outstanding'!$E$5="",S269=0,B269="",B269&gt;'Example Outstanding'!$E$5),0,MAX(0,MIN(S269,U269-V269)))</f>
        <v/>
      </c>
      <c r="X269">
        <f>IF(C269="",0,IFERROR(VLOOKUP(C269,'Example Parties'!$B$13:$Q$112,15,FALSE),0))</f>
        <v/>
      </c>
      <c r="Y269">
        <f>IF(C269="","",IFERROR(VLOOKUP(C269,'Example Parties'!$B$13:$Q$112,16,FALSE),0))</f>
        <v/>
      </c>
      <c r="Z269">
        <f>IF(OR(S269=0,B269="",Y269=""),"",IF(AND(F269&lt;&gt;"",D269="Purchase bill"),F269,B269)+Y269)</f>
        <v/>
      </c>
      <c r="AA269">
        <f>IF(OR(W269=0,Z269=""),0,MAX(0,'Example Outstanding'!$E$5-Z269))</f>
        <v/>
      </c>
      <c r="AB269">
        <f>IF(AND(X269=1,AA269&gt;0),W269*((1+3*N('Example Parties'!$E$10)/12)^(AA269*12/365)-1),0)</f>
        <v/>
      </c>
      <c r="AC269">
        <f>IF(W269=0,"",'Example Outstanding'!$E$5-B269)</f>
        <v/>
      </c>
      <c r="AD269">
        <f>IF(S269=0,0,IFERROR(VLOOKUP(C269,'Example Parties'!$B$13:$Q$112,14,FALSE),0)+SUMIFS($T$7:$T$506,$C$7:$C$506,C269,$B$7:$B$506,"&lt;="&amp;'Example Parties'!$E$8))</f>
        <v/>
      </c>
      <c r="AE269">
        <f>IF(OR('Example Parties'!$E$8="",S269=0,B269="",B269&gt;'Example Parties'!$E$8),0,MAX(0,MIN(S269,U269-AD269)))</f>
        <v/>
      </c>
      <c r="AF269">
        <f>IF(AND(P269="Creditor",X269=1,AE269&gt;0,Z269&lt;&gt;""),IF(Z269&lt;='Example Parties'!$E$8,AE269,0),0)</f>
        <v/>
      </c>
      <c r="AG269">
        <f>IF(OR(AE269=0,Z269=""),0,MAX(0,'Example Parties'!$E$8-Z269))</f>
        <v/>
      </c>
      <c r="AH269">
        <f>IF(AND(P269="Creditor",X269=1,AG269&gt;0),AE269*((1+3*N('Example Parties'!$E$10)/12)^(AG269*12/365)-1),0)</f>
        <v/>
      </c>
      <c r="AI269">
        <f>IF(AND(C269&lt;&gt;"",C269='Example Ledger'!$D$4,B269&lt;&gt;"",B269&gt;='Example Ledger'!$D$5,B269&lt;='Example Ledger'!$D$6),1,0)</f>
        <v/>
      </c>
      <c r="AJ269">
        <f>IF(AI269=1,SUM(AI$7:AI269),"")</f>
        <v/>
      </c>
      <c r="AK269">
        <f>IF(OR(N269="",N269="OK"),0,1)</f>
        <v/>
      </c>
    </row>
    <row r="270">
      <c r="B270" s="24" t="n"/>
      <c r="C270" s="14" t="n"/>
      <c r="D270" s="14" t="n"/>
      <c r="E270" s="20" t="n"/>
      <c r="F270" s="24" t="n"/>
      <c r="G270" s="14" t="n"/>
      <c r="H270" s="22" t="n"/>
      <c r="I270" s="25">
        <f>IF(Q270="D",N(H270),0)</f>
        <v/>
      </c>
      <c r="J270" s="25">
        <f>IF(Q270="C",N(H270),0)</f>
        <v/>
      </c>
      <c r="K270" s="26">
        <f>IF(Z270="","",Z270)</f>
        <v/>
      </c>
      <c r="L270" s="27">
        <f>W270</f>
        <v/>
      </c>
      <c r="M270" s="28">
        <f>AA270</f>
        <v/>
      </c>
      <c r="N270" s="23">
        <f>IF(AND(B270="",C270="",D270="",N(H270)=0),"",IF(B270="","Enter the date",IF(C270="","Pick the party",IF(P270="?","Add this party on the Parties sheet first",IF(D270="","Pick the entry type",IF(Q270="?","Pick the entry type from the list",IF(N(H270)=0,"Enter the amount",IF(AND(R270&lt;&gt;"Any",R270&lt;&gt;P270),"Sales, receipts and credit notes are for debtors; purchases, payments and debit notes for creditors",IF(AND(F270&lt;&gt;"",D270&lt;&gt;"Purchase bill"),"The received-on date is only for purchase bills",IF(AND(P270="Creditor",X270=1,AA270&gt;0),"Past due to a micro or small supplier: interest runs under MSMED s.16, and if unpaid at year end it is not deductible that year, s.37(2)(g)",IF(AND(P270="Debtor",X270=1,AA270&gt;0),"Past due to you: as a micro or small supplier you can claim interest under MSMED s.16","OK")))))))))))</f>
        <v/>
      </c>
      <c r="P270">
        <f>IF(C270="","",IFERROR(VLOOKUP(C270,'Example Parties'!$B$13:$Q$112,2,FALSE),"?"))</f>
        <v/>
      </c>
      <c r="Q270">
        <f>IF(D270="","",IFERROR(VLOOKUP(D270,Lists!$A$2:$D$9,3,FALSE),"?"))</f>
        <v/>
      </c>
      <c r="R270">
        <f>IF(D270="","",IFERROR(VLOOKUP(D270,Lists!$A$2:$D$9,4,FALSE),"?"))</f>
        <v/>
      </c>
      <c r="S270">
        <f>IF(P270="Debtor",I270,IF(P270="Creditor",J270,0))</f>
        <v/>
      </c>
      <c r="T270">
        <f>IF(P270="Debtor",J270,IF(P270="Creditor",I270,0))</f>
        <v/>
      </c>
      <c r="U270">
        <f>IF(OR(S270=0,B270=""),0,IFERROR(VLOOKUP(C270,'Example Parties'!$B$13:$Q$112,13,FALSE),0)+SUMIFS($S$7:$S$506,$C$7:$C$506,C270,$B$7:$B$506,"&lt;"&amp;B270)+SUMIFS(S$7:S270,C$7:C270,C270,B$7:B270,B270))</f>
        <v/>
      </c>
      <c r="V270">
        <f>IF(S270=0,0,IFERROR(VLOOKUP(C270,'Example Parties'!$B$13:$Q$112,14,FALSE),0)+SUMIFS($T$7:$T$506,$C$7:$C$506,C270,$B$7:$B$506,"&lt;="&amp;'Example Outstanding'!$E$5))</f>
        <v/>
      </c>
      <c r="W270">
        <f>IF(OR('Example Outstanding'!$E$5="",S270=0,B270="",B270&gt;'Example Outstanding'!$E$5),0,MAX(0,MIN(S270,U270-V270)))</f>
        <v/>
      </c>
      <c r="X270">
        <f>IF(C270="",0,IFERROR(VLOOKUP(C270,'Example Parties'!$B$13:$Q$112,15,FALSE),0))</f>
        <v/>
      </c>
      <c r="Y270">
        <f>IF(C270="","",IFERROR(VLOOKUP(C270,'Example Parties'!$B$13:$Q$112,16,FALSE),0))</f>
        <v/>
      </c>
      <c r="Z270">
        <f>IF(OR(S270=0,B270="",Y270=""),"",IF(AND(F270&lt;&gt;"",D270="Purchase bill"),F270,B270)+Y270)</f>
        <v/>
      </c>
      <c r="AA270">
        <f>IF(OR(W270=0,Z270=""),0,MAX(0,'Example Outstanding'!$E$5-Z270))</f>
        <v/>
      </c>
      <c r="AB270">
        <f>IF(AND(X270=1,AA270&gt;0),W270*((1+3*N('Example Parties'!$E$10)/12)^(AA270*12/365)-1),0)</f>
        <v/>
      </c>
      <c r="AC270">
        <f>IF(W270=0,"",'Example Outstanding'!$E$5-B270)</f>
        <v/>
      </c>
      <c r="AD270">
        <f>IF(S270=0,0,IFERROR(VLOOKUP(C270,'Example Parties'!$B$13:$Q$112,14,FALSE),0)+SUMIFS($T$7:$T$506,$C$7:$C$506,C270,$B$7:$B$506,"&lt;="&amp;'Example Parties'!$E$8))</f>
        <v/>
      </c>
      <c r="AE270">
        <f>IF(OR('Example Parties'!$E$8="",S270=0,B270="",B270&gt;'Example Parties'!$E$8),0,MAX(0,MIN(S270,U270-AD270)))</f>
        <v/>
      </c>
      <c r="AF270">
        <f>IF(AND(P270="Creditor",X270=1,AE270&gt;0,Z270&lt;&gt;""),IF(Z270&lt;='Example Parties'!$E$8,AE270,0),0)</f>
        <v/>
      </c>
      <c r="AG270">
        <f>IF(OR(AE270=0,Z270=""),0,MAX(0,'Example Parties'!$E$8-Z270))</f>
        <v/>
      </c>
      <c r="AH270">
        <f>IF(AND(P270="Creditor",X270=1,AG270&gt;0),AE270*((1+3*N('Example Parties'!$E$10)/12)^(AG270*12/365)-1),0)</f>
        <v/>
      </c>
      <c r="AI270">
        <f>IF(AND(C270&lt;&gt;"",C270='Example Ledger'!$D$4,B270&lt;&gt;"",B270&gt;='Example Ledger'!$D$5,B270&lt;='Example Ledger'!$D$6),1,0)</f>
        <v/>
      </c>
      <c r="AJ270">
        <f>IF(AI270=1,SUM(AI$7:AI270),"")</f>
        <v/>
      </c>
      <c r="AK270">
        <f>IF(OR(N270="",N270="OK"),0,1)</f>
        <v/>
      </c>
    </row>
    <row r="271">
      <c r="B271" s="24" t="n"/>
      <c r="C271" s="14" t="n"/>
      <c r="D271" s="14" t="n"/>
      <c r="E271" s="20" t="n"/>
      <c r="F271" s="24" t="n"/>
      <c r="G271" s="14" t="n"/>
      <c r="H271" s="22" t="n"/>
      <c r="I271" s="25">
        <f>IF(Q271="D",N(H271),0)</f>
        <v/>
      </c>
      <c r="J271" s="25">
        <f>IF(Q271="C",N(H271),0)</f>
        <v/>
      </c>
      <c r="K271" s="26">
        <f>IF(Z271="","",Z271)</f>
        <v/>
      </c>
      <c r="L271" s="27">
        <f>W271</f>
        <v/>
      </c>
      <c r="M271" s="28">
        <f>AA271</f>
        <v/>
      </c>
      <c r="N271" s="23">
        <f>IF(AND(B271="",C271="",D271="",N(H271)=0),"",IF(B271="","Enter the date",IF(C271="","Pick the party",IF(P271="?","Add this party on the Parties sheet first",IF(D271="","Pick the entry type",IF(Q271="?","Pick the entry type from the list",IF(N(H271)=0,"Enter the amount",IF(AND(R271&lt;&gt;"Any",R271&lt;&gt;P271),"Sales, receipts and credit notes are for debtors; purchases, payments and debit notes for creditors",IF(AND(F271&lt;&gt;"",D271&lt;&gt;"Purchase bill"),"The received-on date is only for purchase bills",IF(AND(P271="Creditor",X271=1,AA271&gt;0),"Past due to a micro or small supplier: interest runs under MSMED s.16, and if unpaid at year end it is not deductible that year, s.37(2)(g)",IF(AND(P271="Debtor",X271=1,AA271&gt;0),"Past due to you: as a micro or small supplier you can claim interest under MSMED s.16","OK")))))))))))</f>
        <v/>
      </c>
      <c r="P271">
        <f>IF(C271="","",IFERROR(VLOOKUP(C271,'Example Parties'!$B$13:$Q$112,2,FALSE),"?"))</f>
        <v/>
      </c>
      <c r="Q271">
        <f>IF(D271="","",IFERROR(VLOOKUP(D271,Lists!$A$2:$D$9,3,FALSE),"?"))</f>
        <v/>
      </c>
      <c r="R271">
        <f>IF(D271="","",IFERROR(VLOOKUP(D271,Lists!$A$2:$D$9,4,FALSE),"?"))</f>
        <v/>
      </c>
      <c r="S271">
        <f>IF(P271="Debtor",I271,IF(P271="Creditor",J271,0))</f>
        <v/>
      </c>
      <c r="T271">
        <f>IF(P271="Debtor",J271,IF(P271="Creditor",I271,0))</f>
        <v/>
      </c>
      <c r="U271">
        <f>IF(OR(S271=0,B271=""),0,IFERROR(VLOOKUP(C271,'Example Parties'!$B$13:$Q$112,13,FALSE),0)+SUMIFS($S$7:$S$506,$C$7:$C$506,C271,$B$7:$B$506,"&lt;"&amp;B271)+SUMIFS(S$7:S271,C$7:C271,C271,B$7:B271,B271))</f>
        <v/>
      </c>
      <c r="V271">
        <f>IF(S271=0,0,IFERROR(VLOOKUP(C271,'Example Parties'!$B$13:$Q$112,14,FALSE),0)+SUMIFS($T$7:$T$506,$C$7:$C$506,C271,$B$7:$B$506,"&lt;="&amp;'Example Outstanding'!$E$5))</f>
        <v/>
      </c>
      <c r="W271">
        <f>IF(OR('Example Outstanding'!$E$5="",S271=0,B271="",B271&gt;'Example Outstanding'!$E$5),0,MAX(0,MIN(S271,U271-V271)))</f>
        <v/>
      </c>
      <c r="X271">
        <f>IF(C271="",0,IFERROR(VLOOKUP(C271,'Example Parties'!$B$13:$Q$112,15,FALSE),0))</f>
        <v/>
      </c>
      <c r="Y271">
        <f>IF(C271="","",IFERROR(VLOOKUP(C271,'Example Parties'!$B$13:$Q$112,16,FALSE),0))</f>
        <v/>
      </c>
      <c r="Z271">
        <f>IF(OR(S271=0,B271="",Y271=""),"",IF(AND(F271&lt;&gt;"",D271="Purchase bill"),F271,B271)+Y271)</f>
        <v/>
      </c>
      <c r="AA271">
        <f>IF(OR(W271=0,Z271=""),0,MAX(0,'Example Outstanding'!$E$5-Z271))</f>
        <v/>
      </c>
      <c r="AB271">
        <f>IF(AND(X271=1,AA271&gt;0),W271*((1+3*N('Example Parties'!$E$10)/12)^(AA271*12/365)-1),0)</f>
        <v/>
      </c>
      <c r="AC271">
        <f>IF(W271=0,"",'Example Outstanding'!$E$5-B271)</f>
        <v/>
      </c>
      <c r="AD271">
        <f>IF(S271=0,0,IFERROR(VLOOKUP(C271,'Example Parties'!$B$13:$Q$112,14,FALSE),0)+SUMIFS($T$7:$T$506,$C$7:$C$506,C271,$B$7:$B$506,"&lt;="&amp;'Example Parties'!$E$8))</f>
        <v/>
      </c>
      <c r="AE271">
        <f>IF(OR('Example Parties'!$E$8="",S271=0,B271="",B271&gt;'Example Parties'!$E$8),0,MAX(0,MIN(S271,U271-AD271)))</f>
        <v/>
      </c>
      <c r="AF271">
        <f>IF(AND(P271="Creditor",X271=1,AE271&gt;0,Z271&lt;&gt;""),IF(Z271&lt;='Example Parties'!$E$8,AE271,0),0)</f>
        <v/>
      </c>
      <c r="AG271">
        <f>IF(OR(AE271=0,Z271=""),0,MAX(0,'Example Parties'!$E$8-Z271))</f>
        <v/>
      </c>
      <c r="AH271">
        <f>IF(AND(P271="Creditor",X271=1,AG271&gt;0),AE271*((1+3*N('Example Parties'!$E$10)/12)^(AG271*12/365)-1),0)</f>
        <v/>
      </c>
      <c r="AI271">
        <f>IF(AND(C271&lt;&gt;"",C271='Example Ledger'!$D$4,B271&lt;&gt;"",B271&gt;='Example Ledger'!$D$5,B271&lt;='Example Ledger'!$D$6),1,0)</f>
        <v/>
      </c>
      <c r="AJ271">
        <f>IF(AI271=1,SUM(AI$7:AI271),"")</f>
        <v/>
      </c>
      <c r="AK271">
        <f>IF(OR(N271="",N271="OK"),0,1)</f>
        <v/>
      </c>
    </row>
    <row r="272">
      <c r="B272" s="24" t="n"/>
      <c r="C272" s="14" t="n"/>
      <c r="D272" s="14" t="n"/>
      <c r="E272" s="20" t="n"/>
      <c r="F272" s="24" t="n"/>
      <c r="G272" s="14" t="n"/>
      <c r="H272" s="22" t="n"/>
      <c r="I272" s="25">
        <f>IF(Q272="D",N(H272),0)</f>
        <v/>
      </c>
      <c r="J272" s="25">
        <f>IF(Q272="C",N(H272),0)</f>
        <v/>
      </c>
      <c r="K272" s="26">
        <f>IF(Z272="","",Z272)</f>
        <v/>
      </c>
      <c r="L272" s="27">
        <f>W272</f>
        <v/>
      </c>
      <c r="M272" s="28">
        <f>AA272</f>
        <v/>
      </c>
      <c r="N272" s="23">
        <f>IF(AND(B272="",C272="",D272="",N(H272)=0),"",IF(B272="","Enter the date",IF(C272="","Pick the party",IF(P272="?","Add this party on the Parties sheet first",IF(D272="","Pick the entry type",IF(Q272="?","Pick the entry type from the list",IF(N(H272)=0,"Enter the amount",IF(AND(R272&lt;&gt;"Any",R272&lt;&gt;P272),"Sales, receipts and credit notes are for debtors; purchases, payments and debit notes for creditors",IF(AND(F272&lt;&gt;"",D272&lt;&gt;"Purchase bill"),"The received-on date is only for purchase bills",IF(AND(P272="Creditor",X272=1,AA272&gt;0),"Past due to a micro or small supplier: interest runs under MSMED s.16, and if unpaid at year end it is not deductible that year, s.37(2)(g)",IF(AND(P272="Debtor",X272=1,AA272&gt;0),"Past due to you: as a micro or small supplier you can claim interest under MSMED s.16","OK")))))))))))</f>
        <v/>
      </c>
      <c r="P272">
        <f>IF(C272="","",IFERROR(VLOOKUP(C272,'Example Parties'!$B$13:$Q$112,2,FALSE),"?"))</f>
        <v/>
      </c>
      <c r="Q272">
        <f>IF(D272="","",IFERROR(VLOOKUP(D272,Lists!$A$2:$D$9,3,FALSE),"?"))</f>
        <v/>
      </c>
      <c r="R272">
        <f>IF(D272="","",IFERROR(VLOOKUP(D272,Lists!$A$2:$D$9,4,FALSE),"?"))</f>
        <v/>
      </c>
      <c r="S272">
        <f>IF(P272="Debtor",I272,IF(P272="Creditor",J272,0))</f>
        <v/>
      </c>
      <c r="T272">
        <f>IF(P272="Debtor",J272,IF(P272="Creditor",I272,0))</f>
        <v/>
      </c>
      <c r="U272">
        <f>IF(OR(S272=0,B272=""),0,IFERROR(VLOOKUP(C272,'Example Parties'!$B$13:$Q$112,13,FALSE),0)+SUMIFS($S$7:$S$506,$C$7:$C$506,C272,$B$7:$B$506,"&lt;"&amp;B272)+SUMIFS(S$7:S272,C$7:C272,C272,B$7:B272,B272))</f>
        <v/>
      </c>
      <c r="V272">
        <f>IF(S272=0,0,IFERROR(VLOOKUP(C272,'Example Parties'!$B$13:$Q$112,14,FALSE),0)+SUMIFS($T$7:$T$506,$C$7:$C$506,C272,$B$7:$B$506,"&lt;="&amp;'Example Outstanding'!$E$5))</f>
        <v/>
      </c>
      <c r="W272">
        <f>IF(OR('Example Outstanding'!$E$5="",S272=0,B272="",B272&gt;'Example Outstanding'!$E$5),0,MAX(0,MIN(S272,U272-V272)))</f>
        <v/>
      </c>
      <c r="X272">
        <f>IF(C272="",0,IFERROR(VLOOKUP(C272,'Example Parties'!$B$13:$Q$112,15,FALSE),0))</f>
        <v/>
      </c>
      <c r="Y272">
        <f>IF(C272="","",IFERROR(VLOOKUP(C272,'Example Parties'!$B$13:$Q$112,16,FALSE),0))</f>
        <v/>
      </c>
      <c r="Z272">
        <f>IF(OR(S272=0,B272="",Y272=""),"",IF(AND(F272&lt;&gt;"",D272="Purchase bill"),F272,B272)+Y272)</f>
        <v/>
      </c>
      <c r="AA272">
        <f>IF(OR(W272=0,Z272=""),0,MAX(0,'Example Outstanding'!$E$5-Z272))</f>
        <v/>
      </c>
      <c r="AB272">
        <f>IF(AND(X272=1,AA272&gt;0),W272*((1+3*N('Example Parties'!$E$10)/12)^(AA272*12/365)-1),0)</f>
        <v/>
      </c>
      <c r="AC272">
        <f>IF(W272=0,"",'Example Outstanding'!$E$5-B272)</f>
        <v/>
      </c>
      <c r="AD272">
        <f>IF(S272=0,0,IFERROR(VLOOKUP(C272,'Example Parties'!$B$13:$Q$112,14,FALSE),0)+SUMIFS($T$7:$T$506,$C$7:$C$506,C272,$B$7:$B$506,"&lt;="&amp;'Example Parties'!$E$8))</f>
        <v/>
      </c>
      <c r="AE272">
        <f>IF(OR('Example Parties'!$E$8="",S272=0,B272="",B272&gt;'Example Parties'!$E$8),0,MAX(0,MIN(S272,U272-AD272)))</f>
        <v/>
      </c>
      <c r="AF272">
        <f>IF(AND(P272="Creditor",X272=1,AE272&gt;0,Z272&lt;&gt;""),IF(Z272&lt;='Example Parties'!$E$8,AE272,0),0)</f>
        <v/>
      </c>
      <c r="AG272">
        <f>IF(OR(AE272=0,Z272=""),0,MAX(0,'Example Parties'!$E$8-Z272))</f>
        <v/>
      </c>
      <c r="AH272">
        <f>IF(AND(P272="Creditor",X272=1,AG272&gt;0),AE272*((1+3*N('Example Parties'!$E$10)/12)^(AG272*12/365)-1),0)</f>
        <v/>
      </c>
      <c r="AI272">
        <f>IF(AND(C272&lt;&gt;"",C272='Example Ledger'!$D$4,B272&lt;&gt;"",B272&gt;='Example Ledger'!$D$5,B272&lt;='Example Ledger'!$D$6),1,0)</f>
        <v/>
      </c>
      <c r="AJ272">
        <f>IF(AI272=1,SUM(AI$7:AI272),"")</f>
        <v/>
      </c>
      <c r="AK272">
        <f>IF(OR(N272="",N272="OK"),0,1)</f>
        <v/>
      </c>
    </row>
    <row r="273">
      <c r="B273" s="24" t="n"/>
      <c r="C273" s="14" t="n"/>
      <c r="D273" s="14" t="n"/>
      <c r="E273" s="20" t="n"/>
      <c r="F273" s="24" t="n"/>
      <c r="G273" s="14" t="n"/>
      <c r="H273" s="22" t="n"/>
      <c r="I273" s="25">
        <f>IF(Q273="D",N(H273),0)</f>
        <v/>
      </c>
      <c r="J273" s="25">
        <f>IF(Q273="C",N(H273),0)</f>
        <v/>
      </c>
      <c r="K273" s="26">
        <f>IF(Z273="","",Z273)</f>
        <v/>
      </c>
      <c r="L273" s="27">
        <f>W273</f>
        <v/>
      </c>
      <c r="M273" s="28">
        <f>AA273</f>
        <v/>
      </c>
      <c r="N273" s="23">
        <f>IF(AND(B273="",C273="",D273="",N(H273)=0),"",IF(B273="","Enter the date",IF(C273="","Pick the party",IF(P273="?","Add this party on the Parties sheet first",IF(D273="","Pick the entry type",IF(Q273="?","Pick the entry type from the list",IF(N(H273)=0,"Enter the amount",IF(AND(R273&lt;&gt;"Any",R273&lt;&gt;P273),"Sales, receipts and credit notes are for debtors; purchases, payments and debit notes for creditors",IF(AND(F273&lt;&gt;"",D273&lt;&gt;"Purchase bill"),"The received-on date is only for purchase bills",IF(AND(P273="Creditor",X273=1,AA273&gt;0),"Past due to a micro or small supplier: interest runs under MSMED s.16, and if unpaid at year end it is not deductible that year, s.37(2)(g)",IF(AND(P273="Debtor",X273=1,AA273&gt;0),"Past due to you: as a micro or small supplier you can claim interest under MSMED s.16","OK")))))))))))</f>
        <v/>
      </c>
      <c r="P273">
        <f>IF(C273="","",IFERROR(VLOOKUP(C273,'Example Parties'!$B$13:$Q$112,2,FALSE),"?"))</f>
        <v/>
      </c>
      <c r="Q273">
        <f>IF(D273="","",IFERROR(VLOOKUP(D273,Lists!$A$2:$D$9,3,FALSE),"?"))</f>
        <v/>
      </c>
      <c r="R273">
        <f>IF(D273="","",IFERROR(VLOOKUP(D273,Lists!$A$2:$D$9,4,FALSE),"?"))</f>
        <v/>
      </c>
      <c r="S273">
        <f>IF(P273="Debtor",I273,IF(P273="Creditor",J273,0))</f>
        <v/>
      </c>
      <c r="T273">
        <f>IF(P273="Debtor",J273,IF(P273="Creditor",I273,0))</f>
        <v/>
      </c>
      <c r="U273">
        <f>IF(OR(S273=0,B273=""),0,IFERROR(VLOOKUP(C273,'Example Parties'!$B$13:$Q$112,13,FALSE),0)+SUMIFS($S$7:$S$506,$C$7:$C$506,C273,$B$7:$B$506,"&lt;"&amp;B273)+SUMIFS(S$7:S273,C$7:C273,C273,B$7:B273,B273))</f>
        <v/>
      </c>
      <c r="V273">
        <f>IF(S273=0,0,IFERROR(VLOOKUP(C273,'Example Parties'!$B$13:$Q$112,14,FALSE),0)+SUMIFS($T$7:$T$506,$C$7:$C$506,C273,$B$7:$B$506,"&lt;="&amp;'Example Outstanding'!$E$5))</f>
        <v/>
      </c>
      <c r="W273">
        <f>IF(OR('Example Outstanding'!$E$5="",S273=0,B273="",B273&gt;'Example Outstanding'!$E$5),0,MAX(0,MIN(S273,U273-V273)))</f>
        <v/>
      </c>
      <c r="X273">
        <f>IF(C273="",0,IFERROR(VLOOKUP(C273,'Example Parties'!$B$13:$Q$112,15,FALSE),0))</f>
        <v/>
      </c>
      <c r="Y273">
        <f>IF(C273="","",IFERROR(VLOOKUP(C273,'Example Parties'!$B$13:$Q$112,16,FALSE),0))</f>
        <v/>
      </c>
      <c r="Z273">
        <f>IF(OR(S273=0,B273="",Y273=""),"",IF(AND(F273&lt;&gt;"",D273="Purchase bill"),F273,B273)+Y273)</f>
        <v/>
      </c>
      <c r="AA273">
        <f>IF(OR(W273=0,Z273=""),0,MAX(0,'Example Outstanding'!$E$5-Z273))</f>
        <v/>
      </c>
      <c r="AB273">
        <f>IF(AND(X273=1,AA273&gt;0),W273*((1+3*N('Example Parties'!$E$10)/12)^(AA273*12/365)-1),0)</f>
        <v/>
      </c>
      <c r="AC273">
        <f>IF(W273=0,"",'Example Outstanding'!$E$5-B273)</f>
        <v/>
      </c>
      <c r="AD273">
        <f>IF(S273=0,0,IFERROR(VLOOKUP(C273,'Example Parties'!$B$13:$Q$112,14,FALSE),0)+SUMIFS($T$7:$T$506,$C$7:$C$506,C273,$B$7:$B$506,"&lt;="&amp;'Example Parties'!$E$8))</f>
        <v/>
      </c>
      <c r="AE273">
        <f>IF(OR('Example Parties'!$E$8="",S273=0,B273="",B273&gt;'Example Parties'!$E$8),0,MAX(0,MIN(S273,U273-AD273)))</f>
        <v/>
      </c>
      <c r="AF273">
        <f>IF(AND(P273="Creditor",X273=1,AE273&gt;0,Z273&lt;&gt;""),IF(Z273&lt;='Example Parties'!$E$8,AE273,0),0)</f>
        <v/>
      </c>
      <c r="AG273">
        <f>IF(OR(AE273=0,Z273=""),0,MAX(0,'Example Parties'!$E$8-Z273))</f>
        <v/>
      </c>
      <c r="AH273">
        <f>IF(AND(P273="Creditor",X273=1,AG273&gt;0),AE273*((1+3*N('Example Parties'!$E$10)/12)^(AG273*12/365)-1),0)</f>
        <v/>
      </c>
      <c r="AI273">
        <f>IF(AND(C273&lt;&gt;"",C273='Example Ledger'!$D$4,B273&lt;&gt;"",B273&gt;='Example Ledger'!$D$5,B273&lt;='Example Ledger'!$D$6),1,0)</f>
        <v/>
      </c>
      <c r="AJ273">
        <f>IF(AI273=1,SUM(AI$7:AI273),"")</f>
        <v/>
      </c>
      <c r="AK273">
        <f>IF(OR(N273="",N273="OK"),0,1)</f>
        <v/>
      </c>
    </row>
    <row r="274">
      <c r="B274" s="24" t="n"/>
      <c r="C274" s="14" t="n"/>
      <c r="D274" s="14" t="n"/>
      <c r="E274" s="20" t="n"/>
      <c r="F274" s="24" t="n"/>
      <c r="G274" s="14" t="n"/>
      <c r="H274" s="22" t="n"/>
      <c r="I274" s="25">
        <f>IF(Q274="D",N(H274),0)</f>
        <v/>
      </c>
      <c r="J274" s="25">
        <f>IF(Q274="C",N(H274),0)</f>
        <v/>
      </c>
      <c r="K274" s="26">
        <f>IF(Z274="","",Z274)</f>
        <v/>
      </c>
      <c r="L274" s="27">
        <f>W274</f>
        <v/>
      </c>
      <c r="M274" s="28">
        <f>AA274</f>
        <v/>
      </c>
      <c r="N274" s="23">
        <f>IF(AND(B274="",C274="",D274="",N(H274)=0),"",IF(B274="","Enter the date",IF(C274="","Pick the party",IF(P274="?","Add this party on the Parties sheet first",IF(D274="","Pick the entry type",IF(Q274="?","Pick the entry type from the list",IF(N(H274)=0,"Enter the amount",IF(AND(R274&lt;&gt;"Any",R274&lt;&gt;P274),"Sales, receipts and credit notes are for debtors; purchases, payments and debit notes for creditors",IF(AND(F274&lt;&gt;"",D274&lt;&gt;"Purchase bill"),"The received-on date is only for purchase bills",IF(AND(P274="Creditor",X274=1,AA274&gt;0),"Past due to a micro or small supplier: interest runs under MSMED s.16, and if unpaid at year end it is not deductible that year, s.37(2)(g)",IF(AND(P274="Debtor",X274=1,AA274&gt;0),"Past due to you: as a micro or small supplier you can claim interest under MSMED s.16","OK")))))))))))</f>
        <v/>
      </c>
      <c r="P274">
        <f>IF(C274="","",IFERROR(VLOOKUP(C274,'Example Parties'!$B$13:$Q$112,2,FALSE),"?"))</f>
        <v/>
      </c>
      <c r="Q274">
        <f>IF(D274="","",IFERROR(VLOOKUP(D274,Lists!$A$2:$D$9,3,FALSE),"?"))</f>
        <v/>
      </c>
      <c r="R274">
        <f>IF(D274="","",IFERROR(VLOOKUP(D274,Lists!$A$2:$D$9,4,FALSE),"?"))</f>
        <v/>
      </c>
      <c r="S274">
        <f>IF(P274="Debtor",I274,IF(P274="Creditor",J274,0))</f>
        <v/>
      </c>
      <c r="T274">
        <f>IF(P274="Debtor",J274,IF(P274="Creditor",I274,0))</f>
        <v/>
      </c>
      <c r="U274">
        <f>IF(OR(S274=0,B274=""),0,IFERROR(VLOOKUP(C274,'Example Parties'!$B$13:$Q$112,13,FALSE),0)+SUMIFS($S$7:$S$506,$C$7:$C$506,C274,$B$7:$B$506,"&lt;"&amp;B274)+SUMIFS(S$7:S274,C$7:C274,C274,B$7:B274,B274))</f>
        <v/>
      </c>
      <c r="V274">
        <f>IF(S274=0,0,IFERROR(VLOOKUP(C274,'Example Parties'!$B$13:$Q$112,14,FALSE),0)+SUMIFS($T$7:$T$506,$C$7:$C$506,C274,$B$7:$B$506,"&lt;="&amp;'Example Outstanding'!$E$5))</f>
        <v/>
      </c>
      <c r="W274">
        <f>IF(OR('Example Outstanding'!$E$5="",S274=0,B274="",B274&gt;'Example Outstanding'!$E$5),0,MAX(0,MIN(S274,U274-V274)))</f>
        <v/>
      </c>
      <c r="X274">
        <f>IF(C274="",0,IFERROR(VLOOKUP(C274,'Example Parties'!$B$13:$Q$112,15,FALSE),0))</f>
        <v/>
      </c>
      <c r="Y274">
        <f>IF(C274="","",IFERROR(VLOOKUP(C274,'Example Parties'!$B$13:$Q$112,16,FALSE),0))</f>
        <v/>
      </c>
      <c r="Z274">
        <f>IF(OR(S274=0,B274="",Y274=""),"",IF(AND(F274&lt;&gt;"",D274="Purchase bill"),F274,B274)+Y274)</f>
        <v/>
      </c>
      <c r="AA274">
        <f>IF(OR(W274=0,Z274=""),0,MAX(0,'Example Outstanding'!$E$5-Z274))</f>
        <v/>
      </c>
      <c r="AB274">
        <f>IF(AND(X274=1,AA274&gt;0),W274*((1+3*N('Example Parties'!$E$10)/12)^(AA274*12/365)-1),0)</f>
        <v/>
      </c>
      <c r="AC274">
        <f>IF(W274=0,"",'Example Outstanding'!$E$5-B274)</f>
        <v/>
      </c>
      <c r="AD274">
        <f>IF(S274=0,0,IFERROR(VLOOKUP(C274,'Example Parties'!$B$13:$Q$112,14,FALSE),0)+SUMIFS($T$7:$T$506,$C$7:$C$506,C274,$B$7:$B$506,"&lt;="&amp;'Example Parties'!$E$8))</f>
        <v/>
      </c>
      <c r="AE274">
        <f>IF(OR('Example Parties'!$E$8="",S274=0,B274="",B274&gt;'Example Parties'!$E$8),0,MAX(0,MIN(S274,U274-AD274)))</f>
        <v/>
      </c>
      <c r="AF274">
        <f>IF(AND(P274="Creditor",X274=1,AE274&gt;0,Z274&lt;&gt;""),IF(Z274&lt;='Example Parties'!$E$8,AE274,0),0)</f>
        <v/>
      </c>
      <c r="AG274">
        <f>IF(OR(AE274=0,Z274=""),0,MAX(0,'Example Parties'!$E$8-Z274))</f>
        <v/>
      </c>
      <c r="AH274">
        <f>IF(AND(P274="Creditor",X274=1,AG274&gt;0),AE274*((1+3*N('Example Parties'!$E$10)/12)^(AG274*12/365)-1),0)</f>
        <v/>
      </c>
      <c r="AI274">
        <f>IF(AND(C274&lt;&gt;"",C274='Example Ledger'!$D$4,B274&lt;&gt;"",B274&gt;='Example Ledger'!$D$5,B274&lt;='Example Ledger'!$D$6),1,0)</f>
        <v/>
      </c>
      <c r="AJ274">
        <f>IF(AI274=1,SUM(AI$7:AI274),"")</f>
        <v/>
      </c>
      <c r="AK274">
        <f>IF(OR(N274="",N274="OK"),0,1)</f>
        <v/>
      </c>
    </row>
    <row r="275">
      <c r="B275" s="24" t="n"/>
      <c r="C275" s="14" t="n"/>
      <c r="D275" s="14" t="n"/>
      <c r="E275" s="20" t="n"/>
      <c r="F275" s="24" t="n"/>
      <c r="G275" s="14" t="n"/>
      <c r="H275" s="22" t="n"/>
      <c r="I275" s="25">
        <f>IF(Q275="D",N(H275),0)</f>
        <v/>
      </c>
      <c r="J275" s="25">
        <f>IF(Q275="C",N(H275),0)</f>
        <v/>
      </c>
      <c r="K275" s="26">
        <f>IF(Z275="","",Z275)</f>
        <v/>
      </c>
      <c r="L275" s="27">
        <f>W275</f>
        <v/>
      </c>
      <c r="M275" s="28">
        <f>AA275</f>
        <v/>
      </c>
      <c r="N275" s="23">
        <f>IF(AND(B275="",C275="",D275="",N(H275)=0),"",IF(B275="","Enter the date",IF(C275="","Pick the party",IF(P275="?","Add this party on the Parties sheet first",IF(D275="","Pick the entry type",IF(Q275="?","Pick the entry type from the list",IF(N(H275)=0,"Enter the amount",IF(AND(R275&lt;&gt;"Any",R275&lt;&gt;P275),"Sales, receipts and credit notes are for debtors; purchases, payments and debit notes for creditors",IF(AND(F275&lt;&gt;"",D275&lt;&gt;"Purchase bill"),"The received-on date is only for purchase bills",IF(AND(P275="Creditor",X275=1,AA275&gt;0),"Past due to a micro or small supplier: interest runs under MSMED s.16, and if unpaid at year end it is not deductible that year, s.37(2)(g)",IF(AND(P275="Debtor",X275=1,AA275&gt;0),"Past due to you: as a micro or small supplier you can claim interest under MSMED s.16","OK")))))))))))</f>
        <v/>
      </c>
      <c r="P275">
        <f>IF(C275="","",IFERROR(VLOOKUP(C275,'Example Parties'!$B$13:$Q$112,2,FALSE),"?"))</f>
        <v/>
      </c>
      <c r="Q275">
        <f>IF(D275="","",IFERROR(VLOOKUP(D275,Lists!$A$2:$D$9,3,FALSE),"?"))</f>
        <v/>
      </c>
      <c r="R275">
        <f>IF(D275="","",IFERROR(VLOOKUP(D275,Lists!$A$2:$D$9,4,FALSE),"?"))</f>
        <v/>
      </c>
      <c r="S275">
        <f>IF(P275="Debtor",I275,IF(P275="Creditor",J275,0))</f>
        <v/>
      </c>
      <c r="T275">
        <f>IF(P275="Debtor",J275,IF(P275="Creditor",I275,0))</f>
        <v/>
      </c>
      <c r="U275">
        <f>IF(OR(S275=0,B275=""),0,IFERROR(VLOOKUP(C275,'Example Parties'!$B$13:$Q$112,13,FALSE),0)+SUMIFS($S$7:$S$506,$C$7:$C$506,C275,$B$7:$B$506,"&lt;"&amp;B275)+SUMIFS(S$7:S275,C$7:C275,C275,B$7:B275,B275))</f>
        <v/>
      </c>
      <c r="V275">
        <f>IF(S275=0,0,IFERROR(VLOOKUP(C275,'Example Parties'!$B$13:$Q$112,14,FALSE),0)+SUMIFS($T$7:$T$506,$C$7:$C$506,C275,$B$7:$B$506,"&lt;="&amp;'Example Outstanding'!$E$5))</f>
        <v/>
      </c>
      <c r="W275">
        <f>IF(OR('Example Outstanding'!$E$5="",S275=0,B275="",B275&gt;'Example Outstanding'!$E$5),0,MAX(0,MIN(S275,U275-V275)))</f>
        <v/>
      </c>
      <c r="X275">
        <f>IF(C275="",0,IFERROR(VLOOKUP(C275,'Example Parties'!$B$13:$Q$112,15,FALSE),0))</f>
        <v/>
      </c>
      <c r="Y275">
        <f>IF(C275="","",IFERROR(VLOOKUP(C275,'Example Parties'!$B$13:$Q$112,16,FALSE),0))</f>
        <v/>
      </c>
      <c r="Z275">
        <f>IF(OR(S275=0,B275="",Y275=""),"",IF(AND(F275&lt;&gt;"",D275="Purchase bill"),F275,B275)+Y275)</f>
        <v/>
      </c>
      <c r="AA275">
        <f>IF(OR(W275=0,Z275=""),0,MAX(0,'Example Outstanding'!$E$5-Z275))</f>
        <v/>
      </c>
      <c r="AB275">
        <f>IF(AND(X275=1,AA275&gt;0),W275*((1+3*N('Example Parties'!$E$10)/12)^(AA275*12/365)-1),0)</f>
        <v/>
      </c>
      <c r="AC275">
        <f>IF(W275=0,"",'Example Outstanding'!$E$5-B275)</f>
        <v/>
      </c>
      <c r="AD275">
        <f>IF(S275=0,0,IFERROR(VLOOKUP(C275,'Example Parties'!$B$13:$Q$112,14,FALSE),0)+SUMIFS($T$7:$T$506,$C$7:$C$506,C275,$B$7:$B$506,"&lt;="&amp;'Example Parties'!$E$8))</f>
        <v/>
      </c>
      <c r="AE275">
        <f>IF(OR('Example Parties'!$E$8="",S275=0,B275="",B275&gt;'Example Parties'!$E$8),0,MAX(0,MIN(S275,U275-AD275)))</f>
        <v/>
      </c>
      <c r="AF275">
        <f>IF(AND(P275="Creditor",X275=1,AE275&gt;0,Z275&lt;&gt;""),IF(Z275&lt;='Example Parties'!$E$8,AE275,0),0)</f>
        <v/>
      </c>
      <c r="AG275">
        <f>IF(OR(AE275=0,Z275=""),0,MAX(0,'Example Parties'!$E$8-Z275))</f>
        <v/>
      </c>
      <c r="AH275">
        <f>IF(AND(P275="Creditor",X275=1,AG275&gt;0),AE275*((1+3*N('Example Parties'!$E$10)/12)^(AG275*12/365)-1),0)</f>
        <v/>
      </c>
      <c r="AI275">
        <f>IF(AND(C275&lt;&gt;"",C275='Example Ledger'!$D$4,B275&lt;&gt;"",B275&gt;='Example Ledger'!$D$5,B275&lt;='Example Ledger'!$D$6),1,0)</f>
        <v/>
      </c>
      <c r="AJ275">
        <f>IF(AI275=1,SUM(AI$7:AI275),"")</f>
        <v/>
      </c>
      <c r="AK275">
        <f>IF(OR(N275="",N275="OK"),0,1)</f>
        <v/>
      </c>
    </row>
    <row r="276">
      <c r="B276" s="24" t="n"/>
      <c r="C276" s="14" t="n"/>
      <c r="D276" s="14" t="n"/>
      <c r="E276" s="20" t="n"/>
      <c r="F276" s="24" t="n"/>
      <c r="G276" s="14" t="n"/>
      <c r="H276" s="22" t="n"/>
      <c r="I276" s="25">
        <f>IF(Q276="D",N(H276),0)</f>
        <v/>
      </c>
      <c r="J276" s="25">
        <f>IF(Q276="C",N(H276),0)</f>
        <v/>
      </c>
      <c r="K276" s="26">
        <f>IF(Z276="","",Z276)</f>
        <v/>
      </c>
      <c r="L276" s="27">
        <f>W276</f>
        <v/>
      </c>
      <c r="M276" s="28">
        <f>AA276</f>
        <v/>
      </c>
      <c r="N276" s="23">
        <f>IF(AND(B276="",C276="",D276="",N(H276)=0),"",IF(B276="","Enter the date",IF(C276="","Pick the party",IF(P276="?","Add this party on the Parties sheet first",IF(D276="","Pick the entry type",IF(Q276="?","Pick the entry type from the list",IF(N(H276)=0,"Enter the amount",IF(AND(R276&lt;&gt;"Any",R276&lt;&gt;P276),"Sales, receipts and credit notes are for debtors; purchases, payments and debit notes for creditors",IF(AND(F276&lt;&gt;"",D276&lt;&gt;"Purchase bill"),"The received-on date is only for purchase bills",IF(AND(P276="Creditor",X276=1,AA276&gt;0),"Past due to a micro or small supplier: interest runs under MSMED s.16, and if unpaid at year end it is not deductible that year, s.37(2)(g)",IF(AND(P276="Debtor",X276=1,AA276&gt;0),"Past due to you: as a micro or small supplier you can claim interest under MSMED s.16","OK")))))))))))</f>
        <v/>
      </c>
      <c r="P276">
        <f>IF(C276="","",IFERROR(VLOOKUP(C276,'Example Parties'!$B$13:$Q$112,2,FALSE),"?"))</f>
        <v/>
      </c>
      <c r="Q276">
        <f>IF(D276="","",IFERROR(VLOOKUP(D276,Lists!$A$2:$D$9,3,FALSE),"?"))</f>
        <v/>
      </c>
      <c r="R276">
        <f>IF(D276="","",IFERROR(VLOOKUP(D276,Lists!$A$2:$D$9,4,FALSE),"?"))</f>
        <v/>
      </c>
      <c r="S276">
        <f>IF(P276="Debtor",I276,IF(P276="Creditor",J276,0))</f>
        <v/>
      </c>
      <c r="T276">
        <f>IF(P276="Debtor",J276,IF(P276="Creditor",I276,0))</f>
        <v/>
      </c>
      <c r="U276">
        <f>IF(OR(S276=0,B276=""),0,IFERROR(VLOOKUP(C276,'Example Parties'!$B$13:$Q$112,13,FALSE),0)+SUMIFS($S$7:$S$506,$C$7:$C$506,C276,$B$7:$B$506,"&lt;"&amp;B276)+SUMIFS(S$7:S276,C$7:C276,C276,B$7:B276,B276))</f>
        <v/>
      </c>
      <c r="V276">
        <f>IF(S276=0,0,IFERROR(VLOOKUP(C276,'Example Parties'!$B$13:$Q$112,14,FALSE),0)+SUMIFS($T$7:$T$506,$C$7:$C$506,C276,$B$7:$B$506,"&lt;="&amp;'Example Outstanding'!$E$5))</f>
        <v/>
      </c>
      <c r="W276">
        <f>IF(OR('Example Outstanding'!$E$5="",S276=0,B276="",B276&gt;'Example Outstanding'!$E$5),0,MAX(0,MIN(S276,U276-V276)))</f>
        <v/>
      </c>
      <c r="X276">
        <f>IF(C276="",0,IFERROR(VLOOKUP(C276,'Example Parties'!$B$13:$Q$112,15,FALSE),0))</f>
        <v/>
      </c>
      <c r="Y276">
        <f>IF(C276="","",IFERROR(VLOOKUP(C276,'Example Parties'!$B$13:$Q$112,16,FALSE),0))</f>
        <v/>
      </c>
      <c r="Z276">
        <f>IF(OR(S276=0,B276="",Y276=""),"",IF(AND(F276&lt;&gt;"",D276="Purchase bill"),F276,B276)+Y276)</f>
        <v/>
      </c>
      <c r="AA276">
        <f>IF(OR(W276=0,Z276=""),0,MAX(0,'Example Outstanding'!$E$5-Z276))</f>
        <v/>
      </c>
      <c r="AB276">
        <f>IF(AND(X276=1,AA276&gt;0),W276*((1+3*N('Example Parties'!$E$10)/12)^(AA276*12/365)-1),0)</f>
        <v/>
      </c>
      <c r="AC276">
        <f>IF(W276=0,"",'Example Outstanding'!$E$5-B276)</f>
        <v/>
      </c>
      <c r="AD276">
        <f>IF(S276=0,0,IFERROR(VLOOKUP(C276,'Example Parties'!$B$13:$Q$112,14,FALSE),0)+SUMIFS($T$7:$T$506,$C$7:$C$506,C276,$B$7:$B$506,"&lt;="&amp;'Example Parties'!$E$8))</f>
        <v/>
      </c>
      <c r="AE276">
        <f>IF(OR('Example Parties'!$E$8="",S276=0,B276="",B276&gt;'Example Parties'!$E$8),0,MAX(0,MIN(S276,U276-AD276)))</f>
        <v/>
      </c>
      <c r="AF276">
        <f>IF(AND(P276="Creditor",X276=1,AE276&gt;0,Z276&lt;&gt;""),IF(Z276&lt;='Example Parties'!$E$8,AE276,0),0)</f>
        <v/>
      </c>
      <c r="AG276">
        <f>IF(OR(AE276=0,Z276=""),0,MAX(0,'Example Parties'!$E$8-Z276))</f>
        <v/>
      </c>
      <c r="AH276">
        <f>IF(AND(P276="Creditor",X276=1,AG276&gt;0),AE276*((1+3*N('Example Parties'!$E$10)/12)^(AG276*12/365)-1),0)</f>
        <v/>
      </c>
      <c r="AI276">
        <f>IF(AND(C276&lt;&gt;"",C276='Example Ledger'!$D$4,B276&lt;&gt;"",B276&gt;='Example Ledger'!$D$5,B276&lt;='Example Ledger'!$D$6),1,0)</f>
        <v/>
      </c>
      <c r="AJ276">
        <f>IF(AI276=1,SUM(AI$7:AI276),"")</f>
        <v/>
      </c>
      <c r="AK276">
        <f>IF(OR(N276="",N276="OK"),0,1)</f>
        <v/>
      </c>
    </row>
    <row r="277">
      <c r="B277" s="24" t="n"/>
      <c r="C277" s="14" t="n"/>
      <c r="D277" s="14" t="n"/>
      <c r="E277" s="20" t="n"/>
      <c r="F277" s="24" t="n"/>
      <c r="G277" s="14" t="n"/>
      <c r="H277" s="22" t="n"/>
      <c r="I277" s="25">
        <f>IF(Q277="D",N(H277),0)</f>
        <v/>
      </c>
      <c r="J277" s="25">
        <f>IF(Q277="C",N(H277),0)</f>
        <v/>
      </c>
      <c r="K277" s="26">
        <f>IF(Z277="","",Z277)</f>
        <v/>
      </c>
      <c r="L277" s="27">
        <f>W277</f>
        <v/>
      </c>
      <c r="M277" s="28">
        <f>AA277</f>
        <v/>
      </c>
      <c r="N277" s="23">
        <f>IF(AND(B277="",C277="",D277="",N(H277)=0),"",IF(B277="","Enter the date",IF(C277="","Pick the party",IF(P277="?","Add this party on the Parties sheet first",IF(D277="","Pick the entry type",IF(Q277="?","Pick the entry type from the list",IF(N(H277)=0,"Enter the amount",IF(AND(R277&lt;&gt;"Any",R277&lt;&gt;P277),"Sales, receipts and credit notes are for debtors; purchases, payments and debit notes for creditors",IF(AND(F277&lt;&gt;"",D277&lt;&gt;"Purchase bill"),"The received-on date is only for purchase bills",IF(AND(P277="Creditor",X277=1,AA277&gt;0),"Past due to a micro or small supplier: interest runs under MSMED s.16, and if unpaid at year end it is not deductible that year, s.37(2)(g)",IF(AND(P277="Debtor",X277=1,AA277&gt;0),"Past due to you: as a micro or small supplier you can claim interest under MSMED s.16","OK")))))))))))</f>
        <v/>
      </c>
      <c r="P277">
        <f>IF(C277="","",IFERROR(VLOOKUP(C277,'Example Parties'!$B$13:$Q$112,2,FALSE),"?"))</f>
        <v/>
      </c>
      <c r="Q277">
        <f>IF(D277="","",IFERROR(VLOOKUP(D277,Lists!$A$2:$D$9,3,FALSE),"?"))</f>
        <v/>
      </c>
      <c r="R277">
        <f>IF(D277="","",IFERROR(VLOOKUP(D277,Lists!$A$2:$D$9,4,FALSE),"?"))</f>
        <v/>
      </c>
      <c r="S277">
        <f>IF(P277="Debtor",I277,IF(P277="Creditor",J277,0))</f>
        <v/>
      </c>
      <c r="T277">
        <f>IF(P277="Debtor",J277,IF(P277="Creditor",I277,0))</f>
        <v/>
      </c>
      <c r="U277">
        <f>IF(OR(S277=0,B277=""),0,IFERROR(VLOOKUP(C277,'Example Parties'!$B$13:$Q$112,13,FALSE),0)+SUMIFS($S$7:$S$506,$C$7:$C$506,C277,$B$7:$B$506,"&lt;"&amp;B277)+SUMIFS(S$7:S277,C$7:C277,C277,B$7:B277,B277))</f>
        <v/>
      </c>
      <c r="V277">
        <f>IF(S277=0,0,IFERROR(VLOOKUP(C277,'Example Parties'!$B$13:$Q$112,14,FALSE),0)+SUMIFS($T$7:$T$506,$C$7:$C$506,C277,$B$7:$B$506,"&lt;="&amp;'Example Outstanding'!$E$5))</f>
        <v/>
      </c>
      <c r="W277">
        <f>IF(OR('Example Outstanding'!$E$5="",S277=0,B277="",B277&gt;'Example Outstanding'!$E$5),0,MAX(0,MIN(S277,U277-V277)))</f>
        <v/>
      </c>
      <c r="X277">
        <f>IF(C277="",0,IFERROR(VLOOKUP(C277,'Example Parties'!$B$13:$Q$112,15,FALSE),0))</f>
        <v/>
      </c>
      <c r="Y277">
        <f>IF(C277="","",IFERROR(VLOOKUP(C277,'Example Parties'!$B$13:$Q$112,16,FALSE),0))</f>
        <v/>
      </c>
      <c r="Z277">
        <f>IF(OR(S277=0,B277="",Y277=""),"",IF(AND(F277&lt;&gt;"",D277="Purchase bill"),F277,B277)+Y277)</f>
        <v/>
      </c>
      <c r="AA277">
        <f>IF(OR(W277=0,Z277=""),0,MAX(0,'Example Outstanding'!$E$5-Z277))</f>
        <v/>
      </c>
      <c r="AB277">
        <f>IF(AND(X277=1,AA277&gt;0),W277*((1+3*N('Example Parties'!$E$10)/12)^(AA277*12/365)-1),0)</f>
        <v/>
      </c>
      <c r="AC277">
        <f>IF(W277=0,"",'Example Outstanding'!$E$5-B277)</f>
        <v/>
      </c>
      <c r="AD277">
        <f>IF(S277=0,0,IFERROR(VLOOKUP(C277,'Example Parties'!$B$13:$Q$112,14,FALSE),0)+SUMIFS($T$7:$T$506,$C$7:$C$506,C277,$B$7:$B$506,"&lt;="&amp;'Example Parties'!$E$8))</f>
        <v/>
      </c>
      <c r="AE277">
        <f>IF(OR('Example Parties'!$E$8="",S277=0,B277="",B277&gt;'Example Parties'!$E$8),0,MAX(0,MIN(S277,U277-AD277)))</f>
        <v/>
      </c>
      <c r="AF277">
        <f>IF(AND(P277="Creditor",X277=1,AE277&gt;0,Z277&lt;&gt;""),IF(Z277&lt;='Example Parties'!$E$8,AE277,0),0)</f>
        <v/>
      </c>
      <c r="AG277">
        <f>IF(OR(AE277=0,Z277=""),0,MAX(0,'Example Parties'!$E$8-Z277))</f>
        <v/>
      </c>
      <c r="AH277">
        <f>IF(AND(P277="Creditor",X277=1,AG277&gt;0),AE277*((1+3*N('Example Parties'!$E$10)/12)^(AG277*12/365)-1),0)</f>
        <v/>
      </c>
      <c r="AI277">
        <f>IF(AND(C277&lt;&gt;"",C277='Example Ledger'!$D$4,B277&lt;&gt;"",B277&gt;='Example Ledger'!$D$5,B277&lt;='Example Ledger'!$D$6),1,0)</f>
        <v/>
      </c>
      <c r="AJ277">
        <f>IF(AI277=1,SUM(AI$7:AI277),"")</f>
        <v/>
      </c>
      <c r="AK277">
        <f>IF(OR(N277="",N277="OK"),0,1)</f>
        <v/>
      </c>
    </row>
    <row r="278">
      <c r="B278" s="24" t="n"/>
      <c r="C278" s="14" t="n"/>
      <c r="D278" s="14" t="n"/>
      <c r="E278" s="20" t="n"/>
      <c r="F278" s="24" t="n"/>
      <c r="G278" s="14" t="n"/>
      <c r="H278" s="22" t="n"/>
      <c r="I278" s="25">
        <f>IF(Q278="D",N(H278),0)</f>
        <v/>
      </c>
      <c r="J278" s="25">
        <f>IF(Q278="C",N(H278),0)</f>
        <v/>
      </c>
      <c r="K278" s="26">
        <f>IF(Z278="","",Z278)</f>
        <v/>
      </c>
      <c r="L278" s="27">
        <f>W278</f>
        <v/>
      </c>
      <c r="M278" s="28">
        <f>AA278</f>
        <v/>
      </c>
      <c r="N278" s="23">
        <f>IF(AND(B278="",C278="",D278="",N(H278)=0),"",IF(B278="","Enter the date",IF(C278="","Pick the party",IF(P278="?","Add this party on the Parties sheet first",IF(D278="","Pick the entry type",IF(Q278="?","Pick the entry type from the list",IF(N(H278)=0,"Enter the amount",IF(AND(R278&lt;&gt;"Any",R278&lt;&gt;P278),"Sales, receipts and credit notes are for debtors; purchases, payments and debit notes for creditors",IF(AND(F278&lt;&gt;"",D278&lt;&gt;"Purchase bill"),"The received-on date is only for purchase bills",IF(AND(P278="Creditor",X278=1,AA278&gt;0),"Past due to a micro or small supplier: interest runs under MSMED s.16, and if unpaid at year end it is not deductible that year, s.37(2)(g)",IF(AND(P278="Debtor",X278=1,AA278&gt;0),"Past due to you: as a micro or small supplier you can claim interest under MSMED s.16","OK")))))))))))</f>
        <v/>
      </c>
      <c r="P278">
        <f>IF(C278="","",IFERROR(VLOOKUP(C278,'Example Parties'!$B$13:$Q$112,2,FALSE),"?"))</f>
        <v/>
      </c>
      <c r="Q278">
        <f>IF(D278="","",IFERROR(VLOOKUP(D278,Lists!$A$2:$D$9,3,FALSE),"?"))</f>
        <v/>
      </c>
      <c r="R278">
        <f>IF(D278="","",IFERROR(VLOOKUP(D278,Lists!$A$2:$D$9,4,FALSE),"?"))</f>
        <v/>
      </c>
      <c r="S278">
        <f>IF(P278="Debtor",I278,IF(P278="Creditor",J278,0))</f>
        <v/>
      </c>
      <c r="T278">
        <f>IF(P278="Debtor",J278,IF(P278="Creditor",I278,0))</f>
        <v/>
      </c>
      <c r="U278">
        <f>IF(OR(S278=0,B278=""),0,IFERROR(VLOOKUP(C278,'Example Parties'!$B$13:$Q$112,13,FALSE),0)+SUMIFS($S$7:$S$506,$C$7:$C$506,C278,$B$7:$B$506,"&lt;"&amp;B278)+SUMIFS(S$7:S278,C$7:C278,C278,B$7:B278,B278))</f>
        <v/>
      </c>
      <c r="V278">
        <f>IF(S278=0,0,IFERROR(VLOOKUP(C278,'Example Parties'!$B$13:$Q$112,14,FALSE),0)+SUMIFS($T$7:$T$506,$C$7:$C$506,C278,$B$7:$B$506,"&lt;="&amp;'Example Outstanding'!$E$5))</f>
        <v/>
      </c>
      <c r="W278">
        <f>IF(OR('Example Outstanding'!$E$5="",S278=0,B278="",B278&gt;'Example Outstanding'!$E$5),0,MAX(0,MIN(S278,U278-V278)))</f>
        <v/>
      </c>
      <c r="X278">
        <f>IF(C278="",0,IFERROR(VLOOKUP(C278,'Example Parties'!$B$13:$Q$112,15,FALSE),0))</f>
        <v/>
      </c>
      <c r="Y278">
        <f>IF(C278="","",IFERROR(VLOOKUP(C278,'Example Parties'!$B$13:$Q$112,16,FALSE),0))</f>
        <v/>
      </c>
      <c r="Z278">
        <f>IF(OR(S278=0,B278="",Y278=""),"",IF(AND(F278&lt;&gt;"",D278="Purchase bill"),F278,B278)+Y278)</f>
        <v/>
      </c>
      <c r="AA278">
        <f>IF(OR(W278=0,Z278=""),0,MAX(0,'Example Outstanding'!$E$5-Z278))</f>
        <v/>
      </c>
      <c r="AB278">
        <f>IF(AND(X278=1,AA278&gt;0),W278*((1+3*N('Example Parties'!$E$10)/12)^(AA278*12/365)-1),0)</f>
        <v/>
      </c>
      <c r="AC278">
        <f>IF(W278=0,"",'Example Outstanding'!$E$5-B278)</f>
        <v/>
      </c>
      <c r="AD278">
        <f>IF(S278=0,0,IFERROR(VLOOKUP(C278,'Example Parties'!$B$13:$Q$112,14,FALSE),0)+SUMIFS($T$7:$T$506,$C$7:$C$506,C278,$B$7:$B$506,"&lt;="&amp;'Example Parties'!$E$8))</f>
        <v/>
      </c>
      <c r="AE278">
        <f>IF(OR('Example Parties'!$E$8="",S278=0,B278="",B278&gt;'Example Parties'!$E$8),0,MAX(0,MIN(S278,U278-AD278)))</f>
        <v/>
      </c>
      <c r="AF278">
        <f>IF(AND(P278="Creditor",X278=1,AE278&gt;0,Z278&lt;&gt;""),IF(Z278&lt;='Example Parties'!$E$8,AE278,0),0)</f>
        <v/>
      </c>
      <c r="AG278">
        <f>IF(OR(AE278=0,Z278=""),0,MAX(0,'Example Parties'!$E$8-Z278))</f>
        <v/>
      </c>
      <c r="AH278">
        <f>IF(AND(P278="Creditor",X278=1,AG278&gt;0),AE278*((1+3*N('Example Parties'!$E$10)/12)^(AG278*12/365)-1),0)</f>
        <v/>
      </c>
      <c r="AI278">
        <f>IF(AND(C278&lt;&gt;"",C278='Example Ledger'!$D$4,B278&lt;&gt;"",B278&gt;='Example Ledger'!$D$5,B278&lt;='Example Ledger'!$D$6),1,0)</f>
        <v/>
      </c>
      <c r="AJ278">
        <f>IF(AI278=1,SUM(AI$7:AI278),"")</f>
        <v/>
      </c>
      <c r="AK278">
        <f>IF(OR(N278="",N278="OK"),0,1)</f>
        <v/>
      </c>
    </row>
    <row r="279">
      <c r="B279" s="24" t="n"/>
      <c r="C279" s="14" t="n"/>
      <c r="D279" s="14" t="n"/>
      <c r="E279" s="20" t="n"/>
      <c r="F279" s="24" t="n"/>
      <c r="G279" s="14" t="n"/>
      <c r="H279" s="22" t="n"/>
      <c r="I279" s="25">
        <f>IF(Q279="D",N(H279),0)</f>
        <v/>
      </c>
      <c r="J279" s="25">
        <f>IF(Q279="C",N(H279),0)</f>
        <v/>
      </c>
      <c r="K279" s="26">
        <f>IF(Z279="","",Z279)</f>
        <v/>
      </c>
      <c r="L279" s="27">
        <f>W279</f>
        <v/>
      </c>
      <c r="M279" s="28">
        <f>AA279</f>
        <v/>
      </c>
      <c r="N279" s="23">
        <f>IF(AND(B279="",C279="",D279="",N(H279)=0),"",IF(B279="","Enter the date",IF(C279="","Pick the party",IF(P279="?","Add this party on the Parties sheet first",IF(D279="","Pick the entry type",IF(Q279="?","Pick the entry type from the list",IF(N(H279)=0,"Enter the amount",IF(AND(R279&lt;&gt;"Any",R279&lt;&gt;P279),"Sales, receipts and credit notes are for debtors; purchases, payments and debit notes for creditors",IF(AND(F279&lt;&gt;"",D279&lt;&gt;"Purchase bill"),"The received-on date is only for purchase bills",IF(AND(P279="Creditor",X279=1,AA279&gt;0),"Past due to a micro or small supplier: interest runs under MSMED s.16, and if unpaid at year end it is not deductible that year, s.37(2)(g)",IF(AND(P279="Debtor",X279=1,AA279&gt;0),"Past due to you: as a micro or small supplier you can claim interest under MSMED s.16","OK")))))))))))</f>
        <v/>
      </c>
      <c r="P279">
        <f>IF(C279="","",IFERROR(VLOOKUP(C279,'Example Parties'!$B$13:$Q$112,2,FALSE),"?"))</f>
        <v/>
      </c>
      <c r="Q279">
        <f>IF(D279="","",IFERROR(VLOOKUP(D279,Lists!$A$2:$D$9,3,FALSE),"?"))</f>
        <v/>
      </c>
      <c r="R279">
        <f>IF(D279="","",IFERROR(VLOOKUP(D279,Lists!$A$2:$D$9,4,FALSE),"?"))</f>
        <v/>
      </c>
      <c r="S279">
        <f>IF(P279="Debtor",I279,IF(P279="Creditor",J279,0))</f>
        <v/>
      </c>
      <c r="T279">
        <f>IF(P279="Debtor",J279,IF(P279="Creditor",I279,0))</f>
        <v/>
      </c>
      <c r="U279">
        <f>IF(OR(S279=0,B279=""),0,IFERROR(VLOOKUP(C279,'Example Parties'!$B$13:$Q$112,13,FALSE),0)+SUMIFS($S$7:$S$506,$C$7:$C$506,C279,$B$7:$B$506,"&lt;"&amp;B279)+SUMIFS(S$7:S279,C$7:C279,C279,B$7:B279,B279))</f>
        <v/>
      </c>
      <c r="V279">
        <f>IF(S279=0,0,IFERROR(VLOOKUP(C279,'Example Parties'!$B$13:$Q$112,14,FALSE),0)+SUMIFS($T$7:$T$506,$C$7:$C$506,C279,$B$7:$B$506,"&lt;="&amp;'Example Outstanding'!$E$5))</f>
        <v/>
      </c>
      <c r="W279">
        <f>IF(OR('Example Outstanding'!$E$5="",S279=0,B279="",B279&gt;'Example Outstanding'!$E$5),0,MAX(0,MIN(S279,U279-V279)))</f>
        <v/>
      </c>
      <c r="X279">
        <f>IF(C279="",0,IFERROR(VLOOKUP(C279,'Example Parties'!$B$13:$Q$112,15,FALSE),0))</f>
        <v/>
      </c>
      <c r="Y279">
        <f>IF(C279="","",IFERROR(VLOOKUP(C279,'Example Parties'!$B$13:$Q$112,16,FALSE),0))</f>
        <v/>
      </c>
      <c r="Z279">
        <f>IF(OR(S279=0,B279="",Y279=""),"",IF(AND(F279&lt;&gt;"",D279="Purchase bill"),F279,B279)+Y279)</f>
        <v/>
      </c>
      <c r="AA279">
        <f>IF(OR(W279=0,Z279=""),0,MAX(0,'Example Outstanding'!$E$5-Z279))</f>
        <v/>
      </c>
      <c r="AB279">
        <f>IF(AND(X279=1,AA279&gt;0),W279*((1+3*N('Example Parties'!$E$10)/12)^(AA279*12/365)-1),0)</f>
        <v/>
      </c>
      <c r="AC279">
        <f>IF(W279=0,"",'Example Outstanding'!$E$5-B279)</f>
        <v/>
      </c>
      <c r="AD279">
        <f>IF(S279=0,0,IFERROR(VLOOKUP(C279,'Example Parties'!$B$13:$Q$112,14,FALSE),0)+SUMIFS($T$7:$T$506,$C$7:$C$506,C279,$B$7:$B$506,"&lt;="&amp;'Example Parties'!$E$8))</f>
        <v/>
      </c>
      <c r="AE279">
        <f>IF(OR('Example Parties'!$E$8="",S279=0,B279="",B279&gt;'Example Parties'!$E$8),0,MAX(0,MIN(S279,U279-AD279)))</f>
        <v/>
      </c>
      <c r="AF279">
        <f>IF(AND(P279="Creditor",X279=1,AE279&gt;0,Z279&lt;&gt;""),IF(Z279&lt;='Example Parties'!$E$8,AE279,0),0)</f>
        <v/>
      </c>
      <c r="AG279">
        <f>IF(OR(AE279=0,Z279=""),0,MAX(0,'Example Parties'!$E$8-Z279))</f>
        <v/>
      </c>
      <c r="AH279">
        <f>IF(AND(P279="Creditor",X279=1,AG279&gt;0),AE279*((1+3*N('Example Parties'!$E$10)/12)^(AG279*12/365)-1),0)</f>
        <v/>
      </c>
      <c r="AI279">
        <f>IF(AND(C279&lt;&gt;"",C279='Example Ledger'!$D$4,B279&lt;&gt;"",B279&gt;='Example Ledger'!$D$5,B279&lt;='Example Ledger'!$D$6),1,0)</f>
        <v/>
      </c>
      <c r="AJ279">
        <f>IF(AI279=1,SUM(AI$7:AI279),"")</f>
        <v/>
      </c>
      <c r="AK279">
        <f>IF(OR(N279="",N279="OK"),0,1)</f>
        <v/>
      </c>
    </row>
    <row r="280">
      <c r="B280" s="24" t="n"/>
      <c r="C280" s="14" t="n"/>
      <c r="D280" s="14" t="n"/>
      <c r="E280" s="20" t="n"/>
      <c r="F280" s="24" t="n"/>
      <c r="G280" s="14" t="n"/>
      <c r="H280" s="22" t="n"/>
      <c r="I280" s="25">
        <f>IF(Q280="D",N(H280),0)</f>
        <v/>
      </c>
      <c r="J280" s="25">
        <f>IF(Q280="C",N(H280),0)</f>
        <v/>
      </c>
      <c r="K280" s="26">
        <f>IF(Z280="","",Z280)</f>
        <v/>
      </c>
      <c r="L280" s="27">
        <f>W280</f>
        <v/>
      </c>
      <c r="M280" s="28">
        <f>AA280</f>
        <v/>
      </c>
      <c r="N280" s="23">
        <f>IF(AND(B280="",C280="",D280="",N(H280)=0),"",IF(B280="","Enter the date",IF(C280="","Pick the party",IF(P280="?","Add this party on the Parties sheet first",IF(D280="","Pick the entry type",IF(Q280="?","Pick the entry type from the list",IF(N(H280)=0,"Enter the amount",IF(AND(R280&lt;&gt;"Any",R280&lt;&gt;P280),"Sales, receipts and credit notes are for debtors; purchases, payments and debit notes for creditors",IF(AND(F280&lt;&gt;"",D280&lt;&gt;"Purchase bill"),"The received-on date is only for purchase bills",IF(AND(P280="Creditor",X280=1,AA280&gt;0),"Past due to a micro or small supplier: interest runs under MSMED s.16, and if unpaid at year end it is not deductible that year, s.37(2)(g)",IF(AND(P280="Debtor",X280=1,AA280&gt;0),"Past due to you: as a micro or small supplier you can claim interest under MSMED s.16","OK")))))))))))</f>
        <v/>
      </c>
      <c r="P280">
        <f>IF(C280="","",IFERROR(VLOOKUP(C280,'Example Parties'!$B$13:$Q$112,2,FALSE),"?"))</f>
        <v/>
      </c>
      <c r="Q280">
        <f>IF(D280="","",IFERROR(VLOOKUP(D280,Lists!$A$2:$D$9,3,FALSE),"?"))</f>
        <v/>
      </c>
      <c r="R280">
        <f>IF(D280="","",IFERROR(VLOOKUP(D280,Lists!$A$2:$D$9,4,FALSE),"?"))</f>
        <v/>
      </c>
      <c r="S280">
        <f>IF(P280="Debtor",I280,IF(P280="Creditor",J280,0))</f>
        <v/>
      </c>
      <c r="T280">
        <f>IF(P280="Debtor",J280,IF(P280="Creditor",I280,0))</f>
        <v/>
      </c>
      <c r="U280">
        <f>IF(OR(S280=0,B280=""),0,IFERROR(VLOOKUP(C280,'Example Parties'!$B$13:$Q$112,13,FALSE),0)+SUMIFS($S$7:$S$506,$C$7:$C$506,C280,$B$7:$B$506,"&lt;"&amp;B280)+SUMIFS(S$7:S280,C$7:C280,C280,B$7:B280,B280))</f>
        <v/>
      </c>
      <c r="V280">
        <f>IF(S280=0,0,IFERROR(VLOOKUP(C280,'Example Parties'!$B$13:$Q$112,14,FALSE),0)+SUMIFS($T$7:$T$506,$C$7:$C$506,C280,$B$7:$B$506,"&lt;="&amp;'Example Outstanding'!$E$5))</f>
        <v/>
      </c>
      <c r="W280">
        <f>IF(OR('Example Outstanding'!$E$5="",S280=0,B280="",B280&gt;'Example Outstanding'!$E$5),0,MAX(0,MIN(S280,U280-V280)))</f>
        <v/>
      </c>
      <c r="X280">
        <f>IF(C280="",0,IFERROR(VLOOKUP(C280,'Example Parties'!$B$13:$Q$112,15,FALSE),0))</f>
        <v/>
      </c>
      <c r="Y280">
        <f>IF(C280="","",IFERROR(VLOOKUP(C280,'Example Parties'!$B$13:$Q$112,16,FALSE),0))</f>
        <v/>
      </c>
      <c r="Z280">
        <f>IF(OR(S280=0,B280="",Y280=""),"",IF(AND(F280&lt;&gt;"",D280="Purchase bill"),F280,B280)+Y280)</f>
        <v/>
      </c>
      <c r="AA280">
        <f>IF(OR(W280=0,Z280=""),0,MAX(0,'Example Outstanding'!$E$5-Z280))</f>
        <v/>
      </c>
      <c r="AB280">
        <f>IF(AND(X280=1,AA280&gt;0),W280*((1+3*N('Example Parties'!$E$10)/12)^(AA280*12/365)-1),0)</f>
        <v/>
      </c>
      <c r="AC280">
        <f>IF(W280=0,"",'Example Outstanding'!$E$5-B280)</f>
        <v/>
      </c>
      <c r="AD280">
        <f>IF(S280=0,0,IFERROR(VLOOKUP(C280,'Example Parties'!$B$13:$Q$112,14,FALSE),0)+SUMIFS($T$7:$T$506,$C$7:$C$506,C280,$B$7:$B$506,"&lt;="&amp;'Example Parties'!$E$8))</f>
        <v/>
      </c>
      <c r="AE280">
        <f>IF(OR('Example Parties'!$E$8="",S280=0,B280="",B280&gt;'Example Parties'!$E$8),0,MAX(0,MIN(S280,U280-AD280)))</f>
        <v/>
      </c>
      <c r="AF280">
        <f>IF(AND(P280="Creditor",X280=1,AE280&gt;0,Z280&lt;&gt;""),IF(Z280&lt;='Example Parties'!$E$8,AE280,0),0)</f>
        <v/>
      </c>
      <c r="AG280">
        <f>IF(OR(AE280=0,Z280=""),0,MAX(0,'Example Parties'!$E$8-Z280))</f>
        <v/>
      </c>
      <c r="AH280">
        <f>IF(AND(P280="Creditor",X280=1,AG280&gt;0),AE280*((1+3*N('Example Parties'!$E$10)/12)^(AG280*12/365)-1),0)</f>
        <v/>
      </c>
      <c r="AI280">
        <f>IF(AND(C280&lt;&gt;"",C280='Example Ledger'!$D$4,B280&lt;&gt;"",B280&gt;='Example Ledger'!$D$5,B280&lt;='Example Ledger'!$D$6),1,0)</f>
        <v/>
      </c>
      <c r="AJ280">
        <f>IF(AI280=1,SUM(AI$7:AI280),"")</f>
        <v/>
      </c>
      <c r="AK280">
        <f>IF(OR(N280="",N280="OK"),0,1)</f>
        <v/>
      </c>
    </row>
    <row r="281">
      <c r="B281" s="24" t="n"/>
      <c r="C281" s="14" t="n"/>
      <c r="D281" s="14" t="n"/>
      <c r="E281" s="20" t="n"/>
      <c r="F281" s="24" t="n"/>
      <c r="G281" s="14" t="n"/>
      <c r="H281" s="22" t="n"/>
      <c r="I281" s="25">
        <f>IF(Q281="D",N(H281),0)</f>
        <v/>
      </c>
      <c r="J281" s="25">
        <f>IF(Q281="C",N(H281),0)</f>
        <v/>
      </c>
      <c r="K281" s="26">
        <f>IF(Z281="","",Z281)</f>
        <v/>
      </c>
      <c r="L281" s="27">
        <f>W281</f>
        <v/>
      </c>
      <c r="M281" s="28">
        <f>AA281</f>
        <v/>
      </c>
      <c r="N281" s="23">
        <f>IF(AND(B281="",C281="",D281="",N(H281)=0),"",IF(B281="","Enter the date",IF(C281="","Pick the party",IF(P281="?","Add this party on the Parties sheet first",IF(D281="","Pick the entry type",IF(Q281="?","Pick the entry type from the list",IF(N(H281)=0,"Enter the amount",IF(AND(R281&lt;&gt;"Any",R281&lt;&gt;P281),"Sales, receipts and credit notes are for debtors; purchases, payments and debit notes for creditors",IF(AND(F281&lt;&gt;"",D281&lt;&gt;"Purchase bill"),"The received-on date is only for purchase bills",IF(AND(P281="Creditor",X281=1,AA281&gt;0),"Past due to a micro or small supplier: interest runs under MSMED s.16, and if unpaid at year end it is not deductible that year, s.37(2)(g)",IF(AND(P281="Debtor",X281=1,AA281&gt;0),"Past due to you: as a micro or small supplier you can claim interest under MSMED s.16","OK")))))))))))</f>
        <v/>
      </c>
      <c r="P281">
        <f>IF(C281="","",IFERROR(VLOOKUP(C281,'Example Parties'!$B$13:$Q$112,2,FALSE),"?"))</f>
        <v/>
      </c>
      <c r="Q281">
        <f>IF(D281="","",IFERROR(VLOOKUP(D281,Lists!$A$2:$D$9,3,FALSE),"?"))</f>
        <v/>
      </c>
      <c r="R281">
        <f>IF(D281="","",IFERROR(VLOOKUP(D281,Lists!$A$2:$D$9,4,FALSE),"?"))</f>
        <v/>
      </c>
      <c r="S281">
        <f>IF(P281="Debtor",I281,IF(P281="Creditor",J281,0))</f>
        <v/>
      </c>
      <c r="T281">
        <f>IF(P281="Debtor",J281,IF(P281="Creditor",I281,0))</f>
        <v/>
      </c>
      <c r="U281">
        <f>IF(OR(S281=0,B281=""),0,IFERROR(VLOOKUP(C281,'Example Parties'!$B$13:$Q$112,13,FALSE),0)+SUMIFS($S$7:$S$506,$C$7:$C$506,C281,$B$7:$B$506,"&lt;"&amp;B281)+SUMIFS(S$7:S281,C$7:C281,C281,B$7:B281,B281))</f>
        <v/>
      </c>
      <c r="V281">
        <f>IF(S281=0,0,IFERROR(VLOOKUP(C281,'Example Parties'!$B$13:$Q$112,14,FALSE),0)+SUMIFS($T$7:$T$506,$C$7:$C$506,C281,$B$7:$B$506,"&lt;="&amp;'Example Outstanding'!$E$5))</f>
        <v/>
      </c>
      <c r="W281">
        <f>IF(OR('Example Outstanding'!$E$5="",S281=0,B281="",B281&gt;'Example Outstanding'!$E$5),0,MAX(0,MIN(S281,U281-V281)))</f>
        <v/>
      </c>
      <c r="X281">
        <f>IF(C281="",0,IFERROR(VLOOKUP(C281,'Example Parties'!$B$13:$Q$112,15,FALSE),0))</f>
        <v/>
      </c>
      <c r="Y281">
        <f>IF(C281="","",IFERROR(VLOOKUP(C281,'Example Parties'!$B$13:$Q$112,16,FALSE),0))</f>
        <v/>
      </c>
      <c r="Z281">
        <f>IF(OR(S281=0,B281="",Y281=""),"",IF(AND(F281&lt;&gt;"",D281="Purchase bill"),F281,B281)+Y281)</f>
        <v/>
      </c>
      <c r="AA281">
        <f>IF(OR(W281=0,Z281=""),0,MAX(0,'Example Outstanding'!$E$5-Z281))</f>
        <v/>
      </c>
      <c r="AB281">
        <f>IF(AND(X281=1,AA281&gt;0),W281*((1+3*N('Example Parties'!$E$10)/12)^(AA281*12/365)-1),0)</f>
        <v/>
      </c>
      <c r="AC281">
        <f>IF(W281=0,"",'Example Outstanding'!$E$5-B281)</f>
        <v/>
      </c>
      <c r="AD281">
        <f>IF(S281=0,0,IFERROR(VLOOKUP(C281,'Example Parties'!$B$13:$Q$112,14,FALSE),0)+SUMIFS($T$7:$T$506,$C$7:$C$506,C281,$B$7:$B$506,"&lt;="&amp;'Example Parties'!$E$8))</f>
        <v/>
      </c>
      <c r="AE281">
        <f>IF(OR('Example Parties'!$E$8="",S281=0,B281="",B281&gt;'Example Parties'!$E$8),0,MAX(0,MIN(S281,U281-AD281)))</f>
        <v/>
      </c>
      <c r="AF281">
        <f>IF(AND(P281="Creditor",X281=1,AE281&gt;0,Z281&lt;&gt;""),IF(Z281&lt;='Example Parties'!$E$8,AE281,0),0)</f>
        <v/>
      </c>
      <c r="AG281">
        <f>IF(OR(AE281=0,Z281=""),0,MAX(0,'Example Parties'!$E$8-Z281))</f>
        <v/>
      </c>
      <c r="AH281">
        <f>IF(AND(P281="Creditor",X281=1,AG281&gt;0),AE281*((1+3*N('Example Parties'!$E$10)/12)^(AG281*12/365)-1),0)</f>
        <v/>
      </c>
      <c r="AI281">
        <f>IF(AND(C281&lt;&gt;"",C281='Example Ledger'!$D$4,B281&lt;&gt;"",B281&gt;='Example Ledger'!$D$5,B281&lt;='Example Ledger'!$D$6),1,0)</f>
        <v/>
      </c>
      <c r="AJ281">
        <f>IF(AI281=1,SUM(AI$7:AI281),"")</f>
        <v/>
      </c>
      <c r="AK281">
        <f>IF(OR(N281="",N281="OK"),0,1)</f>
        <v/>
      </c>
    </row>
    <row r="282">
      <c r="B282" s="24" t="n"/>
      <c r="C282" s="14" t="n"/>
      <c r="D282" s="14" t="n"/>
      <c r="E282" s="20" t="n"/>
      <c r="F282" s="24" t="n"/>
      <c r="G282" s="14" t="n"/>
      <c r="H282" s="22" t="n"/>
      <c r="I282" s="25">
        <f>IF(Q282="D",N(H282),0)</f>
        <v/>
      </c>
      <c r="J282" s="25">
        <f>IF(Q282="C",N(H282),0)</f>
        <v/>
      </c>
      <c r="K282" s="26">
        <f>IF(Z282="","",Z282)</f>
        <v/>
      </c>
      <c r="L282" s="27">
        <f>W282</f>
        <v/>
      </c>
      <c r="M282" s="28">
        <f>AA282</f>
        <v/>
      </c>
      <c r="N282" s="23">
        <f>IF(AND(B282="",C282="",D282="",N(H282)=0),"",IF(B282="","Enter the date",IF(C282="","Pick the party",IF(P282="?","Add this party on the Parties sheet first",IF(D282="","Pick the entry type",IF(Q282="?","Pick the entry type from the list",IF(N(H282)=0,"Enter the amount",IF(AND(R282&lt;&gt;"Any",R282&lt;&gt;P282),"Sales, receipts and credit notes are for debtors; purchases, payments and debit notes for creditors",IF(AND(F282&lt;&gt;"",D282&lt;&gt;"Purchase bill"),"The received-on date is only for purchase bills",IF(AND(P282="Creditor",X282=1,AA282&gt;0),"Past due to a micro or small supplier: interest runs under MSMED s.16, and if unpaid at year end it is not deductible that year, s.37(2)(g)",IF(AND(P282="Debtor",X282=1,AA282&gt;0),"Past due to you: as a micro or small supplier you can claim interest under MSMED s.16","OK")))))))))))</f>
        <v/>
      </c>
      <c r="P282">
        <f>IF(C282="","",IFERROR(VLOOKUP(C282,'Example Parties'!$B$13:$Q$112,2,FALSE),"?"))</f>
        <v/>
      </c>
      <c r="Q282">
        <f>IF(D282="","",IFERROR(VLOOKUP(D282,Lists!$A$2:$D$9,3,FALSE),"?"))</f>
        <v/>
      </c>
      <c r="R282">
        <f>IF(D282="","",IFERROR(VLOOKUP(D282,Lists!$A$2:$D$9,4,FALSE),"?"))</f>
        <v/>
      </c>
      <c r="S282">
        <f>IF(P282="Debtor",I282,IF(P282="Creditor",J282,0))</f>
        <v/>
      </c>
      <c r="T282">
        <f>IF(P282="Debtor",J282,IF(P282="Creditor",I282,0))</f>
        <v/>
      </c>
      <c r="U282">
        <f>IF(OR(S282=0,B282=""),0,IFERROR(VLOOKUP(C282,'Example Parties'!$B$13:$Q$112,13,FALSE),0)+SUMIFS($S$7:$S$506,$C$7:$C$506,C282,$B$7:$B$506,"&lt;"&amp;B282)+SUMIFS(S$7:S282,C$7:C282,C282,B$7:B282,B282))</f>
        <v/>
      </c>
      <c r="V282">
        <f>IF(S282=0,0,IFERROR(VLOOKUP(C282,'Example Parties'!$B$13:$Q$112,14,FALSE),0)+SUMIFS($T$7:$T$506,$C$7:$C$506,C282,$B$7:$B$506,"&lt;="&amp;'Example Outstanding'!$E$5))</f>
        <v/>
      </c>
      <c r="W282">
        <f>IF(OR('Example Outstanding'!$E$5="",S282=0,B282="",B282&gt;'Example Outstanding'!$E$5),0,MAX(0,MIN(S282,U282-V282)))</f>
        <v/>
      </c>
      <c r="X282">
        <f>IF(C282="",0,IFERROR(VLOOKUP(C282,'Example Parties'!$B$13:$Q$112,15,FALSE),0))</f>
        <v/>
      </c>
      <c r="Y282">
        <f>IF(C282="","",IFERROR(VLOOKUP(C282,'Example Parties'!$B$13:$Q$112,16,FALSE),0))</f>
        <v/>
      </c>
      <c r="Z282">
        <f>IF(OR(S282=0,B282="",Y282=""),"",IF(AND(F282&lt;&gt;"",D282="Purchase bill"),F282,B282)+Y282)</f>
        <v/>
      </c>
      <c r="AA282">
        <f>IF(OR(W282=0,Z282=""),0,MAX(0,'Example Outstanding'!$E$5-Z282))</f>
        <v/>
      </c>
      <c r="AB282">
        <f>IF(AND(X282=1,AA282&gt;0),W282*((1+3*N('Example Parties'!$E$10)/12)^(AA282*12/365)-1),0)</f>
        <v/>
      </c>
      <c r="AC282">
        <f>IF(W282=0,"",'Example Outstanding'!$E$5-B282)</f>
        <v/>
      </c>
      <c r="AD282">
        <f>IF(S282=0,0,IFERROR(VLOOKUP(C282,'Example Parties'!$B$13:$Q$112,14,FALSE),0)+SUMIFS($T$7:$T$506,$C$7:$C$506,C282,$B$7:$B$506,"&lt;="&amp;'Example Parties'!$E$8))</f>
        <v/>
      </c>
      <c r="AE282">
        <f>IF(OR('Example Parties'!$E$8="",S282=0,B282="",B282&gt;'Example Parties'!$E$8),0,MAX(0,MIN(S282,U282-AD282)))</f>
        <v/>
      </c>
      <c r="AF282">
        <f>IF(AND(P282="Creditor",X282=1,AE282&gt;0,Z282&lt;&gt;""),IF(Z282&lt;='Example Parties'!$E$8,AE282,0),0)</f>
        <v/>
      </c>
      <c r="AG282">
        <f>IF(OR(AE282=0,Z282=""),0,MAX(0,'Example Parties'!$E$8-Z282))</f>
        <v/>
      </c>
      <c r="AH282">
        <f>IF(AND(P282="Creditor",X282=1,AG282&gt;0),AE282*((1+3*N('Example Parties'!$E$10)/12)^(AG282*12/365)-1),0)</f>
        <v/>
      </c>
      <c r="AI282">
        <f>IF(AND(C282&lt;&gt;"",C282='Example Ledger'!$D$4,B282&lt;&gt;"",B282&gt;='Example Ledger'!$D$5,B282&lt;='Example Ledger'!$D$6),1,0)</f>
        <v/>
      </c>
      <c r="AJ282">
        <f>IF(AI282=1,SUM(AI$7:AI282),"")</f>
        <v/>
      </c>
      <c r="AK282">
        <f>IF(OR(N282="",N282="OK"),0,1)</f>
        <v/>
      </c>
    </row>
    <row r="283">
      <c r="B283" s="24" t="n"/>
      <c r="C283" s="14" t="n"/>
      <c r="D283" s="14" t="n"/>
      <c r="E283" s="20" t="n"/>
      <c r="F283" s="24" t="n"/>
      <c r="G283" s="14" t="n"/>
      <c r="H283" s="22" t="n"/>
      <c r="I283" s="25">
        <f>IF(Q283="D",N(H283),0)</f>
        <v/>
      </c>
      <c r="J283" s="25">
        <f>IF(Q283="C",N(H283),0)</f>
        <v/>
      </c>
      <c r="K283" s="26">
        <f>IF(Z283="","",Z283)</f>
        <v/>
      </c>
      <c r="L283" s="27">
        <f>W283</f>
        <v/>
      </c>
      <c r="M283" s="28">
        <f>AA283</f>
        <v/>
      </c>
      <c r="N283" s="23">
        <f>IF(AND(B283="",C283="",D283="",N(H283)=0),"",IF(B283="","Enter the date",IF(C283="","Pick the party",IF(P283="?","Add this party on the Parties sheet first",IF(D283="","Pick the entry type",IF(Q283="?","Pick the entry type from the list",IF(N(H283)=0,"Enter the amount",IF(AND(R283&lt;&gt;"Any",R283&lt;&gt;P283),"Sales, receipts and credit notes are for debtors; purchases, payments and debit notes for creditors",IF(AND(F283&lt;&gt;"",D283&lt;&gt;"Purchase bill"),"The received-on date is only for purchase bills",IF(AND(P283="Creditor",X283=1,AA283&gt;0),"Past due to a micro or small supplier: interest runs under MSMED s.16, and if unpaid at year end it is not deductible that year, s.37(2)(g)",IF(AND(P283="Debtor",X283=1,AA283&gt;0),"Past due to you: as a micro or small supplier you can claim interest under MSMED s.16","OK")))))))))))</f>
        <v/>
      </c>
      <c r="P283">
        <f>IF(C283="","",IFERROR(VLOOKUP(C283,'Example Parties'!$B$13:$Q$112,2,FALSE),"?"))</f>
        <v/>
      </c>
      <c r="Q283">
        <f>IF(D283="","",IFERROR(VLOOKUP(D283,Lists!$A$2:$D$9,3,FALSE),"?"))</f>
        <v/>
      </c>
      <c r="R283">
        <f>IF(D283="","",IFERROR(VLOOKUP(D283,Lists!$A$2:$D$9,4,FALSE),"?"))</f>
        <v/>
      </c>
      <c r="S283">
        <f>IF(P283="Debtor",I283,IF(P283="Creditor",J283,0))</f>
        <v/>
      </c>
      <c r="T283">
        <f>IF(P283="Debtor",J283,IF(P283="Creditor",I283,0))</f>
        <v/>
      </c>
      <c r="U283">
        <f>IF(OR(S283=0,B283=""),0,IFERROR(VLOOKUP(C283,'Example Parties'!$B$13:$Q$112,13,FALSE),0)+SUMIFS($S$7:$S$506,$C$7:$C$506,C283,$B$7:$B$506,"&lt;"&amp;B283)+SUMIFS(S$7:S283,C$7:C283,C283,B$7:B283,B283))</f>
        <v/>
      </c>
      <c r="V283">
        <f>IF(S283=0,0,IFERROR(VLOOKUP(C283,'Example Parties'!$B$13:$Q$112,14,FALSE),0)+SUMIFS($T$7:$T$506,$C$7:$C$506,C283,$B$7:$B$506,"&lt;="&amp;'Example Outstanding'!$E$5))</f>
        <v/>
      </c>
      <c r="W283">
        <f>IF(OR('Example Outstanding'!$E$5="",S283=0,B283="",B283&gt;'Example Outstanding'!$E$5),0,MAX(0,MIN(S283,U283-V283)))</f>
        <v/>
      </c>
      <c r="X283">
        <f>IF(C283="",0,IFERROR(VLOOKUP(C283,'Example Parties'!$B$13:$Q$112,15,FALSE),0))</f>
        <v/>
      </c>
      <c r="Y283">
        <f>IF(C283="","",IFERROR(VLOOKUP(C283,'Example Parties'!$B$13:$Q$112,16,FALSE),0))</f>
        <v/>
      </c>
      <c r="Z283">
        <f>IF(OR(S283=0,B283="",Y283=""),"",IF(AND(F283&lt;&gt;"",D283="Purchase bill"),F283,B283)+Y283)</f>
        <v/>
      </c>
      <c r="AA283">
        <f>IF(OR(W283=0,Z283=""),0,MAX(0,'Example Outstanding'!$E$5-Z283))</f>
        <v/>
      </c>
      <c r="AB283">
        <f>IF(AND(X283=1,AA283&gt;0),W283*((1+3*N('Example Parties'!$E$10)/12)^(AA283*12/365)-1),0)</f>
        <v/>
      </c>
      <c r="AC283">
        <f>IF(W283=0,"",'Example Outstanding'!$E$5-B283)</f>
        <v/>
      </c>
      <c r="AD283">
        <f>IF(S283=0,0,IFERROR(VLOOKUP(C283,'Example Parties'!$B$13:$Q$112,14,FALSE),0)+SUMIFS($T$7:$T$506,$C$7:$C$506,C283,$B$7:$B$506,"&lt;="&amp;'Example Parties'!$E$8))</f>
        <v/>
      </c>
      <c r="AE283">
        <f>IF(OR('Example Parties'!$E$8="",S283=0,B283="",B283&gt;'Example Parties'!$E$8),0,MAX(0,MIN(S283,U283-AD283)))</f>
        <v/>
      </c>
      <c r="AF283">
        <f>IF(AND(P283="Creditor",X283=1,AE283&gt;0,Z283&lt;&gt;""),IF(Z283&lt;='Example Parties'!$E$8,AE283,0),0)</f>
        <v/>
      </c>
      <c r="AG283">
        <f>IF(OR(AE283=0,Z283=""),0,MAX(0,'Example Parties'!$E$8-Z283))</f>
        <v/>
      </c>
      <c r="AH283">
        <f>IF(AND(P283="Creditor",X283=1,AG283&gt;0),AE283*((1+3*N('Example Parties'!$E$10)/12)^(AG283*12/365)-1),0)</f>
        <v/>
      </c>
      <c r="AI283">
        <f>IF(AND(C283&lt;&gt;"",C283='Example Ledger'!$D$4,B283&lt;&gt;"",B283&gt;='Example Ledger'!$D$5,B283&lt;='Example Ledger'!$D$6),1,0)</f>
        <v/>
      </c>
      <c r="AJ283">
        <f>IF(AI283=1,SUM(AI$7:AI283),"")</f>
        <v/>
      </c>
      <c r="AK283">
        <f>IF(OR(N283="",N283="OK"),0,1)</f>
        <v/>
      </c>
    </row>
    <row r="284">
      <c r="B284" s="24" t="n"/>
      <c r="C284" s="14" t="n"/>
      <c r="D284" s="14" t="n"/>
      <c r="E284" s="20" t="n"/>
      <c r="F284" s="24" t="n"/>
      <c r="G284" s="14" t="n"/>
      <c r="H284" s="22" t="n"/>
      <c r="I284" s="25">
        <f>IF(Q284="D",N(H284),0)</f>
        <v/>
      </c>
      <c r="J284" s="25">
        <f>IF(Q284="C",N(H284),0)</f>
        <v/>
      </c>
      <c r="K284" s="26">
        <f>IF(Z284="","",Z284)</f>
        <v/>
      </c>
      <c r="L284" s="27">
        <f>W284</f>
        <v/>
      </c>
      <c r="M284" s="28">
        <f>AA284</f>
        <v/>
      </c>
      <c r="N284" s="23">
        <f>IF(AND(B284="",C284="",D284="",N(H284)=0),"",IF(B284="","Enter the date",IF(C284="","Pick the party",IF(P284="?","Add this party on the Parties sheet first",IF(D284="","Pick the entry type",IF(Q284="?","Pick the entry type from the list",IF(N(H284)=0,"Enter the amount",IF(AND(R284&lt;&gt;"Any",R284&lt;&gt;P284),"Sales, receipts and credit notes are for debtors; purchases, payments and debit notes for creditors",IF(AND(F284&lt;&gt;"",D284&lt;&gt;"Purchase bill"),"The received-on date is only for purchase bills",IF(AND(P284="Creditor",X284=1,AA284&gt;0),"Past due to a micro or small supplier: interest runs under MSMED s.16, and if unpaid at year end it is not deductible that year, s.37(2)(g)",IF(AND(P284="Debtor",X284=1,AA284&gt;0),"Past due to you: as a micro or small supplier you can claim interest under MSMED s.16","OK")))))))))))</f>
        <v/>
      </c>
      <c r="P284">
        <f>IF(C284="","",IFERROR(VLOOKUP(C284,'Example Parties'!$B$13:$Q$112,2,FALSE),"?"))</f>
        <v/>
      </c>
      <c r="Q284">
        <f>IF(D284="","",IFERROR(VLOOKUP(D284,Lists!$A$2:$D$9,3,FALSE),"?"))</f>
        <v/>
      </c>
      <c r="R284">
        <f>IF(D284="","",IFERROR(VLOOKUP(D284,Lists!$A$2:$D$9,4,FALSE),"?"))</f>
        <v/>
      </c>
      <c r="S284">
        <f>IF(P284="Debtor",I284,IF(P284="Creditor",J284,0))</f>
        <v/>
      </c>
      <c r="T284">
        <f>IF(P284="Debtor",J284,IF(P284="Creditor",I284,0))</f>
        <v/>
      </c>
      <c r="U284">
        <f>IF(OR(S284=0,B284=""),0,IFERROR(VLOOKUP(C284,'Example Parties'!$B$13:$Q$112,13,FALSE),0)+SUMIFS($S$7:$S$506,$C$7:$C$506,C284,$B$7:$B$506,"&lt;"&amp;B284)+SUMIFS(S$7:S284,C$7:C284,C284,B$7:B284,B284))</f>
        <v/>
      </c>
      <c r="V284">
        <f>IF(S284=0,0,IFERROR(VLOOKUP(C284,'Example Parties'!$B$13:$Q$112,14,FALSE),0)+SUMIFS($T$7:$T$506,$C$7:$C$506,C284,$B$7:$B$506,"&lt;="&amp;'Example Outstanding'!$E$5))</f>
        <v/>
      </c>
      <c r="W284">
        <f>IF(OR('Example Outstanding'!$E$5="",S284=0,B284="",B284&gt;'Example Outstanding'!$E$5),0,MAX(0,MIN(S284,U284-V284)))</f>
        <v/>
      </c>
      <c r="X284">
        <f>IF(C284="",0,IFERROR(VLOOKUP(C284,'Example Parties'!$B$13:$Q$112,15,FALSE),0))</f>
        <v/>
      </c>
      <c r="Y284">
        <f>IF(C284="","",IFERROR(VLOOKUP(C284,'Example Parties'!$B$13:$Q$112,16,FALSE),0))</f>
        <v/>
      </c>
      <c r="Z284">
        <f>IF(OR(S284=0,B284="",Y284=""),"",IF(AND(F284&lt;&gt;"",D284="Purchase bill"),F284,B284)+Y284)</f>
        <v/>
      </c>
      <c r="AA284">
        <f>IF(OR(W284=0,Z284=""),0,MAX(0,'Example Outstanding'!$E$5-Z284))</f>
        <v/>
      </c>
      <c r="AB284">
        <f>IF(AND(X284=1,AA284&gt;0),W284*((1+3*N('Example Parties'!$E$10)/12)^(AA284*12/365)-1),0)</f>
        <v/>
      </c>
      <c r="AC284">
        <f>IF(W284=0,"",'Example Outstanding'!$E$5-B284)</f>
        <v/>
      </c>
      <c r="AD284">
        <f>IF(S284=0,0,IFERROR(VLOOKUP(C284,'Example Parties'!$B$13:$Q$112,14,FALSE),0)+SUMIFS($T$7:$T$506,$C$7:$C$506,C284,$B$7:$B$506,"&lt;="&amp;'Example Parties'!$E$8))</f>
        <v/>
      </c>
      <c r="AE284">
        <f>IF(OR('Example Parties'!$E$8="",S284=0,B284="",B284&gt;'Example Parties'!$E$8),0,MAX(0,MIN(S284,U284-AD284)))</f>
        <v/>
      </c>
      <c r="AF284">
        <f>IF(AND(P284="Creditor",X284=1,AE284&gt;0,Z284&lt;&gt;""),IF(Z284&lt;='Example Parties'!$E$8,AE284,0),0)</f>
        <v/>
      </c>
      <c r="AG284">
        <f>IF(OR(AE284=0,Z284=""),0,MAX(0,'Example Parties'!$E$8-Z284))</f>
        <v/>
      </c>
      <c r="AH284">
        <f>IF(AND(P284="Creditor",X284=1,AG284&gt;0),AE284*((1+3*N('Example Parties'!$E$10)/12)^(AG284*12/365)-1),0)</f>
        <v/>
      </c>
      <c r="AI284">
        <f>IF(AND(C284&lt;&gt;"",C284='Example Ledger'!$D$4,B284&lt;&gt;"",B284&gt;='Example Ledger'!$D$5,B284&lt;='Example Ledger'!$D$6),1,0)</f>
        <v/>
      </c>
      <c r="AJ284">
        <f>IF(AI284=1,SUM(AI$7:AI284),"")</f>
        <v/>
      </c>
      <c r="AK284">
        <f>IF(OR(N284="",N284="OK"),0,1)</f>
        <v/>
      </c>
    </row>
    <row r="285">
      <c r="B285" s="24" t="n"/>
      <c r="C285" s="14" t="n"/>
      <c r="D285" s="14" t="n"/>
      <c r="E285" s="20" t="n"/>
      <c r="F285" s="24" t="n"/>
      <c r="G285" s="14" t="n"/>
      <c r="H285" s="22" t="n"/>
      <c r="I285" s="25">
        <f>IF(Q285="D",N(H285),0)</f>
        <v/>
      </c>
      <c r="J285" s="25">
        <f>IF(Q285="C",N(H285),0)</f>
        <v/>
      </c>
      <c r="K285" s="26">
        <f>IF(Z285="","",Z285)</f>
        <v/>
      </c>
      <c r="L285" s="27">
        <f>W285</f>
        <v/>
      </c>
      <c r="M285" s="28">
        <f>AA285</f>
        <v/>
      </c>
      <c r="N285" s="23">
        <f>IF(AND(B285="",C285="",D285="",N(H285)=0),"",IF(B285="","Enter the date",IF(C285="","Pick the party",IF(P285="?","Add this party on the Parties sheet first",IF(D285="","Pick the entry type",IF(Q285="?","Pick the entry type from the list",IF(N(H285)=0,"Enter the amount",IF(AND(R285&lt;&gt;"Any",R285&lt;&gt;P285),"Sales, receipts and credit notes are for debtors; purchases, payments and debit notes for creditors",IF(AND(F285&lt;&gt;"",D285&lt;&gt;"Purchase bill"),"The received-on date is only for purchase bills",IF(AND(P285="Creditor",X285=1,AA285&gt;0),"Past due to a micro or small supplier: interest runs under MSMED s.16, and if unpaid at year end it is not deductible that year, s.37(2)(g)",IF(AND(P285="Debtor",X285=1,AA285&gt;0),"Past due to you: as a micro or small supplier you can claim interest under MSMED s.16","OK")))))))))))</f>
        <v/>
      </c>
      <c r="P285">
        <f>IF(C285="","",IFERROR(VLOOKUP(C285,'Example Parties'!$B$13:$Q$112,2,FALSE),"?"))</f>
        <v/>
      </c>
      <c r="Q285">
        <f>IF(D285="","",IFERROR(VLOOKUP(D285,Lists!$A$2:$D$9,3,FALSE),"?"))</f>
        <v/>
      </c>
      <c r="R285">
        <f>IF(D285="","",IFERROR(VLOOKUP(D285,Lists!$A$2:$D$9,4,FALSE),"?"))</f>
        <v/>
      </c>
      <c r="S285">
        <f>IF(P285="Debtor",I285,IF(P285="Creditor",J285,0))</f>
        <v/>
      </c>
      <c r="T285">
        <f>IF(P285="Debtor",J285,IF(P285="Creditor",I285,0))</f>
        <v/>
      </c>
      <c r="U285">
        <f>IF(OR(S285=0,B285=""),0,IFERROR(VLOOKUP(C285,'Example Parties'!$B$13:$Q$112,13,FALSE),0)+SUMIFS($S$7:$S$506,$C$7:$C$506,C285,$B$7:$B$506,"&lt;"&amp;B285)+SUMIFS(S$7:S285,C$7:C285,C285,B$7:B285,B285))</f>
        <v/>
      </c>
      <c r="V285">
        <f>IF(S285=0,0,IFERROR(VLOOKUP(C285,'Example Parties'!$B$13:$Q$112,14,FALSE),0)+SUMIFS($T$7:$T$506,$C$7:$C$506,C285,$B$7:$B$506,"&lt;="&amp;'Example Outstanding'!$E$5))</f>
        <v/>
      </c>
      <c r="W285">
        <f>IF(OR('Example Outstanding'!$E$5="",S285=0,B285="",B285&gt;'Example Outstanding'!$E$5),0,MAX(0,MIN(S285,U285-V285)))</f>
        <v/>
      </c>
      <c r="X285">
        <f>IF(C285="",0,IFERROR(VLOOKUP(C285,'Example Parties'!$B$13:$Q$112,15,FALSE),0))</f>
        <v/>
      </c>
      <c r="Y285">
        <f>IF(C285="","",IFERROR(VLOOKUP(C285,'Example Parties'!$B$13:$Q$112,16,FALSE),0))</f>
        <v/>
      </c>
      <c r="Z285">
        <f>IF(OR(S285=0,B285="",Y285=""),"",IF(AND(F285&lt;&gt;"",D285="Purchase bill"),F285,B285)+Y285)</f>
        <v/>
      </c>
      <c r="AA285">
        <f>IF(OR(W285=0,Z285=""),0,MAX(0,'Example Outstanding'!$E$5-Z285))</f>
        <v/>
      </c>
      <c r="AB285">
        <f>IF(AND(X285=1,AA285&gt;0),W285*((1+3*N('Example Parties'!$E$10)/12)^(AA285*12/365)-1),0)</f>
        <v/>
      </c>
      <c r="AC285">
        <f>IF(W285=0,"",'Example Outstanding'!$E$5-B285)</f>
        <v/>
      </c>
      <c r="AD285">
        <f>IF(S285=0,0,IFERROR(VLOOKUP(C285,'Example Parties'!$B$13:$Q$112,14,FALSE),0)+SUMIFS($T$7:$T$506,$C$7:$C$506,C285,$B$7:$B$506,"&lt;="&amp;'Example Parties'!$E$8))</f>
        <v/>
      </c>
      <c r="AE285">
        <f>IF(OR('Example Parties'!$E$8="",S285=0,B285="",B285&gt;'Example Parties'!$E$8),0,MAX(0,MIN(S285,U285-AD285)))</f>
        <v/>
      </c>
      <c r="AF285">
        <f>IF(AND(P285="Creditor",X285=1,AE285&gt;0,Z285&lt;&gt;""),IF(Z285&lt;='Example Parties'!$E$8,AE285,0),0)</f>
        <v/>
      </c>
      <c r="AG285">
        <f>IF(OR(AE285=0,Z285=""),0,MAX(0,'Example Parties'!$E$8-Z285))</f>
        <v/>
      </c>
      <c r="AH285">
        <f>IF(AND(P285="Creditor",X285=1,AG285&gt;0),AE285*((1+3*N('Example Parties'!$E$10)/12)^(AG285*12/365)-1),0)</f>
        <v/>
      </c>
      <c r="AI285">
        <f>IF(AND(C285&lt;&gt;"",C285='Example Ledger'!$D$4,B285&lt;&gt;"",B285&gt;='Example Ledger'!$D$5,B285&lt;='Example Ledger'!$D$6),1,0)</f>
        <v/>
      </c>
      <c r="AJ285">
        <f>IF(AI285=1,SUM(AI$7:AI285),"")</f>
        <v/>
      </c>
      <c r="AK285">
        <f>IF(OR(N285="",N285="OK"),0,1)</f>
        <v/>
      </c>
    </row>
    <row r="286">
      <c r="B286" s="24" t="n"/>
      <c r="C286" s="14" t="n"/>
      <c r="D286" s="14" t="n"/>
      <c r="E286" s="20" t="n"/>
      <c r="F286" s="24" t="n"/>
      <c r="G286" s="14" t="n"/>
      <c r="H286" s="22" t="n"/>
      <c r="I286" s="25">
        <f>IF(Q286="D",N(H286),0)</f>
        <v/>
      </c>
      <c r="J286" s="25">
        <f>IF(Q286="C",N(H286),0)</f>
        <v/>
      </c>
      <c r="K286" s="26">
        <f>IF(Z286="","",Z286)</f>
        <v/>
      </c>
      <c r="L286" s="27">
        <f>W286</f>
        <v/>
      </c>
      <c r="M286" s="28">
        <f>AA286</f>
        <v/>
      </c>
      <c r="N286" s="23">
        <f>IF(AND(B286="",C286="",D286="",N(H286)=0),"",IF(B286="","Enter the date",IF(C286="","Pick the party",IF(P286="?","Add this party on the Parties sheet first",IF(D286="","Pick the entry type",IF(Q286="?","Pick the entry type from the list",IF(N(H286)=0,"Enter the amount",IF(AND(R286&lt;&gt;"Any",R286&lt;&gt;P286),"Sales, receipts and credit notes are for debtors; purchases, payments and debit notes for creditors",IF(AND(F286&lt;&gt;"",D286&lt;&gt;"Purchase bill"),"The received-on date is only for purchase bills",IF(AND(P286="Creditor",X286=1,AA286&gt;0),"Past due to a micro or small supplier: interest runs under MSMED s.16, and if unpaid at year end it is not deductible that year, s.37(2)(g)",IF(AND(P286="Debtor",X286=1,AA286&gt;0),"Past due to you: as a micro or small supplier you can claim interest under MSMED s.16","OK")))))))))))</f>
        <v/>
      </c>
      <c r="P286">
        <f>IF(C286="","",IFERROR(VLOOKUP(C286,'Example Parties'!$B$13:$Q$112,2,FALSE),"?"))</f>
        <v/>
      </c>
      <c r="Q286">
        <f>IF(D286="","",IFERROR(VLOOKUP(D286,Lists!$A$2:$D$9,3,FALSE),"?"))</f>
        <v/>
      </c>
      <c r="R286">
        <f>IF(D286="","",IFERROR(VLOOKUP(D286,Lists!$A$2:$D$9,4,FALSE),"?"))</f>
        <v/>
      </c>
      <c r="S286">
        <f>IF(P286="Debtor",I286,IF(P286="Creditor",J286,0))</f>
        <v/>
      </c>
      <c r="T286">
        <f>IF(P286="Debtor",J286,IF(P286="Creditor",I286,0))</f>
        <v/>
      </c>
      <c r="U286">
        <f>IF(OR(S286=0,B286=""),0,IFERROR(VLOOKUP(C286,'Example Parties'!$B$13:$Q$112,13,FALSE),0)+SUMIFS($S$7:$S$506,$C$7:$C$506,C286,$B$7:$B$506,"&lt;"&amp;B286)+SUMIFS(S$7:S286,C$7:C286,C286,B$7:B286,B286))</f>
        <v/>
      </c>
      <c r="V286">
        <f>IF(S286=0,0,IFERROR(VLOOKUP(C286,'Example Parties'!$B$13:$Q$112,14,FALSE),0)+SUMIFS($T$7:$T$506,$C$7:$C$506,C286,$B$7:$B$506,"&lt;="&amp;'Example Outstanding'!$E$5))</f>
        <v/>
      </c>
      <c r="W286">
        <f>IF(OR('Example Outstanding'!$E$5="",S286=0,B286="",B286&gt;'Example Outstanding'!$E$5),0,MAX(0,MIN(S286,U286-V286)))</f>
        <v/>
      </c>
      <c r="X286">
        <f>IF(C286="",0,IFERROR(VLOOKUP(C286,'Example Parties'!$B$13:$Q$112,15,FALSE),0))</f>
        <v/>
      </c>
      <c r="Y286">
        <f>IF(C286="","",IFERROR(VLOOKUP(C286,'Example Parties'!$B$13:$Q$112,16,FALSE),0))</f>
        <v/>
      </c>
      <c r="Z286">
        <f>IF(OR(S286=0,B286="",Y286=""),"",IF(AND(F286&lt;&gt;"",D286="Purchase bill"),F286,B286)+Y286)</f>
        <v/>
      </c>
      <c r="AA286">
        <f>IF(OR(W286=0,Z286=""),0,MAX(0,'Example Outstanding'!$E$5-Z286))</f>
        <v/>
      </c>
      <c r="AB286">
        <f>IF(AND(X286=1,AA286&gt;0),W286*((1+3*N('Example Parties'!$E$10)/12)^(AA286*12/365)-1),0)</f>
        <v/>
      </c>
      <c r="AC286">
        <f>IF(W286=0,"",'Example Outstanding'!$E$5-B286)</f>
        <v/>
      </c>
      <c r="AD286">
        <f>IF(S286=0,0,IFERROR(VLOOKUP(C286,'Example Parties'!$B$13:$Q$112,14,FALSE),0)+SUMIFS($T$7:$T$506,$C$7:$C$506,C286,$B$7:$B$506,"&lt;="&amp;'Example Parties'!$E$8))</f>
        <v/>
      </c>
      <c r="AE286">
        <f>IF(OR('Example Parties'!$E$8="",S286=0,B286="",B286&gt;'Example Parties'!$E$8),0,MAX(0,MIN(S286,U286-AD286)))</f>
        <v/>
      </c>
      <c r="AF286">
        <f>IF(AND(P286="Creditor",X286=1,AE286&gt;0,Z286&lt;&gt;""),IF(Z286&lt;='Example Parties'!$E$8,AE286,0),0)</f>
        <v/>
      </c>
      <c r="AG286">
        <f>IF(OR(AE286=0,Z286=""),0,MAX(0,'Example Parties'!$E$8-Z286))</f>
        <v/>
      </c>
      <c r="AH286">
        <f>IF(AND(P286="Creditor",X286=1,AG286&gt;0),AE286*((1+3*N('Example Parties'!$E$10)/12)^(AG286*12/365)-1),0)</f>
        <v/>
      </c>
      <c r="AI286">
        <f>IF(AND(C286&lt;&gt;"",C286='Example Ledger'!$D$4,B286&lt;&gt;"",B286&gt;='Example Ledger'!$D$5,B286&lt;='Example Ledger'!$D$6),1,0)</f>
        <v/>
      </c>
      <c r="AJ286">
        <f>IF(AI286=1,SUM(AI$7:AI286),"")</f>
        <v/>
      </c>
      <c r="AK286">
        <f>IF(OR(N286="",N286="OK"),0,1)</f>
        <v/>
      </c>
    </row>
    <row r="287">
      <c r="B287" s="24" t="n"/>
      <c r="C287" s="14" t="n"/>
      <c r="D287" s="14" t="n"/>
      <c r="E287" s="20" t="n"/>
      <c r="F287" s="24" t="n"/>
      <c r="G287" s="14" t="n"/>
      <c r="H287" s="22" t="n"/>
      <c r="I287" s="25">
        <f>IF(Q287="D",N(H287),0)</f>
        <v/>
      </c>
      <c r="J287" s="25">
        <f>IF(Q287="C",N(H287),0)</f>
        <v/>
      </c>
      <c r="K287" s="26">
        <f>IF(Z287="","",Z287)</f>
        <v/>
      </c>
      <c r="L287" s="27">
        <f>W287</f>
        <v/>
      </c>
      <c r="M287" s="28">
        <f>AA287</f>
        <v/>
      </c>
      <c r="N287" s="23">
        <f>IF(AND(B287="",C287="",D287="",N(H287)=0),"",IF(B287="","Enter the date",IF(C287="","Pick the party",IF(P287="?","Add this party on the Parties sheet first",IF(D287="","Pick the entry type",IF(Q287="?","Pick the entry type from the list",IF(N(H287)=0,"Enter the amount",IF(AND(R287&lt;&gt;"Any",R287&lt;&gt;P287),"Sales, receipts and credit notes are for debtors; purchases, payments and debit notes for creditors",IF(AND(F287&lt;&gt;"",D287&lt;&gt;"Purchase bill"),"The received-on date is only for purchase bills",IF(AND(P287="Creditor",X287=1,AA287&gt;0),"Past due to a micro or small supplier: interest runs under MSMED s.16, and if unpaid at year end it is not deductible that year, s.37(2)(g)",IF(AND(P287="Debtor",X287=1,AA287&gt;0),"Past due to you: as a micro or small supplier you can claim interest under MSMED s.16","OK")))))))))))</f>
        <v/>
      </c>
      <c r="P287">
        <f>IF(C287="","",IFERROR(VLOOKUP(C287,'Example Parties'!$B$13:$Q$112,2,FALSE),"?"))</f>
        <v/>
      </c>
      <c r="Q287">
        <f>IF(D287="","",IFERROR(VLOOKUP(D287,Lists!$A$2:$D$9,3,FALSE),"?"))</f>
        <v/>
      </c>
      <c r="R287">
        <f>IF(D287="","",IFERROR(VLOOKUP(D287,Lists!$A$2:$D$9,4,FALSE),"?"))</f>
        <v/>
      </c>
      <c r="S287">
        <f>IF(P287="Debtor",I287,IF(P287="Creditor",J287,0))</f>
        <v/>
      </c>
      <c r="T287">
        <f>IF(P287="Debtor",J287,IF(P287="Creditor",I287,0))</f>
        <v/>
      </c>
      <c r="U287">
        <f>IF(OR(S287=0,B287=""),0,IFERROR(VLOOKUP(C287,'Example Parties'!$B$13:$Q$112,13,FALSE),0)+SUMIFS($S$7:$S$506,$C$7:$C$506,C287,$B$7:$B$506,"&lt;"&amp;B287)+SUMIFS(S$7:S287,C$7:C287,C287,B$7:B287,B287))</f>
        <v/>
      </c>
      <c r="V287">
        <f>IF(S287=0,0,IFERROR(VLOOKUP(C287,'Example Parties'!$B$13:$Q$112,14,FALSE),0)+SUMIFS($T$7:$T$506,$C$7:$C$506,C287,$B$7:$B$506,"&lt;="&amp;'Example Outstanding'!$E$5))</f>
        <v/>
      </c>
      <c r="W287">
        <f>IF(OR('Example Outstanding'!$E$5="",S287=0,B287="",B287&gt;'Example Outstanding'!$E$5),0,MAX(0,MIN(S287,U287-V287)))</f>
        <v/>
      </c>
      <c r="X287">
        <f>IF(C287="",0,IFERROR(VLOOKUP(C287,'Example Parties'!$B$13:$Q$112,15,FALSE),0))</f>
        <v/>
      </c>
      <c r="Y287">
        <f>IF(C287="","",IFERROR(VLOOKUP(C287,'Example Parties'!$B$13:$Q$112,16,FALSE),0))</f>
        <v/>
      </c>
      <c r="Z287">
        <f>IF(OR(S287=0,B287="",Y287=""),"",IF(AND(F287&lt;&gt;"",D287="Purchase bill"),F287,B287)+Y287)</f>
        <v/>
      </c>
      <c r="AA287">
        <f>IF(OR(W287=0,Z287=""),0,MAX(0,'Example Outstanding'!$E$5-Z287))</f>
        <v/>
      </c>
      <c r="AB287">
        <f>IF(AND(X287=1,AA287&gt;0),W287*((1+3*N('Example Parties'!$E$10)/12)^(AA287*12/365)-1),0)</f>
        <v/>
      </c>
      <c r="AC287">
        <f>IF(W287=0,"",'Example Outstanding'!$E$5-B287)</f>
        <v/>
      </c>
      <c r="AD287">
        <f>IF(S287=0,0,IFERROR(VLOOKUP(C287,'Example Parties'!$B$13:$Q$112,14,FALSE),0)+SUMIFS($T$7:$T$506,$C$7:$C$506,C287,$B$7:$B$506,"&lt;="&amp;'Example Parties'!$E$8))</f>
        <v/>
      </c>
      <c r="AE287">
        <f>IF(OR('Example Parties'!$E$8="",S287=0,B287="",B287&gt;'Example Parties'!$E$8),0,MAX(0,MIN(S287,U287-AD287)))</f>
        <v/>
      </c>
      <c r="AF287">
        <f>IF(AND(P287="Creditor",X287=1,AE287&gt;0,Z287&lt;&gt;""),IF(Z287&lt;='Example Parties'!$E$8,AE287,0),0)</f>
        <v/>
      </c>
      <c r="AG287">
        <f>IF(OR(AE287=0,Z287=""),0,MAX(0,'Example Parties'!$E$8-Z287))</f>
        <v/>
      </c>
      <c r="AH287">
        <f>IF(AND(P287="Creditor",X287=1,AG287&gt;0),AE287*((1+3*N('Example Parties'!$E$10)/12)^(AG287*12/365)-1),0)</f>
        <v/>
      </c>
      <c r="AI287">
        <f>IF(AND(C287&lt;&gt;"",C287='Example Ledger'!$D$4,B287&lt;&gt;"",B287&gt;='Example Ledger'!$D$5,B287&lt;='Example Ledger'!$D$6),1,0)</f>
        <v/>
      </c>
      <c r="AJ287">
        <f>IF(AI287=1,SUM(AI$7:AI287),"")</f>
        <v/>
      </c>
      <c r="AK287">
        <f>IF(OR(N287="",N287="OK"),0,1)</f>
        <v/>
      </c>
    </row>
    <row r="288">
      <c r="B288" s="24" t="n"/>
      <c r="C288" s="14" t="n"/>
      <c r="D288" s="14" t="n"/>
      <c r="E288" s="20" t="n"/>
      <c r="F288" s="24" t="n"/>
      <c r="G288" s="14" t="n"/>
      <c r="H288" s="22" t="n"/>
      <c r="I288" s="25">
        <f>IF(Q288="D",N(H288),0)</f>
        <v/>
      </c>
      <c r="J288" s="25">
        <f>IF(Q288="C",N(H288),0)</f>
        <v/>
      </c>
      <c r="K288" s="26">
        <f>IF(Z288="","",Z288)</f>
        <v/>
      </c>
      <c r="L288" s="27">
        <f>W288</f>
        <v/>
      </c>
      <c r="M288" s="28">
        <f>AA288</f>
        <v/>
      </c>
      <c r="N288" s="23">
        <f>IF(AND(B288="",C288="",D288="",N(H288)=0),"",IF(B288="","Enter the date",IF(C288="","Pick the party",IF(P288="?","Add this party on the Parties sheet first",IF(D288="","Pick the entry type",IF(Q288="?","Pick the entry type from the list",IF(N(H288)=0,"Enter the amount",IF(AND(R288&lt;&gt;"Any",R288&lt;&gt;P288),"Sales, receipts and credit notes are for debtors; purchases, payments and debit notes for creditors",IF(AND(F288&lt;&gt;"",D288&lt;&gt;"Purchase bill"),"The received-on date is only for purchase bills",IF(AND(P288="Creditor",X288=1,AA288&gt;0),"Past due to a micro or small supplier: interest runs under MSMED s.16, and if unpaid at year end it is not deductible that year, s.37(2)(g)",IF(AND(P288="Debtor",X288=1,AA288&gt;0),"Past due to you: as a micro or small supplier you can claim interest under MSMED s.16","OK")))))))))))</f>
        <v/>
      </c>
      <c r="P288">
        <f>IF(C288="","",IFERROR(VLOOKUP(C288,'Example Parties'!$B$13:$Q$112,2,FALSE),"?"))</f>
        <v/>
      </c>
      <c r="Q288">
        <f>IF(D288="","",IFERROR(VLOOKUP(D288,Lists!$A$2:$D$9,3,FALSE),"?"))</f>
        <v/>
      </c>
      <c r="R288">
        <f>IF(D288="","",IFERROR(VLOOKUP(D288,Lists!$A$2:$D$9,4,FALSE),"?"))</f>
        <v/>
      </c>
      <c r="S288">
        <f>IF(P288="Debtor",I288,IF(P288="Creditor",J288,0))</f>
        <v/>
      </c>
      <c r="T288">
        <f>IF(P288="Debtor",J288,IF(P288="Creditor",I288,0))</f>
        <v/>
      </c>
      <c r="U288">
        <f>IF(OR(S288=0,B288=""),0,IFERROR(VLOOKUP(C288,'Example Parties'!$B$13:$Q$112,13,FALSE),0)+SUMIFS($S$7:$S$506,$C$7:$C$506,C288,$B$7:$B$506,"&lt;"&amp;B288)+SUMIFS(S$7:S288,C$7:C288,C288,B$7:B288,B288))</f>
        <v/>
      </c>
      <c r="V288">
        <f>IF(S288=0,0,IFERROR(VLOOKUP(C288,'Example Parties'!$B$13:$Q$112,14,FALSE),0)+SUMIFS($T$7:$T$506,$C$7:$C$506,C288,$B$7:$B$506,"&lt;="&amp;'Example Outstanding'!$E$5))</f>
        <v/>
      </c>
      <c r="W288">
        <f>IF(OR('Example Outstanding'!$E$5="",S288=0,B288="",B288&gt;'Example Outstanding'!$E$5),0,MAX(0,MIN(S288,U288-V288)))</f>
        <v/>
      </c>
      <c r="X288">
        <f>IF(C288="",0,IFERROR(VLOOKUP(C288,'Example Parties'!$B$13:$Q$112,15,FALSE),0))</f>
        <v/>
      </c>
      <c r="Y288">
        <f>IF(C288="","",IFERROR(VLOOKUP(C288,'Example Parties'!$B$13:$Q$112,16,FALSE),0))</f>
        <v/>
      </c>
      <c r="Z288">
        <f>IF(OR(S288=0,B288="",Y288=""),"",IF(AND(F288&lt;&gt;"",D288="Purchase bill"),F288,B288)+Y288)</f>
        <v/>
      </c>
      <c r="AA288">
        <f>IF(OR(W288=0,Z288=""),0,MAX(0,'Example Outstanding'!$E$5-Z288))</f>
        <v/>
      </c>
      <c r="AB288">
        <f>IF(AND(X288=1,AA288&gt;0),W288*((1+3*N('Example Parties'!$E$10)/12)^(AA288*12/365)-1),0)</f>
        <v/>
      </c>
      <c r="AC288">
        <f>IF(W288=0,"",'Example Outstanding'!$E$5-B288)</f>
        <v/>
      </c>
      <c r="AD288">
        <f>IF(S288=0,0,IFERROR(VLOOKUP(C288,'Example Parties'!$B$13:$Q$112,14,FALSE),0)+SUMIFS($T$7:$T$506,$C$7:$C$506,C288,$B$7:$B$506,"&lt;="&amp;'Example Parties'!$E$8))</f>
        <v/>
      </c>
      <c r="AE288">
        <f>IF(OR('Example Parties'!$E$8="",S288=0,B288="",B288&gt;'Example Parties'!$E$8),0,MAX(0,MIN(S288,U288-AD288)))</f>
        <v/>
      </c>
      <c r="AF288">
        <f>IF(AND(P288="Creditor",X288=1,AE288&gt;0,Z288&lt;&gt;""),IF(Z288&lt;='Example Parties'!$E$8,AE288,0),0)</f>
        <v/>
      </c>
      <c r="AG288">
        <f>IF(OR(AE288=0,Z288=""),0,MAX(0,'Example Parties'!$E$8-Z288))</f>
        <v/>
      </c>
      <c r="AH288">
        <f>IF(AND(P288="Creditor",X288=1,AG288&gt;0),AE288*((1+3*N('Example Parties'!$E$10)/12)^(AG288*12/365)-1),0)</f>
        <v/>
      </c>
      <c r="AI288">
        <f>IF(AND(C288&lt;&gt;"",C288='Example Ledger'!$D$4,B288&lt;&gt;"",B288&gt;='Example Ledger'!$D$5,B288&lt;='Example Ledger'!$D$6),1,0)</f>
        <v/>
      </c>
      <c r="AJ288">
        <f>IF(AI288=1,SUM(AI$7:AI288),"")</f>
        <v/>
      </c>
      <c r="AK288">
        <f>IF(OR(N288="",N288="OK"),0,1)</f>
        <v/>
      </c>
    </row>
    <row r="289">
      <c r="B289" s="24" t="n"/>
      <c r="C289" s="14" t="n"/>
      <c r="D289" s="14" t="n"/>
      <c r="E289" s="20" t="n"/>
      <c r="F289" s="24" t="n"/>
      <c r="G289" s="14" t="n"/>
      <c r="H289" s="22" t="n"/>
      <c r="I289" s="25">
        <f>IF(Q289="D",N(H289),0)</f>
        <v/>
      </c>
      <c r="J289" s="25">
        <f>IF(Q289="C",N(H289),0)</f>
        <v/>
      </c>
      <c r="K289" s="26">
        <f>IF(Z289="","",Z289)</f>
        <v/>
      </c>
      <c r="L289" s="27">
        <f>W289</f>
        <v/>
      </c>
      <c r="M289" s="28">
        <f>AA289</f>
        <v/>
      </c>
      <c r="N289" s="23">
        <f>IF(AND(B289="",C289="",D289="",N(H289)=0),"",IF(B289="","Enter the date",IF(C289="","Pick the party",IF(P289="?","Add this party on the Parties sheet first",IF(D289="","Pick the entry type",IF(Q289="?","Pick the entry type from the list",IF(N(H289)=0,"Enter the amount",IF(AND(R289&lt;&gt;"Any",R289&lt;&gt;P289),"Sales, receipts and credit notes are for debtors; purchases, payments and debit notes for creditors",IF(AND(F289&lt;&gt;"",D289&lt;&gt;"Purchase bill"),"The received-on date is only for purchase bills",IF(AND(P289="Creditor",X289=1,AA289&gt;0),"Past due to a micro or small supplier: interest runs under MSMED s.16, and if unpaid at year end it is not deductible that year, s.37(2)(g)",IF(AND(P289="Debtor",X289=1,AA289&gt;0),"Past due to you: as a micro or small supplier you can claim interest under MSMED s.16","OK")))))))))))</f>
        <v/>
      </c>
      <c r="P289">
        <f>IF(C289="","",IFERROR(VLOOKUP(C289,'Example Parties'!$B$13:$Q$112,2,FALSE),"?"))</f>
        <v/>
      </c>
      <c r="Q289">
        <f>IF(D289="","",IFERROR(VLOOKUP(D289,Lists!$A$2:$D$9,3,FALSE),"?"))</f>
        <v/>
      </c>
      <c r="R289">
        <f>IF(D289="","",IFERROR(VLOOKUP(D289,Lists!$A$2:$D$9,4,FALSE),"?"))</f>
        <v/>
      </c>
      <c r="S289">
        <f>IF(P289="Debtor",I289,IF(P289="Creditor",J289,0))</f>
        <v/>
      </c>
      <c r="T289">
        <f>IF(P289="Debtor",J289,IF(P289="Creditor",I289,0))</f>
        <v/>
      </c>
      <c r="U289">
        <f>IF(OR(S289=0,B289=""),0,IFERROR(VLOOKUP(C289,'Example Parties'!$B$13:$Q$112,13,FALSE),0)+SUMIFS($S$7:$S$506,$C$7:$C$506,C289,$B$7:$B$506,"&lt;"&amp;B289)+SUMIFS(S$7:S289,C$7:C289,C289,B$7:B289,B289))</f>
        <v/>
      </c>
      <c r="V289">
        <f>IF(S289=0,0,IFERROR(VLOOKUP(C289,'Example Parties'!$B$13:$Q$112,14,FALSE),0)+SUMIFS($T$7:$T$506,$C$7:$C$506,C289,$B$7:$B$506,"&lt;="&amp;'Example Outstanding'!$E$5))</f>
        <v/>
      </c>
      <c r="W289">
        <f>IF(OR('Example Outstanding'!$E$5="",S289=0,B289="",B289&gt;'Example Outstanding'!$E$5),0,MAX(0,MIN(S289,U289-V289)))</f>
        <v/>
      </c>
      <c r="X289">
        <f>IF(C289="",0,IFERROR(VLOOKUP(C289,'Example Parties'!$B$13:$Q$112,15,FALSE),0))</f>
        <v/>
      </c>
      <c r="Y289">
        <f>IF(C289="","",IFERROR(VLOOKUP(C289,'Example Parties'!$B$13:$Q$112,16,FALSE),0))</f>
        <v/>
      </c>
      <c r="Z289">
        <f>IF(OR(S289=0,B289="",Y289=""),"",IF(AND(F289&lt;&gt;"",D289="Purchase bill"),F289,B289)+Y289)</f>
        <v/>
      </c>
      <c r="AA289">
        <f>IF(OR(W289=0,Z289=""),0,MAX(0,'Example Outstanding'!$E$5-Z289))</f>
        <v/>
      </c>
      <c r="AB289">
        <f>IF(AND(X289=1,AA289&gt;0),W289*((1+3*N('Example Parties'!$E$10)/12)^(AA289*12/365)-1),0)</f>
        <v/>
      </c>
      <c r="AC289">
        <f>IF(W289=0,"",'Example Outstanding'!$E$5-B289)</f>
        <v/>
      </c>
      <c r="AD289">
        <f>IF(S289=0,0,IFERROR(VLOOKUP(C289,'Example Parties'!$B$13:$Q$112,14,FALSE),0)+SUMIFS($T$7:$T$506,$C$7:$C$506,C289,$B$7:$B$506,"&lt;="&amp;'Example Parties'!$E$8))</f>
        <v/>
      </c>
      <c r="AE289">
        <f>IF(OR('Example Parties'!$E$8="",S289=0,B289="",B289&gt;'Example Parties'!$E$8),0,MAX(0,MIN(S289,U289-AD289)))</f>
        <v/>
      </c>
      <c r="AF289">
        <f>IF(AND(P289="Creditor",X289=1,AE289&gt;0,Z289&lt;&gt;""),IF(Z289&lt;='Example Parties'!$E$8,AE289,0),0)</f>
        <v/>
      </c>
      <c r="AG289">
        <f>IF(OR(AE289=0,Z289=""),0,MAX(0,'Example Parties'!$E$8-Z289))</f>
        <v/>
      </c>
      <c r="AH289">
        <f>IF(AND(P289="Creditor",X289=1,AG289&gt;0),AE289*((1+3*N('Example Parties'!$E$10)/12)^(AG289*12/365)-1),0)</f>
        <v/>
      </c>
      <c r="AI289">
        <f>IF(AND(C289&lt;&gt;"",C289='Example Ledger'!$D$4,B289&lt;&gt;"",B289&gt;='Example Ledger'!$D$5,B289&lt;='Example Ledger'!$D$6),1,0)</f>
        <v/>
      </c>
      <c r="AJ289">
        <f>IF(AI289=1,SUM(AI$7:AI289),"")</f>
        <v/>
      </c>
      <c r="AK289">
        <f>IF(OR(N289="",N289="OK"),0,1)</f>
        <v/>
      </c>
    </row>
    <row r="290">
      <c r="B290" s="24" t="n"/>
      <c r="C290" s="14" t="n"/>
      <c r="D290" s="14" t="n"/>
      <c r="E290" s="20" t="n"/>
      <c r="F290" s="24" t="n"/>
      <c r="G290" s="14" t="n"/>
      <c r="H290" s="22" t="n"/>
      <c r="I290" s="25">
        <f>IF(Q290="D",N(H290),0)</f>
        <v/>
      </c>
      <c r="J290" s="25">
        <f>IF(Q290="C",N(H290),0)</f>
        <v/>
      </c>
      <c r="K290" s="26">
        <f>IF(Z290="","",Z290)</f>
        <v/>
      </c>
      <c r="L290" s="27">
        <f>W290</f>
        <v/>
      </c>
      <c r="M290" s="28">
        <f>AA290</f>
        <v/>
      </c>
      <c r="N290" s="23">
        <f>IF(AND(B290="",C290="",D290="",N(H290)=0),"",IF(B290="","Enter the date",IF(C290="","Pick the party",IF(P290="?","Add this party on the Parties sheet first",IF(D290="","Pick the entry type",IF(Q290="?","Pick the entry type from the list",IF(N(H290)=0,"Enter the amount",IF(AND(R290&lt;&gt;"Any",R290&lt;&gt;P290),"Sales, receipts and credit notes are for debtors; purchases, payments and debit notes for creditors",IF(AND(F290&lt;&gt;"",D290&lt;&gt;"Purchase bill"),"The received-on date is only for purchase bills",IF(AND(P290="Creditor",X290=1,AA290&gt;0),"Past due to a micro or small supplier: interest runs under MSMED s.16, and if unpaid at year end it is not deductible that year, s.37(2)(g)",IF(AND(P290="Debtor",X290=1,AA290&gt;0),"Past due to you: as a micro or small supplier you can claim interest under MSMED s.16","OK")))))))))))</f>
        <v/>
      </c>
      <c r="P290">
        <f>IF(C290="","",IFERROR(VLOOKUP(C290,'Example Parties'!$B$13:$Q$112,2,FALSE),"?"))</f>
        <v/>
      </c>
      <c r="Q290">
        <f>IF(D290="","",IFERROR(VLOOKUP(D290,Lists!$A$2:$D$9,3,FALSE),"?"))</f>
        <v/>
      </c>
      <c r="R290">
        <f>IF(D290="","",IFERROR(VLOOKUP(D290,Lists!$A$2:$D$9,4,FALSE),"?"))</f>
        <v/>
      </c>
      <c r="S290">
        <f>IF(P290="Debtor",I290,IF(P290="Creditor",J290,0))</f>
        <v/>
      </c>
      <c r="T290">
        <f>IF(P290="Debtor",J290,IF(P290="Creditor",I290,0))</f>
        <v/>
      </c>
      <c r="U290">
        <f>IF(OR(S290=0,B290=""),0,IFERROR(VLOOKUP(C290,'Example Parties'!$B$13:$Q$112,13,FALSE),0)+SUMIFS($S$7:$S$506,$C$7:$C$506,C290,$B$7:$B$506,"&lt;"&amp;B290)+SUMIFS(S$7:S290,C$7:C290,C290,B$7:B290,B290))</f>
        <v/>
      </c>
      <c r="V290">
        <f>IF(S290=0,0,IFERROR(VLOOKUP(C290,'Example Parties'!$B$13:$Q$112,14,FALSE),0)+SUMIFS($T$7:$T$506,$C$7:$C$506,C290,$B$7:$B$506,"&lt;="&amp;'Example Outstanding'!$E$5))</f>
        <v/>
      </c>
      <c r="W290">
        <f>IF(OR('Example Outstanding'!$E$5="",S290=0,B290="",B290&gt;'Example Outstanding'!$E$5),0,MAX(0,MIN(S290,U290-V290)))</f>
        <v/>
      </c>
      <c r="X290">
        <f>IF(C290="",0,IFERROR(VLOOKUP(C290,'Example Parties'!$B$13:$Q$112,15,FALSE),0))</f>
        <v/>
      </c>
      <c r="Y290">
        <f>IF(C290="","",IFERROR(VLOOKUP(C290,'Example Parties'!$B$13:$Q$112,16,FALSE),0))</f>
        <v/>
      </c>
      <c r="Z290">
        <f>IF(OR(S290=0,B290="",Y290=""),"",IF(AND(F290&lt;&gt;"",D290="Purchase bill"),F290,B290)+Y290)</f>
        <v/>
      </c>
      <c r="AA290">
        <f>IF(OR(W290=0,Z290=""),0,MAX(0,'Example Outstanding'!$E$5-Z290))</f>
        <v/>
      </c>
      <c r="AB290">
        <f>IF(AND(X290=1,AA290&gt;0),W290*((1+3*N('Example Parties'!$E$10)/12)^(AA290*12/365)-1),0)</f>
        <v/>
      </c>
      <c r="AC290">
        <f>IF(W290=0,"",'Example Outstanding'!$E$5-B290)</f>
        <v/>
      </c>
      <c r="AD290">
        <f>IF(S290=0,0,IFERROR(VLOOKUP(C290,'Example Parties'!$B$13:$Q$112,14,FALSE),0)+SUMIFS($T$7:$T$506,$C$7:$C$506,C290,$B$7:$B$506,"&lt;="&amp;'Example Parties'!$E$8))</f>
        <v/>
      </c>
      <c r="AE290">
        <f>IF(OR('Example Parties'!$E$8="",S290=0,B290="",B290&gt;'Example Parties'!$E$8),0,MAX(0,MIN(S290,U290-AD290)))</f>
        <v/>
      </c>
      <c r="AF290">
        <f>IF(AND(P290="Creditor",X290=1,AE290&gt;0,Z290&lt;&gt;""),IF(Z290&lt;='Example Parties'!$E$8,AE290,0),0)</f>
        <v/>
      </c>
      <c r="AG290">
        <f>IF(OR(AE290=0,Z290=""),0,MAX(0,'Example Parties'!$E$8-Z290))</f>
        <v/>
      </c>
      <c r="AH290">
        <f>IF(AND(P290="Creditor",X290=1,AG290&gt;0),AE290*((1+3*N('Example Parties'!$E$10)/12)^(AG290*12/365)-1),0)</f>
        <v/>
      </c>
      <c r="AI290">
        <f>IF(AND(C290&lt;&gt;"",C290='Example Ledger'!$D$4,B290&lt;&gt;"",B290&gt;='Example Ledger'!$D$5,B290&lt;='Example Ledger'!$D$6),1,0)</f>
        <v/>
      </c>
      <c r="AJ290">
        <f>IF(AI290=1,SUM(AI$7:AI290),"")</f>
        <v/>
      </c>
      <c r="AK290">
        <f>IF(OR(N290="",N290="OK"),0,1)</f>
        <v/>
      </c>
    </row>
    <row r="291">
      <c r="B291" s="24" t="n"/>
      <c r="C291" s="14" t="n"/>
      <c r="D291" s="14" t="n"/>
      <c r="E291" s="20" t="n"/>
      <c r="F291" s="24" t="n"/>
      <c r="G291" s="14" t="n"/>
      <c r="H291" s="22" t="n"/>
      <c r="I291" s="25">
        <f>IF(Q291="D",N(H291),0)</f>
        <v/>
      </c>
      <c r="J291" s="25">
        <f>IF(Q291="C",N(H291),0)</f>
        <v/>
      </c>
      <c r="K291" s="26">
        <f>IF(Z291="","",Z291)</f>
        <v/>
      </c>
      <c r="L291" s="27">
        <f>W291</f>
        <v/>
      </c>
      <c r="M291" s="28">
        <f>AA291</f>
        <v/>
      </c>
      <c r="N291" s="23">
        <f>IF(AND(B291="",C291="",D291="",N(H291)=0),"",IF(B291="","Enter the date",IF(C291="","Pick the party",IF(P291="?","Add this party on the Parties sheet first",IF(D291="","Pick the entry type",IF(Q291="?","Pick the entry type from the list",IF(N(H291)=0,"Enter the amount",IF(AND(R291&lt;&gt;"Any",R291&lt;&gt;P291),"Sales, receipts and credit notes are for debtors; purchases, payments and debit notes for creditors",IF(AND(F291&lt;&gt;"",D291&lt;&gt;"Purchase bill"),"The received-on date is only for purchase bills",IF(AND(P291="Creditor",X291=1,AA291&gt;0),"Past due to a micro or small supplier: interest runs under MSMED s.16, and if unpaid at year end it is not deductible that year, s.37(2)(g)",IF(AND(P291="Debtor",X291=1,AA291&gt;0),"Past due to you: as a micro or small supplier you can claim interest under MSMED s.16","OK")))))))))))</f>
        <v/>
      </c>
      <c r="P291">
        <f>IF(C291="","",IFERROR(VLOOKUP(C291,'Example Parties'!$B$13:$Q$112,2,FALSE),"?"))</f>
        <v/>
      </c>
      <c r="Q291">
        <f>IF(D291="","",IFERROR(VLOOKUP(D291,Lists!$A$2:$D$9,3,FALSE),"?"))</f>
        <v/>
      </c>
      <c r="R291">
        <f>IF(D291="","",IFERROR(VLOOKUP(D291,Lists!$A$2:$D$9,4,FALSE),"?"))</f>
        <v/>
      </c>
      <c r="S291">
        <f>IF(P291="Debtor",I291,IF(P291="Creditor",J291,0))</f>
        <v/>
      </c>
      <c r="T291">
        <f>IF(P291="Debtor",J291,IF(P291="Creditor",I291,0))</f>
        <v/>
      </c>
      <c r="U291">
        <f>IF(OR(S291=0,B291=""),0,IFERROR(VLOOKUP(C291,'Example Parties'!$B$13:$Q$112,13,FALSE),0)+SUMIFS($S$7:$S$506,$C$7:$C$506,C291,$B$7:$B$506,"&lt;"&amp;B291)+SUMIFS(S$7:S291,C$7:C291,C291,B$7:B291,B291))</f>
        <v/>
      </c>
      <c r="V291">
        <f>IF(S291=0,0,IFERROR(VLOOKUP(C291,'Example Parties'!$B$13:$Q$112,14,FALSE),0)+SUMIFS($T$7:$T$506,$C$7:$C$506,C291,$B$7:$B$506,"&lt;="&amp;'Example Outstanding'!$E$5))</f>
        <v/>
      </c>
      <c r="W291">
        <f>IF(OR('Example Outstanding'!$E$5="",S291=0,B291="",B291&gt;'Example Outstanding'!$E$5),0,MAX(0,MIN(S291,U291-V291)))</f>
        <v/>
      </c>
      <c r="X291">
        <f>IF(C291="",0,IFERROR(VLOOKUP(C291,'Example Parties'!$B$13:$Q$112,15,FALSE),0))</f>
        <v/>
      </c>
      <c r="Y291">
        <f>IF(C291="","",IFERROR(VLOOKUP(C291,'Example Parties'!$B$13:$Q$112,16,FALSE),0))</f>
        <v/>
      </c>
      <c r="Z291">
        <f>IF(OR(S291=0,B291="",Y291=""),"",IF(AND(F291&lt;&gt;"",D291="Purchase bill"),F291,B291)+Y291)</f>
        <v/>
      </c>
      <c r="AA291">
        <f>IF(OR(W291=0,Z291=""),0,MAX(0,'Example Outstanding'!$E$5-Z291))</f>
        <v/>
      </c>
      <c r="AB291">
        <f>IF(AND(X291=1,AA291&gt;0),W291*((1+3*N('Example Parties'!$E$10)/12)^(AA291*12/365)-1),0)</f>
        <v/>
      </c>
      <c r="AC291">
        <f>IF(W291=0,"",'Example Outstanding'!$E$5-B291)</f>
        <v/>
      </c>
      <c r="AD291">
        <f>IF(S291=0,0,IFERROR(VLOOKUP(C291,'Example Parties'!$B$13:$Q$112,14,FALSE),0)+SUMIFS($T$7:$T$506,$C$7:$C$506,C291,$B$7:$B$506,"&lt;="&amp;'Example Parties'!$E$8))</f>
        <v/>
      </c>
      <c r="AE291">
        <f>IF(OR('Example Parties'!$E$8="",S291=0,B291="",B291&gt;'Example Parties'!$E$8),0,MAX(0,MIN(S291,U291-AD291)))</f>
        <v/>
      </c>
      <c r="AF291">
        <f>IF(AND(P291="Creditor",X291=1,AE291&gt;0,Z291&lt;&gt;""),IF(Z291&lt;='Example Parties'!$E$8,AE291,0),0)</f>
        <v/>
      </c>
      <c r="AG291">
        <f>IF(OR(AE291=0,Z291=""),0,MAX(0,'Example Parties'!$E$8-Z291))</f>
        <v/>
      </c>
      <c r="AH291">
        <f>IF(AND(P291="Creditor",X291=1,AG291&gt;0),AE291*((1+3*N('Example Parties'!$E$10)/12)^(AG291*12/365)-1),0)</f>
        <v/>
      </c>
      <c r="AI291">
        <f>IF(AND(C291&lt;&gt;"",C291='Example Ledger'!$D$4,B291&lt;&gt;"",B291&gt;='Example Ledger'!$D$5,B291&lt;='Example Ledger'!$D$6),1,0)</f>
        <v/>
      </c>
      <c r="AJ291">
        <f>IF(AI291=1,SUM(AI$7:AI291),"")</f>
        <v/>
      </c>
      <c r="AK291">
        <f>IF(OR(N291="",N291="OK"),0,1)</f>
        <v/>
      </c>
    </row>
    <row r="292">
      <c r="B292" s="24" t="n"/>
      <c r="C292" s="14" t="n"/>
      <c r="D292" s="14" t="n"/>
      <c r="E292" s="20" t="n"/>
      <c r="F292" s="24" t="n"/>
      <c r="G292" s="14" t="n"/>
      <c r="H292" s="22" t="n"/>
      <c r="I292" s="25">
        <f>IF(Q292="D",N(H292),0)</f>
        <v/>
      </c>
      <c r="J292" s="25">
        <f>IF(Q292="C",N(H292),0)</f>
        <v/>
      </c>
      <c r="K292" s="26">
        <f>IF(Z292="","",Z292)</f>
        <v/>
      </c>
      <c r="L292" s="27">
        <f>W292</f>
        <v/>
      </c>
      <c r="M292" s="28">
        <f>AA292</f>
        <v/>
      </c>
      <c r="N292" s="23">
        <f>IF(AND(B292="",C292="",D292="",N(H292)=0),"",IF(B292="","Enter the date",IF(C292="","Pick the party",IF(P292="?","Add this party on the Parties sheet first",IF(D292="","Pick the entry type",IF(Q292="?","Pick the entry type from the list",IF(N(H292)=0,"Enter the amount",IF(AND(R292&lt;&gt;"Any",R292&lt;&gt;P292),"Sales, receipts and credit notes are for debtors; purchases, payments and debit notes for creditors",IF(AND(F292&lt;&gt;"",D292&lt;&gt;"Purchase bill"),"The received-on date is only for purchase bills",IF(AND(P292="Creditor",X292=1,AA292&gt;0),"Past due to a micro or small supplier: interest runs under MSMED s.16, and if unpaid at year end it is not deductible that year, s.37(2)(g)",IF(AND(P292="Debtor",X292=1,AA292&gt;0),"Past due to you: as a micro or small supplier you can claim interest under MSMED s.16","OK")))))))))))</f>
        <v/>
      </c>
      <c r="P292">
        <f>IF(C292="","",IFERROR(VLOOKUP(C292,'Example Parties'!$B$13:$Q$112,2,FALSE),"?"))</f>
        <v/>
      </c>
      <c r="Q292">
        <f>IF(D292="","",IFERROR(VLOOKUP(D292,Lists!$A$2:$D$9,3,FALSE),"?"))</f>
        <v/>
      </c>
      <c r="R292">
        <f>IF(D292="","",IFERROR(VLOOKUP(D292,Lists!$A$2:$D$9,4,FALSE),"?"))</f>
        <v/>
      </c>
      <c r="S292">
        <f>IF(P292="Debtor",I292,IF(P292="Creditor",J292,0))</f>
        <v/>
      </c>
      <c r="T292">
        <f>IF(P292="Debtor",J292,IF(P292="Creditor",I292,0))</f>
        <v/>
      </c>
      <c r="U292">
        <f>IF(OR(S292=0,B292=""),0,IFERROR(VLOOKUP(C292,'Example Parties'!$B$13:$Q$112,13,FALSE),0)+SUMIFS($S$7:$S$506,$C$7:$C$506,C292,$B$7:$B$506,"&lt;"&amp;B292)+SUMIFS(S$7:S292,C$7:C292,C292,B$7:B292,B292))</f>
        <v/>
      </c>
      <c r="V292">
        <f>IF(S292=0,0,IFERROR(VLOOKUP(C292,'Example Parties'!$B$13:$Q$112,14,FALSE),0)+SUMIFS($T$7:$T$506,$C$7:$C$506,C292,$B$7:$B$506,"&lt;="&amp;'Example Outstanding'!$E$5))</f>
        <v/>
      </c>
      <c r="W292">
        <f>IF(OR('Example Outstanding'!$E$5="",S292=0,B292="",B292&gt;'Example Outstanding'!$E$5),0,MAX(0,MIN(S292,U292-V292)))</f>
        <v/>
      </c>
      <c r="X292">
        <f>IF(C292="",0,IFERROR(VLOOKUP(C292,'Example Parties'!$B$13:$Q$112,15,FALSE),0))</f>
        <v/>
      </c>
      <c r="Y292">
        <f>IF(C292="","",IFERROR(VLOOKUP(C292,'Example Parties'!$B$13:$Q$112,16,FALSE),0))</f>
        <v/>
      </c>
      <c r="Z292">
        <f>IF(OR(S292=0,B292="",Y292=""),"",IF(AND(F292&lt;&gt;"",D292="Purchase bill"),F292,B292)+Y292)</f>
        <v/>
      </c>
      <c r="AA292">
        <f>IF(OR(W292=0,Z292=""),0,MAX(0,'Example Outstanding'!$E$5-Z292))</f>
        <v/>
      </c>
      <c r="AB292">
        <f>IF(AND(X292=1,AA292&gt;0),W292*((1+3*N('Example Parties'!$E$10)/12)^(AA292*12/365)-1),0)</f>
        <v/>
      </c>
      <c r="AC292">
        <f>IF(W292=0,"",'Example Outstanding'!$E$5-B292)</f>
        <v/>
      </c>
      <c r="AD292">
        <f>IF(S292=0,0,IFERROR(VLOOKUP(C292,'Example Parties'!$B$13:$Q$112,14,FALSE),0)+SUMIFS($T$7:$T$506,$C$7:$C$506,C292,$B$7:$B$506,"&lt;="&amp;'Example Parties'!$E$8))</f>
        <v/>
      </c>
      <c r="AE292">
        <f>IF(OR('Example Parties'!$E$8="",S292=0,B292="",B292&gt;'Example Parties'!$E$8),0,MAX(0,MIN(S292,U292-AD292)))</f>
        <v/>
      </c>
      <c r="AF292">
        <f>IF(AND(P292="Creditor",X292=1,AE292&gt;0,Z292&lt;&gt;""),IF(Z292&lt;='Example Parties'!$E$8,AE292,0),0)</f>
        <v/>
      </c>
      <c r="AG292">
        <f>IF(OR(AE292=0,Z292=""),0,MAX(0,'Example Parties'!$E$8-Z292))</f>
        <v/>
      </c>
      <c r="AH292">
        <f>IF(AND(P292="Creditor",X292=1,AG292&gt;0),AE292*((1+3*N('Example Parties'!$E$10)/12)^(AG292*12/365)-1),0)</f>
        <v/>
      </c>
      <c r="AI292">
        <f>IF(AND(C292&lt;&gt;"",C292='Example Ledger'!$D$4,B292&lt;&gt;"",B292&gt;='Example Ledger'!$D$5,B292&lt;='Example Ledger'!$D$6),1,0)</f>
        <v/>
      </c>
      <c r="AJ292">
        <f>IF(AI292=1,SUM(AI$7:AI292),"")</f>
        <v/>
      </c>
      <c r="AK292">
        <f>IF(OR(N292="",N292="OK"),0,1)</f>
        <v/>
      </c>
    </row>
    <row r="293">
      <c r="B293" s="24" t="n"/>
      <c r="C293" s="14" t="n"/>
      <c r="D293" s="14" t="n"/>
      <c r="E293" s="20" t="n"/>
      <c r="F293" s="24" t="n"/>
      <c r="G293" s="14" t="n"/>
      <c r="H293" s="22" t="n"/>
      <c r="I293" s="25">
        <f>IF(Q293="D",N(H293),0)</f>
        <v/>
      </c>
      <c r="J293" s="25">
        <f>IF(Q293="C",N(H293),0)</f>
        <v/>
      </c>
      <c r="K293" s="26">
        <f>IF(Z293="","",Z293)</f>
        <v/>
      </c>
      <c r="L293" s="27">
        <f>W293</f>
        <v/>
      </c>
      <c r="M293" s="28">
        <f>AA293</f>
        <v/>
      </c>
      <c r="N293" s="23">
        <f>IF(AND(B293="",C293="",D293="",N(H293)=0),"",IF(B293="","Enter the date",IF(C293="","Pick the party",IF(P293="?","Add this party on the Parties sheet first",IF(D293="","Pick the entry type",IF(Q293="?","Pick the entry type from the list",IF(N(H293)=0,"Enter the amount",IF(AND(R293&lt;&gt;"Any",R293&lt;&gt;P293),"Sales, receipts and credit notes are for debtors; purchases, payments and debit notes for creditors",IF(AND(F293&lt;&gt;"",D293&lt;&gt;"Purchase bill"),"The received-on date is only for purchase bills",IF(AND(P293="Creditor",X293=1,AA293&gt;0),"Past due to a micro or small supplier: interest runs under MSMED s.16, and if unpaid at year end it is not deductible that year, s.37(2)(g)",IF(AND(P293="Debtor",X293=1,AA293&gt;0),"Past due to you: as a micro or small supplier you can claim interest under MSMED s.16","OK")))))))))))</f>
        <v/>
      </c>
      <c r="P293">
        <f>IF(C293="","",IFERROR(VLOOKUP(C293,'Example Parties'!$B$13:$Q$112,2,FALSE),"?"))</f>
        <v/>
      </c>
      <c r="Q293">
        <f>IF(D293="","",IFERROR(VLOOKUP(D293,Lists!$A$2:$D$9,3,FALSE),"?"))</f>
        <v/>
      </c>
      <c r="R293">
        <f>IF(D293="","",IFERROR(VLOOKUP(D293,Lists!$A$2:$D$9,4,FALSE),"?"))</f>
        <v/>
      </c>
      <c r="S293">
        <f>IF(P293="Debtor",I293,IF(P293="Creditor",J293,0))</f>
        <v/>
      </c>
      <c r="T293">
        <f>IF(P293="Debtor",J293,IF(P293="Creditor",I293,0))</f>
        <v/>
      </c>
      <c r="U293">
        <f>IF(OR(S293=0,B293=""),0,IFERROR(VLOOKUP(C293,'Example Parties'!$B$13:$Q$112,13,FALSE),0)+SUMIFS($S$7:$S$506,$C$7:$C$506,C293,$B$7:$B$506,"&lt;"&amp;B293)+SUMIFS(S$7:S293,C$7:C293,C293,B$7:B293,B293))</f>
        <v/>
      </c>
      <c r="V293">
        <f>IF(S293=0,0,IFERROR(VLOOKUP(C293,'Example Parties'!$B$13:$Q$112,14,FALSE),0)+SUMIFS($T$7:$T$506,$C$7:$C$506,C293,$B$7:$B$506,"&lt;="&amp;'Example Outstanding'!$E$5))</f>
        <v/>
      </c>
      <c r="W293">
        <f>IF(OR('Example Outstanding'!$E$5="",S293=0,B293="",B293&gt;'Example Outstanding'!$E$5),0,MAX(0,MIN(S293,U293-V293)))</f>
        <v/>
      </c>
      <c r="X293">
        <f>IF(C293="",0,IFERROR(VLOOKUP(C293,'Example Parties'!$B$13:$Q$112,15,FALSE),0))</f>
        <v/>
      </c>
      <c r="Y293">
        <f>IF(C293="","",IFERROR(VLOOKUP(C293,'Example Parties'!$B$13:$Q$112,16,FALSE),0))</f>
        <v/>
      </c>
      <c r="Z293">
        <f>IF(OR(S293=0,B293="",Y293=""),"",IF(AND(F293&lt;&gt;"",D293="Purchase bill"),F293,B293)+Y293)</f>
        <v/>
      </c>
      <c r="AA293">
        <f>IF(OR(W293=0,Z293=""),0,MAX(0,'Example Outstanding'!$E$5-Z293))</f>
        <v/>
      </c>
      <c r="AB293">
        <f>IF(AND(X293=1,AA293&gt;0),W293*((1+3*N('Example Parties'!$E$10)/12)^(AA293*12/365)-1),0)</f>
        <v/>
      </c>
      <c r="AC293">
        <f>IF(W293=0,"",'Example Outstanding'!$E$5-B293)</f>
        <v/>
      </c>
      <c r="AD293">
        <f>IF(S293=0,0,IFERROR(VLOOKUP(C293,'Example Parties'!$B$13:$Q$112,14,FALSE),0)+SUMIFS($T$7:$T$506,$C$7:$C$506,C293,$B$7:$B$506,"&lt;="&amp;'Example Parties'!$E$8))</f>
        <v/>
      </c>
      <c r="AE293">
        <f>IF(OR('Example Parties'!$E$8="",S293=0,B293="",B293&gt;'Example Parties'!$E$8),0,MAX(0,MIN(S293,U293-AD293)))</f>
        <v/>
      </c>
      <c r="AF293">
        <f>IF(AND(P293="Creditor",X293=1,AE293&gt;0,Z293&lt;&gt;""),IF(Z293&lt;='Example Parties'!$E$8,AE293,0),0)</f>
        <v/>
      </c>
      <c r="AG293">
        <f>IF(OR(AE293=0,Z293=""),0,MAX(0,'Example Parties'!$E$8-Z293))</f>
        <v/>
      </c>
      <c r="AH293">
        <f>IF(AND(P293="Creditor",X293=1,AG293&gt;0),AE293*((1+3*N('Example Parties'!$E$10)/12)^(AG293*12/365)-1),0)</f>
        <v/>
      </c>
      <c r="AI293">
        <f>IF(AND(C293&lt;&gt;"",C293='Example Ledger'!$D$4,B293&lt;&gt;"",B293&gt;='Example Ledger'!$D$5,B293&lt;='Example Ledger'!$D$6),1,0)</f>
        <v/>
      </c>
      <c r="AJ293">
        <f>IF(AI293=1,SUM(AI$7:AI293),"")</f>
        <v/>
      </c>
      <c r="AK293">
        <f>IF(OR(N293="",N293="OK"),0,1)</f>
        <v/>
      </c>
    </row>
    <row r="294">
      <c r="B294" s="24" t="n"/>
      <c r="C294" s="14" t="n"/>
      <c r="D294" s="14" t="n"/>
      <c r="E294" s="20" t="n"/>
      <c r="F294" s="24" t="n"/>
      <c r="G294" s="14" t="n"/>
      <c r="H294" s="22" t="n"/>
      <c r="I294" s="25">
        <f>IF(Q294="D",N(H294),0)</f>
        <v/>
      </c>
      <c r="J294" s="25">
        <f>IF(Q294="C",N(H294),0)</f>
        <v/>
      </c>
      <c r="K294" s="26">
        <f>IF(Z294="","",Z294)</f>
        <v/>
      </c>
      <c r="L294" s="27">
        <f>W294</f>
        <v/>
      </c>
      <c r="M294" s="28">
        <f>AA294</f>
        <v/>
      </c>
      <c r="N294" s="23">
        <f>IF(AND(B294="",C294="",D294="",N(H294)=0),"",IF(B294="","Enter the date",IF(C294="","Pick the party",IF(P294="?","Add this party on the Parties sheet first",IF(D294="","Pick the entry type",IF(Q294="?","Pick the entry type from the list",IF(N(H294)=0,"Enter the amount",IF(AND(R294&lt;&gt;"Any",R294&lt;&gt;P294),"Sales, receipts and credit notes are for debtors; purchases, payments and debit notes for creditors",IF(AND(F294&lt;&gt;"",D294&lt;&gt;"Purchase bill"),"The received-on date is only for purchase bills",IF(AND(P294="Creditor",X294=1,AA294&gt;0),"Past due to a micro or small supplier: interest runs under MSMED s.16, and if unpaid at year end it is not deductible that year, s.37(2)(g)",IF(AND(P294="Debtor",X294=1,AA294&gt;0),"Past due to you: as a micro or small supplier you can claim interest under MSMED s.16","OK")))))))))))</f>
        <v/>
      </c>
      <c r="P294">
        <f>IF(C294="","",IFERROR(VLOOKUP(C294,'Example Parties'!$B$13:$Q$112,2,FALSE),"?"))</f>
        <v/>
      </c>
      <c r="Q294">
        <f>IF(D294="","",IFERROR(VLOOKUP(D294,Lists!$A$2:$D$9,3,FALSE),"?"))</f>
        <v/>
      </c>
      <c r="R294">
        <f>IF(D294="","",IFERROR(VLOOKUP(D294,Lists!$A$2:$D$9,4,FALSE),"?"))</f>
        <v/>
      </c>
      <c r="S294">
        <f>IF(P294="Debtor",I294,IF(P294="Creditor",J294,0))</f>
        <v/>
      </c>
      <c r="T294">
        <f>IF(P294="Debtor",J294,IF(P294="Creditor",I294,0))</f>
        <v/>
      </c>
      <c r="U294">
        <f>IF(OR(S294=0,B294=""),0,IFERROR(VLOOKUP(C294,'Example Parties'!$B$13:$Q$112,13,FALSE),0)+SUMIFS($S$7:$S$506,$C$7:$C$506,C294,$B$7:$B$506,"&lt;"&amp;B294)+SUMIFS(S$7:S294,C$7:C294,C294,B$7:B294,B294))</f>
        <v/>
      </c>
      <c r="V294">
        <f>IF(S294=0,0,IFERROR(VLOOKUP(C294,'Example Parties'!$B$13:$Q$112,14,FALSE),0)+SUMIFS($T$7:$T$506,$C$7:$C$506,C294,$B$7:$B$506,"&lt;="&amp;'Example Outstanding'!$E$5))</f>
        <v/>
      </c>
      <c r="W294">
        <f>IF(OR('Example Outstanding'!$E$5="",S294=0,B294="",B294&gt;'Example Outstanding'!$E$5),0,MAX(0,MIN(S294,U294-V294)))</f>
        <v/>
      </c>
      <c r="X294">
        <f>IF(C294="",0,IFERROR(VLOOKUP(C294,'Example Parties'!$B$13:$Q$112,15,FALSE),0))</f>
        <v/>
      </c>
      <c r="Y294">
        <f>IF(C294="","",IFERROR(VLOOKUP(C294,'Example Parties'!$B$13:$Q$112,16,FALSE),0))</f>
        <v/>
      </c>
      <c r="Z294">
        <f>IF(OR(S294=0,B294="",Y294=""),"",IF(AND(F294&lt;&gt;"",D294="Purchase bill"),F294,B294)+Y294)</f>
        <v/>
      </c>
      <c r="AA294">
        <f>IF(OR(W294=0,Z294=""),0,MAX(0,'Example Outstanding'!$E$5-Z294))</f>
        <v/>
      </c>
      <c r="AB294">
        <f>IF(AND(X294=1,AA294&gt;0),W294*((1+3*N('Example Parties'!$E$10)/12)^(AA294*12/365)-1),0)</f>
        <v/>
      </c>
      <c r="AC294">
        <f>IF(W294=0,"",'Example Outstanding'!$E$5-B294)</f>
        <v/>
      </c>
      <c r="AD294">
        <f>IF(S294=0,0,IFERROR(VLOOKUP(C294,'Example Parties'!$B$13:$Q$112,14,FALSE),0)+SUMIFS($T$7:$T$506,$C$7:$C$506,C294,$B$7:$B$506,"&lt;="&amp;'Example Parties'!$E$8))</f>
        <v/>
      </c>
      <c r="AE294">
        <f>IF(OR('Example Parties'!$E$8="",S294=0,B294="",B294&gt;'Example Parties'!$E$8),0,MAX(0,MIN(S294,U294-AD294)))</f>
        <v/>
      </c>
      <c r="AF294">
        <f>IF(AND(P294="Creditor",X294=1,AE294&gt;0,Z294&lt;&gt;""),IF(Z294&lt;='Example Parties'!$E$8,AE294,0),0)</f>
        <v/>
      </c>
      <c r="AG294">
        <f>IF(OR(AE294=0,Z294=""),0,MAX(0,'Example Parties'!$E$8-Z294))</f>
        <v/>
      </c>
      <c r="AH294">
        <f>IF(AND(P294="Creditor",X294=1,AG294&gt;0),AE294*((1+3*N('Example Parties'!$E$10)/12)^(AG294*12/365)-1),0)</f>
        <v/>
      </c>
      <c r="AI294">
        <f>IF(AND(C294&lt;&gt;"",C294='Example Ledger'!$D$4,B294&lt;&gt;"",B294&gt;='Example Ledger'!$D$5,B294&lt;='Example Ledger'!$D$6),1,0)</f>
        <v/>
      </c>
      <c r="AJ294">
        <f>IF(AI294=1,SUM(AI$7:AI294),"")</f>
        <v/>
      </c>
      <c r="AK294">
        <f>IF(OR(N294="",N294="OK"),0,1)</f>
        <v/>
      </c>
    </row>
    <row r="295">
      <c r="B295" s="24" t="n"/>
      <c r="C295" s="14" t="n"/>
      <c r="D295" s="14" t="n"/>
      <c r="E295" s="20" t="n"/>
      <c r="F295" s="24" t="n"/>
      <c r="G295" s="14" t="n"/>
      <c r="H295" s="22" t="n"/>
      <c r="I295" s="25">
        <f>IF(Q295="D",N(H295),0)</f>
        <v/>
      </c>
      <c r="J295" s="25">
        <f>IF(Q295="C",N(H295),0)</f>
        <v/>
      </c>
      <c r="K295" s="26">
        <f>IF(Z295="","",Z295)</f>
        <v/>
      </c>
      <c r="L295" s="27">
        <f>W295</f>
        <v/>
      </c>
      <c r="M295" s="28">
        <f>AA295</f>
        <v/>
      </c>
      <c r="N295" s="23">
        <f>IF(AND(B295="",C295="",D295="",N(H295)=0),"",IF(B295="","Enter the date",IF(C295="","Pick the party",IF(P295="?","Add this party on the Parties sheet first",IF(D295="","Pick the entry type",IF(Q295="?","Pick the entry type from the list",IF(N(H295)=0,"Enter the amount",IF(AND(R295&lt;&gt;"Any",R295&lt;&gt;P295),"Sales, receipts and credit notes are for debtors; purchases, payments and debit notes for creditors",IF(AND(F295&lt;&gt;"",D295&lt;&gt;"Purchase bill"),"The received-on date is only for purchase bills",IF(AND(P295="Creditor",X295=1,AA295&gt;0),"Past due to a micro or small supplier: interest runs under MSMED s.16, and if unpaid at year end it is not deductible that year, s.37(2)(g)",IF(AND(P295="Debtor",X295=1,AA295&gt;0),"Past due to you: as a micro or small supplier you can claim interest under MSMED s.16","OK")))))))))))</f>
        <v/>
      </c>
      <c r="P295">
        <f>IF(C295="","",IFERROR(VLOOKUP(C295,'Example Parties'!$B$13:$Q$112,2,FALSE),"?"))</f>
        <v/>
      </c>
      <c r="Q295">
        <f>IF(D295="","",IFERROR(VLOOKUP(D295,Lists!$A$2:$D$9,3,FALSE),"?"))</f>
        <v/>
      </c>
      <c r="R295">
        <f>IF(D295="","",IFERROR(VLOOKUP(D295,Lists!$A$2:$D$9,4,FALSE),"?"))</f>
        <v/>
      </c>
      <c r="S295">
        <f>IF(P295="Debtor",I295,IF(P295="Creditor",J295,0))</f>
        <v/>
      </c>
      <c r="T295">
        <f>IF(P295="Debtor",J295,IF(P295="Creditor",I295,0))</f>
        <v/>
      </c>
      <c r="U295">
        <f>IF(OR(S295=0,B295=""),0,IFERROR(VLOOKUP(C295,'Example Parties'!$B$13:$Q$112,13,FALSE),0)+SUMIFS($S$7:$S$506,$C$7:$C$506,C295,$B$7:$B$506,"&lt;"&amp;B295)+SUMIFS(S$7:S295,C$7:C295,C295,B$7:B295,B295))</f>
        <v/>
      </c>
      <c r="V295">
        <f>IF(S295=0,0,IFERROR(VLOOKUP(C295,'Example Parties'!$B$13:$Q$112,14,FALSE),0)+SUMIFS($T$7:$T$506,$C$7:$C$506,C295,$B$7:$B$506,"&lt;="&amp;'Example Outstanding'!$E$5))</f>
        <v/>
      </c>
      <c r="W295">
        <f>IF(OR('Example Outstanding'!$E$5="",S295=0,B295="",B295&gt;'Example Outstanding'!$E$5),0,MAX(0,MIN(S295,U295-V295)))</f>
        <v/>
      </c>
      <c r="X295">
        <f>IF(C295="",0,IFERROR(VLOOKUP(C295,'Example Parties'!$B$13:$Q$112,15,FALSE),0))</f>
        <v/>
      </c>
      <c r="Y295">
        <f>IF(C295="","",IFERROR(VLOOKUP(C295,'Example Parties'!$B$13:$Q$112,16,FALSE),0))</f>
        <v/>
      </c>
      <c r="Z295">
        <f>IF(OR(S295=0,B295="",Y295=""),"",IF(AND(F295&lt;&gt;"",D295="Purchase bill"),F295,B295)+Y295)</f>
        <v/>
      </c>
      <c r="AA295">
        <f>IF(OR(W295=0,Z295=""),0,MAX(0,'Example Outstanding'!$E$5-Z295))</f>
        <v/>
      </c>
      <c r="AB295">
        <f>IF(AND(X295=1,AA295&gt;0),W295*((1+3*N('Example Parties'!$E$10)/12)^(AA295*12/365)-1),0)</f>
        <v/>
      </c>
      <c r="AC295">
        <f>IF(W295=0,"",'Example Outstanding'!$E$5-B295)</f>
        <v/>
      </c>
      <c r="AD295">
        <f>IF(S295=0,0,IFERROR(VLOOKUP(C295,'Example Parties'!$B$13:$Q$112,14,FALSE),0)+SUMIFS($T$7:$T$506,$C$7:$C$506,C295,$B$7:$B$506,"&lt;="&amp;'Example Parties'!$E$8))</f>
        <v/>
      </c>
      <c r="AE295">
        <f>IF(OR('Example Parties'!$E$8="",S295=0,B295="",B295&gt;'Example Parties'!$E$8),0,MAX(0,MIN(S295,U295-AD295)))</f>
        <v/>
      </c>
      <c r="AF295">
        <f>IF(AND(P295="Creditor",X295=1,AE295&gt;0,Z295&lt;&gt;""),IF(Z295&lt;='Example Parties'!$E$8,AE295,0),0)</f>
        <v/>
      </c>
      <c r="AG295">
        <f>IF(OR(AE295=0,Z295=""),0,MAX(0,'Example Parties'!$E$8-Z295))</f>
        <v/>
      </c>
      <c r="AH295">
        <f>IF(AND(P295="Creditor",X295=1,AG295&gt;0),AE295*((1+3*N('Example Parties'!$E$10)/12)^(AG295*12/365)-1),0)</f>
        <v/>
      </c>
      <c r="AI295">
        <f>IF(AND(C295&lt;&gt;"",C295='Example Ledger'!$D$4,B295&lt;&gt;"",B295&gt;='Example Ledger'!$D$5,B295&lt;='Example Ledger'!$D$6),1,0)</f>
        <v/>
      </c>
      <c r="AJ295">
        <f>IF(AI295=1,SUM(AI$7:AI295),"")</f>
        <v/>
      </c>
      <c r="AK295">
        <f>IF(OR(N295="",N295="OK"),0,1)</f>
        <v/>
      </c>
    </row>
    <row r="296">
      <c r="B296" s="24" t="n"/>
      <c r="C296" s="14" t="n"/>
      <c r="D296" s="14" t="n"/>
      <c r="E296" s="20" t="n"/>
      <c r="F296" s="24" t="n"/>
      <c r="G296" s="14" t="n"/>
      <c r="H296" s="22" t="n"/>
      <c r="I296" s="25">
        <f>IF(Q296="D",N(H296),0)</f>
        <v/>
      </c>
      <c r="J296" s="25">
        <f>IF(Q296="C",N(H296),0)</f>
        <v/>
      </c>
      <c r="K296" s="26">
        <f>IF(Z296="","",Z296)</f>
        <v/>
      </c>
      <c r="L296" s="27">
        <f>W296</f>
        <v/>
      </c>
      <c r="M296" s="28">
        <f>AA296</f>
        <v/>
      </c>
      <c r="N296" s="23">
        <f>IF(AND(B296="",C296="",D296="",N(H296)=0),"",IF(B296="","Enter the date",IF(C296="","Pick the party",IF(P296="?","Add this party on the Parties sheet first",IF(D296="","Pick the entry type",IF(Q296="?","Pick the entry type from the list",IF(N(H296)=0,"Enter the amount",IF(AND(R296&lt;&gt;"Any",R296&lt;&gt;P296),"Sales, receipts and credit notes are for debtors; purchases, payments and debit notes for creditors",IF(AND(F296&lt;&gt;"",D296&lt;&gt;"Purchase bill"),"The received-on date is only for purchase bills",IF(AND(P296="Creditor",X296=1,AA296&gt;0),"Past due to a micro or small supplier: interest runs under MSMED s.16, and if unpaid at year end it is not deductible that year, s.37(2)(g)",IF(AND(P296="Debtor",X296=1,AA296&gt;0),"Past due to you: as a micro or small supplier you can claim interest under MSMED s.16","OK")))))))))))</f>
        <v/>
      </c>
      <c r="P296">
        <f>IF(C296="","",IFERROR(VLOOKUP(C296,'Example Parties'!$B$13:$Q$112,2,FALSE),"?"))</f>
        <v/>
      </c>
      <c r="Q296">
        <f>IF(D296="","",IFERROR(VLOOKUP(D296,Lists!$A$2:$D$9,3,FALSE),"?"))</f>
        <v/>
      </c>
      <c r="R296">
        <f>IF(D296="","",IFERROR(VLOOKUP(D296,Lists!$A$2:$D$9,4,FALSE),"?"))</f>
        <v/>
      </c>
      <c r="S296">
        <f>IF(P296="Debtor",I296,IF(P296="Creditor",J296,0))</f>
        <v/>
      </c>
      <c r="T296">
        <f>IF(P296="Debtor",J296,IF(P296="Creditor",I296,0))</f>
        <v/>
      </c>
      <c r="U296">
        <f>IF(OR(S296=0,B296=""),0,IFERROR(VLOOKUP(C296,'Example Parties'!$B$13:$Q$112,13,FALSE),0)+SUMIFS($S$7:$S$506,$C$7:$C$506,C296,$B$7:$B$506,"&lt;"&amp;B296)+SUMIFS(S$7:S296,C$7:C296,C296,B$7:B296,B296))</f>
        <v/>
      </c>
      <c r="V296">
        <f>IF(S296=0,0,IFERROR(VLOOKUP(C296,'Example Parties'!$B$13:$Q$112,14,FALSE),0)+SUMIFS($T$7:$T$506,$C$7:$C$506,C296,$B$7:$B$506,"&lt;="&amp;'Example Outstanding'!$E$5))</f>
        <v/>
      </c>
      <c r="W296">
        <f>IF(OR('Example Outstanding'!$E$5="",S296=0,B296="",B296&gt;'Example Outstanding'!$E$5),0,MAX(0,MIN(S296,U296-V296)))</f>
        <v/>
      </c>
      <c r="X296">
        <f>IF(C296="",0,IFERROR(VLOOKUP(C296,'Example Parties'!$B$13:$Q$112,15,FALSE),0))</f>
        <v/>
      </c>
      <c r="Y296">
        <f>IF(C296="","",IFERROR(VLOOKUP(C296,'Example Parties'!$B$13:$Q$112,16,FALSE),0))</f>
        <v/>
      </c>
      <c r="Z296">
        <f>IF(OR(S296=0,B296="",Y296=""),"",IF(AND(F296&lt;&gt;"",D296="Purchase bill"),F296,B296)+Y296)</f>
        <v/>
      </c>
      <c r="AA296">
        <f>IF(OR(W296=0,Z296=""),0,MAX(0,'Example Outstanding'!$E$5-Z296))</f>
        <v/>
      </c>
      <c r="AB296">
        <f>IF(AND(X296=1,AA296&gt;0),W296*((1+3*N('Example Parties'!$E$10)/12)^(AA296*12/365)-1),0)</f>
        <v/>
      </c>
      <c r="AC296">
        <f>IF(W296=0,"",'Example Outstanding'!$E$5-B296)</f>
        <v/>
      </c>
      <c r="AD296">
        <f>IF(S296=0,0,IFERROR(VLOOKUP(C296,'Example Parties'!$B$13:$Q$112,14,FALSE),0)+SUMIFS($T$7:$T$506,$C$7:$C$506,C296,$B$7:$B$506,"&lt;="&amp;'Example Parties'!$E$8))</f>
        <v/>
      </c>
      <c r="AE296">
        <f>IF(OR('Example Parties'!$E$8="",S296=0,B296="",B296&gt;'Example Parties'!$E$8),0,MAX(0,MIN(S296,U296-AD296)))</f>
        <v/>
      </c>
      <c r="AF296">
        <f>IF(AND(P296="Creditor",X296=1,AE296&gt;0,Z296&lt;&gt;""),IF(Z296&lt;='Example Parties'!$E$8,AE296,0),0)</f>
        <v/>
      </c>
      <c r="AG296">
        <f>IF(OR(AE296=0,Z296=""),0,MAX(0,'Example Parties'!$E$8-Z296))</f>
        <v/>
      </c>
      <c r="AH296">
        <f>IF(AND(P296="Creditor",X296=1,AG296&gt;0),AE296*((1+3*N('Example Parties'!$E$10)/12)^(AG296*12/365)-1),0)</f>
        <v/>
      </c>
      <c r="AI296">
        <f>IF(AND(C296&lt;&gt;"",C296='Example Ledger'!$D$4,B296&lt;&gt;"",B296&gt;='Example Ledger'!$D$5,B296&lt;='Example Ledger'!$D$6),1,0)</f>
        <v/>
      </c>
      <c r="AJ296">
        <f>IF(AI296=1,SUM(AI$7:AI296),"")</f>
        <v/>
      </c>
      <c r="AK296">
        <f>IF(OR(N296="",N296="OK"),0,1)</f>
        <v/>
      </c>
    </row>
    <row r="297">
      <c r="B297" s="24" t="n"/>
      <c r="C297" s="14" t="n"/>
      <c r="D297" s="14" t="n"/>
      <c r="E297" s="20" t="n"/>
      <c r="F297" s="24" t="n"/>
      <c r="G297" s="14" t="n"/>
      <c r="H297" s="22" t="n"/>
      <c r="I297" s="25">
        <f>IF(Q297="D",N(H297),0)</f>
        <v/>
      </c>
      <c r="J297" s="25">
        <f>IF(Q297="C",N(H297),0)</f>
        <v/>
      </c>
      <c r="K297" s="26">
        <f>IF(Z297="","",Z297)</f>
        <v/>
      </c>
      <c r="L297" s="27">
        <f>W297</f>
        <v/>
      </c>
      <c r="M297" s="28">
        <f>AA297</f>
        <v/>
      </c>
      <c r="N297" s="23">
        <f>IF(AND(B297="",C297="",D297="",N(H297)=0),"",IF(B297="","Enter the date",IF(C297="","Pick the party",IF(P297="?","Add this party on the Parties sheet first",IF(D297="","Pick the entry type",IF(Q297="?","Pick the entry type from the list",IF(N(H297)=0,"Enter the amount",IF(AND(R297&lt;&gt;"Any",R297&lt;&gt;P297),"Sales, receipts and credit notes are for debtors; purchases, payments and debit notes for creditors",IF(AND(F297&lt;&gt;"",D297&lt;&gt;"Purchase bill"),"The received-on date is only for purchase bills",IF(AND(P297="Creditor",X297=1,AA297&gt;0),"Past due to a micro or small supplier: interest runs under MSMED s.16, and if unpaid at year end it is not deductible that year, s.37(2)(g)",IF(AND(P297="Debtor",X297=1,AA297&gt;0),"Past due to you: as a micro or small supplier you can claim interest under MSMED s.16","OK")))))))))))</f>
        <v/>
      </c>
      <c r="P297">
        <f>IF(C297="","",IFERROR(VLOOKUP(C297,'Example Parties'!$B$13:$Q$112,2,FALSE),"?"))</f>
        <v/>
      </c>
      <c r="Q297">
        <f>IF(D297="","",IFERROR(VLOOKUP(D297,Lists!$A$2:$D$9,3,FALSE),"?"))</f>
        <v/>
      </c>
      <c r="R297">
        <f>IF(D297="","",IFERROR(VLOOKUP(D297,Lists!$A$2:$D$9,4,FALSE),"?"))</f>
        <v/>
      </c>
      <c r="S297">
        <f>IF(P297="Debtor",I297,IF(P297="Creditor",J297,0))</f>
        <v/>
      </c>
      <c r="T297">
        <f>IF(P297="Debtor",J297,IF(P297="Creditor",I297,0))</f>
        <v/>
      </c>
      <c r="U297">
        <f>IF(OR(S297=0,B297=""),0,IFERROR(VLOOKUP(C297,'Example Parties'!$B$13:$Q$112,13,FALSE),0)+SUMIFS($S$7:$S$506,$C$7:$C$506,C297,$B$7:$B$506,"&lt;"&amp;B297)+SUMIFS(S$7:S297,C$7:C297,C297,B$7:B297,B297))</f>
        <v/>
      </c>
      <c r="V297">
        <f>IF(S297=0,0,IFERROR(VLOOKUP(C297,'Example Parties'!$B$13:$Q$112,14,FALSE),0)+SUMIFS($T$7:$T$506,$C$7:$C$506,C297,$B$7:$B$506,"&lt;="&amp;'Example Outstanding'!$E$5))</f>
        <v/>
      </c>
      <c r="W297">
        <f>IF(OR('Example Outstanding'!$E$5="",S297=0,B297="",B297&gt;'Example Outstanding'!$E$5),0,MAX(0,MIN(S297,U297-V297)))</f>
        <v/>
      </c>
      <c r="X297">
        <f>IF(C297="",0,IFERROR(VLOOKUP(C297,'Example Parties'!$B$13:$Q$112,15,FALSE),0))</f>
        <v/>
      </c>
      <c r="Y297">
        <f>IF(C297="","",IFERROR(VLOOKUP(C297,'Example Parties'!$B$13:$Q$112,16,FALSE),0))</f>
        <v/>
      </c>
      <c r="Z297">
        <f>IF(OR(S297=0,B297="",Y297=""),"",IF(AND(F297&lt;&gt;"",D297="Purchase bill"),F297,B297)+Y297)</f>
        <v/>
      </c>
      <c r="AA297">
        <f>IF(OR(W297=0,Z297=""),0,MAX(0,'Example Outstanding'!$E$5-Z297))</f>
        <v/>
      </c>
      <c r="AB297">
        <f>IF(AND(X297=1,AA297&gt;0),W297*((1+3*N('Example Parties'!$E$10)/12)^(AA297*12/365)-1),0)</f>
        <v/>
      </c>
      <c r="AC297">
        <f>IF(W297=0,"",'Example Outstanding'!$E$5-B297)</f>
        <v/>
      </c>
      <c r="AD297">
        <f>IF(S297=0,0,IFERROR(VLOOKUP(C297,'Example Parties'!$B$13:$Q$112,14,FALSE),0)+SUMIFS($T$7:$T$506,$C$7:$C$506,C297,$B$7:$B$506,"&lt;="&amp;'Example Parties'!$E$8))</f>
        <v/>
      </c>
      <c r="AE297">
        <f>IF(OR('Example Parties'!$E$8="",S297=0,B297="",B297&gt;'Example Parties'!$E$8),0,MAX(0,MIN(S297,U297-AD297)))</f>
        <v/>
      </c>
      <c r="AF297">
        <f>IF(AND(P297="Creditor",X297=1,AE297&gt;0,Z297&lt;&gt;""),IF(Z297&lt;='Example Parties'!$E$8,AE297,0),0)</f>
        <v/>
      </c>
      <c r="AG297">
        <f>IF(OR(AE297=0,Z297=""),0,MAX(0,'Example Parties'!$E$8-Z297))</f>
        <v/>
      </c>
      <c r="AH297">
        <f>IF(AND(P297="Creditor",X297=1,AG297&gt;0),AE297*((1+3*N('Example Parties'!$E$10)/12)^(AG297*12/365)-1),0)</f>
        <v/>
      </c>
      <c r="AI297">
        <f>IF(AND(C297&lt;&gt;"",C297='Example Ledger'!$D$4,B297&lt;&gt;"",B297&gt;='Example Ledger'!$D$5,B297&lt;='Example Ledger'!$D$6),1,0)</f>
        <v/>
      </c>
      <c r="AJ297">
        <f>IF(AI297=1,SUM(AI$7:AI297),"")</f>
        <v/>
      </c>
      <c r="AK297">
        <f>IF(OR(N297="",N297="OK"),0,1)</f>
        <v/>
      </c>
    </row>
    <row r="298">
      <c r="B298" s="24" t="n"/>
      <c r="C298" s="14" t="n"/>
      <c r="D298" s="14" t="n"/>
      <c r="E298" s="20" t="n"/>
      <c r="F298" s="24" t="n"/>
      <c r="G298" s="14" t="n"/>
      <c r="H298" s="22" t="n"/>
      <c r="I298" s="25">
        <f>IF(Q298="D",N(H298),0)</f>
        <v/>
      </c>
      <c r="J298" s="25">
        <f>IF(Q298="C",N(H298),0)</f>
        <v/>
      </c>
      <c r="K298" s="26">
        <f>IF(Z298="","",Z298)</f>
        <v/>
      </c>
      <c r="L298" s="27">
        <f>W298</f>
        <v/>
      </c>
      <c r="M298" s="28">
        <f>AA298</f>
        <v/>
      </c>
      <c r="N298" s="23">
        <f>IF(AND(B298="",C298="",D298="",N(H298)=0),"",IF(B298="","Enter the date",IF(C298="","Pick the party",IF(P298="?","Add this party on the Parties sheet first",IF(D298="","Pick the entry type",IF(Q298="?","Pick the entry type from the list",IF(N(H298)=0,"Enter the amount",IF(AND(R298&lt;&gt;"Any",R298&lt;&gt;P298),"Sales, receipts and credit notes are for debtors; purchases, payments and debit notes for creditors",IF(AND(F298&lt;&gt;"",D298&lt;&gt;"Purchase bill"),"The received-on date is only for purchase bills",IF(AND(P298="Creditor",X298=1,AA298&gt;0),"Past due to a micro or small supplier: interest runs under MSMED s.16, and if unpaid at year end it is not deductible that year, s.37(2)(g)",IF(AND(P298="Debtor",X298=1,AA298&gt;0),"Past due to you: as a micro or small supplier you can claim interest under MSMED s.16","OK")))))))))))</f>
        <v/>
      </c>
      <c r="P298">
        <f>IF(C298="","",IFERROR(VLOOKUP(C298,'Example Parties'!$B$13:$Q$112,2,FALSE),"?"))</f>
        <v/>
      </c>
      <c r="Q298">
        <f>IF(D298="","",IFERROR(VLOOKUP(D298,Lists!$A$2:$D$9,3,FALSE),"?"))</f>
        <v/>
      </c>
      <c r="R298">
        <f>IF(D298="","",IFERROR(VLOOKUP(D298,Lists!$A$2:$D$9,4,FALSE),"?"))</f>
        <v/>
      </c>
      <c r="S298">
        <f>IF(P298="Debtor",I298,IF(P298="Creditor",J298,0))</f>
        <v/>
      </c>
      <c r="T298">
        <f>IF(P298="Debtor",J298,IF(P298="Creditor",I298,0))</f>
        <v/>
      </c>
      <c r="U298">
        <f>IF(OR(S298=0,B298=""),0,IFERROR(VLOOKUP(C298,'Example Parties'!$B$13:$Q$112,13,FALSE),0)+SUMIFS($S$7:$S$506,$C$7:$C$506,C298,$B$7:$B$506,"&lt;"&amp;B298)+SUMIFS(S$7:S298,C$7:C298,C298,B$7:B298,B298))</f>
        <v/>
      </c>
      <c r="V298">
        <f>IF(S298=0,0,IFERROR(VLOOKUP(C298,'Example Parties'!$B$13:$Q$112,14,FALSE),0)+SUMIFS($T$7:$T$506,$C$7:$C$506,C298,$B$7:$B$506,"&lt;="&amp;'Example Outstanding'!$E$5))</f>
        <v/>
      </c>
      <c r="W298">
        <f>IF(OR('Example Outstanding'!$E$5="",S298=0,B298="",B298&gt;'Example Outstanding'!$E$5),0,MAX(0,MIN(S298,U298-V298)))</f>
        <v/>
      </c>
      <c r="X298">
        <f>IF(C298="",0,IFERROR(VLOOKUP(C298,'Example Parties'!$B$13:$Q$112,15,FALSE),0))</f>
        <v/>
      </c>
      <c r="Y298">
        <f>IF(C298="","",IFERROR(VLOOKUP(C298,'Example Parties'!$B$13:$Q$112,16,FALSE),0))</f>
        <v/>
      </c>
      <c r="Z298">
        <f>IF(OR(S298=0,B298="",Y298=""),"",IF(AND(F298&lt;&gt;"",D298="Purchase bill"),F298,B298)+Y298)</f>
        <v/>
      </c>
      <c r="AA298">
        <f>IF(OR(W298=0,Z298=""),0,MAX(0,'Example Outstanding'!$E$5-Z298))</f>
        <v/>
      </c>
      <c r="AB298">
        <f>IF(AND(X298=1,AA298&gt;0),W298*((1+3*N('Example Parties'!$E$10)/12)^(AA298*12/365)-1),0)</f>
        <v/>
      </c>
      <c r="AC298">
        <f>IF(W298=0,"",'Example Outstanding'!$E$5-B298)</f>
        <v/>
      </c>
      <c r="AD298">
        <f>IF(S298=0,0,IFERROR(VLOOKUP(C298,'Example Parties'!$B$13:$Q$112,14,FALSE),0)+SUMIFS($T$7:$T$506,$C$7:$C$506,C298,$B$7:$B$506,"&lt;="&amp;'Example Parties'!$E$8))</f>
        <v/>
      </c>
      <c r="AE298">
        <f>IF(OR('Example Parties'!$E$8="",S298=0,B298="",B298&gt;'Example Parties'!$E$8),0,MAX(0,MIN(S298,U298-AD298)))</f>
        <v/>
      </c>
      <c r="AF298">
        <f>IF(AND(P298="Creditor",X298=1,AE298&gt;0,Z298&lt;&gt;""),IF(Z298&lt;='Example Parties'!$E$8,AE298,0),0)</f>
        <v/>
      </c>
      <c r="AG298">
        <f>IF(OR(AE298=0,Z298=""),0,MAX(0,'Example Parties'!$E$8-Z298))</f>
        <v/>
      </c>
      <c r="AH298">
        <f>IF(AND(P298="Creditor",X298=1,AG298&gt;0),AE298*((1+3*N('Example Parties'!$E$10)/12)^(AG298*12/365)-1),0)</f>
        <v/>
      </c>
      <c r="AI298">
        <f>IF(AND(C298&lt;&gt;"",C298='Example Ledger'!$D$4,B298&lt;&gt;"",B298&gt;='Example Ledger'!$D$5,B298&lt;='Example Ledger'!$D$6),1,0)</f>
        <v/>
      </c>
      <c r="AJ298">
        <f>IF(AI298=1,SUM(AI$7:AI298),"")</f>
        <v/>
      </c>
      <c r="AK298">
        <f>IF(OR(N298="",N298="OK"),0,1)</f>
        <v/>
      </c>
    </row>
    <row r="299">
      <c r="B299" s="24" t="n"/>
      <c r="C299" s="14" t="n"/>
      <c r="D299" s="14" t="n"/>
      <c r="E299" s="20" t="n"/>
      <c r="F299" s="24" t="n"/>
      <c r="G299" s="14" t="n"/>
      <c r="H299" s="22" t="n"/>
      <c r="I299" s="25">
        <f>IF(Q299="D",N(H299),0)</f>
        <v/>
      </c>
      <c r="J299" s="25">
        <f>IF(Q299="C",N(H299),0)</f>
        <v/>
      </c>
      <c r="K299" s="26">
        <f>IF(Z299="","",Z299)</f>
        <v/>
      </c>
      <c r="L299" s="27">
        <f>W299</f>
        <v/>
      </c>
      <c r="M299" s="28">
        <f>AA299</f>
        <v/>
      </c>
      <c r="N299" s="23">
        <f>IF(AND(B299="",C299="",D299="",N(H299)=0),"",IF(B299="","Enter the date",IF(C299="","Pick the party",IF(P299="?","Add this party on the Parties sheet first",IF(D299="","Pick the entry type",IF(Q299="?","Pick the entry type from the list",IF(N(H299)=0,"Enter the amount",IF(AND(R299&lt;&gt;"Any",R299&lt;&gt;P299),"Sales, receipts and credit notes are for debtors; purchases, payments and debit notes for creditors",IF(AND(F299&lt;&gt;"",D299&lt;&gt;"Purchase bill"),"The received-on date is only for purchase bills",IF(AND(P299="Creditor",X299=1,AA299&gt;0),"Past due to a micro or small supplier: interest runs under MSMED s.16, and if unpaid at year end it is not deductible that year, s.37(2)(g)",IF(AND(P299="Debtor",X299=1,AA299&gt;0),"Past due to you: as a micro or small supplier you can claim interest under MSMED s.16","OK")))))))))))</f>
        <v/>
      </c>
      <c r="P299">
        <f>IF(C299="","",IFERROR(VLOOKUP(C299,'Example Parties'!$B$13:$Q$112,2,FALSE),"?"))</f>
        <v/>
      </c>
      <c r="Q299">
        <f>IF(D299="","",IFERROR(VLOOKUP(D299,Lists!$A$2:$D$9,3,FALSE),"?"))</f>
        <v/>
      </c>
      <c r="R299">
        <f>IF(D299="","",IFERROR(VLOOKUP(D299,Lists!$A$2:$D$9,4,FALSE),"?"))</f>
        <v/>
      </c>
      <c r="S299">
        <f>IF(P299="Debtor",I299,IF(P299="Creditor",J299,0))</f>
        <v/>
      </c>
      <c r="T299">
        <f>IF(P299="Debtor",J299,IF(P299="Creditor",I299,0))</f>
        <v/>
      </c>
      <c r="U299">
        <f>IF(OR(S299=0,B299=""),0,IFERROR(VLOOKUP(C299,'Example Parties'!$B$13:$Q$112,13,FALSE),0)+SUMIFS($S$7:$S$506,$C$7:$C$506,C299,$B$7:$B$506,"&lt;"&amp;B299)+SUMIFS(S$7:S299,C$7:C299,C299,B$7:B299,B299))</f>
        <v/>
      </c>
      <c r="V299">
        <f>IF(S299=0,0,IFERROR(VLOOKUP(C299,'Example Parties'!$B$13:$Q$112,14,FALSE),0)+SUMIFS($T$7:$T$506,$C$7:$C$506,C299,$B$7:$B$506,"&lt;="&amp;'Example Outstanding'!$E$5))</f>
        <v/>
      </c>
      <c r="W299">
        <f>IF(OR('Example Outstanding'!$E$5="",S299=0,B299="",B299&gt;'Example Outstanding'!$E$5),0,MAX(0,MIN(S299,U299-V299)))</f>
        <v/>
      </c>
      <c r="X299">
        <f>IF(C299="",0,IFERROR(VLOOKUP(C299,'Example Parties'!$B$13:$Q$112,15,FALSE),0))</f>
        <v/>
      </c>
      <c r="Y299">
        <f>IF(C299="","",IFERROR(VLOOKUP(C299,'Example Parties'!$B$13:$Q$112,16,FALSE),0))</f>
        <v/>
      </c>
      <c r="Z299">
        <f>IF(OR(S299=0,B299="",Y299=""),"",IF(AND(F299&lt;&gt;"",D299="Purchase bill"),F299,B299)+Y299)</f>
        <v/>
      </c>
      <c r="AA299">
        <f>IF(OR(W299=0,Z299=""),0,MAX(0,'Example Outstanding'!$E$5-Z299))</f>
        <v/>
      </c>
      <c r="AB299">
        <f>IF(AND(X299=1,AA299&gt;0),W299*((1+3*N('Example Parties'!$E$10)/12)^(AA299*12/365)-1),0)</f>
        <v/>
      </c>
      <c r="AC299">
        <f>IF(W299=0,"",'Example Outstanding'!$E$5-B299)</f>
        <v/>
      </c>
      <c r="AD299">
        <f>IF(S299=0,0,IFERROR(VLOOKUP(C299,'Example Parties'!$B$13:$Q$112,14,FALSE),0)+SUMIFS($T$7:$T$506,$C$7:$C$506,C299,$B$7:$B$506,"&lt;="&amp;'Example Parties'!$E$8))</f>
        <v/>
      </c>
      <c r="AE299">
        <f>IF(OR('Example Parties'!$E$8="",S299=0,B299="",B299&gt;'Example Parties'!$E$8),0,MAX(0,MIN(S299,U299-AD299)))</f>
        <v/>
      </c>
      <c r="AF299">
        <f>IF(AND(P299="Creditor",X299=1,AE299&gt;0,Z299&lt;&gt;""),IF(Z299&lt;='Example Parties'!$E$8,AE299,0),0)</f>
        <v/>
      </c>
      <c r="AG299">
        <f>IF(OR(AE299=0,Z299=""),0,MAX(0,'Example Parties'!$E$8-Z299))</f>
        <v/>
      </c>
      <c r="AH299">
        <f>IF(AND(P299="Creditor",X299=1,AG299&gt;0),AE299*((1+3*N('Example Parties'!$E$10)/12)^(AG299*12/365)-1),0)</f>
        <v/>
      </c>
      <c r="AI299">
        <f>IF(AND(C299&lt;&gt;"",C299='Example Ledger'!$D$4,B299&lt;&gt;"",B299&gt;='Example Ledger'!$D$5,B299&lt;='Example Ledger'!$D$6),1,0)</f>
        <v/>
      </c>
      <c r="AJ299">
        <f>IF(AI299=1,SUM(AI$7:AI299),"")</f>
        <v/>
      </c>
      <c r="AK299">
        <f>IF(OR(N299="",N299="OK"),0,1)</f>
        <v/>
      </c>
    </row>
    <row r="300">
      <c r="B300" s="24" t="n"/>
      <c r="C300" s="14" t="n"/>
      <c r="D300" s="14" t="n"/>
      <c r="E300" s="20" t="n"/>
      <c r="F300" s="24" t="n"/>
      <c r="G300" s="14" t="n"/>
      <c r="H300" s="22" t="n"/>
      <c r="I300" s="25">
        <f>IF(Q300="D",N(H300),0)</f>
        <v/>
      </c>
      <c r="J300" s="25">
        <f>IF(Q300="C",N(H300),0)</f>
        <v/>
      </c>
      <c r="K300" s="26">
        <f>IF(Z300="","",Z300)</f>
        <v/>
      </c>
      <c r="L300" s="27">
        <f>W300</f>
        <v/>
      </c>
      <c r="M300" s="28">
        <f>AA300</f>
        <v/>
      </c>
      <c r="N300" s="23">
        <f>IF(AND(B300="",C300="",D300="",N(H300)=0),"",IF(B300="","Enter the date",IF(C300="","Pick the party",IF(P300="?","Add this party on the Parties sheet first",IF(D300="","Pick the entry type",IF(Q300="?","Pick the entry type from the list",IF(N(H300)=0,"Enter the amount",IF(AND(R300&lt;&gt;"Any",R300&lt;&gt;P300),"Sales, receipts and credit notes are for debtors; purchases, payments and debit notes for creditors",IF(AND(F300&lt;&gt;"",D300&lt;&gt;"Purchase bill"),"The received-on date is only for purchase bills",IF(AND(P300="Creditor",X300=1,AA300&gt;0),"Past due to a micro or small supplier: interest runs under MSMED s.16, and if unpaid at year end it is not deductible that year, s.37(2)(g)",IF(AND(P300="Debtor",X300=1,AA300&gt;0),"Past due to you: as a micro or small supplier you can claim interest under MSMED s.16","OK")))))))))))</f>
        <v/>
      </c>
      <c r="P300">
        <f>IF(C300="","",IFERROR(VLOOKUP(C300,'Example Parties'!$B$13:$Q$112,2,FALSE),"?"))</f>
        <v/>
      </c>
      <c r="Q300">
        <f>IF(D300="","",IFERROR(VLOOKUP(D300,Lists!$A$2:$D$9,3,FALSE),"?"))</f>
        <v/>
      </c>
      <c r="R300">
        <f>IF(D300="","",IFERROR(VLOOKUP(D300,Lists!$A$2:$D$9,4,FALSE),"?"))</f>
        <v/>
      </c>
      <c r="S300">
        <f>IF(P300="Debtor",I300,IF(P300="Creditor",J300,0))</f>
        <v/>
      </c>
      <c r="T300">
        <f>IF(P300="Debtor",J300,IF(P300="Creditor",I300,0))</f>
        <v/>
      </c>
      <c r="U300">
        <f>IF(OR(S300=0,B300=""),0,IFERROR(VLOOKUP(C300,'Example Parties'!$B$13:$Q$112,13,FALSE),0)+SUMIFS($S$7:$S$506,$C$7:$C$506,C300,$B$7:$B$506,"&lt;"&amp;B300)+SUMIFS(S$7:S300,C$7:C300,C300,B$7:B300,B300))</f>
        <v/>
      </c>
      <c r="V300">
        <f>IF(S300=0,0,IFERROR(VLOOKUP(C300,'Example Parties'!$B$13:$Q$112,14,FALSE),0)+SUMIFS($T$7:$T$506,$C$7:$C$506,C300,$B$7:$B$506,"&lt;="&amp;'Example Outstanding'!$E$5))</f>
        <v/>
      </c>
      <c r="W300">
        <f>IF(OR('Example Outstanding'!$E$5="",S300=0,B300="",B300&gt;'Example Outstanding'!$E$5),0,MAX(0,MIN(S300,U300-V300)))</f>
        <v/>
      </c>
      <c r="X300">
        <f>IF(C300="",0,IFERROR(VLOOKUP(C300,'Example Parties'!$B$13:$Q$112,15,FALSE),0))</f>
        <v/>
      </c>
      <c r="Y300">
        <f>IF(C300="","",IFERROR(VLOOKUP(C300,'Example Parties'!$B$13:$Q$112,16,FALSE),0))</f>
        <v/>
      </c>
      <c r="Z300">
        <f>IF(OR(S300=0,B300="",Y300=""),"",IF(AND(F300&lt;&gt;"",D300="Purchase bill"),F300,B300)+Y300)</f>
        <v/>
      </c>
      <c r="AA300">
        <f>IF(OR(W300=0,Z300=""),0,MAX(0,'Example Outstanding'!$E$5-Z300))</f>
        <v/>
      </c>
      <c r="AB300">
        <f>IF(AND(X300=1,AA300&gt;0),W300*((1+3*N('Example Parties'!$E$10)/12)^(AA300*12/365)-1),0)</f>
        <v/>
      </c>
      <c r="AC300">
        <f>IF(W300=0,"",'Example Outstanding'!$E$5-B300)</f>
        <v/>
      </c>
      <c r="AD300">
        <f>IF(S300=0,0,IFERROR(VLOOKUP(C300,'Example Parties'!$B$13:$Q$112,14,FALSE),0)+SUMIFS($T$7:$T$506,$C$7:$C$506,C300,$B$7:$B$506,"&lt;="&amp;'Example Parties'!$E$8))</f>
        <v/>
      </c>
      <c r="AE300">
        <f>IF(OR('Example Parties'!$E$8="",S300=0,B300="",B300&gt;'Example Parties'!$E$8),0,MAX(0,MIN(S300,U300-AD300)))</f>
        <v/>
      </c>
      <c r="AF300">
        <f>IF(AND(P300="Creditor",X300=1,AE300&gt;0,Z300&lt;&gt;""),IF(Z300&lt;='Example Parties'!$E$8,AE300,0),0)</f>
        <v/>
      </c>
      <c r="AG300">
        <f>IF(OR(AE300=0,Z300=""),0,MAX(0,'Example Parties'!$E$8-Z300))</f>
        <v/>
      </c>
      <c r="AH300">
        <f>IF(AND(P300="Creditor",X300=1,AG300&gt;0),AE300*((1+3*N('Example Parties'!$E$10)/12)^(AG300*12/365)-1),0)</f>
        <v/>
      </c>
      <c r="AI300">
        <f>IF(AND(C300&lt;&gt;"",C300='Example Ledger'!$D$4,B300&lt;&gt;"",B300&gt;='Example Ledger'!$D$5,B300&lt;='Example Ledger'!$D$6),1,0)</f>
        <v/>
      </c>
      <c r="AJ300">
        <f>IF(AI300=1,SUM(AI$7:AI300),"")</f>
        <v/>
      </c>
      <c r="AK300">
        <f>IF(OR(N300="",N300="OK"),0,1)</f>
        <v/>
      </c>
    </row>
    <row r="301">
      <c r="B301" s="24" t="n"/>
      <c r="C301" s="14" t="n"/>
      <c r="D301" s="14" t="n"/>
      <c r="E301" s="20" t="n"/>
      <c r="F301" s="24" t="n"/>
      <c r="G301" s="14" t="n"/>
      <c r="H301" s="22" t="n"/>
      <c r="I301" s="25">
        <f>IF(Q301="D",N(H301),0)</f>
        <v/>
      </c>
      <c r="J301" s="25">
        <f>IF(Q301="C",N(H301),0)</f>
        <v/>
      </c>
      <c r="K301" s="26">
        <f>IF(Z301="","",Z301)</f>
        <v/>
      </c>
      <c r="L301" s="27">
        <f>W301</f>
        <v/>
      </c>
      <c r="M301" s="28">
        <f>AA301</f>
        <v/>
      </c>
      <c r="N301" s="23">
        <f>IF(AND(B301="",C301="",D301="",N(H301)=0),"",IF(B301="","Enter the date",IF(C301="","Pick the party",IF(P301="?","Add this party on the Parties sheet first",IF(D301="","Pick the entry type",IF(Q301="?","Pick the entry type from the list",IF(N(H301)=0,"Enter the amount",IF(AND(R301&lt;&gt;"Any",R301&lt;&gt;P301),"Sales, receipts and credit notes are for debtors; purchases, payments and debit notes for creditors",IF(AND(F301&lt;&gt;"",D301&lt;&gt;"Purchase bill"),"The received-on date is only for purchase bills",IF(AND(P301="Creditor",X301=1,AA301&gt;0),"Past due to a micro or small supplier: interest runs under MSMED s.16, and if unpaid at year end it is not deductible that year, s.37(2)(g)",IF(AND(P301="Debtor",X301=1,AA301&gt;0),"Past due to you: as a micro or small supplier you can claim interest under MSMED s.16","OK")))))))))))</f>
        <v/>
      </c>
      <c r="P301">
        <f>IF(C301="","",IFERROR(VLOOKUP(C301,'Example Parties'!$B$13:$Q$112,2,FALSE),"?"))</f>
        <v/>
      </c>
      <c r="Q301">
        <f>IF(D301="","",IFERROR(VLOOKUP(D301,Lists!$A$2:$D$9,3,FALSE),"?"))</f>
        <v/>
      </c>
      <c r="R301">
        <f>IF(D301="","",IFERROR(VLOOKUP(D301,Lists!$A$2:$D$9,4,FALSE),"?"))</f>
        <v/>
      </c>
      <c r="S301">
        <f>IF(P301="Debtor",I301,IF(P301="Creditor",J301,0))</f>
        <v/>
      </c>
      <c r="T301">
        <f>IF(P301="Debtor",J301,IF(P301="Creditor",I301,0))</f>
        <v/>
      </c>
      <c r="U301">
        <f>IF(OR(S301=0,B301=""),0,IFERROR(VLOOKUP(C301,'Example Parties'!$B$13:$Q$112,13,FALSE),0)+SUMIFS($S$7:$S$506,$C$7:$C$506,C301,$B$7:$B$506,"&lt;"&amp;B301)+SUMIFS(S$7:S301,C$7:C301,C301,B$7:B301,B301))</f>
        <v/>
      </c>
      <c r="V301">
        <f>IF(S301=0,0,IFERROR(VLOOKUP(C301,'Example Parties'!$B$13:$Q$112,14,FALSE),0)+SUMIFS($T$7:$T$506,$C$7:$C$506,C301,$B$7:$B$506,"&lt;="&amp;'Example Outstanding'!$E$5))</f>
        <v/>
      </c>
      <c r="W301">
        <f>IF(OR('Example Outstanding'!$E$5="",S301=0,B301="",B301&gt;'Example Outstanding'!$E$5),0,MAX(0,MIN(S301,U301-V301)))</f>
        <v/>
      </c>
      <c r="X301">
        <f>IF(C301="",0,IFERROR(VLOOKUP(C301,'Example Parties'!$B$13:$Q$112,15,FALSE),0))</f>
        <v/>
      </c>
      <c r="Y301">
        <f>IF(C301="","",IFERROR(VLOOKUP(C301,'Example Parties'!$B$13:$Q$112,16,FALSE),0))</f>
        <v/>
      </c>
      <c r="Z301">
        <f>IF(OR(S301=0,B301="",Y301=""),"",IF(AND(F301&lt;&gt;"",D301="Purchase bill"),F301,B301)+Y301)</f>
        <v/>
      </c>
      <c r="AA301">
        <f>IF(OR(W301=0,Z301=""),0,MAX(0,'Example Outstanding'!$E$5-Z301))</f>
        <v/>
      </c>
      <c r="AB301">
        <f>IF(AND(X301=1,AA301&gt;0),W301*((1+3*N('Example Parties'!$E$10)/12)^(AA301*12/365)-1),0)</f>
        <v/>
      </c>
      <c r="AC301">
        <f>IF(W301=0,"",'Example Outstanding'!$E$5-B301)</f>
        <v/>
      </c>
      <c r="AD301">
        <f>IF(S301=0,0,IFERROR(VLOOKUP(C301,'Example Parties'!$B$13:$Q$112,14,FALSE),0)+SUMIFS($T$7:$T$506,$C$7:$C$506,C301,$B$7:$B$506,"&lt;="&amp;'Example Parties'!$E$8))</f>
        <v/>
      </c>
      <c r="AE301">
        <f>IF(OR('Example Parties'!$E$8="",S301=0,B301="",B301&gt;'Example Parties'!$E$8),0,MAX(0,MIN(S301,U301-AD301)))</f>
        <v/>
      </c>
      <c r="AF301">
        <f>IF(AND(P301="Creditor",X301=1,AE301&gt;0,Z301&lt;&gt;""),IF(Z301&lt;='Example Parties'!$E$8,AE301,0),0)</f>
        <v/>
      </c>
      <c r="AG301">
        <f>IF(OR(AE301=0,Z301=""),0,MAX(0,'Example Parties'!$E$8-Z301))</f>
        <v/>
      </c>
      <c r="AH301">
        <f>IF(AND(P301="Creditor",X301=1,AG301&gt;0),AE301*((1+3*N('Example Parties'!$E$10)/12)^(AG301*12/365)-1),0)</f>
        <v/>
      </c>
      <c r="AI301">
        <f>IF(AND(C301&lt;&gt;"",C301='Example Ledger'!$D$4,B301&lt;&gt;"",B301&gt;='Example Ledger'!$D$5,B301&lt;='Example Ledger'!$D$6),1,0)</f>
        <v/>
      </c>
      <c r="AJ301">
        <f>IF(AI301=1,SUM(AI$7:AI301),"")</f>
        <v/>
      </c>
      <c r="AK301">
        <f>IF(OR(N301="",N301="OK"),0,1)</f>
        <v/>
      </c>
    </row>
    <row r="302">
      <c r="B302" s="24" t="n"/>
      <c r="C302" s="14" t="n"/>
      <c r="D302" s="14" t="n"/>
      <c r="E302" s="20" t="n"/>
      <c r="F302" s="24" t="n"/>
      <c r="G302" s="14" t="n"/>
      <c r="H302" s="22" t="n"/>
      <c r="I302" s="25">
        <f>IF(Q302="D",N(H302),0)</f>
        <v/>
      </c>
      <c r="J302" s="25">
        <f>IF(Q302="C",N(H302),0)</f>
        <v/>
      </c>
      <c r="K302" s="26">
        <f>IF(Z302="","",Z302)</f>
        <v/>
      </c>
      <c r="L302" s="27">
        <f>W302</f>
        <v/>
      </c>
      <c r="M302" s="28">
        <f>AA302</f>
        <v/>
      </c>
      <c r="N302" s="23">
        <f>IF(AND(B302="",C302="",D302="",N(H302)=0),"",IF(B302="","Enter the date",IF(C302="","Pick the party",IF(P302="?","Add this party on the Parties sheet first",IF(D302="","Pick the entry type",IF(Q302="?","Pick the entry type from the list",IF(N(H302)=0,"Enter the amount",IF(AND(R302&lt;&gt;"Any",R302&lt;&gt;P302),"Sales, receipts and credit notes are for debtors; purchases, payments and debit notes for creditors",IF(AND(F302&lt;&gt;"",D302&lt;&gt;"Purchase bill"),"The received-on date is only for purchase bills",IF(AND(P302="Creditor",X302=1,AA302&gt;0),"Past due to a micro or small supplier: interest runs under MSMED s.16, and if unpaid at year end it is not deductible that year, s.37(2)(g)",IF(AND(P302="Debtor",X302=1,AA302&gt;0),"Past due to you: as a micro or small supplier you can claim interest under MSMED s.16","OK")))))))))))</f>
        <v/>
      </c>
      <c r="P302">
        <f>IF(C302="","",IFERROR(VLOOKUP(C302,'Example Parties'!$B$13:$Q$112,2,FALSE),"?"))</f>
        <v/>
      </c>
      <c r="Q302">
        <f>IF(D302="","",IFERROR(VLOOKUP(D302,Lists!$A$2:$D$9,3,FALSE),"?"))</f>
        <v/>
      </c>
      <c r="R302">
        <f>IF(D302="","",IFERROR(VLOOKUP(D302,Lists!$A$2:$D$9,4,FALSE),"?"))</f>
        <v/>
      </c>
      <c r="S302">
        <f>IF(P302="Debtor",I302,IF(P302="Creditor",J302,0))</f>
        <v/>
      </c>
      <c r="T302">
        <f>IF(P302="Debtor",J302,IF(P302="Creditor",I302,0))</f>
        <v/>
      </c>
      <c r="U302">
        <f>IF(OR(S302=0,B302=""),0,IFERROR(VLOOKUP(C302,'Example Parties'!$B$13:$Q$112,13,FALSE),0)+SUMIFS($S$7:$S$506,$C$7:$C$506,C302,$B$7:$B$506,"&lt;"&amp;B302)+SUMIFS(S$7:S302,C$7:C302,C302,B$7:B302,B302))</f>
        <v/>
      </c>
      <c r="V302">
        <f>IF(S302=0,0,IFERROR(VLOOKUP(C302,'Example Parties'!$B$13:$Q$112,14,FALSE),0)+SUMIFS($T$7:$T$506,$C$7:$C$506,C302,$B$7:$B$506,"&lt;="&amp;'Example Outstanding'!$E$5))</f>
        <v/>
      </c>
      <c r="W302">
        <f>IF(OR('Example Outstanding'!$E$5="",S302=0,B302="",B302&gt;'Example Outstanding'!$E$5),0,MAX(0,MIN(S302,U302-V302)))</f>
        <v/>
      </c>
      <c r="X302">
        <f>IF(C302="",0,IFERROR(VLOOKUP(C302,'Example Parties'!$B$13:$Q$112,15,FALSE),0))</f>
        <v/>
      </c>
      <c r="Y302">
        <f>IF(C302="","",IFERROR(VLOOKUP(C302,'Example Parties'!$B$13:$Q$112,16,FALSE),0))</f>
        <v/>
      </c>
      <c r="Z302">
        <f>IF(OR(S302=0,B302="",Y302=""),"",IF(AND(F302&lt;&gt;"",D302="Purchase bill"),F302,B302)+Y302)</f>
        <v/>
      </c>
      <c r="AA302">
        <f>IF(OR(W302=0,Z302=""),0,MAX(0,'Example Outstanding'!$E$5-Z302))</f>
        <v/>
      </c>
      <c r="AB302">
        <f>IF(AND(X302=1,AA302&gt;0),W302*((1+3*N('Example Parties'!$E$10)/12)^(AA302*12/365)-1),0)</f>
        <v/>
      </c>
      <c r="AC302">
        <f>IF(W302=0,"",'Example Outstanding'!$E$5-B302)</f>
        <v/>
      </c>
      <c r="AD302">
        <f>IF(S302=0,0,IFERROR(VLOOKUP(C302,'Example Parties'!$B$13:$Q$112,14,FALSE),0)+SUMIFS($T$7:$T$506,$C$7:$C$506,C302,$B$7:$B$506,"&lt;="&amp;'Example Parties'!$E$8))</f>
        <v/>
      </c>
      <c r="AE302">
        <f>IF(OR('Example Parties'!$E$8="",S302=0,B302="",B302&gt;'Example Parties'!$E$8),0,MAX(0,MIN(S302,U302-AD302)))</f>
        <v/>
      </c>
      <c r="AF302">
        <f>IF(AND(P302="Creditor",X302=1,AE302&gt;0,Z302&lt;&gt;""),IF(Z302&lt;='Example Parties'!$E$8,AE302,0),0)</f>
        <v/>
      </c>
      <c r="AG302">
        <f>IF(OR(AE302=0,Z302=""),0,MAX(0,'Example Parties'!$E$8-Z302))</f>
        <v/>
      </c>
      <c r="AH302">
        <f>IF(AND(P302="Creditor",X302=1,AG302&gt;0),AE302*((1+3*N('Example Parties'!$E$10)/12)^(AG302*12/365)-1),0)</f>
        <v/>
      </c>
      <c r="AI302">
        <f>IF(AND(C302&lt;&gt;"",C302='Example Ledger'!$D$4,B302&lt;&gt;"",B302&gt;='Example Ledger'!$D$5,B302&lt;='Example Ledger'!$D$6),1,0)</f>
        <v/>
      </c>
      <c r="AJ302">
        <f>IF(AI302=1,SUM(AI$7:AI302),"")</f>
        <v/>
      </c>
      <c r="AK302">
        <f>IF(OR(N302="",N302="OK"),0,1)</f>
        <v/>
      </c>
    </row>
    <row r="303">
      <c r="B303" s="24" t="n"/>
      <c r="C303" s="14" t="n"/>
      <c r="D303" s="14" t="n"/>
      <c r="E303" s="20" t="n"/>
      <c r="F303" s="24" t="n"/>
      <c r="G303" s="14" t="n"/>
      <c r="H303" s="22" t="n"/>
      <c r="I303" s="25">
        <f>IF(Q303="D",N(H303),0)</f>
        <v/>
      </c>
      <c r="J303" s="25">
        <f>IF(Q303="C",N(H303),0)</f>
        <v/>
      </c>
      <c r="K303" s="26">
        <f>IF(Z303="","",Z303)</f>
        <v/>
      </c>
      <c r="L303" s="27">
        <f>W303</f>
        <v/>
      </c>
      <c r="M303" s="28">
        <f>AA303</f>
        <v/>
      </c>
      <c r="N303" s="23">
        <f>IF(AND(B303="",C303="",D303="",N(H303)=0),"",IF(B303="","Enter the date",IF(C303="","Pick the party",IF(P303="?","Add this party on the Parties sheet first",IF(D303="","Pick the entry type",IF(Q303="?","Pick the entry type from the list",IF(N(H303)=0,"Enter the amount",IF(AND(R303&lt;&gt;"Any",R303&lt;&gt;P303),"Sales, receipts and credit notes are for debtors; purchases, payments and debit notes for creditors",IF(AND(F303&lt;&gt;"",D303&lt;&gt;"Purchase bill"),"The received-on date is only for purchase bills",IF(AND(P303="Creditor",X303=1,AA303&gt;0),"Past due to a micro or small supplier: interest runs under MSMED s.16, and if unpaid at year end it is not deductible that year, s.37(2)(g)",IF(AND(P303="Debtor",X303=1,AA303&gt;0),"Past due to you: as a micro or small supplier you can claim interest under MSMED s.16","OK")))))))))))</f>
        <v/>
      </c>
      <c r="P303">
        <f>IF(C303="","",IFERROR(VLOOKUP(C303,'Example Parties'!$B$13:$Q$112,2,FALSE),"?"))</f>
        <v/>
      </c>
      <c r="Q303">
        <f>IF(D303="","",IFERROR(VLOOKUP(D303,Lists!$A$2:$D$9,3,FALSE),"?"))</f>
        <v/>
      </c>
      <c r="R303">
        <f>IF(D303="","",IFERROR(VLOOKUP(D303,Lists!$A$2:$D$9,4,FALSE),"?"))</f>
        <v/>
      </c>
      <c r="S303">
        <f>IF(P303="Debtor",I303,IF(P303="Creditor",J303,0))</f>
        <v/>
      </c>
      <c r="T303">
        <f>IF(P303="Debtor",J303,IF(P303="Creditor",I303,0))</f>
        <v/>
      </c>
      <c r="U303">
        <f>IF(OR(S303=0,B303=""),0,IFERROR(VLOOKUP(C303,'Example Parties'!$B$13:$Q$112,13,FALSE),0)+SUMIFS($S$7:$S$506,$C$7:$C$506,C303,$B$7:$B$506,"&lt;"&amp;B303)+SUMIFS(S$7:S303,C$7:C303,C303,B$7:B303,B303))</f>
        <v/>
      </c>
      <c r="V303">
        <f>IF(S303=0,0,IFERROR(VLOOKUP(C303,'Example Parties'!$B$13:$Q$112,14,FALSE),0)+SUMIFS($T$7:$T$506,$C$7:$C$506,C303,$B$7:$B$506,"&lt;="&amp;'Example Outstanding'!$E$5))</f>
        <v/>
      </c>
      <c r="W303">
        <f>IF(OR('Example Outstanding'!$E$5="",S303=0,B303="",B303&gt;'Example Outstanding'!$E$5),0,MAX(0,MIN(S303,U303-V303)))</f>
        <v/>
      </c>
      <c r="X303">
        <f>IF(C303="",0,IFERROR(VLOOKUP(C303,'Example Parties'!$B$13:$Q$112,15,FALSE),0))</f>
        <v/>
      </c>
      <c r="Y303">
        <f>IF(C303="","",IFERROR(VLOOKUP(C303,'Example Parties'!$B$13:$Q$112,16,FALSE),0))</f>
        <v/>
      </c>
      <c r="Z303">
        <f>IF(OR(S303=0,B303="",Y303=""),"",IF(AND(F303&lt;&gt;"",D303="Purchase bill"),F303,B303)+Y303)</f>
        <v/>
      </c>
      <c r="AA303">
        <f>IF(OR(W303=0,Z303=""),0,MAX(0,'Example Outstanding'!$E$5-Z303))</f>
        <v/>
      </c>
      <c r="AB303">
        <f>IF(AND(X303=1,AA303&gt;0),W303*((1+3*N('Example Parties'!$E$10)/12)^(AA303*12/365)-1),0)</f>
        <v/>
      </c>
      <c r="AC303">
        <f>IF(W303=0,"",'Example Outstanding'!$E$5-B303)</f>
        <v/>
      </c>
      <c r="AD303">
        <f>IF(S303=0,0,IFERROR(VLOOKUP(C303,'Example Parties'!$B$13:$Q$112,14,FALSE),0)+SUMIFS($T$7:$T$506,$C$7:$C$506,C303,$B$7:$B$506,"&lt;="&amp;'Example Parties'!$E$8))</f>
        <v/>
      </c>
      <c r="AE303">
        <f>IF(OR('Example Parties'!$E$8="",S303=0,B303="",B303&gt;'Example Parties'!$E$8),0,MAX(0,MIN(S303,U303-AD303)))</f>
        <v/>
      </c>
      <c r="AF303">
        <f>IF(AND(P303="Creditor",X303=1,AE303&gt;0,Z303&lt;&gt;""),IF(Z303&lt;='Example Parties'!$E$8,AE303,0),0)</f>
        <v/>
      </c>
      <c r="AG303">
        <f>IF(OR(AE303=0,Z303=""),0,MAX(0,'Example Parties'!$E$8-Z303))</f>
        <v/>
      </c>
      <c r="AH303">
        <f>IF(AND(P303="Creditor",X303=1,AG303&gt;0),AE303*((1+3*N('Example Parties'!$E$10)/12)^(AG303*12/365)-1),0)</f>
        <v/>
      </c>
      <c r="AI303">
        <f>IF(AND(C303&lt;&gt;"",C303='Example Ledger'!$D$4,B303&lt;&gt;"",B303&gt;='Example Ledger'!$D$5,B303&lt;='Example Ledger'!$D$6),1,0)</f>
        <v/>
      </c>
      <c r="AJ303">
        <f>IF(AI303=1,SUM(AI$7:AI303),"")</f>
        <v/>
      </c>
      <c r="AK303">
        <f>IF(OR(N303="",N303="OK"),0,1)</f>
        <v/>
      </c>
    </row>
    <row r="304">
      <c r="B304" s="24" t="n"/>
      <c r="C304" s="14" t="n"/>
      <c r="D304" s="14" t="n"/>
      <c r="E304" s="20" t="n"/>
      <c r="F304" s="24" t="n"/>
      <c r="G304" s="14" t="n"/>
      <c r="H304" s="22" t="n"/>
      <c r="I304" s="25">
        <f>IF(Q304="D",N(H304),0)</f>
        <v/>
      </c>
      <c r="J304" s="25">
        <f>IF(Q304="C",N(H304),0)</f>
        <v/>
      </c>
      <c r="K304" s="26">
        <f>IF(Z304="","",Z304)</f>
        <v/>
      </c>
      <c r="L304" s="27">
        <f>W304</f>
        <v/>
      </c>
      <c r="M304" s="28">
        <f>AA304</f>
        <v/>
      </c>
      <c r="N304" s="23">
        <f>IF(AND(B304="",C304="",D304="",N(H304)=0),"",IF(B304="","Enter the date",IF(C304="","Pick the party",IF(P304="?","Add this party on the Parties sheet first",IF(D304="","Pick the entry type",IF(Q304="?","Pick the entry type from the list",IF(N(H304)=0,"Enter the amount",IF(AND(R304&lt;&gt;"Any",R304&lt;&gt;P304),"Sales, receipts and credit notes are for debtors; purchases, payments and debit notes for creditors",IF(AND(F304&lt;&gt;"",D304&lt;&gt;"Purchase bill"),"The received-on date is only for purchase bills",IF(AND(P304="Creditor",X304=1,AA304&gt;0),"Past due to a micro or small supplier: interest runs under MSMED s.16, and if unpaid at year end it is not deductible that year, s.37(2)(g)",IF(AND(P304="Debtor",X304=1,AA304&gt;0),"Past due to you: as a micro or small supplier you can claim interest under MSMED s.16","OK")))))))))))</f>
        <v/>
      </c>
      <c r="P304">
        <f>IF(C304="","",IFERROR(VLOOKUP(C304,'Example Parties'!$B$13:$Q$112,2,FALSE),"?"))</f>
        <v/>
      </c>
      <c r="Q304">
        <f>IF(D304="","",IFERROR(VLOOKUP(D304,Lists!$A$2:$D$9,3,FALSE),"?"))</f>
        <v/>
      </c>
      <c r="R304">
        <f>IF(D304="","",IFERROR(VLOOKUP(D304,Lists!$A$2:$D$9,4,FALSE),"?"))</f>
        <v/>
      </c>
      <c r="S304">
        <f>IF(P304="Debtor",I304,IF(P304="Creditor",J304,0))</f>
        <v/>
      </c>
      <c r="T304">
        <f>IF(P304="Debtor",J304,IF(P304="Creditor",I304,0))</f>
        <v/>
      </c>
      <c r="U304">
        <f>IF(OR(S304=0,B304=""),0,IFERROR(VLOOKUP(C304,'Example Parties'!$B$13:$Q$112,13,FALSE),0)+SUMIFS($S$7:$S$506,$C$7:$C$506,C304,$B$7:$B$506,"&lt;"&amp;B304)+SUMIFS(S$7:S304,C$7:C304,C304,B$7:B304,B304))</f>
        <v/>
      </c>
      <c r="V304">
        <f>IF(S304=0,0,IFERROR(VLOOKUP(C304,'Example Parties'!$B$13:$Q$112,14,FALSE),0)+SUMIFS($T$7:$T$506,$C$7:$C$506,C304,$B$7:$B$506,"&lt;="&amp;'Example Outstanding'!$E$5))</f>
        <v/>
      </c>
      <c r="W304">
        <f>IF(OR('Example Outstanding'!$E$5="",S304=0,B304="",B304&gt;'Example Outstanding'!$E$5),0,MAX(0,MIN(S304,U304-V304)))</f>
        <v/>
      </c>
      <c r="X304">
        <f>IF(C304="",0,IFERROR(VLOOKUP(C304,'Example Parties'!$B$13:$Q$112,15,FALSE),0))</f>
        <v/>
      </c>
      <c r="Y304">
        <f>IF(C304="","",IFERROR(VLOOKUP(C304,'Example Parties'!$B$13:$Q$112,16,FALSE),0))</f>
        <v/>
      </c>
      <c r="Z304">
        <f>IF(OR(S304=0,B304="",Y304=""),"",IF(AND(F304&lt;&gt;"",D304="Purchase bill"),F304,B304)+Y304)</f>
        <v/>
      </c>
      <c r="AA304">
        <f>IF(OR(W304=0,Z304=""),0,MAX(0,'Example Outstanding'!$E$5-Z304))</f>
        <v/>
      </c>
      <c r="AB304">
        <f>IF(AND(X304=1,AA304&gt;0),W304*((1+3*N('Example Parties'!$E$10)/12)^(AA304*12/365)-1),0)</f>
        <v/>
      </c>
      <c r="AC304">
        <f>IF(W304=0,"",'Example Outstanding'!$E$5-B304)</f>
        <v/>
      </c>
      <c r="AD304">
        <f>IF(S304=0,0,IFERROR(VLOOKUP(C304,'Example Parties'!$B$13:$Q$112,14,FALSE),0)+SUMIFS($T$7:$T$506,$C$7:$C$506,C304,$B$7:$B$506,"&lt;="&amp;'Example Parties'!$E$8))</f>
        <v/>
      </c>
      <c r="AE304">
        <f>IF(OR('Example Parties'!$E$8="",S304=0,B304="",B304&gt;'Example Parties'!$E$8),0,MAX(0,MIN(S304,U304-AD304)))</f>
        <v/>
      </c>
      <c r="AF304">
        <f>IF(AND(P304="Creditor",X304=1,AE304&gt;0,Z304&lt;&gt;""),IF(Z304&lt;='Example Parties'!$E$8,AE304,0),0)</f>
        <v/>
      </c>
      <c r="AG304">
        <f>IF(OR(AE304=0,Z304=""),0,MAX(0,'Example Parties'!$E$8-Z304))</f>
        <v/>
      </c>
      <c r="AH304">
        <f>IF(AND(P304="Creditor",X304=1,AG304&gt;0),AE304*((1+3*N('Example Parties'!$E$10)/12)^(AG304*12/365)-1),0)</f>
        <v/>
      </c>
      <c r="AI304">
        <f>IF(AND(C304&lt;&gt;"",C304='Example Ledger'!$D$4,B304&lt;&gt;"",B304&gt;='Example Ledger'!$D$5,B304&lt;='Example Ledger'!$D$6),1,0)</f>
        <v/>
      </c>
      <c r="AJ304">
        <f>IF(AI304=1,SUM(AI$7:AI304),"")</f>
        <v/>
      </c>
      <c r="AK304">
        <f>IF(OR(N304="",N304="OK"),0,1)</f>
        <v/>
      </c>
    </row>
    <row r="305">
      <c r="B305" s="24" t="n"/>
      <c r="C305" s="14" t="n"/>
      <c r="D305" s="14" t="n"/>
      <c r="E305" s="20" t="n"/>
      <c r="F305" s="24" t="n"/>
      <c r="G305" s="14" t="n"/>
      <c r="H305" s="22" t="n"/>
      <c r="I305" s="25">
        <f>IF(Q305="D",N(H305),0)</f>
        <v/>
      </c>
      <c r="J305" s="25">
        <f>IF(Q305="C",N(H305),0)</f>
        <v/>
      </c>
      <c r="K305" s="26">
        <f>IF(Z305="","",Z305)</f>
        <v/>
      </c>
      <c r="L305" s="27">
        <f>W305</f>
        <v/>
      </c>
      <c r="M305" s="28">
        <f>AA305</f>
        <v/>
      </c>
      <c r="N305" s="23">
        <f>IF(AND(B305="",C305="",D305="",N(H305)=0),"",IF(B305="","Enter the date",IF(C305="","Pick the party",IF(P305="?","Add this party on the Parties sheet first",IF(D305="","Pick the entry type",IF(Q305="?","Pick the entry type from the list",IF(N(H305)=0,"Enter the amount",IF(AND(R305&lt;&gt;"Any",R305&lt;&gt;P305),"Sales, receipts and credit notes are for debtors; purchases, payments and debit notes for creditors",IF(AND(F305&lt;&gt;"",D305&lt;&gt;"Purchase bill"),"The received-on date is only for purchase bills",IF(AND(P305="Creditor",X305=1,AA305&gt;0),"Past due to a micro or small supplier: interest runs under MSMED s.16, and if unpaid at year end it is not deductible that year, s.37(2)(g)",IF(AND(P305="Debtor",X305=1,AA305&gt;0),"Past due to you: as a micro or small supplier you can claim interest under MSMED s.16","OK")))))))))))</f>
        <v/>
      </c>
      <c r="P305">
        <f>IF(C305="","",IFERROR(VLOOKUP(C305,'Example Parties'!$B$13:$Q$112,2,FALSE),"?"))</f>
        <v/>
      </c>
      <c r="Q305">
        <f>IF(D305="","",IFERROR(VLOOKUP(D305,Lists!$A$2:$D$9,3,FALSE),"?"))</f>
        <v/>
      </c>
      <c r="R305">
        <f>IF(D305="","",IFERROR(VLOOKUP(D305,Lists!$A$2:$D$9,4,FALSE),"?"))</f>
        <v/>
      </c>
      <c r="S305">
        <f>IF(P305="Debtor",I305,IF(P305="Creditor",J305,0))</f>
        <v/>
      </c>
      <c r="T305">
        <f>IF(P305="Debtor",J305,IF(P305="Creditor",I305,0))</f>
        <v/>
      </c>
      <c r="U305">
        <f>IF(OR(S305=0,B305=""),0,IFERROR(VLOOKUP(C305,'Example Parties'!$B$13:$Q$112,13,FALSE),0)+SUMIFS($S$7:$S$506,$C$7:$C$506,C305,$B$7:$B$506,"&lt;"&amp;B305)+SUMIFS(S$7:S305,C$7:C305,C305,B$7:B305,B305))</f>
        <v/>
      </c>
      <c r="V305">
        <f>IF(S305=0,0,IFERROR(VLOOKUP(C305,'Example Parties'!$B$13:$Q$112,14,FALSE),0)+SUMIFS($T$7:$T$506,$C$7:$C$506,C305,$B$7:$B$506,"&lt;="&amp;'Example Outstanding'!$E$5))</f>
        <v/>
      </c>
      <c r="W305">
        <f>IF(OR('Example Outstanding'!$E$5="",S305=0,B305="",B305&gt;'Example Outstanding'!$E$5),0,MAX(0,MIN(S305,U305-V305)))</f>
        <v/>
      </c>
      <c r="X305">
        <f>IF(C305="",0,IFERROR(VLOOKUP(C305,'Example Parties'!$B$13:$Q$112,15,FALSE),0))</f>
        <v/>
      </c>
      <c r="Y305">
        <f>IF(C305="","",IFERROR(VLOOKUP(C305,'Example Parties'!$B$13:$Q$112,16,FALSE),0))</f>
        <v/>
      </c>
      <c r="Z305">
        <f>IF(OR(S305=0,B305="",Y305=""),"",IF(AND(F305&lt;&gt;"",D305="Purchase bill"),F305,B305)+Y305)</f>
        <v/>
      </c>
      <c r="AA305">
        <f>IF(OR(W305=0,Z305=""),0,MAX(0,'Example Outstanding'!$E$5-Z305))</f>
        <v/>
      </c>
      <c r="AB305">
        <f>IF(AND(X305=1,AA305&gt;0),W305*((1+3*N('Example Parties'!$E$10)/12)^(AA305*12/365)-1),0)</f>
        <v/>
      </c>
      <c r="AC305">
        <f>IF(W305=0,"",'Example Outstanding'!$E$5-B305)</f>
        <v/>
      </c>
      <c r="AD305">
        <f>IF(S305=0,0,IFERROR(VLOOKUP(C305,'Example Parties'!$B$13:$Q$112,14,FALSE),0)+SUMIFS($T$7:$T$506,$C$7:$C$506,C305,$B$7:$B$506,"&lt;="&amp;'Example Parties'!$E$8))</f>
        <v/>
      </c>
      <c r="AE305">
        <f>IF(OR('Example Parties'!$E$8="",S305=0,B305="",B305&gt;'Example Parties'!$E$8),0,MAX(0,MIN(S305,U305-AD305)))</f>
        <v/>
      </c>
      <c r="AF305">
        <f>IF(AND(P305="Creditor",X305=1,AE305&gt;0,Z305&lt;&gt;""),IF(Z305&lt;='Example Parties'!$E$8,AE305,0),0)</f>
        <v/>
      </c>
      <c r="AG305">
        <f>IF(OR(AE305=0,Z305=""),0,MAX(0,'Example Parties'!$E$8-Z305))</f>
        <v/>
      </c>
      <c r="AH305">
        <f>IF(AND(P305="Creditor",X305=1,AG305&gt;0),AE305*((1+3*N('Example Parties'!$E$10)/12)^(AG305*12/365)-1),0)</f>
        <v/>
      </c>
      <c r="AI305">
        <f>IF(AND(C305&lt;&gt;"",C305='Example Ledger'!$D$4,B305&lt;&gt;"",B305&gt;='Example Ledger'!$D$5,B305&lt;='Example Ledger'!$D$6),1,0)</f>
        <v/>
      </c>
      <c r="AJ305">
        <f>IF(AI305=1,SUM(AI$7:AI305),"")</f>
        <v/>
      </c>
      <c r="AK305">
        <f>IF(OR(N305="",N305="OK"),0,1)</f>
        <v/>
      </c>
    </row>
    <row r="306">
      <c r="B306" s="24" t="n"/>
      <c r="C306" s="14" t="n"/>
      <c r="D306" s="14" t="n"/>
      <c r="E306" s="20" t="n"/>
      <c r="F306" s="24" t="n"/>
      <c r="G306" s="14" t="n"/>
      <c r="H306" s="22" t="n"/>
      <c r="I306" s="25">
        <f>IF(Q306="D",N(H306),0)</f>
        <v/>
      </c>
      <c r="J306" s="25">
        <f>IF(Q306="C",N(H306),0)</f>
        <v/>
      </c>
      <c r="K306" s="26">
        <f>IF(Z306="","",Z306)</f>
        <v/>
      </c>
      <c r="L306" s="27">
        <f>W306</f>
        <v/>
      </c>
      <c r="M306" s="28">
        <f>AA306</f>
        <v/>
      </c>
      <c r="N306" s="23">
        <f>IF(AND(B306="",C306="",D306="",N(H306)=0),"",IF(B306="","Enter the date",IF(C306="","Pick the party",IF(P306="?","Add this party on the Parties sheet first",IF(D306="","Pick the entry type",IF(Q306="?","Pick the entry type from the list",IF(N(H306)=0,"Enter the amount",IF(AND(R306&lt;&gt;"Any",R306&lt;&gt;P306),"Sales, receipts and credit notes are for debtors; purchases, payments and debit notes for creditors",IF(AND(F306&lt;&gt;"",D306&lt;&gt;"Purchase bill"),"The received-on date is only for purchase bills",IF(AND(P306="Creditor",X306=1,AA306&gt;0),"Past due to a micro or small supplier: interest runs under MSMED s.16, and if unpaid at year end it is not deductible that year, s.37(2)(g)",IF(AND(P306="Debtor",X306=1,AA306&gt;0),"Past due to you: as a micro or small supplier you can claim interest under MSMED s.16","OK")))))))))))</f>
        <v/>
      </c>
      <c r="P306">
        <f>IF(C306="","",IFERROR(VLOOKUP(C306,'Example Parties'!$B$13:$Q$112,2,FALSE),"?"))</f>
        <v/>
      </c>
      <c r="Q306">
        <f>IF(D306="","",IFERROR(VLOOKUP(D306,Lists!$A$2:$D$9,3,FALSE),"?"))</f>
        <v/>
      </c>
      <c r="R306">
        <f>IF(D306="","",IFERROR(VLOOKUP(D306,Lists!$A$2:$D$9,4,FALSE),"?"))</f>
        <v/>
      </c>
      <c r="S306">
        <f>IF(P306="Debtor",I306,IF(P306="Creditor",J306,0))</f>
        <v/>
      </c>
      <c r="T306">
        <f>IF(P306="Debtor",J306,IF(P306="Creditor",I306,0))</f>
        <v/>
      </c>
      <c r="U306">
        <f>IF(OR(S306=0,B306=""),0,IFERROR(VLOOKUP(C306,'Example Parties'!$B$13:$Q$112,13,FALSE),0)+SUMIFS($S$7:$S$506,$C$7:$C$506,C306,$B$7:$B$506,"&lt;"&amp;B306)+SUMIFS(S$7:S306,C$7:C306,C306,B$7:B306,B306))</f>
        <v/>
      </c>
      <c r="V306">
        <f>IF(S306=0,0,IFERROR(VLOOKUP(C306,'Example Parties'!$B$13:$Q$112,14,FALSE),0)+SUMIFS($T$7:$T$506,$C$7:$C$506,C306,$B$7:$B$506,"&lt;="&amp;'Example Outstanding'!$E$5))</f>
        <v/>
      </c>
      <c r="W306">
        <f>IF(OR('Example Outstanding'!$E$5="",S306=0,B306="",B306&gt;'Example Outstanding'!$E$5),0,MAX(0,MIN(S306,U306-V306)))</f>
        <v/>
      </c>
      <c r="X306">
        <f>IF(C306="",0,IFERROR(VLOOKUP(C306,'Example Parties'!$B$13:$Q$112,15,FALSE),0))</f>
        <v/>
      </c>
      <c r="Y306">
        <f>IF(C306="","",IFERROR(VLOOKUP(C306,'Example Parties'!$B$13:$Q$112,16,FALSE),0))</f>
        <v/>
      </c>
      <c r="Z306">
        <f>IF(OR(S306=0,B306="",Y306=""),"",IF(AND(F306&lt;&gt;"",D306="Purchase bill"),F306,B306)+Y306)</f>
        <v/>
      </c>
      <c r="AA306">
        <f>IF(OR(W306=0,Z306=""),0,MAX(0,'Example Outstanding'!$E$5-Z306))</f>
        <v/>
      </c>
      <c r="AB306">
        <f>IF(AND(X306=1,AA306&gt;0),W306*((1+3*N('Example Parties'!$E$10)/12)^(AA306*12/365)-1),0)</f>
        <v/>
      </c>
      <c r="AC306">
        <f>IF(W306=0,"",'Example Outstanding'!$E$5-B306)</f>
        <v/>
      </c>
      <c r="AD306">
        <f>IF(S306=0,0,IFERROR(VLOOKUP(C306,'Example Parties'!$B$13:$Q$112,14,FALSE),0)+SUMIFS($T$7:$T$506,$C$7:$C$506,C306,$B$7:$B$506,"&lt;="&amp;'Example Parties'!$E$8))</f>
        <v/>
      </c>
      <c r="AE306">
        <f>IF(OR('Example Parties'!$E$8="",S306=0,B306="",B306&gt;'Example Parties'!$E$8),0,MAX(0,MIN(S306,U306-AD306)))</f>
        <v/>
      </c>
      <c r="AF306">
        <f>IF(AND(P306="Creditor",X306=1,AE306&gt;0,Z306&lt;&gt;""),IF(Z306&lt;='Example Parties'!$E$8,AE306,0),0)</f>
        <v/>
      </c>
      <c r="AG306">
        <f>IF(OR(AE306=0,Z306=""),0,MAX(0,'Example Parties'!$E$8-Z306))</f>
        <v/>
      </c>
      <c r="AH306">
        <f>IF(AND(P306="Creditor",X306=1,AG306&gt;0),AE306*((1+3*N('Example Parties'!$E$10)/12)^(AG306*12/365)-1),0)</f>
        <v/>
      </c>
      <c r="AI306">
        <f>IF(AND(C306&lt;&gt;"",C306='Example Ledger'!$D$4,B306&lt;&gt;"",B306&gt;='Example Ledger'!$D$5,B306&lt;='Example Ledger'!$D$6),1,0)</f>
        <v/>
      </c>
      <c r="AJ306">
        <f>IF(AI306=1,SUM(AI$7:AI306),"")</f>
        <v/>
      </c>
      <c r="AK306">
        <f>IF(OR(N306="",N306="OK"),0,1)</f>
        <v/>
      </c>
    </row>
    <row r="307">
      <c r="B307" s="24" t="n"/>
      <c r="C307" s="14" t="n"/>
      <c r="D307" s="14" t="n"/>
      <c r="E307" s="20" t="n"/>
      <c r="F307" s="24" t="n"/>
      <c r="G307" s="14" t="n"/>
      <c r="H307" s="22" t="n"/>
      <c r="I307" s="25">
        <f>IF(Q307="D",N(H307),0)</f>
        <v/>
      </c>
      <c r="J307" s="25">
        <f>IF(Q307="C",N(H307),0)</f>
        <v/>
      </c>
      <c r="K307" s="26">
        <f>IF(Z307="","",Z307)</f>
        <v/>
      </c>
      <c r="L307" s="27">
        <f>W307</f>
        <v/>
      </c>
      <c r="M307" s="28">
        <f>AA307</f>
        <v/>
      </c>
      <c r="N307" s="23">
        <f>IF(AND(B307="",C307="",D307="",N(H307)=0),"",IF(B307="","Enter the date",IF(C307="","Pick the party",IF(P307="?","Add this party on the Parties sheet first",IF(D307="","Pick the entry type",IF(Q307="?","Pick the entry type from the list",IF(N(H307)=0,"Enter the amount",IF(AND(R307&lt;&gt;"Any",R307&lt;&gt;P307),"Sales, receipts and credit notes are for debtors; purchases, payments and debit notes for creditors",IF(AND(F307&lt;&gt;"",D307&lt;&gt;"Purchase bill"),"The received-on date is only for purchase bills",IF(AND(P307="Creditor",X307=1,AA307&gt;0),"Past due to a micro or small supplier: interest runs under MSMED s.16, and if unpaid at year end it is not deductible that year, s.37(2)(g)",IF(AND(P307="Debtor",X307=1,AA307&gt;0),"Past due to you: as a micro or small supplier you can claim interest under MSMED s.16","OK")))))))))))</f>
        <v/>
      </c>
      <c r="P307">
        <f>IF(C307="","",IFERROR(VLOOKUP(C307,'Example Parties'!$B$13:$Q$112,2,FALSE),"?"))</f>
        <v/>
      </c>
      <c r="Q307">
        <f>IF(D307="","",IFERROR(VLOOKUP(D307,Lists!$A$2:$D$9,3,FALSE),"?"))</f>
        <v/>
      </c>
      <c r="R307">
        <f>IF(D307="","",IFERROR(VLOOKUP(D307,Lists!$A$2:$D$9,4,FALSE),"?"))</f>
        <v/>
      </c>
      <c r="S307">
        <f>IF(P307="Debtor",I307,IF(P307="Creditor",J307,0))</f>
        <v/>
      </c>
      <c r="T307">
        <f>IF(P307="Debtor",J307,IF(P307="Creditor",I307,0))</f>
        <v/>
      </c>
      <c r="U307">
        <f>IF(OR(S307=0,B307=""),0,IFERROR(VLOOKUP(C307,'Example Parties'!$B$13:$Q$112,13,FALSE),0)+SUMIFS($S$7:$S$506,$C$7:$C$506,C307,$B$7:$B$506,"&lt;"&amp;B307)+SUMIFS(S$7:S307,C$7:C307,C307,B$7:B307,B307))</f>
        <v/>
      </c>
      <c r="V307">
        <f>IF(S307=0,0,IFERROR(VLOOKUP(C307,'Example Parties'!$B$13:$Q$112,14,FALSE),0)+SUMIFS($T$7:$T$506,$C$7:$C$506,C307,$B$7:$B$506,"&lt;="&amp;'Example Outstanding'!$E$5))</f>
        <v/>
      </c>
      <c r="W307">
        <f>IF(OR('Example Outstanding'!$E$5="",S307=0,B307="",B307&gt;'Example Outstanding'!$E$5),0,MAX(0,MIN(S307,U307-V307)))</f>
        <v/>
      </c>
      <c r="X307">
        <f>IF(C307="",0,IFERROR(VLOOKUP(C307,'Example Parties'!$B$13:$Q$112,15,FALSE),0))</f>
        <v/>
      </c>
      <c r="Y307">
        <f>IF(C307="","",IFERROR(VLOOKUP(C307,'Example Parties'!$B$13:$Q$112,16,FALSE),0))</f>
        <v/>
      </c>
      <c r="Z307">
        <f>IF(OR(S307=0,B307="",Y307=""),"",IF(AND(F307&lt;&gt;"",D307="Purchase bill"),F307,B307)+Y307)</f>
        <v/>
      </c>
      <c r="AA307">
        <f>IF(OR(W307=0,Z307=""),0,MAX(0,'Example Outstanding'!$E$5-Z307))</f>
        <v/>
      </c>
      <c r="AB307">
        <f>IF(AND(X307=1,AA307&gt;0),W307*((1+3*N('Example Parties'!$E$10)/12)^(AA307*12/365)-1),0)</f>
        <v/>
      </c>
      <c r="AC307">
        <f>IF(W307=0,"",'Example Outstanding'!$E$5-B307)</f>
        <v/>
      </c>
      <c r="AD307">
        <f>IF(S307=0,0,IFERROR(VLOOKUP(C307,'Example Parties'!$B$13:$Q$112,14,FALSE),0)+SUMIFS($T$7:$T$506,$C$7:$C$506,C307,$B$7:$B$506,"&lt;="&amp;'Example Parties'!$E$8))</f>
        <v/>
      </c>
      <c r="AE307">
        <f>IF(OR('Example Parties'!$E$8="",S307=0,B307="",B307&gt;'Example Parties'!$E$8),0,MAX(0,MIN(S307,U307-AD307)))</f>
        <v/>
      </c>
      <c r="AF307">
        <f>IF(AND(P307="Creditor",X307=1,AE307&gt;0,Z307&lt;&gt;""),IF(Z307&lt;='Example Parties'!$E$8,AE307,0),0)</f>
        <v/>
      </c>
      <c r="AG307">
        <f>IF(OR(AE307=0,Z307=""),0,MAX(0,'Example Parties'!$E$8-Z307))</f>
        <v/>
      </c>
      <c r="AH307">
        <f>IF(AND(P307="Creditor",X307=1,AG307&gt;0),AE307*((1+3*N('Example Parties'!$E$10)/12)^(AG307*12/365)-1),0)</f>
        <v/>
      </c>
      <c r="AI307">
        <f>IF(AND(C307&lt;&gt;"",C307='Example Ledger'!$D$4,B307&lt;&gt;"",B307&gt;='Example Ledger'!$D$5,B307&lt;='Example Ledger'!$D$6),1,0)</f>
        <v/>
      </c>
      <c r="AJ307">
        <f>IF(AI307=1,SUM(AI$7:AI307),"")</f>
        <v/>
      </c>
      <c r="AK307">
        <f>IF(OR(N307="",N307="OK"),0,1)</f>
        <v/>
      </c>
    </row>
    <row r="308">
      <c r="B308" s="24" t="n"/>
      <c r="C308" s="14" t="n"/>
      <c r="D308" s="14" t="n"/>
      <c r="E308" s="20" t="n"/>
      <c r="F308" s="24" t="n"/>
      <c r="G308" s="14" t="n"/>
      <c r="H308" s="22" t="n"/>
      <c r="I308" s="25">
        <f>IF(Q308="D",N(H308),0)</f>
        <v/>
      </c>
      <c r="J308" s="25">
        <f>IF(Q308="C",N(H308),0)</f>
        <v/>
      </c>
      <c r="K308" s="26">
        <f>IF(Z308="","",Z308)</f>
        <v/>
      </c>
      <c r="L308" s="27">
        <f>W308</f>
        <v/>
      </c>
      <c r="M308" s="28">
        <f>AA308</f>
        <v/>
      </c>
      <c r="N308" s="23">
        <f>IF(AND(B308="",C308="",D308="",N(H308)=0),"",IF(B308="","Enter the date",IF(C308="","Pick the party",IF(P308="?","Add this party on the Parties sheet first",IF(D308="","Pick the entry type",IF(Q308="?","Pick the entry type from the list",IF(N(H308)=0,"Enter the amount",IF(AND(R308&lt;&gt;"Any",R308&lt;&gt;P308),"Sales, receipts and credit notes are for debtors; purchases, payments and debit notes for creditors",IF(AND(F308&lt;&gt;"",D308&lt;&gt;"Purchase bill"),"The received-on date is only for purchase bills",IF(AND(P308="Creditor",X308=1,AA308&gt;0),"Past due to a micro or small supplier: interest runs under MSMED s.16, and if unpaid at year end it is not deductible that year, s.37(2)(g)",IF(AND(P308="Debtor",X308=1,AA308&gt;0),"Past due to you: as a micro or small supplier you can claim interest under MSMED s.16","OK")))))))))))</f>
        <v/>
      </c>
      <c r="P308">
        <f>IF(C308="","",IFERROR(VLOOKUP(C308,'Example Parties'!$B$13:$Q$112,2,FALSE),"?"))</f>
        <v/>
      </c>
      <c r="Q308">
        <f>IF(D308="","",IFERROR(VLOOKUP(D308,Lists!$A$2:$D$9,3,FALSE),"?"))</f>
        <v/>
      </c>
      <c r="R308">
        <f>IF(D308="","",IFERROR(VLOOKUP(D308,Lists!$A$2:$D$9,4,FALSE),"?"))</f>
        <v/>
      </c>
      <c r="S308">
        <f>IF(P308="Debtor",I308,IF(P308="Creditor",J308,0))</f>
        <v/>
      </c>
      <c r="T308">
        <f>IF(P308="Debtor",J308,IF(P308="Creditor",I308,0))</f>
        <v/>
      </c>
      <c r="U308">
        <f>IF(OR(S308=0,B308=""),0,IFERROR(VLOOKUP(C308,'Example Parties'!$B$13:$Q$112,13,FALSE),0)+SUMIFS($S$7:$S$506,$C$7:$C$506,C308,$B$7:$B$506,"&lt;"&amp;B308)+SUMIFS(S$7:S308,C$7:C308,C308,B$7:B308,B308))</f>
        <v/>
      </c>
      <c r="V308">
        <f>IF(S308=0,0,IFERROR(VLOOKUP(C308,'Example Parties'!$B$13:$Q$112,14,FALSE),0)+SUMIFS($T$7:$T$506,$C$7:$C$506,C308,$B$7:$B$506,"&lt;="&amp;'Example Outstanding'!$E$5))</f>
        <v/>
      </c>
      <c r="W308">
        <f>IF(OR('Example Outstanding'!$E$5="",S308=0,B308="",B308&gt;'Example Outstanding'!$E$5),0,MAX(0,MIN(S308,U308-V308)))</f>
        <v/>
      </c>
      <c r="X308">
        <f>IF(C308="",0,IFERROR(VLOOKUP(C308,'Example Parties'!$B$13:$Q$112,15,FALSE),0))</f>
        <v/>
      </c>
      <c r="Y308">
        <f>IF(C308="","",IFERROR(VLOOKUP(C308,'Example Parties'!$B$13:$Q$112,16,FALSE),0))</f>
        <v/>
      </c>
      <c r="Z308">
        <f>IF(OR(S308=0,B308="",Y308=""),"",IF(AND(F308&lt;&gt;"",D308="Purchase bill"),F308,B308)+Y308)</f>
        <v/>
      </c>
      <c r="AA308">
        <f>IF(OR(W308=0,Z308=""),0,MAX(0,'Example Outstanding'!$E$5-Z308))</f>
        <v/>
      </c>
      <c r="AB308">
        <f>IF(AND(X308=1,AA308&gt;0),W308*((1+3*N('Example Parties'!$E$10)/12)^(AA308*12/365)-1),0)</f>
        <v/>
      </c>
      <c r="AC308">
        <f>IF(W308=0,"",'Example Outstanding'!$E$5-B308)</f>
        <v/>
      </c>
      <c r="AD308">
        <f>IF(S308=0,0,IFERROR(VLOOKUP(C308,'Example Parties'!$B$13:$Q$112,14,FALSE),0)+SUMIFS($T$7:$T$506,$C$7:$C$506,C308,$B$7:$B$506,"&lt;="&amp;'Example Parties'!$E$8))</f>
        <v/>
      </c>
      <c r="AE308">
        <f>IF(OR('Example Parties'!$E$8="",S308=0,B308="",B308&gt;'Example Parties'!$E$8),0,MAX(0,MIN(S308,U308-AD308)))</f>
        <v/>
      </c>
      <c r="AF308">
        <f>IF(AND(P308="Creditor",X308=1,AE308&gt;0,Z308&lt;&gt;""),IF(Z308&lt;='Example Parties'!$E$8,AE308,0),0)</f>
        <v/>
      </c>
      <c r="AG308">
        <f>IF(OR(AE308=0,Z308=""),0,MAX(0,'Example Parties'!$E$8-Z308))</f>
        <v/>
      </c>
      <c r="AH308">
        <f>IF(AND(P308="Creditor",X308=1,AG308&gt;0),AE308*((1+3*N('Example Parties'!$E$10)/12)^(AG308*12/365)-1),0)</f>
        <v/>
      </c>
      <c r="AI308">
        <f>IF(AND(C308&lt;&gt;"",C308='Example Ledger'!$D$4,B308&lt;&gt;"",B308&gt;='Example Ledger'!$D$5,B308&lt;='Example Ledger'!$D$6),1,0)</f>
        <v/>
      </c>
      <c r="AJ308">
        <f>IF(AI308=1,SUM(AI$7:AI308),"")</f>
        <v/>
      </c>
      <c r="AK308">
        <f>IF(OR(N308="",N308="OK"),0,1)</f>
        <v/>
      </c>
    </row>
    <row r="309">
      <c r="B309" s="24" t="n"/>
      <c r="C309" s="14" t="n"/>
      <c r="D309" s="14" t="n"/>
      <c r="E309" s="20" t="n"/>
      <c r="F309" s="24" t="n"/>
      <c r="G309" s="14" t="n"/>
      <c r="H309" s="22" t="n"/>
      <c r="I309" s="25">
        <f>IF(Q309="D",N(H309),0)</f>
        <v/>
      </c>
      <c r="J309" s="25">
        <f>IF(Q309="C",N(H309),0)</f>
        <v/>
      </c>
      <c r="K309" s="26">
        <f>IF(Z309="","",Z309)</f>
        <v/>
      </c>
      <c r="L309" s="27">
        <f>W309</f>
        <v/>
      </c>
      <c r="M309" s="28">
        <f>AA309</f>
        <v/>
      </c>
      <c r="N309" s="23">
        <f>IF(AND(B309="",C309="",D309="",N(H309)=0),"",IF(B309="","Enter the date",IF(C309="","Pick the party",IF(P309="?","Add this party on the Parties sheet first",IF(D309="","Pick the entry type",IF(Q309="?","Pick the entry type from the list",IF(N(H309)=0,"Enter the amount",IF(AND(R309&lt;&gt;"Any",R309&lt;&gt;P309),"Sales, receipts and credit notes are for debtors; purchases, payments and debit notes for creditors",IF(AND(F309&lt;&gt;"",D309&lt;&gt;"Purchase bill"),"The received-on date is only for purchase bills",IF(AND(P309="Creditor",X309=1,AA309&gt;0),"Past due to a micro or small supplier: interest runs under MSMED s.16, and if unpaid at year end it is not deductible that year, s.37(2)(g)",IF(AND(P309="Debtor",X309=1,AA309&gt;0),"Past due to you: as a micro or small supplier you can claim interest under MSMED s.16","OK")))))))))))</f>
        <v/>
      </c>
      <c r="P309">
        <f>IF(C309="","",IFERROR(VLOOKUP(C309,'Example Parties'!$B$13:$Q$112,2,FALSE),"?"))</f>
        <v/>
      </c>
      <c r="Q309">
        <f>IF(D309="","",IFERROR(VLOOKUP(D309,Lists!$A$2:$D$9,3,FALSE),"?"))</f>
        <v/>
      </c>
      <c r="R309">
        <f>IF(D309="","",IFERROR(VLOOKUP(D309,Lists!$A$2:$D$9,4,FALSE),"?"))</f>
        <v/>
      </c>
      <c r="S309">
        <f>IF(P309="Debtor",I309,IF(P309="Creditor",J309,0))</f>
        <v/>
      </c>
      <c r="T309">
        <f>IF(P309="Debtor",J309,IF(P309="Creditor",I309,0))</f>
        <v/>
      </c>
      <c r="U309">
        <f>IF(OR(S309=0,B309=""),0,IFERROR(VLOOKUP(C309,'Example Parties'!$B$13:$Q$112,13,FALSE),0)+SUMIFS($S$7:$S$506,$C$7:$C$506,C309,$B$7:$B$506,"&lt;"&amp;B309)+SUMIFS(S$7:S309,C$7:C309,C309,B$7:B309,B309))</f>
        <v/>
      </c>
      <c r="V309">
        <f>IF(S309=0,0,IFERROR(VLOOKUP(C309,'Example Parties'!$B$13:$Q$112,14,FALSE),0)+SUMIFS($T$7:$T$506,$C$7:$C$506,C309,$B$7:$B$506,"&lt;="&amp;'Example Outstanding'!$E$5))</f>
        <v/>
      </c>
      <c r="W309">
        <f>IF(OR('Example Outstanding'!$E$5="",S309=0,B309="",B309&gt;'Example Outstanding'!$E$5),0,MAX(0,MIN(S309,U309-V309)))</f>
        <v/>
      </c>
      <c r="X309">
        <f>IF(C309="",0,IFERROR(VLOOKUP(C309,'Example Parties'!$B$13:$Q$112,15,FALSE),0))</f>
        <v/>
      </c>
      <c r="Y309">
        <f>IF(C309="","",IFERROR(VLOOKUP(C309,'Example Parties'!$B$13:$Q$112,16,FALSE),0))</f>
        <v/>
      </c>
      <c r="Z309">
        <f>IF(OR(S309=0,B309="",Y309=""),"",IF(AND(F309&lt;&gt;"",D309="Purchase bill"),F309,B309)+Y309)</f>
        <v/>
      </c>
      <c r="AA309">
        <f>IF(OR(W309=0,Z309=""),0,MAX(0,'Example Outstanding'!$E$5-Z309))</f>
        <v/>
      </c>
      <c r="AB309">
        <f>IF(AND(X309=1,AA309&gt;0),W309*((1+3*N('Example Parties'!$E$10)/12)^(AA309*12/365)-1),0)</f>
        <v/>
      </c>
      <c r="AC309">
        <f>IF(W309=0,"",'Example Outstanding'!$E$5-B309)</f>
        <v/>
      </c>
      <c r="AD309">
        <f>IF(S309=0,0,IFERROR(VLOOKUP(C309,'Example Parties'!$B$13:$Q$112,14,FALSE),0)+SUMIFS($T$7:$T$506,$C$7:$C$506,C309,$B$7:$B$506,"&lt;="&amp;'Example Parties'!$E$8))</f>
        <v/>
      </c>
      <c r="AE309">
        <f>IF(OR('Example Parties'!$E$8="",S309=0,B309="",B309&gt;'Example Parties'!$E$8),0,MAX(0,MIN(S309,U309-AD309)))</f>
        <v/>
      </c>
      <c r="AF309">
        <f>IF(AND(P309="Creditor",X309=1,AE309&gt;0,Z309&lt;&gt;""),IF(Z309&lt;='Example Parties'!$E$8,AE309,0),0)</f>
        <v/>
      </c>
      <c r="AG309">
        <f>IF(OR(AE309=0,Z309=""),0,MAX(0,'Example Parties'!$E$8-Z309))</f>
        <v/>
      </c>
      <c r="AH309">
        <f>IF(AND(P309="Creditor",X309=1,AG309&gt;0),AE309*((1+3*N('Example Parties'!$E$10)/12)^(AG309*12/365)-1),0)</f>
        <v/>
      </c>
      <c r="AI309">
        <f>IF(AND(C309&lt;&gt;"",C309='Example Ledger'!$D$4,B309&lt;&gt;"",B309&gt;='Example Ledger'!$D$5,B309&lt;='Example Ledger'!$D$6),1,0)</f>
        <v/>
      </c>
      <c r="AJ309">
        <f>IF(AI309=1,SUM(AI$7:AI309),"")</f>
        <v/>
      </c>
      <c r="AK309">
        <f>IF(OR(N309="",N309="OK"),0,1)</f>
        <v/>
      </c>
    </row>
    <row r="310">
      <c r="B310" s="24" t="n"/>
      <c r="C310" s="14" t="n"/>
      <c r="D310" s="14" t="n"/>
      <c r="E310" s="20" t="n"/>
      <c r="F310" s="24" t="n"/>
      <c r="G310" s="14" t="n"/>
      <c r="H310" s="22" t="n"/>
      <c r="I310" s="25">
        <f>IF(Q310="D",N(H310),0)</f>
        <v/>
      </c>
      <c r="J310" s="25">
        <f>IF(Q310="C",N(H310),0)</f>
        <v/>
      </c>
      <c r="K310" s="26">
        <f>IF(Z310="","",Z310)</f>
        <v/>
      </c>
      <c r="L310" s="27">
        <f>W310</f>
        <v/>
      </c>
      <c r="M310" s="28">
        <f>AA310</f>
        <v/>
      </c>
      <c r="N310" s="23">
        <f>IF(AND(B310="",C310="",D310="",N(H310)=0),"",IF(B310="","Enter the date",IF(C310="","Pick the party",IF(P310="?","Add this party on the Parties sheet first",IF(D310="","Pick the entry type",IF(Q310="?","Pick the entry type from the list",IF(N(H310)=0,"Enter the amount",IF(AND(R310&lt;&gt;"Any",R310&lt;&gt;P310),"Sales, receipts and credit notes are for debtors; purchases, payments and debit notes for creditors",IF(AND(F310&lt;&gt;"",D310&lt;&gt;"Purchase bill"),"The received-on date is only for purchase bills",IF(AND(P310="Creditor",X310=1,AA310&gt;0),"Past due to a micro or small supplier: interest runs under MSMED s.16, and if unpaid at year end it is not deductible that year, s.37(2)(g)",IF(AND(P310="Debtor",X310=1,AA310&gt;0),"Past due to you: as a micro or small supplier you can claim interest under MSMED s.16","OK")))))))))))</f>
        <v/>
      </c>
      <c r="P310">
        <f>IF(C310="","",IFERROR(VLOOKUP(C310,'Example Parties'!$B$13:$Q$112,2,FALSE),"?"))</f>
        <v/>
      </c>
      <c r="Q310">
        <f>IF(D310="","",IFERROR(VLOOKUP(D310,Lists!$A$2:$D$9,3,FALSE),"?"))</f>
        <v/>
      </c>
      <c r="R310">
        <f>IF(D310="","",IFERROR(VLOOKUP(D310,Lists!$A$2:$D$9,4,FALSE),"?"))</f>
        <v/>
      </c>
      <c r="S310">
        <f>IF(P310="Debtor",I310,IF(P310="Creditor",J310,0))</f>
        <v/>
      </c>
      <c r="T310">
        <f>IF(P310="Debtor",J310,IF(P310="Creditor",I310,0))</f>
        <v/>
      </c>
      <c r="U310">
        <f>IF(OR(S310=0,B310=""),0,IFERROR(VLOOKUP(C310,'Example Parties'!$B$13:$Q$112,13,FALSE),0)+SUMIFS($S$7:$S$506,$C$7:$C$506,C310,$B$7:$B$506,"&lt;"&amp;B310)+SUMIFS(S$7:S310,C$7:C310,C310,B$7:B310,B310))</f>
        <v/>
      </c>
      <c r="V310">
        <f>IF(S310=0,0,IFERROR(VLOOKUP(C310,'Example Parties'!$B$13:$Q$112,14,FALSE),0)+SUMIFS($T$7:$T$506,$C$7:$C$506,C310,$B$7:$B$506,"&lt;="&amp;'Example Outstanding'!$E$5))</f>
        <v/>
      </c>
      <c r="W310">
        <f>IF(OR('Example Outstanding'!$E$5="",S310=0,B310="",B310&gt;'Example Outstanding'!$E$5),0,MAX(0,MIN(S310,U310-V310)))</f>
        <v/>
      </c>
      <c r="X310">
        <f>IF(C310="",0,IFERROR(VLOOKUP(C310,'Example Parties'!$B$13:$Q$112,15,FALSE),0))</f>
        <v/>
      </c>
      <c r="Y310">
        <f>IF(C310="","",IFERROR(VLOOKUP(C310,'Example Parties'!$B$13:$Q$112,16,FALSE),0))</f>
        <v/>
      </c>
      <c r="Z310">
        <f>IF(OR(S310=0,B310="",Y310=""),"",IF(AND(F310&lt;&gt;"",D310="Purchase bill"),F310,B310)+Y310)</f>
        <v/>
      </c>
      <c r="AA310">
        <f>IF(OR(W310=0,Z310=""),0,MAX(0,'Example Outstanding'!$E$5-Z310))</f>
        <v/>
      </c>
      <c r="AB310">
        <f>IF(AND(X310=1,AA310&gt;0),W310*((1+3*N('Example Parties'!$E$10)/12)^(AA310*12/365)-1),0)</f>
        <v/>
      </c>
      <c r="AC310">
        <f>IF(W310=0,"",'Example Outstanding'!$E$5-B310)</f>
        <v/>
      </c>
      <c r="AD310">
        <f>IF(S310=0,0,IFERROR(VLOOKUP(C310,'Example Parties'!$B$13:$Q$112,14,FALSE),0)+SUMIFS($T$7:$T$506,$C$7:$C$506,C310,$B$7:$B$506,"&lt;="&amp;'Example Parties'!$E$8))</f>
        <v/>
      </c>
      <c r="AE310">
        <f>IF(OR('Example Parties'!$E$8="",S310=0,B310="",B310&gt;'Example Parties'!$E$8),0,MAX(0,MIN(S310,U310-AD310)))</f>
        <v/>
      </c>
      <c r="AF310">
        <f>IF(AND(P310="Creditor",X310=1,AE310&gt;0,Z310&lt;&gt;""),IF(Z310&lt;='Example Parties'!$E$8,AE310,0),0)</f>
        <v/>
      </c>
      <c r="AG310">
        <f>IF(OR(AE310=0,Z310=""),0,MAX(0,'Example Parties'!$E$8-Z310))</f>
        <v/>
      </c>
      <c r="AH310">
        <f>IF(AND(P310="Creditor",X310=1,AG310&gt;0),AE310*((1+3*N('Example Parties'!$E$10)/12)^(AG310*12/365)-1),0)</f>
        <v/>
      </c>
      <c r="AI310">
        <f>IF(AND(C310&lt;&gt;"",C310='Example Ledger'!$D$4,B310&lt;&gt;"",B310&gt;='Example Ledger'!$D$5,B310&lt;='Example Ledger'!$D$6),1,0)</f>
        <v/>
      </c>
      <c r="AJ310">
        <f>IF(AI310=1,SUM(AI$7:AI310),"")</f>
        <v/>
      </c>
      <c r="AK310">
        <f>IF(OR(N310="",N310="OK"),0,1)</f>
        <v/>
      </c>
    </row>
    <row r="311">
      <c r="B311" s="24" t="n"/>
      <c r="C311" s="14" t="n"/>
      <c r="D311" s="14" t="n"/>
      <c r="E311" s="20" t="n"/>
      <c r="F311" s="24" t="n"/>
      <c r="G311" s="14" t="n"/>
      <c r="H311" s="22" t="n"/>
      <c r="I311" s="25">
        <f>IF(Q311="D",N(H311),0)</f>
        <v/>
      </c>
      <c r="J311" s="25">
        <f>IF(Q311="C",N(H311),0)</f>
        <v/>
      </c>
      <c r="K311" s="26">
        <f>IF(Z311="","",Z311)</f>
        <v/>
      </c>
      <c r="L311" s="27">
        <f>W311</f>
        <v/>
      </c>
      <c r="M311" s="28">
        <f>AA311</f>
        <v/>
      </c>
      <c r="N311" s="23">
        <f>IF(AND(B311="",C311="",D311="",N(H311)=0),"",IF(B311="","Enter the date",IF(C311="","Pick the party",IF(P311="?","Add this party on the Parties sheet first",IF(D311="","Pick the entry type",IF(Q311="?","Pick the entry type from the list",IF(N(H311)=0,"Enter the amount",IF(AND(R311&lt;&gt;"Any",R311&lt;&gt;P311),"Sales, receipts and credit notes are for debtors; purchases, payments and debit notes for creditors",IF(AND(F311&lt;&gt;"",D311&lt;&gt;"Purchase bill"),"The received-on date is only for purchase bills",IF(AND(P311="Creditor",X311=1,AA311&gt;0),"Past due to a micro or small supplier: interest runs under MSMED s.16, and if unpaid at year end it is not deductible that year, s.37(2)(g)",IF(AND(P311="Debtor",X311=1,AA311&gt;0),"Past due to you: as a micro or small supplier you can claim interest under MSMED s.16","OK")))))))))))</f>
        <v/>
      </c>
      <c r="P311">
        <f>IF(C311="","",IFERROR(VLOOKUP(C311,'Example Parties'!$B$13:$Q$112,2,FALSE),"?"))</f>
        <v/>
      </c>
      <c r="Q311">
        <f>IF(D311="","",IFERROR(VLOOKUP(D311,Lists!$A$2:$D$9,3,FALSE),"?"))</f>
        <v/>
      </c>
      <c r="R311">
        <f>IF(D311="","",IFERROR(VLOOKUP(D311,Lists!$A$2:$D$9,4,FALSE),"?"))</f>
        <v/>
      </c>
      <c r="S311">
        <f>IF(P311="Debtor",I311,IF(P311="Creditor",J311,0))</f>
        <v/>
      </c>
      <c r="T311">
        <f>IF(P311="Debtor",J311,IF(P311="Creditor",I311,0))</f>
        <v/>
      </c>
      <c r="U311">
        <f>IF(OR(S311=0,B311=""),0,IFERROR(VLOOKUP(C311,'Example Parties'!$B$13:$Q$112,13,FALSE),0)+SUMIFS($S$7:$S$506,$C$7:$C$506,C311,$B$7:$B$506,"&lt;"&amp;B311)+SUMIFS(S$7:S311,C$7:C311,C311,B$7:B311,B311))</f>
        <v/>
      </c>
      <c r="V311">
        <f>IF(S311=0,0,IFERROR(VLOOKUP(C311,'Example Parties'!$B$13:$Q$112,14,FALSE),0)+SUMIFS($T$7:$T$506,$C$7:$C$506,C311,$B$7:$B$506,"&lt;="&amp;'Example Outstanding'!$E$5))</f>
        <v/>
      </c>
      <c r="W311">
        <f>IF(OR('Example Outstanding'!$E$5="",S311=0,B311="",B311&gt;'Example Outstanding'!$E$5),0,MAX(0,MIN(S311,U311-V311)))</f>
        <v/>
      </c>
      <c r="X311">
        <f>IF(C311="",0,IFERROR(VLOOKUP(C311,'Example Parties'!$B$13:$Q$112,15,FALSE),0))</f>
        <v/>
      </c>
      <c r="Y311">
        <f>IF(C311="","",IFERROR(VLOOKUP(C311,'Example Parties'!$B$13:$Q$112,16,FALSE),0))</f>
        <v/>
      </c>
      <c r="Z311">
        <f>IF(OR(S311=0,B311="",Y311=""),"",IF(AND(F311&lt;&gt;"",D311="Purchase bill"),F311,B311)+Y311)</f>
        <v/>
      </c>
      <c r="AA311">
        <f>IF(OR(W311=0,Z311=""),0,MAX(0,'Example Outstanding'!$E$5-Z311))</f>
        <v/>
      </c>
      <c r="AB311">
        <f>IF(AND(X311=1,AA311&gt;0),W311*((1+3*N('Example Parties'!$E$10)/12)^(AA311*12/365)-1),0)</f>
        <v/>
      </c>
      <c r="AC311">
        <f>IF(W311=0,"",'Example Outstanding'!$E$5-B311)</f>
        <v/>
      </c>
      <c r="AD311">
        <f>IF(S311=0,0,IFERROR(VLOOKUP(C311,'Example Parties'!$B$13:$Q$112,14,FALSE),0)+SUMIFS($T$7:$T$506,$C$7:$C$506,C311,$B$7:$B$506,"&lt;="&amp;'Example Parties'!$E$8))</f>
        <v/>
      </c>
      <c r="AE311">
        <f>IF(OR('Example Parties'!$E$8="",S311=0,B311="",B311&gt;'Example Parties'!$E$8),0,MAX(0,MIN(S311,U311-AD311)))</f>
        <v/>
      </c>
      <c r="AF311">
        <f>IF(AND(P311="Creditor",X311=1,AE311&gt;0,Z311&lt;&gt;""),IF(Z311&lt;='Example Parties'!$E$8,AE311,0),0)</f>
        <v/>
      </c>
      <c r="AG311">
        <f>IF(OR(AE311=0,Z311=""),0,MAX(0,'Example Parties'!$E$8-Z311))</f>
        <v/>
      </c>
      <c r="AH311">
        <f>IF(AND(P311="Creditor",X311=1,AG311&gt;0),AE311*((1+3*N('Example Parties'!$E$10)/12)^(AG311*12/365)-1),0)</f>
        <v/>
      </c>
      <c r="AI311">
        <f>IF(AND(C311&lt;&gt;"",C311='Example Ledger'!$D$4,B311&lt;&gt;"",B311&gt;='Example Ledger'!$D$5,B311&lt;='Example Ledger'!$D$6),1,0)</f>
        <v/>
      </c>
      <c r="AJ311">
        <f>IF(AI311=1,SUM(AI$7:AI311),"")</f>
        <v/>
      </c>
      <c r="AK311">
        <f>IF(OR(N311="",N311="OK"),0,1)</f>
        <v/>
      </c>
    </row>
    <row r="312">
      <c r="B312" s="24" t="n"/>
      <c r="C312" s="14" t="n"/>
      <c r="D312" s="14" t="n"/>
      <c r="E312" s="20" t="n"/>
      <c r="F312" s="24" t="n"/>
      <c r="G312" s="14" t="n"/>
      <c r="H312" s="22" t="n"/>
      <c r="I312" s="25">
        <f>IF(Q312="D",N(H312),0)</f>
        <v/>
      </c>
      <c r="J312" s="25">
        <f>IF(Q312="C",N(H312),0)</f>
        <v/>
      </c>
      <c r="K312" s="26">
        <f>IF(Z312="","",Z312)</f>
        <v/>
      </c>
      <c r="L312" s="27">
        <f>W312</f>
        <v/>
      </c>
      <c r="M312" s="28">
        <f>AA312</f>
        <v/>
      </c>
      <c r="N312" s="23">
        <f>IF(AND(B312="",C312="",D312="",N(H312)=0),"",IF(B312="","Enter the date",IF(C312="","Pick the party",IF(P312="?","Add this party on the Parties sheet first",IF(D312="","Pick the entry type",IF(Q312="?","Pick the entry type from the list",IF(N(H312)=0,"Enter the amount",IF(AND(R312&lt;&gt;"Any",R312&lt;&gt;P312),"Sales, receipts and credit notes are for debtors; purchases, payments and debit notes for creditors",IF(AND(F312&lt;&gt;"",D312&lt;&gt;"Purchase bill"),"The received-on date is only for purchase bills",IF(AND(P312="Creditor",X312=1,AA312&gt;0),"Past due to a micro or small supplier: interest runs under MSMED s.16, and if unpaid at year end it is not deductible that year, s.37(2)(g)",IF(AND(P312="Debtor",X312=1,AA312&gt;0),"Past due to you: as a micro or small supplier you can claim interest under MSMED s.16","OK")))))))))))</f>
        <v/>
      </c>
      <c r="P312">
        <f>IF(C312="","",IFERROR(VLOOKUP(C312,'Example Parties'!$B$13:$Q$112,2,FALSE),"?"))</f>
        <v/>
      </c>
      <c r="Q312">
        <f>IF(D312="","",IFERROR(VLOOKUP(D312,Lists!$A$2:$D$9,3,FALSE),"?"))</f>
        <v/>
      </c>
      <c r="R312">
        <f>IF(D312="","",IFERROR(VLOOKUP(D312,Lists!$A$2:$D$9,4,FALSE),"?"))</f>
        <v/>
      </c>
      <c r="S312">
        <f>IF(P312="Debtor",I312,IF(P312="Creditor",J312,0))</f>
        <v/>
      </c>
      <c r="T312">
        <f>IF(P312="Debtor",J312,IF(P312="Creditor",I312,0))</f>
        <v/>
      </c>
      <c r="U312">
        <f>IF(OR(S312=0,B312=""),0,IFERROR(VLOOKUP(C312,'Example Parties'!$B$13:$Q$112,13,FALSE),0)+SUMIFS($S$7:$S$506,$C$7:$C$506,C312,$B$7:$B$506,"&lt;"&amp;B312)+SUMIFS(S$7:S312,C$7:C312,C312,B$7:B312,B312))</f>
        <v/>
      </c>
      <c r="V312">
        <f>IF(S312=0,0,IFERROR(VLOOKUP(C312,'Example Parties'!$B$13:$Q$112,14,FALSE),0)+SUMIFS($T$7:$T$506,$C$7:$C$506,C312,$B$7:$B$506,"&lt;="&amp;'Example Outstanding'!$E$5))</f>
        <v/>
      </c>
      <c r="W312">
        <f>IF(OR('Example Outstanding'!$E$5="",S312=0,B312="",B312&gt;'Example Outstanding'!$E$5),0,MAX(0,MIN(S312,U312-V312)))</f>
        <v/>
      </c>
      <c r="X312">
        <f>IF(C312="",0,IFERROR(VLOOKUP(C312,'Example Parties'!$B$13:$Q$112,15,FALSE),0))</f>
        <v/>
      </c>
      <c r="Y312">
        <f>IF(C312="","",IFERROR(VLOOKUP(C312,'Example Parties'!$B$13:$Q$112,16,FALSE),0))</f>
        <v/>
      </c>
      <c r="Z312">
        <f>IF(OR(S312=0,B312="",Y312=""),"",IF(AND(F312&lt;&gt;"",D312="Purchase bill"),F312,B312)+Y312)</f>
        <v/>
      </c>
      <c r="AA312">
        <f>IF(OR(W312=0,Z312=""),0,MAX(0,'Example Outstanding'!$E$5-Z312))</f>
        <v/>
      </c>
      <c r="AB312">
        <f>IF(AND(X312=1,AA312&gt;0),W312*((1+3*N('Example Parties'!$E$10)/12)^(AA312*12/365)-1),0)</f>
        <v/>
      </c>
      <c r="AC312">
        <f>IF(W312=0,"",'Example Outstanding'!$E$5-B312)</f>
        <v/>
      </c>
      <c r="AD312">
        <f>IF(S312=0,0,IFERROR(VLOOKUP(C312,'Example Parties'!$B$13:$Q$112,14,FALSE),0)+SUMIFS($T$7:$T$506,$C$7:$C$506,C312,$B$7:$B$506,"&lt;="&amp;'Example Parties'!$E$8))</f>
        <v/>
      </c>
      <c r="AE312">
        <f>IF(OR('Example Parties'!$E$8="",S312=0,B312="",B312&gt;'Example Parties'!$E$8),0,MAX(0,MIN(S312,U312-AD312)))</f>
        <v/>
      </c>
      <c r="AF312">
        <f>IF(AND(P312="Creditor",X312=1,AE312&gt;0,Z312&lt;&gt;""),IF(Z312&lt;='Example Parties'!$E$8,AE312,0),0)</f>
        <v/>
      </c>
      <c r="AG312">
        <f>IF(OR(AE312=0,Z312=""),0,MAX(0,'Example Parties'!$E$8-Z312))</f>
        <v/>
      </c>
      <c r="AH312">
        <f>IF(AND(P312="Creditor",X312=1,AG312&gt;0),AE312*((1+3*N('Example Parties'!$E$10)/12)^(AG312*12/365)-1),0)</f>
        <v/>
      </c>
      <c r="AI312">
        <f>IF(AND(C312&lt;&gt;"",C312='Example Ledger'!$D$4,B312&lt;&gt;"",B312&gt;='Example Ledger'!$D$5,B312&lt;='Example Ledger'!$D$6),1,0)</f>
        <v/>
      </c>
      <c r="AJ312">
        <f>IF(AI312=1,SUM(AI$7:AI312),"")</f>
        <v/>
      </c>
      <c r="AK312">
        <f>IF(OR(N312="",N312="OK"),0,1)</f>
        <v/>
      </c>
    </row>
    <row r="313">
      <c r="B313" s="24" t="n"/>
      <c r="C313" s="14" t="n"/>
      <c r="D313" s="14" t="n"/>
      <c r="E313" s="20" t="n"/>
      <c r="F313" s="24" t="n"/>
      <c r="G313" s="14" t="n"/>
      <c r="H313" s="22" t="n"/>
      <c r="I313" s="25">
        <f>IF(Q313="D",N(H313),0)</f>
        <v/>
      </c>
      <c r="J313" s="25">
        <f>IF(Q313="C",N(H313),0)</f>
        <v/>
      </c>
      <c r="K313" s="26">
        <f>IF(Z313="","",Z313)</f>
        <v/>
      </c>
      <c r="L313" s="27">
        <f>W313</f>
        <v/>
      </c>
      <c r="M313" s="28">
        <f>AA313</f>
        <v/>
      </c>
      <c r="N313" s="23">
        <f>IF(AND(B313="",C313="",D313="",N(H313)=0),"",IF(B313="","Enter the date",IF(C313="","Pick the party",IF(P313="?","Add this party on the Parties sheet first",IF(D313="","Pick the entry type",IF(Q313="?","Pick the entry type from the list",IF(N(H313)=0,"Enter the amount",IF(AND(R313&lt;&gt;"Any",R313&lt;&gt;P313),"Sales, receipts and credit notes are for debtors; purchases, payments and debit notes for creditors",IF(AND(F313&lt;&gt;"",D313&lt;&gt;"Purchase bill"),"The received-on date is only for purchase bills",IF(AND(P313="Creditor",X313=1,AA313&gt;0),"Past due to a micro or small supplier: interest runs under MSMED s.16, and if unpaid at year end it is not deductible that year, s.37(2)(g)",IF(AND(P313="Debtor",X313=1,AA313&gt;0),"Past due to you: as a micro or small supplier you can claim interest under MSMED s.16","OK")))))))))))</f>
        <v/>
      </c>
      <c r="P313">
        <f>IF(C313="","",IFERROR(VLOOKUP(C313,'Example Parties'!$B$13:$Q$112,2,FALSE),"?"))</f>
        <v/>
      </c>
      <c r="Q313">
        <f>IF(D313="","",IFERROR(VLOOKUP(D313,Lists!$A$2:$D$9,3,FALSE),"?"))</f>
        <v/>
      </c>
      <c r="R313">
        <f>IF(D313="","",IFERROR(VLOOKUP(D313,Lists!$A$2:$D$9,4,FALSE),"?"))</f>
        <v/>
      </c>
      <c r="S313">
        <f>IF(P313="Debtor",I313,IF(P313="Creditor",J313,0))</f>
        <v/>
      </c>
      <c r="T313">
        <f>IF(P313="Debtor",J313,IF(P313="Creditor",I313,0))</f>
        <v/>
      </c>
      <c r="U313">
        <f>IF(OR(S313=0,B313=""),0,IFERROR(VLOOKUP(C313,'Example Parties'!$B$13:$Q$112,13,FALSE),0)+SUMIFS($S$7:$S$506,$C$7:$C$506,C313,$B$7:$B$506,"&lt;"&amp;B313)+SUMIFS(S$7:S313,C$7:C313,C313,B$7:B313,B313))</f>
        <v/>
      </c>
      <c r="V313">
        <f>IF(S313=0,0,IFERROR(VLOOKUP(C313,'Example Parties'!$B$13:$Q$112,14,FALSE),0)+SUMIFS($T$7:$T$506,$C$7:$C$506,C313,$B$7:$B$506,"&lt;="&amp;'Example Outstanding'!$E$5))</f>
        <v/>
      </c>
      <c r="W313">
        <f>IF(OR('Example Outstanding'!$E$5="",S313=0,B313="",B313&gt;'Example Outstanding'!$E$5),0,MAX(0,MIN(S313,U313-V313)))</f>
        <v/>
      </c>
      <c r="X313">
        <f>IF(C313="",0,IFERROR(VLOOKUP(C313,'Example Parties'!$B$13:$Q$112,15,FALSE),0))</f>
        <v/>
      </c>
      <c r="Y313">
        <f>IF(C313="","",IFERROR(VLOOKUP(C313,'Example Parties'!$B$13:$Q$112,16,FALSE),0))</f>
        <v/>
      </c>
      <c r="Z313">
        <f>IF(OR(S313=0,B313="",Y313=""),"",IF(AND(F313&lt;&gt;"",D313="Purchase bill"),F313,B313)+Y313)</f>
        <v/>
      </c>
      <c r="AA313">
        <f>IF(OR(W313=0,Z313=""),0,MAX(0,'Example Outstanding'!$E$5-Z313))</f>
        <v/>
      </c>
      <c r="AB313">
        <f>IF(AND(X313=1,AA313&gt;0),W313*((1+3*N('Example Parties'!$E$10)/12)^(AA313*12/365)-1),0)</f>
        <v/>
      </c>
      <c r="AC313">
        <f>IF(W313=0,"",'Example Outstanding'!$E$5-B313)</f>
        <v/>
      </c>
      <c r="AD313">
        <f>IF(S313=0,0,IFERROR(VLOOKUP(C313,'Example Parties'!$B$13:$Q$112,14,FALSE),0)+SUMIFS($T$7:$T$506,$C$7:$C$506,C313,$B$7:$B$506,"&lt;="&amp;'Example Parties'!$E$8))</f>
        <v/>
      </c>
      <c r="AE313">
        <f>IF(OR('Example Parties'!$E$8="",S313=0,B313="",B313&gt;'Example Parties'!$E$8),0,MAX(0,MIN(S313,U313-AD313)))</f>
        <v/>
      </c>
      <c r="AF313">
        <f>IF(AND(P313="Creditor",X313=1,AE313&gt;0,Z313&lt;&gt;""),IF(Z313&lt;='Example Parties'!$E$8,AE313,0),0)</f>
        <v/>
      </c>
      <c r="AG313">
        <f>IF(OR(AE313=0,Z313=""),0,MAX(0,'Example Parties'!$E$8-Z313))</f>
        <v/>
      </c>
      <c r="AH313">
        <f>IF(AND(P313="Creditor",X313=1,AG313&gt;0),AE313*((1+3*N('Example Parties'!$E$10)/12)^(AG313*12/365)-1),0)</f>
        <v/>
      </c>
      <c r="AI313">
        <f>IF(AND(C313&lt;&gt;"",C313='Example Ledger'!$D$4,B313&lt;&gt;"",B313&gt;='Example Ledger'!$D$5,B313&lt;='Example Ledger'!$D$6),1,0)</f>
        <v/>
      </c>
      <c r="AJ313">
        <f>IF(AI313=1,SUM(AI$7:AI313),"")</f>
        <v/>
      </c>
      <c r="AK313">
        <f>IF(OR(N313="",N313="OK"),0,1)</f>
        <v/>
      </c>
    </row>
    <row r="314">
      <c r="B314" s="24" t="n"/>
      <c r="C314" s="14" t="n"/>
      <c r="D314" s="14" t="n"/>
      <c r="E314" s="20" t="n"/>
      <c r="F314" s="24" t="n"/>
      <c r="G314" s="14" t="n"/>
      <c r="H314" s="22" t="n"/>
      <c r="I314" s="25">
        <f>IF(Q314="D",N(H314),0)</f>
        <v/>
      </c>
      <c r="J314" s="25">
        <f>IF(Q314="C",N(H314),0)</f>
        <v/>
      </c>
      <c r="K314" s="26">
        <f>IF(Z314="","",Z314)</f>
        <v/>
      </c>
      <c r="L314" s="27">
        <f>W314</f>
        <v/>
      </c>
      <c r="M314" s="28">
        <f>AA314</f>
        <v/>
      </c>
      <c r="N314" s="23">
        <f>IF(AND(B314="",C314="",D314="",N(H314)=0),"",IF(B314="","Enter the date",IF(C314="","Pick the party",IF(P314="?","Add this party on the Parties sheet first",IF(D314="","Pick the entry type",IF(Q314="?","Pick the entry type from the list",IF(N(H314)=0,"Enter the amount",IF(AND(R314&lt;&gt;"Any",R314&lt;&gt;P314),"Sales, receipts and credit notes are for debtors; purchases, payments and debit notes for creditors",IF(AND(F314&lt;&gt;"",D314&lt;&gt;"Purchase bill"),"The received-on date is only for purchase bills",IF(AND(P314="Creditor",X314=1,AA314&gt;0),"Past due to a micro or small supplier: interest runs under MSMED s.16, and if unpaid at year end it is not deductible that year, s.37(2)(g)",IF(AND(P314="Debtor",X314=1,AA314&gt;0),"Past due to you: as a micro or small supplier you can claim interest under MSMED s.16","OK")))))))))))</f>
        <v/>
      </c>
      <c r="P314">
        <f>IF(C314="","",IFERROR(VLOOKUP(C314,'Example Parties'!$B$13:$Q$112,2,FALSE),"?"))</f>
        <v/>
      </c>
      <c r="Q314">
        <f>IF(D314="","",IFERROR(VLOOKUP(D314,Lists!$A$2:$D$9,3,FALSE),"?"))</f>
        <v/>
      </c>
      <c r="R314">
        <f>IF(D314="","",IFERROR(VLOOKUP(D314,Lists!$A$2:$D$9,4,FALSE),"?"))</f>
        <v/>
      </c>
      <c r="S314">
        <f>IF(P314="Debtor",I314,IF(P314="Creditor",J314,0))</f>
        <v/>
      </c>
      <c r="T314">
        <f>IF(P314="Debtor",J314,IF(P314="Creditor",I314,0))</f>
        <v/>
      </c>
      <c r="U314">
        <f>IF(OR(S314=0,B314=""),0,IFERROR(VLOOKUP(C314,'Example Parties'!$B$13:$Q$112,13,FALSE),0)+SUMIFS($S$7:$S$506,$C$7:$C$506,C314,$B$7:$B$506,"&lt;"&amp;B314)+SUMIFS(S$7:S314,C$7:C314,C314,B$7:B314,B314))</f>
        <v/>
      </c>
      <c r="V314">
        <f>IF(S314=0,0,IFERROR(VLOOKUP(C314,'Example Parties'!$B$13:$Q$112,14,FALSE),0)+SUMIFS($T$7:$T$506,$C$7:$C$506,C314,$B$7:$B$506,"&lt;="&amp;'Example Outstanding'!$E$5))</f>
        <v/>
      </c>
      <c r="W314">
        <f>IF(OR('Example Outstanding'!$E$5="",S314=0,B314="",B314&gt;'Example Outstanding'!$E$5),0,MAX(0,MIN(S314,U314-V314)))</f>
        <v/>
      </c>
      <c r="X314">
        <f>IF(C314="",0,IFERROR(VLOOKUP(C314,'Example Parties'!$B$13:$Q$112,15,FALSE),0))</f>
        <v/>
      </c>
      <c r="Y314">
        <f>IF(C314="","",IFERROR(VLOOKUP(C314,'Example Parties'!$B$13:$Q$112,16,FALSE),0))</f>
        <v/>
      </c>
      <c r="Z314">
        <f>IF(OR(S314=0,B314="",Y314=""),"",IF(AND(F314&lt;&gt;"",D314="Purchase bill"),F314,B314)+Y314)</f>
        <v/>
      </c>
      <c r="AA314">
        <f>IF(OR(W314=0,Z314=""),0,MAX(0,'Example Outstanding'!$E$5-Z314))</f>
        <v/>
      </c>
      <c r="AB314">
        <f>IF(AND(X314=1,AA314&gt;0),W314*((1+3*N('Example Parties'!$E$10)/12)^(AA314*12/365)-1),0)</f>
        <v/>
      </c>
      <c r="AC314">
        <f>IF(W314=0,"",'Example Outstanding'!$E$5-B314)</f>
        <v/>
      </c>
      <c r="AD314">
        <f>IF(S314=0,0,IFERROR(VLOOKUP(C314,'Example Parties'!$B$13:$Q$112,14,FALSE),0)+SUMIFS($T$7:$T$506,$C$7:$C$506,C314,$B$7:$B$506,"&lt;="&amp;'Example Parties'!$E$8))</f>
        <v/>
      </c>
      <c r="AE314">
        <f>IF(OR('Example Parties'!$E$8="",S314=0,B314="",B314&gt;'Example Parties'!$E$8),0,MAX(0,MIN(S314,U314-AD314)))</f>
        <v/>
      </c>
      <c r="AF314">
        <f>IF(AND(P314="Creditor",X314=1,AE314&gt;0,Z314&lt;&gt;""),IF(Z314&lt;='Example Parties'!$E$8,AE314,0),0)</f>
        <v/>
      </c>
      <c r="AG314">
        <f>IF(OR(AE314=0,Z314=""),0,MAX(0,'Example Parties'!$E$8-Z314))</f>
        <v/>
      </c>
      <c r="AH314">
        <f>IF(AND(P314="Creditor",X314=1,AG314&gt;0),AE314*((1+3*N('Example Parties'!$E$10)/12)^(AG314*12/365)-1),0)</f>
        <v/>
      </c>
      <c r="AI314">
        <f>IF(AND(C314&lt;&gt;"",C314='Example Ledger'!$D$4,B314&lt;&gt;"",B314&gt;='Example Ledger'!$D$5,B314&lt;='Example Ledger'!$D$6),1,0)</f>
        <v/>
      </c>
      <c r="AJ314">
        <f>IF(AI314=1,SUM(AI$7:AI314),"")</f>
        <v/>
      </c>
      <c r="AK314">
        <f>IF(OR(N314="",N314="OK"),0,1)</f>
        <v/>
      </c>
    </row>
    <row r="315">
      <c r="B315" s="24" t="n"/>
      <c r="C315" s="14" t="n"/>
      <c r="D315" s="14" t="n"/>
      <c r="E315" s="20" t="n"/>
      <c r="F315" s="24" t="n"/>
      <c r="G315" s="14" t="n"/>
      <c r="H315" s="22" t="n"/>
      <c r="I315" s="25">
        <f>IF(Q315="D",N(H315),0)</f>
        <v/>
      </c>
      <c r="J315" s="25">
        <f>IF(Q315="C",N(H315),0)</f>
        <v/>
      </c>
      <c r="K315" s="26">
        <f>IF(Z315="","",Z315)</f>
        <v/>
      </c>
      <c r="L315" s="27">
        <f>W315</f>
        <v/>
      </c>
      <c r="M315" s="28">
        <f>AA315</f>
        <v/>
      </c>
      <c r="N315" s="23">
        <f>IF(AND(B315="",C315="",D315="",N(H315)=0),"",IF(B315="","Enter the date",IF(C315="","Pick the party",IF(P315="?","Add this party on the Parties sheet first",IF(D315="","Pick the entry type",IF(Q315="?","Pick the entry type from the list",IF(N(H315)=0,"Enter the amount",IF(AND(R315&lt;&gt;"Any",R315&lt;&gt;P315),"Sales, receipts and credit notes are for debtors; purchases, payments and debit notes for creditors",IF(AND(F315&lt;&gt;"",D315&lt;&gt;"Purchase bill"),"The received-on date is only for purchase bills",IF(AND(P315="Creditor",X315=1,AA315&gt;0),"Past due to a micro or small supplier: interest runs under MSMED s.16, and if unpaid at year end it is not deductible that year, s.37(2)(g)",IF(AND(P315="Debtor",X315=1,AA315&gt;0),"Past due to you: as a micro or small supplier you can claim interest under MSMED s.16","OK")))))))))))</f>
        <v/>
      </c>
      <c r="P315">
        <f>IF(C315="","",IFERROR(VLOOKUP(C315,'Example Parties'!$B$13:$Q$112,2,FALSE),"?"))</f>
        <v/>
      </c>
      <c r="Q315">
        <f>IF(D315="","",IFERROR(VLOOKUP(D315,Lists!$A$2:$D$9,3,FALSE),"?"))</f>
        <v/>
      </c>
      <c r="R315">
        <f>IF(D315="","",IFERROR(VLOOKUP(D315,Lists!$A$2:$D$9,4,FALSE),"?"))</f>
        <v/>
      </c>
      <c r="S315">
        <f>IF(P315="Debtor",I315,IF(P315="Creditor",J315,0))</f>
        <v/>
      </c>
      <c r="T315">
        <f>IF(P315="Debtor",J315,IF(P315="Creditor",I315,0))</f>
        <v/>
      </c>
      <c r="U315">
        <f>IF(OR(S315=0,B315=""),0,IFERROR(VLOOKUP(C315,'Example Parties'!$B$13:$Q$112,13,FALSE),0)+SUMIFS($S$7:$S$506,$C$7:$C$506,C315,$B$7:$B$506,"&lt;"&amp;B315)+SUMIFS(S$7:S315,C$7:C315,C315,B$7:B315,B315))</f>
        <v/>
      </c>
      <c r="V315">
        <f>IF(S315=0,0,IFERROR(VLOOKUP(C315,'Example Parties'!$B$13:$Q$112,14,FALSE),0)+SUMIFS($T$7:$T$506,$C$7:$C$506,C315,$B$7:$B$506,"&lt;="&amp;'Example Outstanding'!$E$5))</f>
        <v/>
      </c>
      <c r="W315">
        <f>IF(OR('Example Outstanding'!$E$5="",S315=0,B315="",B315&gt;'Example Outstanding'!$E$5),0,MAX(0,MIN(S315,U315-V315)))</f>
        <v/>
      </c>
      <c r="X315">
        <f>IF(C315="",0,IFERROR(VLOOKUP(C315,'Example Parties'!$B$13:$Q$112,15,FALSE),0))</f>
        <v/>
      </c>
      <c r="Y315">
        <f>IF(C315="","",IFERROR(VLOOKUP(C315,'Example Parties'!$B$13:$Q$112,16,FALSE),0))</f>
        <v/>
      </c>
      <c r="Z315">
        <f>IF(OR(S315=0,B315="",Y315=""),"",IF(AND(F315&lt;&gt;"",D315="Purchase bill"),F315,B315)+Y315)</f>
        <v/>
      </c>
      <c r="AA315">
        <f>IF(OR(W315=0,Z315=""),0,MAX(0,'Example Outstanding'!$E$5-Z315))</f>
        <v/>
      </c>
      <c r="AB315">
        <f>IF(AND(X315=1,AA315&gt;0),W315*((1+3*N('Example Parties'!$E$10)/12)^(AA315*12/365)-1),0)</f>
        <v/>
      </c>
      <c r="AC315">
        <f>IF(W315=0,"",'Example Outstanding'!$E$5-B315)</f>
        <v/>
      </c>
      <c r="AD315">
        <f>IF(S315=0,0,IFERROR(VLOOKUP(C315,'Example Parties'!$B$13:$Q$112,14,FALSE),0)+SUMIFS($T$7:$T$506,$C$7:$C$506,C315,$B$7:$B$506,"&lt;="&amp;'Example Parties'!$E$8))</f>
        <v/>
      </c>
      <c r="AE315">
        <f>IF(OR('Example Parties'!$E$8="",S315=0,B315="",B315&gt;'Example Parties'!$E$8),0,MAX(0,MIN(S315,U315-AD315)))</f>
        <v/>
      </c>
      <c r="AF315">
        <f>IF(AND(P315="Creditor",X315=1,AE315&gt;0,Z315&lt;&gt;""),IF(Z315&lt;='Example Parties'!$E$8,AE315,0),0)</f>
        <v/>
      </c>
      <c r="AG315">
        <f>IF(OR(AE315=0,Z315=""),0,MAX(0,'Example Parties'!$E$8-Z315))</f>
        <v/>
      </c>
      <c r="AH315">
        <f>IF(AND(P315="Creditor",X315=1,AG315&gt;0),AE315*((1+3*N('Example Parties'!$E$10)/12)^(AG315*12/365)-1),0)</f>
        <v/>
      </c>
      <c r="AI315">
        <f>IF(AND(C315&lt;&gt;"",C315='Example Ledger'!$D$4,B315&lt;&gt;"",B315&gt;='Example Ledger'!$D$5,B315&lt;='Example Ledger'!$D$6),1,0)</f>
        <v/>
      </c>
      <c r="AJ315">
        <f>IF(AI315=1,SUM(AI$7:AI315),"")</f>
        <v/>
      </c>
      <c r="AK315">
        <f>IF(OR(N315="",N315="OK"),0,1)</f>
        <v/>
      </c>
    </row>
    <row r="316">
      <c r="B316" s="24" t="n"/>
      <c r="C316" s="14" t="n"/>
      <c r="D316" s="14" t="n"/>
      <c r="E316" s="20" t="n"/>
      <c r="F316" s="24" t="n"/>
      <c r="G316" s="14" t="n"/>
      <c r="H316" s="22" t="n"/>
      <c r="I316" s="25">
        <f>IF(Q316="D",N(H316),0)</f>
        <v/>
      </c>
      <c r="J316" s="25">
        <f>IF(Q316="C",N(H316),0)</f>
        <v/>
      </c>
      <c r="K316" s="26">
        <f>IF(Z316="","",Z316)</f>
        <v/>
      </c>
      <c r="L316" s="27">
        <f>W316</f>
        <v/>
      </c>
      <c r="M316" s="28">
        <f>AA316</f>
        <v/>
      </c>
      <c r="N316" s="23">
        <f>IF(AND(B316="",C316="",D316="",N(H316)=0),"",IF(B316="","Enter the date",IF(C316="","Pick the party",IF(P316="?","Add this party on the Parties sheet first",IF(D316="","Pick the entry type",IF(Q316="?","Pick the entry type from the list",IF(N(H316)=0,"Enter the amount",IF(AND(R316&lt;&gt;"Any",R316&lt;&gt;P316),"Sales, receipts and credit notes are for debtors; purchases, payments and debit notes for creditors",IF(AND(F316&lt;&gt;"",D316&lt;&gt;"Purchase bill"),"The received-on date is only for purchase bills",IF(AND(P316="Creditor",X316=1,AA316&gt;0),"Past due to a micro or small supplier: interest runs under MSMED s.16, and if unpaid at year end it is not deductible that year, s.37(2)(g)",IF(AND(P316="Debtor",X316=1,AA316&gt;0),"Past due to you: as a micro or small supplier you can claim interest under MSMED s.16","OK")))))))))))</f>
        <v/>
      </c>
      <c r="P316">
        <f>IF(C316="","",IFERROR(VLOOKUP(C316,'Example Parties'!$B$13:$Q$112,2,FALSE),"?"))</f>
        <v/>
      </c>
      <c r="Q316">
        <f>IF(D316="","",IFERROR(VLOOKUP(D316,Lists!$A$2:$D$9,3,FALSE),"?"))</f>
        <v/>
      </c>
      <c r="R316">
        <f>IF(D316="","",IFERROR(VLOOKUP(D316,Lists!$A$2:$D$9,4,FALSE),"?"))</f>
        <v/>
      </c>
      <c r="S316">
        <f>IF(P316="Debtor",I316,IF(P316="Creditor",J316,0))</f>
        <v/>
      </c>
      <c r="T316">
        <f>IF(P316="Debtor",J316,IF(P316="Creditor",I316,0))</f>
        <v/>
      </c>
      <c r="U316">
        <f>IF(OR(S316=0,B316=""),0,IFERROR(VLOOKUP(C316,'Example Parties'!$B$13:$Q$112,13,FALSE),0)+SUMIFS($S$7:$S$506,$C$7:$C$506,C316,$B$7:$B$506,"&lt;"&amp;B316)+SUMIFS(S$7:S316,C$7:C316,C316,B$7:B316,B316))</f>
        <v/>
      </c>
      <c r="V316">
        <f>IF(S316=0,0,IFERROR(VLOOKUP(C316,'Example Parties'!$B$13:$Q$112,14,FALSE),0)+SUMIFS($T$7:$T$506,$C$7:$C$506,C316,$B$7:$B$506,"&lt;="&amp;'Example Outstanding'!$E$5))</f>
        <v/>
      </c>
      <c r="W316">
        <f>IF(OR('Example Outstanding'!$E$5="",S316=0,B316="",B316&gt;'Example Outstanding'!$E$5),0,MAX(0,MIN(S316,U316-V316)))</f>
        <v/>
      </c>
      <c r="X316">
        <f>IF(C316="",0,IFERROR(VLOOKUP(C316,'Example Parties'!$B$13:$Q$112,15,FALSE),0))</f>
        <v/>
      </c>
      <c r="Y316">
        <f>IF(C316="","",IFERROR(VLOOKUP(C316,'Example Parties'!$B$13:$Q$112,16,FALSE),0))</f>
        <v/>
      </c>
      <c r="Z316">
        <f>IF(OR(S316=0,B316="",Y316=""),"",IF(AND(F316&lt;&gt;"",D316="Purchase bill"),F316,B316)+Y316)</f>
        <v/>
      </c>
      <c r="AA316">
        <f>IF(OR(W316=0,Z316=""),0,MAX(0,'Example Outstanding'!$E$5-Z316))</f>
        <v/>
      </c>
      <c r="AB316">
        <f>IF(AND(X316=1,AA316&gt;0),W316*((1+3*N('Example Parties'!$E$10)/12)^(AA316*12/365)-1),0)</f>
        <v/>
      </c>
      <c r="AC316">
        <f>IF(W316=0,"",'Example Outstanding'!$E$5-B316)</f>
        <v/>
      </c>
      <c r="AD316">
        <f>IF(S316=0,0,IFERROR(VLOOKUP(C316,'Example Parties'!$B$13:$Q$112,14,FALSE),0)+SUMIFS($T$7:$T$506,$C$7:$C$506,C316,$B$7:$B$506,"&lt;="&amp;'Example Parties'!$E$8))</f>
        <v/>
      </c>
      <c r="AE316">
        <f>IF(OR('Example Parties'!$E$8="",S316=0,B316="",B316&gt;'Example Parties'!$E$8),0,MAX(0,MIN(S316,U316-AD316)))</f>
        <v/>
      </c>
      <c r="AF316">
        <f>IF(AND(P316="Creditor",X316=1,AE316&gt;0,Z316&lt;&gt;""),IF(Z316&lt;='Example Parties'!$E$8,AE316,0),0)</f>
        <v/>
      </c>
      <c r="AG316">
        <f>IF(OR(AE316=0,Z316=""),0,MAX(0,'Example Parties'!$E$8-Z316))</f>
        <v/>
      </c>
      <c r="AH316">
        <f>IF(AND(P316="Creditor",X316=1,AG316&gt;0),AE316*((1+3*N('Example Parties'!$E$10)/12)^(AG316*12/365)-1),0)</f>
        <v/>
      </c>
      <c r="AI316">
        <f>IF(AND(C316&lt;&gt;"",C316='Example Ledger'!$D$4,B316&lt;&gt;"",B316&gt;='Example Ledger'!$D$5,B316&lt;='Example Ledger'!$D$6),1,0)</f>
        <v/>
      </c>
      <c r="AJ316">
        <f>IF(AI316=1,SUM(AI$7:AI316),"")</f>
        <v/>
      </c>
      <c r="AK316">
        <f>IF(OR(N316="",N316="OK"),0,1)</f>
        <v/>
      </c>
    </row>
    <row r="317">
      <c r="B317" s="24" t="n"/>
      <c r="C317" s="14" t="n"/>
      <c r="D317" s="14" t="n"/>
      <c r="E317" s="20" t="n"/>
      <c r="F317" s="24" t="n"/>
      <c r="G317" s="14" t="n"/>
      <c r="H317" s="22" t="n"/>
      <c r="I317" s="25">
        <f>IF(Q317="D",N(H317),0)</f>
        <v/>
      </c>
      <c r="J317" s="25">
        <f>IF(Q317="C",N(H317),0)</f>
        <v/>
      </c>
      <c r="K317" s="26">
        <f>IF(Z317="","",Z317)</f>
        <v/>
      </c>
      <c r="L317" s="27">
        <f>W317</f>
        <v/>
      </c>
      <c r="M317" s="28">
        <f>AA317</f>
        <v/>
      </c>
      <c r="N317" s="23">
        <f>IF(AND(B317="",C317="",D317="",N(H317)=0),"",IF(B317="","Enter the date",IF(C317="","Pick the party",IF(P317="?","Add this party on the Parties sheet first",IF(D317="","Pick the entry type",IF(Q317="?","Pick the entry type from the list",IF(N(H317)=0,"Enter the amount",IF(AND(R317&lt;&gt;"Any",R317&lt;&gt;P317),"Sales, receipts and credit notes are for debtors; purchases, payments and debit notes for creditors",IF(AND(F317&lt;&gt;"",D317&lt;&gt;"Purchase bill"),"The received-on date is only for purchase bills",IF(AND(P317="Creditor",X317=1,AA317&gt;0),"Past due to a micro or small supplier: interest runs under MSMED s.16, and if unpaid at year end it is not deductible that year, s.37(2)(g)",IF(AND(P317="Debtor",X317=1,AA317&gt;0),"Past due to you: as a micro or small supplier you can claim interest under MSMED s.16","OK")))))))))))</f>
        <v/>
      </c>
      <c r="P317">
        <f>IF(C317="","",IFERROR(VLOOKUP(C317,'Example Parties'!$B$13:$Q$112,2,FALSE),"?"))</f>
        <v/>
      </c>
      <c r="Q317">
        <f>IF(D317="","",IFERROR(VLOOKUP(D317,Lists!$A$2:$D$9,3,FALSE),"?"))</f>
        <v/>
      </c>
      <c r="R317">
        <f>IF(D317="","",IFERROR(VLOOKUP(D317,Lists!$A$2:$D$9,4,FALSE),"?"))</f>
        <v/>
      </c>
      <c r="S317">
        <f>IF(P317="Debtor",I317,IF(P317="Creditor",J317,0))</f>
        <v/>
      </c>
      <c r="T317">
        <f>IF(P317="Debtor",J317,IF(P317="Creditor",I317,0))</f>
        <v/>
      </c>
      <c r="U317">
        <f>IF(OR(S317=0,B317=""),0,IFERROR(VLOOKUP(C317,'Example Parties'!$B$13:$Q$112,13,FALSE),0)+SUMIFS($S$7:$S$506,$C$7:$C$506,C317,$B$7:$B$506,"&lt;"&amp;B317)+SUMIFS(S$7:S317,C$7:C317,C317,B$7:B317,B317))</f>
        <v/>
      </c>
      <c r="V317">
        <f>IF(S317=0,0,IFERROR(VLOOKUP(C317,'Example Parties'!$B$13:$Q$112,14,FALSE),0)+SUMIFS($T$7:$T$506,$C$7:$C$506,C317,$B$7:$B$506,"&lt;="&amp;'Example Outstanding'!$E$5))</f>
        <v/>
      </c>
      <c r="W317">
        <f>IF(OR('Example Outstanding'!$E$5="",S317=0,B317="",B317&gt;'Example Outstanding'!$E$5),0,MAX(0,MIN(S317,U317-V317)))</f>
        <v/>
      </c>
      <c r="X317">
        <f>IF(C317="",0,IFERROR(VLOOKUP(C317,'Example Parties'!$B$13:$Q$112,15,FALSE),0))</f>
        <v/>
      </c>
      <c r="Y317">
        <f>IF(C317="","",IFERROR(VLOOKUP(C317,'Example Parties'!$B$13:$Q$112,16,FALSE),0))</f>
        <v/>
      </c>
      <c r="Z317">
        <f>IF(OR(S317=0,B317="",Y317=""),"",IF(AND(F317&lt;&gt;"",D317="Purchase bill"),F317,B317)+Y317)</f>
        <v/>
      </c>
      <c r="AA317">
        <f>IF(OR(W317=0,Z317=""),0,MAX(0,'Example Outstanding'!$E$5-Z317))</f>
        <v/>
      </c>
      <c r="AB317">
        <f>IF(AND(X317=1,AA317&gt;0),W317*((1+3*N('Example Parties'!$E$10)/12)^(AA317*12/365)-1),0)</f>
        <v/>
      </c>
      <c r="AC317">
        <f>IF(W317=0,"",'Example Outstanding'!$E$5-B317)</f>
        <v/>
      </c>
      <c r="AD317">
        <f>IF(S317=0,0,IFERROR(VLOOKUP(C317,'Example Parties'!$B$13:$Q$112,14,FALSE),0)+SUMIFS($T$7:$T$506,$C$7:$C$506,C317,$B$7:$B$506,"&lt;="&amp;'Example Parties'!$E$8))</f>
        <v/>
      </c>
      <c r="AE317">
        <f>IF(OR('Example Parties'!$E$8="",S317=0,B317="",B317&gt;'Example Parties'!$E$8),0,MAX(0,MIN(S317,U317-AD317)))</f>
        <v/>
      </c>
      <c r="AF317">
        <f>IF(AND(P317="Creditor",X317=1,AE317&gt;0,Z317&lt;&gt;""),IF(Z317&lt;='Example Parties'!$E$8,AE317,0),0)</f>
        <v/>
      </c>
      <c r="AG317">
        <f>IF(OR(AE317=0,Z317=""),0,MAX(0,'Example Parties'!$E$8-Z317))</f>
        <v/>
      </c>
      <c r="AH317">
        <f>IF(AND(P317="Creditor",X317=1,AG317&gt;0),AE317*((1+3*N('Example Parties'!$E$10)/12)^(AG317*12/365)-1),0)</f>
        <v/>
      </c>
      <c r="AI317">
        <f>IF(AND(C317&lt;&gt;"",C317='Example Ledger'!$D$4,B317&lt;&gt;"",B317&gt;='Example Ledger'!$D$5,B317&lt;='Example Ledger'!$D$6),1,0)</f>
        <v/>
      </c>
      <c r="AJ317">
        <f>IF(AI317=1,SUM(AI$7:AI317),"")</f>
        <v/>
      </c>
      <c r="AK317">
        <f>IF(OR(N317="",N317="OK"),0,1)</f>
        <v/>
      </c>
    </row>
    <row r="318">
      <c r="B318" s="24" t="n"/>
      <c r="C318" s="14" t="n"/>
      <c r="D318" s="14" t="n"/>
      <c r="E318" s="20" t="n"/>
      <c r="F318" s="24" t="n"/>
      <c r="G318" s="14" t="n"/>
      <c r="H318" s="22" t="n"/>
      <c r="I318" s="25">
        <f>IF(Q318="D",N(H318),0)</f>
        <v/>
      </c>
      <c r="J318" s="25">
        <f>IF(Q318="C",N(H318),0)</f>
        <v/>
      </c>
      <c r="K318" s="26">
        <f>IF(Z318="","",Z318)</f>
        <v/>
      </c>
      <c r="L318" s="27">
        <f>W318</f>
        <v/>
      </c>
      <c r="M318" s="28">
        <f>AA318</f>
        <v/>
      </c>
      <c r="N318" s="23">
        <f>IF(AND(B318="",C318="",D318="",N(H318)=0),"",IF(B318="","Enter the date",IF(C318="","Pick the party",IF(P318="?","Add this party on the Parties sheet first",IF(D318="","Pick the entry type",IF(Q318="?","Pick the entry type from the list",IF(N(H318)=0,"Enter the amount",IF(AND(R318&lt;&gt;"Any",R318&lt;&gt;P318),"Sales, receipts and credit notes are for debtors; purchases, payments and debit notes for creditors",IF(AND(F318&lt;&gt;"",D318&lt;&gt;"Purchase bill"),"The received-on date is only for purchase bills",IF(AND(P318="Creditor",X318=1,AA318&gt;0),"Past due to a micro or small supplier: interest runs under MSMED s.16, and if unpaid at year end it is not deductible that year, s.37(2)(g)",IF(AND(P318="Debtor",X318=1,AA318&gt;0),"Past due to you: as a micro or small supplier you can claim interest under MSMED s.16","OK")))))))))))</f>
        <v/>
      </c>
      <c r="P318">
        <f>IF(C318="","",IFERROR(VLOOKUP(C318,'Example Parties'!$B$13:$Q$112,2,FALSE),"?"))</f>
        <v/>
      </c>
      <c r="Q318">
        <f>IF(D318="","",IFERROR(VLOOKUP(D318,Lists!$A$2:$D$9,3,FALSE),"?"))</f>
        <v/>
      </c>
      <c r="R318">
        <f>IF(D318="","",IFERROR(VLOOKUP(D318,Lists!$A$2:$D$9,4,FALSE),"?"))</f>
        <v/>
      </c>
      <c r="S318">
        <f>IF(P318="Debtor",I318,IF(P318="Creditor",J318,0))</f>
        <v/>
      </c>
      <c r="T318">
        <f>IF(P318="Debtor",J318,IF(P318="Creditor",I318,0))</f>
        <v/>
      </c>
      <c r="U318">
        <f>IF(OR(S318=0,B318=""),0,IFERROR(VLOOKUP(C318,'Example Parties'!$B$13:$Q$112,13,FALSE),0)+SUMIFS($S$7:$S$506,$C$7:$C$506,C318,$B$7:$B$506,"&lt;"&amp;B318)+SUMIFS(S$7:S318,C$7:C318,C318,B$7:B318,B318))</f>
        <v/>
      </c>
      <c r="V318">
        <f>IF(S318=0,0,IFERROR(VLOOKUP(C318,'Example Parties'!$B$13:$Q$112,14,FALSE),0)+SUMIFS($T$7:$T$506,$C$7:$C$506,C318,$B$7:$B$506,"&lt;="&amp;'Example Outstanding'!$E$5))</f>
        <v/>
      </c>
      <c r="W318">
        <f>IF(OR('Example Outstanding'!$E$5="",S318=0,B318="",B318&gt;'Example Outstanding'!$E$5),0,MAX(0,MIN(S318,U318-V318)))</f>
        <v/>
      </c>
      <c r="X318">
        <f>IF(C318="",0,IFERROR(VLOOKUP(C318,'Example Parties'!$B$13:$Q$112,15,FALSE),0))</f>
        <v/>
      </c>
      <c r="Y318">
        <f>IF(C318="","",IFERROR(VLOOKUP(C318,'Example Parties'!$B$13:$Q$112,16,FALSE),0))</f>
        <v/>
      </c>
      <c r="Z318">
        <f>IF(OR(S318=0,B318="",Y318=""),"",IF(AND(F318&lt;&gt;"",D318="Purchase bill"),F318,B318)+Y318)</f>
        <v/>
      </c>
      <c r="AA318">
        <f>IF(OR(W318=0,Z318=""),0,MAX(0,'Example Outstanding'!$E$5-Z318))</f>
        <v/>
      </c>
      <c r="AB318">
        <f>IF(AND(X318=1,AA318&gt;0),W318*((1+3*N('Example Parties'!$E$10)/12)^(AA318*12/365)-1),0)</f>
        <v/>
      </c>
      <c r="AC318">
        <f>IF(W318=0,"",'Example Outstanding'!$E$5-B318)</f>
        <v/>
      </c>
      <c r="AD318">
        <f>IF(S318=0,0,IFERROR(VLOOKUP(C318,'Example Parties'!$B$13:$Q$112,14,FALSE),0)+SUMIFS($T$7:$T$506,$C$7:$C$506,C318,$B$7:$B$506,"&lt;="&amp;'Example Parties'!$E$8))</f>
        <v/>
      </c>
      <c r="AE318">
        <f>IF(OR('Example Parties'!$E$8="",S318=0,B318="",B318&gt;'Example Parties'!$E$8),0,MAX(0,MIN(S318,U318-AD318)))</f>
        <v/>
      </c>
      <c r="AF318">
        <f>IF(AND(P318="Creditor",X318=1,AE318&gt;0,Z318&lt;&gt;""),IF(Z318&lt;='Example Parties'!$E$8,AE318,0),0)</f>
        <v/>
      </c>
      <c r="AG318">
        <f>IF(OR(AE318=0,Z318=""),0,MAX(0,'Example Parties'!$E$8-Z318))</f>
        <v/>
      </c>
      <c r="AH318">
        <f>IF(AND(P318="Creditor",X318=1,AG318&gt;0),AE318*((1+3*N('Example Parties'!$E$10)/12)^(AG318*12/365)-1),0)</f>
        <v/>
      </c>
      <c r="AI318">
        <f>IF(AND(C318&lt;&gt;"",C318='Example Ledger'!$D$4,B318&lt;&gt;"",B318&gt;='Example Ledger'!$D$5,B318&lt;='Example Ledger'!$D$6),1,0)</f>
        <v/>
      </c>
      <c r="AJ318">
        <f>IF(AI318=1,SUM(AI$7:AI318),"")</f>
        <v/>
      </c>
      <c r="AK318">
        <f>IF(OR(N318="",N318="OK"),0,1)</f>
        <v/>
      </c>
    </row>
    <row r="319">
      <c r="B319" s="24" t="n"/>
      <c r="C319" s="14" t="n"/>
      <c r="D319" s="14" t="n"/>
      <c r="E319" s="20" t="n"/>
      <c r="F319" s="24" t="n"/>
      <c r="G319" s="14" t="n"/>
      <c r="H319" s="22" t="n"/>
      <c r="I319" s="25">
        <f>IF(Q319="D",N(H319),0)</f>
        <v/>
      </c>
      <c r="J319" s="25">
        <f>IF(Q319="C",N(H319),0)</f>
        <v/>
      </c>
      <c r="K319" s="26">
        <f>IF(Z319="","",Z319)</f>
        <v/>
      </c>
      <c r="L319" s="27">
        <f>W319</f>
        <v/>
      </c>
      <c r="M319" s="28">
        <f>AA319</f>
        <v/>
      </c>
      <c r="N319" s="23">
        <f>IF(AND(B319="",C319="",D319="",N(H319)=0),"",IF(B319="","Enter the date",IF(C319="","Pick the party",IF(P319="?","Add this party on the Parties sheet first",IF(D319="","Pick the entry type",IF(Q319="?","Pick the entry type from the list",IF(N(H319)=0,"Enter the amount",IF(AND(R319&lt;&gt;"Any",R319&lt;&gt;P319),"Sales, receipts and credit notes are for debtors; purchases, payments and debit notes for creditors",IF(AND(F319&lt;&gt;"",D319&lt;&gt;"Purchase bill"),"The received-on date is only for purchase bills",IF(AND(P319="Creditor",X319=1,AA319&gt;0),"Past due to a micro or small supplier: interest runs under MSMED s.16, and if unpaid at year end it is not deductible that year, s.37(2)(g)",IF(AND(P319="Debtor",X319=1,AA319&gt;0),"Past due to you: as a micro or small supplier you can claim interest under MSMED s.16","OK")))))))))))</f>
        <v/>
      </c>
      <c r="P319">
        <f>IF(C319="","",IFERROR(VLOOKUP(C319,'Example Parties'!$B$13:$Q$112,2,FALSE),"?"))</f>
        <v/>
      </c>
      <c r="Q319">
        <f>IF(D319="","",IFERROR(VLOOKUP(D319,Lists!$A$2:$D$9,3,FALSE),"?"))</f>
        <v/>
      </c>
      <c r="R319">
        <f>IF(D319="","",IFERROR(VLOOKUP(D319,Lists!$A$2:$D$9,4,FALSE),"?"))</f>
        <v/>
      </c>
      <c r="S319">
        <f>IF(P319="Debtor",I319,IF(P319="Creditor",J319,0))</f>
        <v/>
      </c>
      <c r="T319">
        <f>IF(P319="Debtor",J319,IF(P319="Creditor",I319,0))</f>
        <v/>
      </c>
      <c r="U319">
        <f>IF(OR(S319=0,B319=""),0,IFERROR(VLOOKUP(C319,'Example Parties'!$B$13:$Q$112,13,FALSE),0)+SUMIFS($S$7:$S$506,$C$7:$C$506,C319,$B$7:$B$506,"&lt;"&amp;B319)+SUMIFS(S$7:S319,C$7:C319,C319,B$7:B319,B319))</f>
        <v/>
      </c>
      <c r="V319">
        <f>IF(S319=0,0,IFERROR(VLOOKUP(C319,'Example Parties'!$B$13:$Q$112,14,FALSE),0)+SUMIFS($T$7:$T$506,$C$7:$C$506,C319,$B$7:$B$506,"&lt;="&amp;'Example Outstanding'!$E$5))</f>
        <v/>
      </c>
      <c r="W319">
        <f>IF(OR('Example Outstanding'!$E$5="",S319=0,B319="",B319&gt;'Example Outstanding'!$E$5),0,MAX(0,MIN(S319,U319-V319)))</f>
        <v/>
      </c>
      <c r="X319">
        <f>IF(C319="",0,IFERROR(VLOOKUP(C319,'Example Parties'!$B$13:$Q$112,15,FALSE),0))</f>
        <v/>
      </c>
      <c r="Y319">
        <f>IF(C319="","",IFERROR(VLOOKUP(C319,'Example Parties'!$B$13:$Q$112,16,FALSE),0))</f>
        <v/>
      </c>
      <c r="Z319">
        <f>IF(OR(S319=0,B319="",Y319=""),"",IF(AND(F319&lt;&gt;"",D319="Purchase bill"),F319,B319)+Y319)</f>
        <v/>
      </c>
      <c r="AA319">
        <f>IF(OR(W319=0,Z319=""),0,MAX(0,'Example Outstanding'!$E$5-Z319))</f>
        <v/>
      </c>
      <c r="AB319">
        <f>IF(AND(X319=1,AA319&gt;0),W319*((1+3*N('Example Parties'!$E$10)/12)^(AA319*12/365)-1),0)</f>
        <v/>
      </c>
      <c r="AC319">
        <f>IF(W319=0,"",'Example Outstanding'!$E$5-B319)</f>
        <v/>
      </c>
      <c r="AD319">
        <f>IF(S319=0,0,IFERROR(VLOOKUP(C319,'Example Parties'!$B$13:$Q$112,14,FALSE),0)+SUMIFS($T$7:$T$506,$C$7:$C$506,C319,$B$7:$B$506,"&lt;="&amp;'Example Parties'!$E$8))</f>
        <v/>
      </c>
      <c r="AE319">
        <f>IF(OR('Example Parties'!$E$8="",S319=0,B319="",B319&gt;'Example Parties'!$E$8),0,MAX(0,MIN(S319,U319-AD319)))</f>
        <v/>
      </c>
      <c r="AF319">
        <f>IF(AND(P319="Creditor",X319=1,AE319&gt;0,Z319&lt;&gt;""),IF(Z319&lt;='Example Parties'!$E$8,AE319,0),0)</f>
        <v/>
      </c>
      <c r="AG319">
        <f>IF(OR(AE319=0,Z319=""),0,MAX(0,'Example Parties'!$E$8-Z319))</f>
        <v/>
      </c>
      <c r="AH319">
        <f>IF(AND(P319="Creditor",X319=1,AG319&gt;0),AE319*((1+3*N('Example Parties'!$E$10)/12)^(AG319*12/365)-1),0)</f>
        <v/>
      </c>
      <c r="AI319">
        <f>IF(AND(C319&lt;&gt;"",C319='Example Ledger'!$D$4,B319&lt;&gt;"",B319&gt;='Example Ledger'!$D$5,B319&lt;='Example Ledger'!$D$6),1,0)</f>
        <v/>
      </c>
      <c r="AJ319">
        <f>IF(AI319=1,SUM(AI$7:AI319),"")</f>
        <v/>
      </c>
      <c r="AK319">
        <f>IF(OR(N319="",N319="OK"),0,1)</f>
        <v/>
      </c>
    </row>
    <row r="320">
      <c r="B320" s="24" t="n"/>
      <c r="C320" s="14" t="n"/>
      <c r="D320" s="14" t="n"/>
      <c r="E320" s="20" t="n"/>
      <c r="F320" s="24" t="n"/>
      <c r="G320" s="14" t="n"/>
      <c r="H320" s="22" t="n"/>
      <c r="I320" s="25">
        <f>IF(Q320="D",N(H320),0)</f>
        <v/>
      </c>
      <c r="J320" s="25">
        <f>IF(Q320="C",N(H320),0)</f>
        <v/>
      </c>
      <c r="K320" s="26">
        <f>IF(Z320="","",Z320)</f>
        <v/>
      </c>
      <c r="L320" s="27">
        <f>W320</f>
        <v/>
      </c>
      <c r="M320" s="28">
        <f>AA320</f>
        <v/>
      </c>
      <c r="N320" s="23">
        <f>IF(AND(B320="",C320="",D320="",N(H320)=0),"",IF(B320="","Enter the date",IF(C320="","Pick the party",IF(P320="?","Add this party on the Parties sheet first",IF(D320="","Pick the entry type",IF(Q320="?","Pick the entry type from the list",IF(N(H320)=0,"Enter the amount",IF(AND(R320&lt;&gt;"Any",R320&lt;&gt;P320),"Sales, receipts and credit notes are for debtors; purchases, payments and debit notes for creditors",IF(AND(F320&lt;&gt;"",D320&lt;&gt;"Purchase bill"),"The received-on date is only for purchase bills",IF(AND(P320="Creditor",X320=1,AA320&gt;0),"Past due to a micro or small supplier: interest runs under MSMED s.16, and if unpaid at year end it is not deductible that year, s.37(2)(g)",IF(AND(P320="Debtor",X320=1,AA320&gt;0),"Past due to you: as a micro or small supplier you can claim interest under MSMED s.16","OK")))))))))))</f>
        <v/>
      </c>
      <c r="P320">
        <f>IF(C320="","",IFERROR(VLOOKUP(C320,'Example Parties'!$B$13:$Q$112,2,FALSE),"?"))</f>
        <v/>
      </c>
      <c r="Q320">
        <f>IF(D320="","",IFERROR(VLOOKUP(D320,Lists!$A$2:$D$9,3,FALSE),"?"))</f>
        <v/>
      </c>
      <c r="R320">
        <f>IF(D320="","",IFERROR(VLOOKUP(D320,Lists!$A$2:$D$9,4,FALSE),"?"))</f>
        <v/>
      </c>
      <c r="S320">
        <f>IF(P320="Debtor",I320,IF(P320="Creditor",J320,0))</f>
        <v/>
      </c>
      <c r="T320">
        <f>IF(P320="Debtor",J320,IF(P320="Creditor",I320,0))</f>
        <v/>
      </c>
      <c r="U320">
        <f>IF(OR(S320=0,B320=""),0,IFERROR(VLOOKUP(C320,'Example Parties'!$B$13:$Q$112,13,FALSE),0)+SUMIFS($S$7:$S$506,$C$7:$C$506,C320,$B$7:$B$506,"&lt;"&amp;B320)+SUMIFS(S$7:S320,C$7:C320,C320,B$7:B320,B320))</f>
        <v/>
      </c>
      <c r="V320">
        <f>IF(S320=0,0,IFERROR(VLOOKUP(C320,'Example Parties'!$B$13:$Q$112,14,FALSE),0)+SUMIFS($T$7:$T$506,$C$7:$C$506,C320,$B$7:$B$506,"&lt;="&amp;'Example Outstanding'!$E$5))</f>
        <v/>
      </c>
      <c r="W320">
        <f>IF(OR('Example Outstanding'!$E$5="",S320=0,B320="",B320&gt;'Example Outstanding'!$E$5),0,MAX(0,MIN(S320,U320-V320)))</f>
        <v/>
      </c>
      <c r="X320">
        <f>IF(C320="",0,IFERROR(VLOOKUP(C320,'Example Parties'!$B$13:$Q$112,15,FALSE),0))</f>
        <v/>
      </c>
      <c r="Y320">
        <f>IF(C320="","",IFERROR(VLOOKUP(C320,'Example Parties'!$B$13:$Q$112,16,FALSE),0))</f>
        <v/>
      </c>
      <c r="Z320">
        <f>IF(OR(S320=0,B320="",Y320=""),"",IF(AND(F320&lt;&gt;"",D320="Purchase bill"),F320,B320)+Y320)</f>
        <v/>
      </c>
      <c r="AA320">
        <f>IF(OR(W320=0,Z320=""),0,MAX(0,'Example Outstanding'!$E$5-Z320))</f>
        <v/>
      </c>
      <c r="AB320">
        <f>IF(AND(X320=1,AA320&gt;0),W320*((1+3*N('Example Parties'!$E$10)/12)^(AA320*12/365)-1),0)</f>
        <v/>
      </c>
      <c r="AC320">
        <f>IF(W320=0,"",'Example Outstanding'!$E$5-B320)</f>
        <v/>
      </c>
      <c r="AD320">
        <f>IF(S320=0,0,IFERROR(VLOOKUP(C320,'Example Parties'!$B$13:$Q$112,14,FALSE),0)+SUMIFS($T$7:$T$506,$C$7:$C$506,C320,$B$7:$B$506,"&lt;="&amp;'Example Parties'!$E$8))</f>
        <v/>
      </c>
      <c r="AE320">
        <f>IF(OR('Example Parties'!$E$8="",S320=0,B320="",B320&gt;'Example Parties'!$E$8),0,MAX(0,MIN(S320,U320-AD320)))</f>
        <v/>
      </c>
      <c r="AF320">
        <f>IF(AND(P320="Creditor",X320=1,AE320&gt;0,Z320&lt;&gt;""),IF(Z320&lt;='Example Parties'!$E$8,AE320,0),0)</f>
        <v/>
      </c>
      <c r="AG320">
        <f>IF(OR(AE320=0,Z320=""),0,MAX(0,'Example Parties'!$E$8-Z320))</f>
        <v/>
      </c>
      <c r="AH320">
        <f>IF(AND(P320="Creditor",X320=1,AG320&gt;0),AE320*((1+3*N('Example Parties'!$E$10)/12)^(AG320*12/365)-1),0)</f>
        <v/>
      </c>
      <c r="AI320">
        <f>IF(AND(C320&lt;&gt;"",C320='Example Ledger'!$D$4,B320&lt;&gt;"",B320&gt;='Example Ledger'!$D$5,B320&lt;='Example Ledger'!$D$6),1,0)</f>
        <v/>
      </c>
      <c r="AJ320">
        <f>IF(AI320=1,SUM(AI$7:AI320),"")</f>
        <v/>
      </c>
      <c r="AK320">
        <f>IF(OR(N320="",N320="OK"),0,1)</f>
        <v/>
      </c>
    </row>
    <row r="321">
      <c r="B321" s="24" t="n"/>
      <c r="C321" s="14" t="n"/>
      <c r="D321" s="14" t="n"/>
      <c r="E321" s="20" t="n"/>
      <c r="F321" s="24" t="n"/>
      <c r="G321" s="14" t="n"/>
      <c r="H321" s="22" t="n"/>
      <c r="I321" s="25">
        <f>IF(Q321="D",N(H321),0)</f>
        <v/>
      </c>
      <c r="J321" s="25">
        <f>IF(Q321="C",N(H321),0)</f>
        <v/>
      </c>
      <c r="K321" s="26">
        <f>IF(Z321="","",Z321)</f>
        <v/>
      </c>
      <c r="L321" s="27">
        <f>W321</f>
        <v/>
      </c>
      <c r="M321" s="28">
        <f>AA321</f>
        <v/>
      </c>
      <c r="N321" s="23">
        <f>IF(AND(B321="",C321="",D321="",N(H321)=0),"",IF(B321="","Enter the date",IF(C321="","Pick the party",IF(P321="?","Add this party on the Parties sheet first",IF(D321="","Pick the entry type",IF(Q321="?","Pick the entry type from the list",IF(N(H321)=0,"Enter the amount",IF(AND(R321&lt;&gt;"Any",R321&lt;&gt;P321),"Sales, receipts and credit notes are for debtors; purchases, payments and debit notes for creditors",IF(AND(F321&lt;&gt;"",D321&lt;&gt;"Purchase bill"),"The received-on date is only for purchase bills",IF(AND(P321="Creditor",X321=1,AA321&gt;0),"Past due to a micro or small supplier: interest runs under MSMED s.16, and if unpaid at year end it is not deductible that year, s.37(2)(g)",IF(AND(P321="Debtor",X321=1,AA321&gt;0),"Past due to you: as a micro or small supplier you can claim interest under MSMED s.16","OK")))))))))))</f>
        <v/>
      </c>
      <c r="P321">
        <f>IF(C321="","",IFERROR(VLOOKUP(C321,'Example Parties'!$B$13:$Q$112,2,FALSE),"?"))</f>
        <v/>
      </c>
      <c r="Q321">
        <f>IF(D321="","",IFERROR(VLOOKUP(D321,Lists!$A$2:$D$9,3,FALSE),"?"))</f>
        <v/>
      </c>
      <c r="R321">
        <f>IF(D321="","",IFERROR(VLOOKUP(D321,Lists!$A$2:$D$9,4,FALSE),"?"))</f>
        <v/>
      </c>
      <c r="S321">
        <f>IF(P321="Debtor",I321,IF(P321="Creditor",J321,0))</f>
        <v/>
      </c>
      <c r="T321">
        <f>IF(P321="Debtor",J321,IF(P321="Creditor",I321,0))</f>
        <v/>
      </c>
      <c r="U321">
        <f>IF(OR(S321=0,B321=""),0,IFERROR(VLOOKUP(C321,'Example Parties'!$B$13:$Q$112,13,FALSE),0)+SUMIFS($S$7:$S$506,$C$7:$C$506,C321,$B$7:$B$506,"&lt;"&amp;B321)+SUMIFS(S$7:S321,C$7:C321,C321,B$7:B321,B321))</f>
        <v/>
      </c>
      <c r="V321">
        <f>IF(S321=0,0,IFERROR(VLOOKUP(C321,'Example Parties'!$B$13:$Q$112,14,FALSE),0)+SUMIFS($T$7:$T$506,$C$7:$C$506,C321,$B$7:$B$506,"&lt;="&amp;'Example Outstanding'!$E$5))</f>
        <v/>
      </c>
      <c r="W321">
        <f>IF(OR('Example Outstanding'!$E$5="",S321=0,B321="",B321&gt;'Example Outstanding'!$E$5),0,MAX(0,MIN(S321,U321-V321)))</f>
        <v/>
      </c>
      <c r="X321">
        <f>IF(C321="",0,IFERROR(VLOOKUP(C321,'Example Parties'!$B$13:$Q$112,15,FALSE),0))</f>
        <v/>
      </c>
      <c r="Y321">
        <f>IF(C321="","",IFERROR(VLOOKUP(C321,'Example Parties'!$B$13:$Q$112,16,FALSE),0))</f>
        <v/>
      </c>
      <c r="Z321">
        <f>IF(OR(S321=0,B321="",Y321=""),"",IF(AND(F321&lt;&gt;"",D321="Purchase bill"),F321,B321)+Y321)</f>
        <v/>
      </c>
      <c r="AA321">
        <f>IF(OR(W321=0,Z321=""),0,MAX(0,'Example Outstanding'!$E$5-Z321))</f>
        <v/>
      </c>
      <c r="AB321">
        <f>IF(AND(X321=1,AA321&gt;0),W321*((1+3*N('Example Parties'!$E$10)/12)^(AA321*12/365)-1),0)</f>
        <v/>
      </c>
      <c r="AC321">
        <f>IF(W321=0,"",'Example Outstanding'!$E$5-B321)</f>
        <v/>
      </c>
      <c r="AD321">
        <f>IF(S321=0,0,IFERROR(VLOOKUP(C321,'Example Parties'!$B$13:$Q$112,14,FALSE),0)+SUMIFS($T$7:$T$506,$C$7:$C$506,C321,$B$7:$B$506,"&lt;="&amp;'Example Parties'!$E$8))</f>
        <v/>
      </c>
      <c r="AE321">
        <f>IF(OR('Example Parties'!$E$8="",S321=0,B321="",B321&gt;'Example Parties'!$E$8),0,MAX(0,MIN(S321,U321-AD321)))</f>
        <v/>
      </c>
      <c r="AF321">
        <f>IF(AND(P321="Creditor",X321=1,AE321&gt;0,Z321&lt;&gt;""),IF(Z321&lt;='Example Parties'!$E$8,AE321,0),0)</f>
        <v/>
      </c>
      <c r="AG321">
        <f>IF(OR(AE321=0,Z321=""),0,MAX(0,'Example Parties'!$E$8-Z321))</f>
        <v/>
      </c>
      <c r="AH321">
        <f>IF(AND(P321="Creditor",X321=1,AG321&gt;0),AE321*((1+3*N('Example Parties'!$E$10)/12)^(AG321*12/365)-1),0)</f>
        <v/>
      </c>
      <c r="AI321">
        <f>IF(AND(C321&lt;&gt;"",C321='Example Ledger'!$D$4,B321&lt;&gt;"",B321&gt;='Example Ledger'!$D$5,B321&lt;='Example Ledger'!$D$6),1,0)</f>
        <v/>
      </c>
      <c r="AJ321">
        <f>IF(AI321=1,SUM(AI$7:AI321),"")</f>
        <v/>
      </c>
      <c r="AK321">
        <f>IF(OR(N321="",N321="OK"),0,1)</f>
        <v/>
      </c>
    </row>
    <row r="322">
      <c r="B322" s="24" t="n"/>
      <c r="C322" s="14" t="n"/>
      <c r="D322" s="14" t="n"/>
      <c r="E322" s="20" t="n"/>
      <c r="F322" s="24" t="n"/>
      <c r="G322" s="14" t="n"/>
      <c r="H322" s="22" t="n"/>
      <c r="I322" s="25">
        <f>IF(Q322="D",N(H322),0)</f>
        <v/>
      </c>
      <c r="J322" s="25">
        <f>IF(Q322="C",N(H322),0)</f>
        <v/>
      </c>
      <c r="K322" s="26">
        <f>IF(Z322="","",Z322)</f>
        <v/>
      </c>
      <c r="L322" s="27">
        <f>W322</f>
        <v/>
      </c>
      <c r="M322" s="28">
        <f>AA322</f>
        <v/>
      </c>
      <c r="N322" s="23">
        <f>IF(AND(B322="",C322="",D322="",N(H322)=0),"",IF(B322="","Enter the date",IF(C322="","Pick the party",IF(P322="?","Add this party on the Parties sheet first",IF(D322="","Pick the entry type",IF(Q322="?","Pick the entry type from the list",IF(N(H322)=0,"Enter the amount",IF(AND(R322&lt;&gt;"Any",R322&lt;&gt;P322),"Sales, receipts and credit notes are for debtors; purchases, payments and debit notes for creditors",IF(AND(F322&lt;&gt;"",D322&lt;&gt;"Purchase bill"),"The received-on date is only for purchase bills",IF(AND(P322="Creditor",X322=1,AA322&gt;0),"Past due to a micro or small supplier: interest runs under MSMED s.16, and if unpaid at year end it is not deductible that year, s.37(2)(g)",IF(AND(P322="Debtor",X322=1,AA322&gt;0),"Past due to you: as a micro or small supplier you can claim interest under MSMED s.16","OK")))))))))))</f>
        <v/>
      </c>
      <c r="P322">
        <f>IF(C322="","",IFERROR(VLOOKUP(C322,'Example Parties'!$B$13:$Q$112,2,FALSE),"?"))</f>
        <v/>
      </c>
      <c r="Q322">
        <f>IF(D322="","",IFERROR(VLOOKUP(D322,Lists!$A$2:$D$9,3,FALSE),"?"))</f>
        <v/>
      </c>
      <c r="R322">
        <f>IF(D322="","",IFERROR(VLOOKUP(D322,Lists!$A$2:$D$9,4,FALSE),"?"))</f>
        <v/>
      </c>
      <c r="S322">
        <f>IF(P322="Debtor",I322,IF(P322="Creditor",J322,0))</f>
        <v/>
      </c>
      <c r="T322">
        <f>IF(P322="Debtor",J322,IF(P322="Creditor",I322,0))</f>
        <v/>
      </c>
      <c r="U322">
        <f>IF(OR(S322=0,B322=""),0,IFERROR(VLOOKUP(C322,'Example Parties'!$B$13:$Q$112,13,FALSE),0)+SUMIFS($S$7:$S$506,$C$7:$C$506,C322,$B$7:$B$506,"&lt;"&amp;B322)+SUMIFS(S$7:S322,C$7:C322,C322,B$7:B322,B322))</f>
        <v/>
      </c>
      <c r="V322">
        <f>IF(S322=0,0,IFERROR(VLOOKUP(C322,'Example Parties'!$B$13:$Q$112,14,FALSE),0)+SUMIFS($T$7:$T$506,$C$7:$C$506,C322,$B$7:$B$506,"&lt;="&amp;'Example Outstanding'!$E$5))</f>
        <v/>
      </c>
      <c r="W322">
        <f>IF(OR('Example Outstanding'!$E$5="",S322=0,B322="",B322&gt;'Example Outstanding'!$E$5),0,MAX(0,MIN(S322,U322-V322)))</f>
        <v/>
      </c>
      <c r="X322">
        <f>IF(C322="",0,IFERROR(VLOOKUP(C322,'Example Parties'!$B$13:$Q$112,15,FALSE),0))</f>
        <v/>
      </c>
      <c r="Y322">
        <f>IF(C322="","",IFERROR(VLOOKUP(C322,'Example Parties'!$B$13:$Q$112,16,FALSE),0))</f>
        <v/>
      </c>
      <c r="Z322">
        <f>IF(OR(S322=0,B322="",Y322=""),"",IF(AND(F322&lt;&gt;"",D322="Purchase bill"),F322,B322)+Y322)</f>
        <v/>
      </c>
      <c r="AA322">
        <f>IF(OR(W322=0,Z322=""),0,MAX(0,'Example Outstanding'!$E$5-Z322))</f>
        <v/>
      </c>
      <c r="AB322">
        <f>IF(AND(X322=1,AA322&gt;0),W322*((1+3*N('Example Parties'!$E$10)/12)^(AA322*12/365)-1),0)</f>
        <v/>
      </c>
      <c r="AC322">
        <f>IF(W322=0,"",'Example Outstanding'!$E$5-B322)</f>
        <v/>
      </c>
      <c r="AD322">
        <f>IF(S322=0,0,IFERROR(VLOOKUP(C322,'Example Parties'!$B$13:$Q$112,14,FALSE),0)+SUMIFS($T$7:$T$506,$C$7:$C$506,C322,$B$7:$B$506,"&lt;="&amp;'Example Parties'!$E$8))</f>
        <v/>
      </c>
      <c r="AE322">
        <f>IF(OR('Example Parties'!$E$8="",S322=0,B322="",B322&gt;'Example Parties'!$E$8),0,MAX(0,MIN(S322,U322-AD322)))</f>
        <v/>
      </c>
      <c r="AF322">
        <f>IF(AND(P322="Creditor",X322=1,AE322&gt;0,Z322&lt;&gt;""),IF(Z322&lt;='Example Parties'!$E$8,AE322,0),0)</f>
        <v/>
      </c>
      <c r="AG322">
        <f>IF(OR(AE322=0,Z322=""),0,MAX(0,'Example Parties'!$E$8-Z322))</f>
        <v/>
      </c>
      <c r="AH322">
        <f>IF(AND(P322="Creditor",X322=1,AG322&gt;0),AE322*((1+3*N('Example Parties'!$E$10)/12)^(AG322*12/365)-1),0)</f>
        <v/>
      </c>
      <c r="AI322">
        <f>IF(AND(C322&lt;&gt;"",C322='Example Ledger'!$D$4,B322&lt;&gt;"",B322&gt;='Example Ledger'!$D$5,B322&lt;='Example Ledger'!$D$6),1,0)</f>
        <v/>
      </c>
      <c r="AJ322">
        <f>IF(AI322=1,SUM(AI$7:AI322),"")</f>
        <v/>
      </c>
      <c r="AK322">
        <f>IF(OR(N322="",N322="OK"),0,1)</f>
        <v/>
      </c>
    </row>
    <row r="323">
      <c r="B323" s="24" t="n"/>
      <c r="C323" s="14" t="n"/>
      <c r="D323" s="14" t="n"/>
      <c r="E323" s="20" t="n"/>
      <c r="F323" s="24" t="n"/>
      <c r="G323" s="14" t="n"/>
      <c r="H323" s="22" t="n"/>
      <c r="I323" s="25">
        <f>IF(Q323="D",N(H323),0)</f>
        <v/>
      </c>
      <c r="J323" s="25">
        <f>IF(Q323="C",N(H323),0)</f>
        <v/>
      </c>
      <c r="K323" s="26">
        <f>IF(Z323="","",Z323)</f>
        <v/>
      </c>
      <c r="L323" s="27">
        <f>W323</f>
        <v/>
      </c>
      <c r="M323" s="28">
        <f>AA323</f>
        <v/>
      </c>
      <c r="N323" s="23">
        <f>IF(AND(B323="",C323="",D323="",N(H323)=0),"",IF(B323="","Enter the date",IF(C323="","Pick the party",IF(P323="?","Add this party on the Parties sheet first",IF(D323="","Pick the entry type",IF(Q323="?","Pick the entry type from the list",IF(N(H323)=0,"Enter the amount",IF(AND(R323&lt;&gt;"Any",R323&lt;&gt;P323),"Sales, receipts and credit notes are for debtors; purchases, payments and debit notes for creditors",IF(AND(F323&lt;&gt;"",D323&lt;&gt;"Purchase bill"),"The received-on date is only for purchase bills",IF(AND(P323="Creditor",X323=1,AA323&gt;0),"Past due to a micro or small supplier: interest runs under MSMED s.16, and if unpaid at year end it is not deductible that year, s.37(2)(g)",IF(AND(P323="Debtor",X323=1,AA323&gt;0),"Past due to you: as a micro or small supplier you can claim interest under MSMED s.16","OK")))))))))))</f>
        <v/>
      </c>
      <c r="P323">
        <f>IF(C323="","",IFERROR(VLOOKUP(C323,'Example Parties'!$B$13:$Q$112,2,FALSE),"?"))</f>
        <v/>
      </c>
      <c r="Q323">
        <f>IF(D323="","",IFERROR(VLOOKUP(D323,Lists!$A$2:$D$9,3,FALSE),"?"))</f>
        <v/>
      </c>
      <c r="R323">
        <f>IF(D323="","",IFERROR(VLOOKUP(D323,Lists!$A$2:$D$9,4,FALSE),"?"))</f>
        <v/>
      </c>
      <c r="S323">
        <f>IF(P323="Debtor",I323,IF(P323="Creditor",J323,0))</f>
        <v/>
      </c>
      <c r="T323">
        <f>IF(P323="Debtor",J323,IF(P323="Creditor",I323,0))</f>
        <v/>
      </c>
      <c r="U323">
        <f>IF(OR(S323=0,B323=""),0,IFERROR(VLOOKUP(C323,'Example Parties'!$B$13:$Q$112,13,FALSE),0)+SUMIFS($S$7:$S$506,$C$7:$C$506,C323,$B$7:$B$506,"&lt;"&amp;B323)+SUMIFS(S$7:S323,C$7:C323,C323,B$7:B323,B323))</f>
        <v/>
      </c>
      <c r="V323">
        <f>IF(S323=0,0,IFERROR(VLOOKUP(C323,'Example Parties'!$B$13:$Q$112,14,FALSE),0)+SUMIFS($T$7:$T$506,$C$7:$C$506,C323,$B$7:$B$506,"&lt;="&amp;'Example Outstanding'!$E$5))</f>
        <v/>
      </c>
      <c r="W323">
        <f>IF(OR('Example Outstanding'!$E$5="",S323=0,B323="",B323&gt;'Example Outstanding'!$E$5),0,MAX(0,MIN(S323,U323-V323)))</f>
        <v/>
      </c>
      <c r="X323">
        <f>IF(C323="",0,IFERROR(VLOOKUP(C323,'Example Parties'!$B$13:$Q$112,15,FALSE),0))</f>
        <v/>
      </c>
      <c r="Y323">
        <f>IF(C323="","",IFERROR(VLOOKUP(C323,'Example Parties'!$B$13:$Q$112,16,FALSE),0))</f>
        <v/>
      </c>
      <c r="Z323">
        <f>IF(OR(S323=0,B323="",Y323=""),"",IF(AND(F323&lt;&gt;"",D323="Purchase bill"),F323,B323)+Y323)</f>
        <v/>
      </c>
      <c r="AA323">
        <f>IF(OR(W323=0,Z323=""),0,MAX(0,'Example Outstanding'!$E$5-Z323))</f>
        <v/>
      </c>
      <c r="AB323">
        <f>IF(AND(X323=1,AA323&gt;0),W323*((1+3*N('Example Parties'!$E$10)/12)^(AA323*12/365)-1),0)</f>
        <v/>
      </c>
      <c r="AC323">
        <f>IF(W323=0,"",'Example Outstanding'!$E$5-B323)</f>
        <v/>
      </c>
      <c r="AD323">
        <f>IF(S323=0,0,IFERROR(VLOOKUP(C323,'Example Parties'!$B$13:$Q$112,14,FALSE),0)+SUMIFS($T$7:$T$506,$C$7:$C$506,C323,$B$7:$B$506,"&lt;="&amp;'Example Parties'!$E$8))</f>
        <v/>
      </c>
      <c r="AE323">
        <f>IF(OR('Example Parties'!$E$8="",S323=0,B323="",B323&gt;'Example Parties'!$E$8),0,MAX(0,MIN(S323,U323-AD323)))</f>
        <v/>
      </c>
      <c r="AF323">
        <f>IF(AND(P323="Creditor",X323=1,AE323&gt;0,Z323&lt;&gt;""),IF(Z323&lt;='Example Parties'!$E$8,AE323,0),0)</f>
        <v/>
      </c>
      <c r="AG323">
        <f>IF(OR(AE323=0,Z323=""),0,MAX(0,'Example Parties'!$E$8-Z323))</f>
        <v/>
      </c>
      <c r="AH323">
        <f>IF(AND(P323="Creditor",X323=1,AG323&gt;0),AE323*((1+3*N('Example Parties'!$E$10)/12)^(AG323*12/365)-1),0)</f>
        <v/>
      </c>
      <c r="AI323">
        <f>IF(AND(C323&lt;&gt;"",C323='Example Ledger'!$D$4,B323&lt;&gt;"",B323&gt;='Example Ledger'!$D$5,B323&lt;='Example Ledger'!$D$6),1,0)</f>
        <v/>
      </c>
      <c r="AJ323">
        <f>IF(AI323=1,SUM(AI$7:AI323),"")</f>
        <v/>
      </c>
      <c r="AK323">
        <f>IF(OR(N323="",N323="OK"),0,1)</f>
        <v/>
      </c>
    </row>
    <row r="324">
      <c r="B324" s="24" t="n"/>
      <c r="C324" s="14" t="n"/>
      <c r="D324" s="14" t="n"/>
      <c r="E324" s="20" t="n"/>
      <c r="F324" s="24" t="n"/>
      <c r="G324" s="14" t="n"/>
      <c r="H324" s="22" t="n"/>
      <c r="I324" s="25">
        <f>IF(Q324="D",N(H324),0)</f>
        <v/>
      </c>
      <c r="J324" s="25">
        <f>IF(Q324="C",N(H324),0)</f>
        <v/>
      </c>
      <c r="K324" s="26">
        <f>IF(Z324="","",Z324)</f>
        <v/>
      </c>
      <c r="L324" s="27">
        <f>W324</f>
        <v/>
      </c>
      <c r="M324" s="28">
        <f>AA324</f>
        <v/>
      </c>
      <c r="N324" s="23">
        <f>IF(AND(B324="",C324="",D324="",N(H324)=0),"",IF(B324="","Enter the date",IF(C324="","Pick the party",IF(P324="?","Add this party on the Parties sheet first",IF(D324="","Pick the entry type",IF(Q324="?","Pick the entry type from the list",IF(N(H324)=0,"Enter the amount",IF(AND(R324&lt;&gt;"Any",R324&lt;&gt;P324),"Sales, receipts and credit notes are for debtors; purchases, payments and debit notes for creditors",IF(AND(F324&lt;&gt;"",D324&lt;&gt;"Purchase bill"),"The received-on date is only for purchase bills",IF(AND(P324="Creditor",X324=1,AA324&gt;0),"Past due to a micro or small supplier: interest runs under MSMED s.16, and if unpaid at year end it is not deductible that year, s.37(2)(g)",IF(AND(P324="Debtor",X324=1,AA324&gt;0),"Past due to you: as a micro or small supplier you can claim interest under MSMED s.16","OK")))))))))))</f>
        <v/>
      </c>
      <c r="P324">
        <f>IF(C324="","",IFERROR(VLOOKUP(C324,'Example Parties'!$B$13:$Q$112,2,FALSE),"?"))</f>
        <v/>
      </c>
      <c r="Q324">
        <f>IF(D324="","",IFERROR(VLOOKUP(D324,Lists!$A$2:$D$9,3,FALSE),"?"))</f>
        <v/>
      </c>
      <c r="R324">
        <f>IF(D324="","",IFERROR(VLOOKUP(D324,Lists!$A$2:$D$9,4,FALSE),"?"))</f>
        <v/>
      </c>
      <c r="S324">
        <f>IF(P324="Debtor",I324,IF(P324="Creditor",J324,0))</f>
        <v/>
      </c>
      <c r="T324">
        <f>IF(P324="Debtor",J324,IF(P324="Creditor",I324,0))</f>
        <v/>
      </c>
      <c r="U324">
        <f>IF(OR(S324=0,B324=""),0,IFERROR(VLOOKUP(C324,'Example Parties'!$B$13:$Q$112,13,FALSE),0)+SUMIFS($S$7:$S$506,$C$7:$C$506,C324,$B$7:$B$506,"&lt;"&amp;B324)+SUMIFS(S$7:S324,C$7:C324,C324,B$7:B324,B324))</f>
        <v/>
      </c>
      <c r="V324">
        <f>IF(S324=0,0,IFERROR(VLOOKUP(C324,'Example Parties'!$B$13:$Q$112,14,FALSE),0)+SUMIFS($T$7:$T$506,$C$7:$C$506,C324,$B$7:$B$506,"&lt;="&amp;'Example Outstanding'!$E$5))</f>
        <v/>
      </c>
      <c r="W324">
        <f>IF(OR('Example Outstanding'!$E$5="",S324=0,B324="",B324&gt;'Example Outstanding'!$E$5),0,MAX(0,MIN(S324,U324-V324)))</f>
        <v/>
      </c>
      <c r="X324">
        <f>IF(C324="",0,IFERROR(VLOOKUP(C324,'Example Parties'!$B$13:$Q$112,15,FALSE),0))</f>
        <v/>
      </c>
      <c r="Y324">
        <f>IF(C324="","",IFERROR(VLOOKUP(C324,'Example Parties'!$B$13:$Q$112,16,FALSE),0))</f>
        <v/>
      </c>
      <c r="Z324">
        <f>IF(OR(S324=0,B324="",Y324=""),"",IF(AND(F324&lt;&gt;"",D324="Purchase bill"),F324,B324)+Y324)</f>
        <v/>
      </c>
      <c r="AA324">
        <f>IF(OR(W324=0,Z324=""),0,MAX(0,'Example Outstanding'!$E$5-Z324))</f>
        <v/>
      </c>
      <c r="AB324">
        <f>IF(AND(X324=1,AA324&gt;0),W324*((1+3*N('Example Parties'!$E$10)/12)^(AA324*12/365)-1),0)</f>
        <v/>
      </c>
      <c r="AC324">
        <f>IF(W324=0,"",'Example Outstanding'!$E$5-B324)</f>
        <v/>
      </c>
      <c r="AD324">
        <f>IF(S324=0,0,IFERROR(VLOOKUP(C324,'Example Parties'!$B$13:$Q$112,14,FALSE),0)+SUMIFS($T$7:$T$506,$C$7:$C$506,C324,$B$7:$B$506,"&lt;="&amp;'Example Parties'!$E$8))</f>
        <v/>
      </c>
      <c r="AE324">
        <f>IF(OR('Example Parties'!$E$8="",S324=0,B324="",B324&gt;'Example Parties'!$E$8),0,MAX(0,MIN(S324,U324-AD324)))</f>
        <v/>
      </c>
      <c r="AF324">
        <f>IF(AND(P324="Creditor",X324=1,AE324&gt;0,Z324&lt;&gt;""),IF(Z324&lt;='Example Parties'!$E$8,AE324,0),0)</f>
        <v/>
      </c>
      <c r="AG324">
        <f>IF(OR(AE324=0,Z324=""),0,MAX(0,'Example Parties'!$E$8-Z324))</f>
        <v/>
      </c>
      <c r="AH324">
        <f>IF(AND(P324="Creditor",X324=1,AG324&gt;0),AE324*((1+3*N('Example Parties'!$E$10)/12)^(AG324*12/365)-1),0)</f>
        <v/>
      </c>
      <c r="AI324">
        <f>IF(AND(C324&lt;&gt;"",C324='Example Ledger'!$D$4,B324&lt;&gt;"",B324&gt;='Example Ledger'!$D$5,B324&lt;='Example Ledger'!$D$6),1,0)</f>
        <v/>
      </c>
      <c r="AJ324">
        <f>IF(AI324=1,SUM(AI$7:AI324),"")</f>
        <v/>
      </c>
      <c r="AK324">
        <f>IF(OR(N324="",N324="OK"),0,1)</f>
        <v/>
      </c>
    </row>
    <row r="325">
      <c r="B325" s="24" t="n"/>
      <c r="C325" s="14" t="n"/>
      <c r="D325" s="14" t="n"/>
      <c r="E325" s="20" t="n"/>
      <c r="F325" s="24" t="n"/>
      <c r="G325" s="14" t="n"/>
      <c r="H325" s="22" t="n"/>
      <c r="I325" s="25">
        <f>IF(Q325="D",N(H325),0)</f>
        <v/>
      </c>
      <c r="J325" s="25">
        <f>IF(Q325="C",N(H325),0)</f>
        <v/>
      </c>
      <c r="K325" s="26">
        <f>IF(Z325="","",Z325)</f>
        <v/>
      </c>
      <c r="L325" s="27">
        <f>W325</f>
        <v/>
      </c>
      <c r="M325" s="28">
        <f>AA325</f>
        <v/>
      </c>
      <c r="N325" s="23">
        <f>IF(AND(B325="",C325="",D325="",N(H325)=0),"",IF(B325="","Enter the date",IF(C325="","Pick the party",IF(P325="?","Add this party on the Parties sheet first",IF(D325="","Pick the entry type",IF(Q325="?","Pick the entry type from the list",IF(N(H325)=0,"Enter the amount",IF(AND(R325&lt;&gt;"Any",R325&lt;&gt;P325),"Sales, receipts and credit notes are for debtors; purchases, payments and debit notes for creditors",IF(AND(F325&lt;&gt;"",D325&lt;&gt;"Purchase bill"),"The received-on date is only for purchase bills",IF(AND(P325="Creditor",X325=1,AA325&gt;0),"Past due to a micro or small supplier: interest runs under MSMED s.16, and if unpaid at year end it is not deductible that year, s.37(2)(g)",IF(AND(P325="Debtor",X325=1,AA325&gt;0),"Past due to you: as a micro or small supplier you can claim interest under MSMED s.16","OK")))))))))))</f>
        <v/>
      </c>
      <c r="P325">
        <f>IF(C325="","",IFERROR(VLOOKUP(C325,'Example Parties'!$B$13:$Q$112,2,FALSE),"?"))</f>
        <v/>
      </c>
      <c r="Q325">
        <f>IF(D325="","",IFERROR(VLOOKUP(D325,Lists!$A$2:$D$9,3,FALSE),"?"))</f>
        <v/>
      </c>
      <c r="R325">
        <f>IF(D325="","",IFERROR(VLOOKUP(D325,Lists!$A$2:$D$9,4,FALSE),"?"))</f>
        <v/>
      </c>
      <c r="S325">
        <f>IF(P325="Debtor",I325,IF(P325="Creditor",J325,0))</f>
        <v/>
      </c>
      <c r="T325">
        <f>IF(P325="Debtor",J325,IF(P325="Creditor",I325,0))</f>
        <v/>
      </c>
      <c r="U325">
        <f>IF(OR(S325=0,B325=""),0,IFERROR(VLOOKUP(C325,'Example Parties'!$B$13:$Q$112,13,FALSE),0)+SUMIFS($S$7:$S$506,$C$7:$C$506,C325,$B$7:$B$506,"&lt;"&amp;B325)+SUMIFS(S$7:S325,C$7:C325,C325,B$7:B325,B325))</f>
        <v/>
      </c>
      <c r="V325">
        <f>IF(S325=0,0,IFERROR(VLOOKUP(C325,'Example Parties'!$B$13:$Q$112,14,FALSE),0)+SUMIFS($T$7:$T$506,$C$7:$C$506,C325,$B$7:$B$506,"&lt;="&amp;'Example Outstanding'!$E$5))</f>
        <v/>
      </c>
      <c r="W325">
        <f>IF(OR('Example Outstanding'!$E$5="",S325=0,B325="",B325&gt;'Example Outstanding'!$E$5),0,MAX(0,MIN(S325,U325-V325)))</f>
        <v/>
      </c>
      <c r="X325">
        <f>IF(C325="",0,IFERROR(VLOOKUP(C325,'Example Parties'!$B$13:$Q$112,15,FALSE),0))</f>
        <v/>
      </c>
      <c r="Y325">
        <f>IF(C325="","",IFERROR(VLOOKUP(C325,'Example Parties'!$B$13:$Q$112,16,FALSE),0))</f>
        <v/>
      </c>
      <c r="Z325">
        <f>IF(OR(S325=0,B325="",Y325=""),"",IF(AND(F325&lt;&gt;"",D325="Purchase bill"),F325,B325)+Y325)</f>
        <v/>
      </c>
      <c r="AA325">
        <f>IF(OR(W325=0,Z325=""),0,MAX(0,'Example Outstanding'!$E$5-Z325))</f>
        <v/>
      </c>
      <c r="AB325">
        <f>IF(AND(X325=1,AA325&gt;0),W325*((1+3*N('Example Parties'!$E$10)/12)^(AA325*12/365)-1),0)</f>
        <v/>
      </c>
      <c r="AC325">
        <f>IF(W325=0,"",'Example Outstanding'!$E$5-B325)</f>
        <v/>
      </c>
      <c r="AD325">
        <f>IF(S325=0,0,IFERROR(VLOOKUP(C325,'Example Parties'!$B$13:$Q$112,14,FALSE),0)+SUMIFS($T$7:$T$506,$C$7:$C$506,C325,$B$7:$B$506,"&lt;="&amp;'Example Parties'!$E$8))</f>
        <v/>
      </c>
      <c r="AE325">
        <f>IF(OR('Example Parties'!$E$8="",S325=0,B325="",B325&gt;'Example Parties'!$E$8),0,MAX(0,MIN(S325,U325-AD325)))</f>
        <v/>
      </c>
      <c r="AF325">
        <f>IF(AND(P325="Creditor",X325=1,AE325&gt;0,Z325&lt;&gt;""),IF(Z325&lt;='Example Parties'!$E$8,AE325,0),0)</f>
        <v/>
      </c>
      <c r="AG325">
        <f>IF(OR(AE325=0,Z325=""),0,MAX(0,'Example Parties'!$E$8-Z325))</f>
        <v/>
      </c>
      <c r="AH325">
        <f>IF(AND(P325="Creditor",X325=1,AG325&gt;0),AE325*((1+3*N('Example Parties'!$E$10)/12)^(AG325*12/365)-1),0)</f>
        <v/>
      </c>
      <c r="AI325">
        <f>IF(AND(C325&lt;&gt;"",C325='Example Ledger'!$D$4,B325&lt;&gt;"",B325&gt;='Example Ledger'!$D$5,B325&lt;='Example Ledger'!$D$6),1,0)</f>
        <v/>
      </c>
      <c r="AJ325">
        <f>IF(AI325=1,SUM(AI$7:AI325),"")</f>
        <v/>
      </c>
      <c r="AK325">
        <f>IF(OR(N325="",N325="OK"),0,1)</f>
        <v/>
      </c>
    </row>
    <row r="326">
      <c r="B326" s="24" t="n"/>
      <c r="C326" s="14" t="n"/>
      <c r="D326" s="14" t="n"/>
      <c r="E326" s="20" t="n"/>
      <c r="F326" s="24" t="n"/>
      <c r="G326" s="14" t="n"/>
      <c r="H326" s="22" t="n"/>
      <c r="I326" s="25">
        <f>IF(Q326="D",N(H326),0)</f>
        <v/>
      </c>
      <c r="J326" s="25">
        <f>IF(Q326="C",N(H326),0)</f>
        <v/>
      </c>
      <c r="K326" s="26">
        <f>IF(Z326="","",Z326)</f>
        <v/>
      </c>
      <c r="L326" s="27">
        <f>W326</f>
        <v/>
      </c>
      <c r="M326" s="28">
        <f>AA326</f>
        <v/>
      </c>
      <c r="N326" s="23">
        <f>IF(AND(B326="",C326="",D326="",N(H326)=0),"",IF(B326="","Enter the date",IF(C326="","Pick the party",IF(P326="?","Add this party on the Parties sheet first",IF(D326="","Pick the entry type",IF(Q326="?","Pick the entry type from the list",IF(N(H326)=0,"Enter the amount",IF(AND(R326&lt;&gt;"Any",R326&lt;&gt;P326),"Sales, receipts and credit notes are for debtors; purchases, payments and debit notes for creditors",IF(AND(F326&lt;&gt;"",D326&lt;&gt;"Purchase bill"),"The received-on date is only for purchase bills",IF(AND(P326="Creditor",X326=1,AA326&gt;0),"Past due to a micro or small supplier: interest runs under MSMED s.16, and if unpaid at year end it is not deductible that year, s.37(2)(g)",IF(AND(P326="Debtor",X326=1,AA326&gt;0),"Past due to you: as a micro or small supplier you can claim interest under MSMED s.16","OK")))))))))))</f>
        <v/>
      </c>
      <c r="P326">
        <f>IF(C326="","",IFERROR(VLOOKUP(C326,'Example Parties'!$B$13:$Q$112,2,FALSE),"?"))</f>
        <v/>
      </c>
      <c r="Q326">
        <f>IF(D326="","",IFERROR(VLOOKUP(D326,Lists!$A$2:$D$9,3,FALSE),"?"))</f>
        <v/>
      </c>
      <c r="R326">
        <f>IF(D326="","",IFERROR(VLOOKUP(D326,Lists!$A$2:$D$9,4,FALSE),"?"))</f>
        <v/>
      </c>
      <c r="S326">
        <f>IF(P326="Debtor",I326,IF(P326="Creditor",J326,0))</f>
        <v/>
      </c>
      <c r="T326">
        <f>IF(P326="Debtor",J326,IF(P326="Creditor",I326,0))</f>
        <v/>
      </c>
      <c r="U326">
        <f>IF(OR(S326=0,B326=""),0,IFERROR(VLOOKUP(C326,'Example Parties'!$B$13:$Q$112,13,FALSE),0)+SUMIFS($S$7:$S$506,$C$7:$C$506,C326,$B$7:$B$506,"&lt;"&amp;B326)+SUMIFS(S$7:S326,C$7:C326,C326,B$7:B326,B326))</f>
        <v/>
      </c>
      <c r="V326">
        <f>IF(S326=0,0,IFERROR(VLOOKUP(C326,'Example Parties'!$B$13:$Q$112,14,FALSE),0)+SUMIFS($T$7:$T$506,$C$7:$C$506,C326,$B$7:$B$506,"&lt;="&amp;'Example Outstanding'!$E$5))</f>
        <v/>
      </c>
      <c r="W326">
        <f>IF(OR('Example Outstanding'!$E$5="",S326=0,B326="",B326&gt;'Example Outstanding'!$E$5),0,MAX(0,MIN(S326,U326-V326)))</f>
        <v/>
      </c>
      <c r="X326">
        <f>IF(C326="",0,IFERROR(VLOOKUP(C326,'Example Parties'!$B$13:$Q$112,15,FALSE),0))</f>
        <v/>
      </c>
      <c r="Y326">
        <f>IF(C326="","",IFERROR(VLOOKUP(C326,'Example Parties'!$B$13:$Q$112,16,FALSE),0))</f>
        <v/>
      </c>
      <c r="Z326">
        <f>IF(OR(S326=0,B326="",Y326=""),"",IF(AND(F326&lt;&gt;"",D326="Purchase bill"),F326,B326)+Y326)</f>
        <v/>
      </c>
      <c r="AA326">
        <f>IF(OR(W326=0,Z326=""),0,MAX(0,'Example Outstanding'!$E$5-Z326))</f>
        <v/>
      </c>
      <c r="AB326">
        <f>IF(AND(X326=1,AA326&gt;0),W326*((1+3*N('Example Parties'!$E$10)/12)^(AA326*12/365)-1),0)</f>
        <v/>
      </c>
      <c r="AC326">
        <f>IF(W326=0,"",'Example Outstanding'!$E$5-B326)</f>
        <v/>
      </c>
      <c r="AD326">
        <f>IF(S326=0,0,IFERROR(VLOOKUP(C326,'Example Parties'!$B$13:$Q$112,14,FALSE),0)+SUMIFS($T$7:$T$506,$C$7:$C$506,C326,$B$7:$B$506,"&lt;="&amp;'Example Parties'!$E$8))</f>
        <v/>
      </c>
      <c r="AE326">
        <f>IF(OR('Example Parties'!$E$8="",S326=0,B326="",B326&gt;'Example Parties'!$E$8),0,MAX(0,MIN(S326,U326-AD326)))</f>
        <v/>
      </c>
      <c r="AF326">
        <f>IF(AND(P326="Creditor",X326=1,AE326&gt;0,Z326&lt;&gt;""),IF(Z326&lt;='Example Parties'!$E$8,AE326,0),0)</f>
        <v/>
      </c>
      <c r="AG326">
        <f>IF(OR(AE326=0,Z326=""),0,MAX(0,'Example Parties'!$E$8-Z326))</f>
        <v/>
      </c>
      <c r="AH326">
        <f>IF(AND(P326="Creditor",X326=1,AG326&gt;0),AE326*((1+3*N('Example Parties'!$E$10)/12)^(AG326*12/365)-1),0)</f>
        <v/>
      </c>
      <c r="AI326">
        <f>IF(AND(C326&lt;&gt;"",C326='Example Ledger'!$D$4,B326&lt;&gt;"",B326&gt;='Example Ledger'!$D$5,B326&lt;='Example Ledger'!$D$6),1,0)</f>
        <v/>
      </c>
      <c r="AJ326">
        <f>IF(AI326=1,SUM(AI$7:AI326),"")</f>
        <v/>
      </c>
      <c r="AK326">
        <f>IF(OR(N326="",N326="OK"),0,1)</f>
        <v/>
      </c>
    </row>
    <row r="327">
      <c r="B327" s="24" t="n"/>
      <c r="C327" s="14" t="n"/>
      <c r="D327" s="14" t="n"/>
      <c r="E327" s="20" t="n"/>
      <c r="F327" s="24" t="n"/>
      <c r="G327" s="14" t="n"/>
      <c r="H327" s="22" t="n"/>
      <c r="I327" s="25">
        <f>IF(Q327="D",N(H327),0)</f>
        <v/>
      </c>
      <c r="J327" s="25">
        <f>IF(Q327="C",N(H327),0)</f>
        <v/>
      </c>
      <c r="K327" s="26">
        <f>IF(Z327="","",Z327)</f>
        <v/>
      </c>
      <c r="L327" s="27">
        <f>W327</f>
        <v/>
      </c>
      <c r="M327" s="28">
        <f>AA327</f>
        <v/>
      </c>
      <c r="N327" s="23">
        <f>IF(AND(B327="",C327="",D327="",N(H327)=0),"",IF(B327="","Enter the date",IF(C327="","Pick the party",IF(P327="?","Add this party on the Parties sheet first",IF(D327="","Pick the entry type",IF(Q327="?","Pick the entry type from the list",IF(N(H327)=0,"Enter the amount",IF(AND(R327&lt;&gt;"Any",R327&lt;&gt;P327),"Sales, receipts and credit notes are for debtors; purchases, payments and debit notes for creditors",IF(AND(F327&lt;&gt;"",D327&lt;&gt;"Purchase bill"),"The received-on date is only for purchase bills",IF(AND(P327="Creditor",X327=1,AA327&gt;0),"Past due to a micro or small supplier: interest runs under MSMED s.16, and if unpaid at year end it is not deductible that year, s.37(2)(g)",IF(AND(P327="Debtor",X327=1,AA327&gt;0),"Past due to you: as a micro or small supplier you can claim interest under MSMED s.16","OK")))))))))))</f>
        <v/>
      </c>
      <c r="P327">
        <f>IF(C327="","",IFERROR(VLOOKUP(C327,'Example Parties'!$B$13:$Q$112,2,FALSE),"?"))</f>
        <v/>
      </c>
      <c r="Q327">
        <f>IF(D327="","",IFERROR(VLOOKUP(D327,Lists!$A$2:$D$9,3,FALSE),"?"))</f>
        <v/>
      </c>
      <c r="R327">
        <f>IF(D327="","",IFERROR(VLOOKUP(D327,Lists!$A$2:$D$9,4,FALSE),"?"))</f>
        <v/>
      </c>
      <c r="S327">
        <f>IF(P327="Debtor",I327,IF(P327="Creditor",J327,0))</f>
        <v/>
      </c>
      <c r="T327">
        <f>IF(P327="Debtor",J327,IF(P327="Creditor",I327,0))</f>
        <v/>
      </c>
      <c r="U327">
        <f>IF(OR(S327=0,B327=""),0,IFERROR(VLOOKUP(C327,'Example Parties'!$B$13:$Q$112,13,FALSE),0)+SUMIFS($S$7:$S$506,$C$7:$C$506,C327,$B$7:$B$506,"&lt;"&amp;B327)+SUMIFS(S$7:S327,C$7:C327,C327,B$7:B327,B327))</f>
        <v/>
      </c>
      <c r="V327">
        <f>IF(S327=0,0,IFERROR(VLOOKUP(C327,'Example Parties'!$B$13:$Q$112,14,FALSE),0)+SUMIFS($T$7:$T$506,$C$7:$C$506,C327,$B$7:$B$506,"&lt;="&amp;'Example Outstanding'!$E$5))</f>
        <v/>
      </c>
      <c r="W327">
        <f>IF(OR('Example Outstanding'!$E$5="",S327=0,B327="",B327&gt;'Example Outstanding'!$E$5),0,MAX(0,MIN(S327,U327-V327)))</f>
        <v/>
      </c>
      <c r="X327">
        <f>IF(C327="",0,IFERROR(VLOOKUP(C327,'Example Parties'!$B$13:$Q$112,15,FALSE),0))</f>
        <v/>
      </c>
      <c r="Y327">
        <f>IF(C327="","",IFERROR(VLOOKUP(C327,'Example Parties'!$B$13:$Q$112,16,FALSE),0))</f>
        <v/>
      </c>
      <c r="Z327">
        <f>IF(OR(S327=0,B327="",Y327=""),"",IF(AND(F327&lt;&gt;"",D327="Purchase bill"),F327,B327)+Y327)</f>
        <v/>
      </c>
      <c r="AA327">
        <f>IF(OR(W327=0,Z327=""),0,MAX(0,'Example Outstanding'!$E$5-Z327))</f>
        <v/>
      </c>
      <c r="AB327">
        <f>IF(AND(X327=1,AA327&gt;0),W327*((1+3*N('Example Parties'!$E$10)/12)^(AA327*12/365)-1),0)</f>
        <v/>
      </c>
      <c r="AC327">
        <f>IF(W327=0,"",'Example Outstanding'!$E$5-B327)</f>
        <v/>
      </c>
      <c r="AD327">
        <f>IF(S327=0,0,IFERROR(VLOOKUP(C327,'Example Parties'!$B$13:$Q$112,14,FALSE),0)+SUMIFS($T$7:$T$506,$C$7:$C$506,C327,$B$7:$B$506,"&lt;="&amp;'Example Parties'!$E$8))</f>
        <v/>
      </c>
      <c r="AE327">
        <f>IF(OR('Example Parties'!$E$8="",S327=0,B327="",B327&gt;'Example Parties'!$E$8),0,MAX(0,MIN(S327,U327-AD327)))</f>
        <v/>
      </c>
      <c r="AF327">
        <f>IF(AND(P327="Creditor",X327=1,AE327&gt;0,Z327&lt;&gt;""),IF(Z327&lt;='Example Parties'!$E$8,AE327,0),0)</f>
        <v/>
      </c>
      <c r="AG327">
        <f>IF(OR(AE327=0,Z327=""),0,MAX(0,'Example Parties'!$E$8-Z327))</f>
        <v/>
      </c>
      <c r="AH327">
        <f>IF(AND(P327="Creditor",X327=1,AG327&gt;0),AE327*((1+3*N('Example Parties'!$E$10)/12)^(AG327*12/365)-1),0)</f>
        <v/>
      </c>
      <c r="AI327">
        <f>IF(AND(C327&lt;&gt;"",C327='Example Ledger'!$D$4,B327&lt;&gt;"",B327&gt;='Example Ledger'!$D$5,B327&lt;='Example Ledger'!$D$6),1,0)</f>
        <v/>
      </c>
      <c r="AJ327">
        <f>IF(AI327=1,SUM(AI$7:AI327),"")</f>
        <v/>
      </c>
      <c r="AK327">
        <f>IF(OR(N327="",N327="OK"),0,1)</f>
        <v/>
      </c>
    </row>
    <row r="328">
      <c r="B328" s="24" t="n"/>
      <c r="C328" s="14" t="n"/>
      <c r="D328" s="14" t="n"/>
      <c r="E328" s="20" t="n"/>
      <c r="F328" s="24" t="n"/>
      <c r="G328" s="14" t="n"/>
      <c r="H328" s="22" t="n"/>
      <c r="I328" s="25">
        <f>IF(Q328="D",N(H328),0)</f>
        <v/>
      </c>
      <c r="J328" s="25">
        <f>IF(Q328="C",N(H328),0)</f>
        <v/>
      </c>
      <c r="K328" s="26">
        <f>IF(Z328="","",Z328)</f>
        <v/>
      </c>
      <c r="L328" s="27">
        <f>W328</f>
        <v/>
      </c>
      <c r="M328" s="28">
        <f>AA328</f>
        <v/>
      </c>
      <c r="N328" s="23">
        <f>IF(AND(B328="",C328="",D328="",N(H328)=0),"",IF(B328="","Enter the date",IF(C328="","Pick the party",IF(P328="?","Add this party on the Parties sheet first",IF(D328="","Pick the entry type",IF(Q328="?","Pick the entry type from the list",IF(N(H328)=0,"Enter the amount",IF(AND(R328&lt;&gt;"Any",R328&lt;&gt;P328),"Sales, receipts and credit notes are for debtors; purchases, payments and debit notes for creditors",IF(AND(F328&lt;&gt;"",D328&lt;&gt;"Purchase bill"),"The received-on date is only for purchase bills",IF(AND(P328="Creditor",X328=1,AA328&gt;0),"Past due to a micro or small supplier: interest runs under MSMED s.16, and if unpaid at year end it is not deductible that year, s.37(2)(g)",IF(AND(P328="Debtor",X328=1,AA328&gt;0),"Past due to you: as a micro or small supplier you can claim interest under MSMED s.16","OK")))))))))))</f>
        <v/>
      </c>
      <c r="P328">
        <f>IF(C328="","",IFERROR(VLOOKUP(C328,'Example Parties'!$B$13:$Q$112,2,FALSE),"?"))</f>
        <v/>
      </c>
      <c r="Q328">
        <f>IF(D328="","",IFERROR(VLOOKUP(D328,Lists!$A$2:$D$9,3,FALSE),"?"))</f>
        <v/>
      </c>
      <c r="R328">
        <f>IF(D328="","",IFERROR(VLOOKUP(D328,Lists!$A$2:$D$9,4,FALSE),"?"))</f>
        <v/>
      </c>
      <c r="S328">
        <f>IF(P328="Debtor",I328,IF(P328="Creditor",J328,0))</f>
        <v/>
      </c>
      <c r="T328">
        <f>IF(P328="Debtor",J328,IF(P328="Creditor",I328,0))</f>
        <v/>
      </c>
      <c r="U328">
        <f>IF(OR(S328=0,B328=""),0,IFERROR(VLOOKUP(C328,'Example Parties'!$B$13:$Q$112,13,FALSE),0)+SUMIFS($S$7:$S$506,$C$7:$C$506,C328,$B$7:$B$506,"&lt;"&amp;B328)+SUMIFS(S$7:S328,C$7:C328,C328,B$7:B328,B328))</f>
        <v/>
      </c>
      <c r="V328">
        <f>IF(S328=0,0,IFERROR(VLOOKUP(C328,'Example Parties'!$B$13:$Q$112,14,FALSE),0)+SUMIFS($T$7:$T$506,$C$7:$C$506,C328,$B$7:$B$506,"&lt;="&amp;'Example Outstanding'!$E$5))</f>
        <v/>
      </c>
      <c r="W328">
        <f>IF(OR('Example Outstanding'!$E$5="",S328=0,B328="",B328&gt;'Example Outstanding'!$E$5),0,MAX(0,MIN(S328,U328-V328)))</f>
        <v/>
      </c>
      <c r="X328">
        <f>IF(C328="",0,IFERROR(VLOOKUP(C328,'Example Parties'!$B$13:$Q$112,15,FALSE),0))</f>
        <v/>
      </c>
      <c r="Y328">
        <f>IF(C328="","",IFERROR(VLOOKUP(C328,'Example Parties'!$B$13:$Q$112,16,FALSE),0))</f>
        <v/>
      </c>
      <c r="Z328">
        <f>IF(OR(S328=0,B328="",Y328=""),"",IF(AND(F328&lt;&gt;"",D328="Purchase bill"),F328,B328)+Y328)</f>
        <v/>
      </c>
      <c r="AA328">
        <f>IF(OR(W328=0,Z328=""),0,MAX(0,'Example Outstanding'!$E$5-Z328))</f>
        <v/>
      </c>
      <c r="AB328">
        <f>IF(AND(X328=1,AA328&gt;0),W328*((1+3*N('Example Parties'!$E$10)/12)^(AA328*12/365)-1),0)</f>
        <v/>
      </c>
      <c r="AC328">
        <f>IF(W328=0,"",'Example Outstanding'!$E$5-B328)</f>
        <v/>
      </c>
      <c r="AD328">
        <f>IF(S328=0,0,IFERROR(VLOOKUP(C328,'Example Parties'!$B$13:$Q$112,14,FALSE),0)+SUMIFS($T$7:$T$506,$C$7:$C$506,C328,$B$7:$B$506,"&lt;="&amp;'Example Parties'!$E$8))</f>
        <v/>
      </c>
      <c r="AE328">
        <f>IF(OR('Example Parties'!$E$8="",S328=0,B328="",B328&gt;'Example Parties'!$E$8),0,MAX(0,MIN(S328,U328-AD328)))</f>
        <v/>
      </c>
      <c r="AF328">
        <f>IF(AND(P328="Creditor",X328=1,AE328&gt;0,Z328&lt;&gt;""),IF(Z328&lt;='Example Parties'!$E$8,AE328,0),0)</f>
        <v/>
      </c>
      <c r="AG328">
        <f>IF(OR(AE328=0,Z328=""),0,MAX(0,'Example Parties'!$E$8-Z328))</f>
        <v/>
      </c>
      <c r="AH328">
        <f>IF(AND(P328="Creditor",X328=1,AG328&gt;0),AE328*((1+3*N('Example Parties'!$E$10)/12)^(AG328*12/365)-1),0)</f>
        <v/>
      </c>
      <c r="AI328">
        <f>IF(AND(C328&lt;&gt;"",C328='Example Ledger'!$D$4,B328&lt;&gt;"",B328&gt;='Example Ledger'!$D$5,B328&lt;='Example Ledger'!$D$6),1,0)</f>
        <v/>
      </c>
      <c r="AJ328">
        <f>IF(AI328=1,SUM(AI$7:AI328),"")</f>
        <v/>
      </c>
      <c r="AK328">
        <f>IF(OR(N328="",N328="OK"),0,1)</f>
        <v/>
      </c>
    </row>
    <row r="329">
      <c r="B329" s="24" t="n"/>
      <c r="C329" s="14" t="n"/>
      <c r="D329" s="14" t="n"/>
      <c r="E329" s="20" t="n"/>
      <c r="F329" s="24" t="n"/>
      <c r="G329" s="14" t="n"/>
      <c r="H329" s="22" t="n"/>
      <c r="I329" s="25">
        <f>IF(Q329="D",N(H329),0)</f>
        <v/>
      </c>
      <c r="J329" s="25">
        <f>IF(Q329="C",N(H329),0)</f>
        <v/>
      </c>
      <c r="K329" s="26">
        <f>IF(Z329="","",Z329)</f>
        <v/>
      </c>
      <c r="L329" s="27">
        <f>W329</f>
        <v/>
      </c>
      <c r="M329" s="28">
        <f>AA329</f>
        <v/>
      </c>
      <c r="N329" s="23">
        <f>IF(AND(B329="",C329="",D329="",N(H329)=0),"",IF(B329="","Enter the date",IF(C329="","Pick the party",IF(P329="?","Add this party on the Parties sheet first",IF(D329="","Pick the entry type",IF(Q329="?","Pick the entry type from the list",IF(N(H329)=0,"Enter the amount",IF(AND(R329&lt;&gt;"Any",R329&lt;&gt;P329),"Sales, receipts and credit notes are for debtors; purchases, payments and debit notes for creditors",IF(AND(F329&lt;&gt;"",D329&lt;&gt;"Purchase bill"),"The received-on date is only for purchase bills",IF(AND(P329="Creditor",X329=1,AA329&gt;0),"Past due to a micro or small supplier: interest runs under MSMED s.16, and if unpaid at year end it is not deductible that year, s.37(2)(g)",IF(AND(P329="Debtor",X329=1,AA329&gt;0),"Past due to you: as a micro or small supplier you can claim interest under MSMED s.16","OK")))))))))))</f>
        <v/>
      </c>
      <c r="P329">
        <f>IF(C329="","",IFERROR(VLOOKUP(C329,'Example Parties'!$B$13:$Q$112,2,FALSE),"?"))</f>
        <v/>
      </c>
      <c r="Q329">
        <f>IF(D329="","",IFERROR(VLOOKUP(D329,Lists!$A$2:$D$9,3,FALSE),"?"))</f>
        <v/>
      </c>
      <c r="R329">
        <f>IF(D329="","",IFERROR(VLOOKUP(D329,Lists!$A$2:$D$9,4,FALSE),"?"))</f>
        <v/>
      </c>
      <c r="S329">
        <f>IF(P329="Debtor",I329,IF(P329="Creditor",J329,0))</f>
        <v/>
      </c>
      <c r="T329">
        <f>IF(P329="Debtor",J329,IF(P329="Creditor",I329,0))</f>
        <v/>
      </c>
      <c r="U329">
        <f>IF(OR(S329=0,B329=""),0,IFERROR(VLOOKUP(C329,'Example Parties'!$B$13:$Q$112,13,FALSE),0)+SUMIFS($S$7:$S$506,$C$7:$C$506,C329,$B$7:$B$506,"&lt;"&amp;B329)+SUMIFS(S$7:S329,C$7:C329,C329,B$7:B329,B329))</f>
        <v/>
      </c>
      <c r="V329">
        <f>IF(S329=0,0,IFERROR(VLOOKUP(C329,'Example Parties'!$B$13:$Q$112,14,FALSE),0)+SUMIFS($T$7:$T$506,$C$7:$C$506,C329,$B$7:$B$506,"&lt;="&amp;'Example Outstanding'!$E$5))</f>
        <v/>
      </c>
      <c r="W329">
        <f>IF(OR('Example Outstanding'!$E$5="",S329=0,B329="",B329&gt;'Example Outstanding'!$E$5),0,MAX(0,MIN(S329,U329-V329)))</f>
        <v/>
      </c>
      <c r="X329">
        <f>IF(C329="",0,IFERROR(VLOOKUP(C329,'Example Parties'!$B$13:$Q$112,15,FALSE),0))</f>
        <v/>
      </c>
      <c r="Y329">
        <f>IF(C329="","",IFERROR(VLOOKUP(C329,'Example Parties'!$B$13:$Q$112,16,FALSE),0))</f>
        <v/>
      </c>
      <c r="Z329">
        <f>IF(OR(S329=0,B329="",Y329=""),"",IF(AND(F329&lt;&gt;"",D329="Purchase bill"),F329,B329)+Y329)</f>
        <v/>
      </c>
      <c r="AA329">
        <f>IF(OR(W329=0,Z329=""),0,MAX(0,'Example Outstanding'!$E$5-Z329))</f>
        <v/>
      </c>
      <c r="AB329">
        <f>IF(AND(X329=1,AA329&gt;0),W329*((1+3*N('Example Parties'!$E$10)/12)^(AA329*12/365)-1),0)</f>
        <v/>
      </c>
      <c r="AC329">
        <f>IF(W329=0,"",'Example Outstanding'!$E$5-B329)</f>
        <v/>
      </c>
      <c r="AD329">
        <f>IF(S329=0,0,IFERROR(VLOOKUP(C329,'Example Parties'!$B$13:$Q$112,14,FALSE),0)+SUMIFS($T$7:$T$506,$C$7:$C$506,C329,$B$7:$B$506,"&lt;="&amp;'Example Parties'!$E$8))</f>
        <v/>
      </c>
      <c r="AE329">
        <f>IF(OR('Example Parties'!$E$8="",S329=0,B329="",B329&gt;'Example Parties'!$E$8),0,MAX(0,MIN(S329,U329-AD329)))</f>
        <v/>
      </c>
      <c r="AF329">
        <f>IF(AND(P329="Creditor",X329=1,AE329&gt;0,Z329&lt;&gt;""),IF(Z329&lt;='Example Parties'!$E$8,AE329,0),0)</f>
        <v/>
      </c>
      <c r="AG329">
        <f>IF(OR(AE329=0,Z329=""),0,MAX(0,'Example Parties'!$E$8-Z329))</f>
        <v/>
      </c>
      <c r="AH329">
        <f>IF(AND(P329="Creditor",X329=1,AG329&gt;0),AE329*((1+3*N('Example Parties'!$E$10)/12)^(AG329*12/365)-1),0)</f>
        <v/>
      </c>
      <c r="AI329">
        <f>IF(AND(C329&lt;&gt;"",C329='Example Ledger'!$D$4,B329&lt;&gt;"",B329&gt;='Example Ledger'!$D$5,B329&lt;='Example Ledger'!$D$6),1,0)</f>
        <v/>
      </c>
      <c r="AJ329">
        <f>IF(AI329=1,SUM(AI$7:AI329),"")</f>
        <v/>
      </c>
      <c r="AK329">
        <f>IF(OR(N329="",N329="OK"),0,1)</f>
        <v/>
      </c>
    </row>
    <row r="330">
      <c r="B330" s="24" t="n"/>
      <c r="C330" s="14" t="n"/>
      <c r="D330" s="14" t="n"/>
      <c r="E330" s="20" t="n"/>
      <c r="F330" s="24" t="n"/>
      <c r="G330" s="14" t="n"/>
      <c r="H330" s="22" t="n"/>
      <c r="I330" s="25">
        <f>IF(Q330="D",N(H330),0)</f>
        <v/>
      </c>
      <c r="J330" s="25">
        <f>IF(Q330="C",N(H330),0)</f>
        <v/>
      </c>
      <c r="K330" s="26">
        <f>IF(Z330="","",Z330)</f>
        <v/>
      </c>
      <c r="L330" s="27">
        <f>W330</f>
        <v/>
      </c>
      <c r="M330" s="28">
        <f>AA330</f>
        <v/>
      </c>
      <c r="N330" s="23">
        <f>IF(AND(B330="",C330="",D330="",N(H330)=0),"",IF(B330="","Enter the date",IF(C330="","Pick the party",IF(P330="?","Add this party on the Parties sheet first",IF(D330="","Pick the entry type",IF(Q330="?","Pick the entry type from the list",IF(N(H330)=0,"Enter the amount",IF(AND(R330&lt;&gt;"Any",R330&lt;&gt;P330),"Sales, receipts and credit notes are for debtors; purchases, payments and debit notes for creditors",IF(AND(F330&lt;&gt;"",D330&lt;&gt;"Purchase bill"),"The received-on date is only for purchase bills",IF(AND(P330="Creditor",X330=1,AA330&gt;0),"Past due to a micro or small supplier: interest runs under MSMED s.16, and if unpaid at year end it is not deductible that year, s.37(2)(g)",IF(AND(P330="Debtor",X330=1,AA330&gt;0),"Past due to you: as a micro or small supplier you can claim interest under MSMED s.16","OK")))))))))))</f>
        <v/>
      </c>
      <c r="P330">
        <f>IF(C330="","",IFERROR(VLOOKUP(C330,'Example Parties'!$B$13:$Q$112,2,FALSE),"?"))</f>
        <v/>
      </c>
      <c r="Q330">
        <f>IF(D330="","",IFERROR(VLOOKUP(D330,Lists!$A$2:$D$9,3,FALSE),"?"))</f>
        <v/>
      </c>
      <c r="R330">
        <f>IF(D330="","",IFERROR(VLOOKUP(D330,Lists!$A$2:$D$9,4,FALSE),"?"))</f>
        <v/>
      </c>
      <c r="S330">
        <f>IF(P330="Debtor",I330,IF(P330="Creditor",J330,0))</f>
        <v/>
      </c>
      <c r="T330">
        <f>IF(P330="Debtor",J330,IF(P330="Creditor",I330,0))</f>
        <v/>
      </c>
      <c r="U330">
        <f>IF(OR(S330=0,B330=""),0,IFERROR(VLOOKUP(C330,'Example Parties'!$B$13:$Q$112,13,FALSE),0)+SUMIFS($S$7:$S$506,$C$7:$C$506,C330,$B$7:$B$506,"&lt;"&amp;B330)+SUMIFS(S$7:S330,C$7:C330,C330,B$7:B330,B330))</f>
        <v/>
      </c>
      <c r="V330">
        <f>IF(S330=0,0,IFERROR(VLOOKUP(C330,'Example Parties'!$B$13:$Q$112,14,FALSE),0)+SUMIFS($T$7:$T$506,$C$7:$C$506,C330,$B$7:$B$506,"&lt;="&amp;'Example Outstanding'!$E$5))</f>
        <v/>
      </c>
      <c r="W330">
        <f>IF(OR('Example Outstanding'!$E$5="",S330=0,B330="",B330&gt;'Example Outstanding'!$E$5),0,MAX(0,MIN(S330,U330-V330)))</f>
        <v/>
      </c>
      <c r="X330">
        <f>IF(C330="",0,IFERROR(VLOOKUP(C330,'Example Parties'!$B$13:$Q$112,15,FALSE),0))</f>
        <v/>
      </c>
      <c r="Y330">
        <f>IF(C330="","",IFERROR(VLOOKUP(C330,'Example Parties'!$B$13:$Q$112,16,FALSE),0))</f>
        <v/>
      </c>
      <c r="Z330">
        <f>IF(OR(S330=0,B330="",Y330=""),"",IF(AND(F330&lt;&gt;"",D330="Purchase bill"),F330,B330)+Y330)</f>
        <v/>
      </c>
      <c r="AA330">
        <f>IF(OR(W330=0,Z330=""),0,MAX(0,'Example Outstanding'!$E$5-Z330))</f>
        <v/>
      </c>
      <c r="AB330">
        <f>IF(AND(X330=1,AA330&gt;0),W330*((1+3*N('Example Parties'!$E$10)/12)^(AA330*12/365)-1),0)</f>
        <v/>
      </c>
      <c r="AC330">
        <f>IF(W330=0,"",'Example Outstanding'!$E$5-B330)</f>
        <v/>
      </c>
      <c r="AD330">
        <f>IF(S330=0,0,IFERROR(VLOOKUP(C330,'Example Parties'!$B$13:$Q$112,14,FALSE),0)+SUMIFS($T$7:$T$506,$C$7:$C$506,C330,$B$7:$B$506,"&lt;="&amp;'Example Parties'!$E$8))</f>
        <v/>
      </c>
      <c r="AE330">
        <f>IF(OR('Example Parties'!$E$8="",S330=0,B330="",B330&gt;'Example Parties'!$E$8),0,MAX(0,MIN(S330,U330-AD330)))</f>
        <v/>
      </c>
      <c r="AF330">
        <f>IF(AND(P330="Creditor",X330=1,AE330&gt;0,Z330&lt;&gt;""),IF(Z330&lt;='Example Parties'!$E$8,AE330,0),0)</f>
        <v/>
      </c>
      <c r="AG330">
        <f>IF(OR(AE330=0,Z330=""),0,MAX(0,'Example Parties'!$E$8-Z330))</f>
        <v/>
      </c>
      <c r="AH330">
        <f>IF(AND(P330="Creditor",X330=1,AG330&gt;0),AE330*((1+3*N('Example Parties'!$E$10)/12)^(AG330*12/365)-1),0)</f>
        <v/>
      </c>
      <c r="AI330">
        <f>IF(AND(C330&lt;&gt;"",C330='Example Ledger'!$D$4,B330&lt;&gt;"",B330&gt;='Example Ledger'!$D$5,B330&lt;='Example Ledger'!$D$6),1,0)</f>
        <v/>
      </c>
      <c r="AJ330">
        <f>IF(AI330=1,SUM(AI$7:AI330),"")</f>
        <v/>
      </c>
      <c r="AK330">
        <f>IF(OR(N330="",N330="OK"),0,1)</f>
        <v/>
      </c>
    </row>
    <row r="331">
      <c r="B331" s="24" t="n"/>
      <c r="C331" s="14" t="n"/>
      <c r="D331" s="14" t="n"/>
      <c r="E331" s="20" t="n"/>
      <c r="F331" s="24" t="n"/>
      <c r="G331" s="14" t="n"/>
      <c r="H331" s="22" t="n"/>
      <c r="I331" s="25">
        <f>IF(Q331="D",N(H331),0)</f>
        <v/>
      </c>
      <c r="J331" s="25">
        <f>IF(Q331="C",N(H331),0)</f>
        <v/>
      </c>
      <c r="K331" s="26">
        <f>IF(Z331="","",Z331)</f>
        <v/>
      </c>
      <c r="L331" s="27">
        <f>W331</f>
        <v/>
      </c>
      <c r="M331" s="28">
        <f>AA331</f>
        <v/>
      </c>
      <c r="N331" s="23">
        <f>IF(AND(B331="",C331="",D331="",N(H331)=0),"",IF(B331="","Enter the date",IF(C331="","Pick the party",IF(P331="?","Add this party on the Parties sheet first",IF(D331="","Pick the entry type",IF(Q331="?","Pick the entry type from the list",IF(N(H331)=0,"Enter the amount",IF(AND(R331&lt;&gt;"Any",R331&lt;&gt;P331),"Sales, receipts and credit notes are for debtors; purchases, payments and debit notes for creditors",IF(AND(F331&lt;&gt;"",D331&lt;&gt;"Purchase bill"),"The received-on date is only for purchase bills",IF(AND(P331="Creditor",X331=1,AA331&gt;0),"Past due to a micro or small supplier: interest runs under MSMED s.16, and if unpaid at year end it is not deductible that year, s.37(2)(g)",IF(AND(P331="Debtor",X331=1,AA331&gt;0),"Past due to you: as a micro or small supplier you can claim interest under MSMED s.16","OK")))))))))))</f>
        <v/>
      </c>
      <c r="P331">
        <f>IF(C331="","",IFERROR(VLOOKUP(C331,'Example Parties'!$B$13:$Q$112,2,FALSE),"?"))</f>
        <v/>
      </c>
      <c r="Q331">
        <f>IF(D331="","",IFERROR(VLOOKUP(D331,Lists!$A$2:$D$9,3,FALSE),"?"))</f>
        <v/>
      </c>
      <c r="R331">
        <f>IF(D331="","",IFERROR(VLOOKUP(D331,Lists!$A$2:$D$9,4,FALSE),"?"))</f>
        <v/>
      </c>
      <c r="S331">
        <f>IF(P331="Debtor",I331,IF(P331="Creditor",J331,0))</f>
        <v/>
      </c>
      <c r="T331">
        <f>IF(P331="Debtor",J331,IF(P331="Creditor",I331,0))</f>
        <v/>
      </c>
      <c r="U331">
        <f>IF(OR(S331=0,B331=""),0,IFERROR(VLOOKUP(C331,'Example Parties'!$B$13:$Q$112,13,FALSE),0)+SUMIFS($S$7:$S$506,$C$7:$C$506,C331,$B$7:$B$506,"&lt;"&amp;B331)+SUMIFS(S$7:S331,C$7:C331,C331,B$7:B331,B331))</f>
        <v/>
      </c>
      <c r="V331">
        <f>IF(S331=0,0,IFERROR(VLOOKUP(C331,'Example Parties'!$B$13:$Q$112,14,FALSE),0)+SUMIFS($T$7:$T$506,$C$7:$C$506,C331,$B$7:$B$506,"&lt;="&amp;'Example Outstanding'!$E$5))</f>
        <v/>
      </c>
      <c r="W331">
        <f>IF(OR('Example Outstanding'!$E$5="",S331=0,B331="",B331&gt;'Example Outstanding'!$E$5),0,MAX(0,MIN(S331,U331-V331)))</f>
        <v/>
      </c>
      <c r="X331">
        <f>IF(C331="",0,IFERROR(VLOOKUP(C331,'Example Parties'!$B$13:$Q$112,15,FALSE),0))</f>
        <v/>
      </c>
      <c r="Y331">
        <f>IF(C331="","",IFERROR(VLOOKUP(C331,'Example Parties'!$B$13:$Q$112,16,FALSE),0))</f>
        <v/>
      </c>
      <c r="Z331">
        <f>IF(OR(S331=0,B331="",Y331=""),"",IF(AND(F331&lt;&gt;"",D331="Purchase bill"),F331,B331)+Y331)</f>
        <v/>
      </c>
      <c r="AA331">
        <f>IF(OR(W331=0,Z331=""),0,MAX(0,'Example Outstanding'!$E$5-Z331))</f>
        <v/>
      </c>
      <c r="AB331">
        <f>IF(AND(X331=1,AA331&gt;0),W331*((1+3*N('Example Parties'!$E$10)/12)^(AA331*12/365)-1),0)</f>
        <v/>
      </c>
      <c r="AC331">
        <f>IF(W331=0,"",'Example Outstanding'!$E$5-B331)</f>
        <v/>
      </c>
      <c r="AD331">
        <f>IF(S331=0,0,IFERROR(VLOOKUP(C331,'Example Parties'!$B$13:$Q$112,14,FALSE),0)+SUMIFS($T$7:$T$506,$C$7:$C$506,C331,$B$7:$B$506,"&lt;="&amp;'Example Parties'!$E$8))</f>
        <v/>
      </c>
      <c r="AE331">
        <f>IF(OR('Example Parties'!$E$8="",S331=0,B331="",B331&gt;'Example Parties'!$E$8),0,MAX(0,MIN(S331,U331-AD331)))</f>
        <v/>
      </c>
      <c r="AF331">
        <f>IF(AND(P331="Creditor",X331=1,AE331&gt;0,Z331&lt;&gt;""),IF(Z331&lt;='Example Parties'!$E$8,AE331,0),0)</f>
        <v/>
      </c>
      <c r="AG331">
        <f>IF(OR(AE331=0,Z331=""),0,MAX(0,'Example Parties'!$E$8-Z331))</f>
        <v/>
      </c>
      <c r="AH331">
        <f>IF(AND(P331="Creditor",X331=1,AG331&gt;0),AE331*((1+3*N('Example Parties'!$E$10)/12)^(AG331*12/365)-1),0)</f>
        <v/>
      </c>
      <c r="AI331">
        <f>IF(AND(C331&lt;&gt;"",C331='Example Ledger'!$D$4,B331&lt;&gt;"",B331&gt;='Example Ledger'!$D$5,B331&lt;='Example Ledger'!$D$6),1,0)</f>
        <v/>
      </c>
      <c r="AJ331">
        <f>IF(AI331=1,SUM(AI$7:AI331),"")</f>
        <v/>
      </c>
      <c r="AK331">
        <f>IF(OR(N331="",N331="OK"),0,1)</f>
        <v/>
      </c>
    </row>
    <row r="332">
      <c r="B332" s="24" t="n"/>
      <c r="C332" s="14" t="n"/>
      <c r="D332" s="14" t="n"/>
      <c r="E332" s="20" t="n"/>
      <c r="F332" s="24" t="n"/>
      <c r="G332" s="14" t="n"/>
      <c r="H332" s="22" t="n"/>
      <c r="I332" s="25">
        <f>IF(Q332="D",N(H332),0)</f>
        <v/>
      </c>
      <c r="J332" s="25">
        <f>IF(Q332="C",N(H332),0)</f>
        <v/>
      </c>
      <c r="K332" s="26">
        <f>IF(Z332="","",Z332)</f>
        <v/>
      </c>
      <c r="L332" s="27">
        <f>W332</f>
        <v/>
      </c>
      <c r="M332" s="28">
        <f>AA332</f>
        <v/>
      </c>
      <c r="N332" s="23">
        <f>IF(AND(B332="",C332="",D332="",N(H332)=0),"",IF(B332="","Enter the date",IF(C332="","Pick the party",IF(P332="?","Add this party on the Parties sheet first",IF(D332="","Pick the entry type",IF(Q332="?","Pick the entry type from the list",IF(N(H332)=0,"Enter the amount",IF(AND(R332&lt;&gt;"Any",R332&lt;&gt;P332),"Sales, receipts and credit notes are for debtors; purchases, payments and debit notes for creditors",IF(AND(F332&lt;&gt;"",D332&lt;&gt;"Purchase bill"),"The received-on date is only for purchase bills",IF(AND(P332="Creditor",X332=1,AA332&gt;0),"Past due to a micro or small supplier: interest runs under MSMED s.16, and if unpaid at year end it is not deductible that year, s.37(2)(g)",IF(AND(P332="Debtor",X332=1,AA332&gt;0),"Past due to you: as a micro or small supplier you can claim interest under MSMED s.16","OK")))))))))))</f>
        <v/>
      </c>
      <c r="P332">
        <f>IF(C332="","",IFERROR(VLOOKUP(C332,'Example Parties'!$B$13:$Q$112,2,FALSE),"?"))</f>
        <v/>
      </c>
      <c r="Q332">
        <f>IF(D332="","",IFERROR(VLOOKUP(D332,Lists!$A$2:$D$9,3,FALSE),"?"))</f>
        <v/>
      </c>
      <c r="R332">
        <f>IF(D332="","",IFERROR(VLOOKUP(D332,Lists!$A$2:$D$9,4,FALSE),"?"))</f>
        <v/>
      </c>
      <c r="S332">
        <f>IF(P332="Debtor",I332,IF(P332="Creditor",J332,0))</f>
        <v/>
      </c>
      <c r="T332">
        <f>IF(P332="Debtor",J332,IF(P332="Creditor",I332,0))</f>
        <v/>
      </c>
      <c r="U332">
        <f>IF(OR(S332=0,B332=""),0,IFERROR(VLOOKUP(C332,'Example Parties'!$B$13:$Q$112,13,FALSE),0)+SUMIFS($S$7:$S$506,$C$7:$C$506,C332,$B$7:$B$506,"&lt;"&amp;B332)+SUMIFS(S$7:S332,C$7:C332,C332,B$7:B332,B332))</f>
        <v/>
      </c>
      <c r="V332">
        <f>IF(S332=0,0,IFERROR(VLOOKUP(C332,'Example Parties'!$B$13:$Q$112,14,FALSE),0)+SUMIFS($T$7:$T$506,$C$7:$C$506,C332,$B$7:$B$506,"&lt;="&amp;'Example Outstanding'!$E$5))</f>
        <v/>
      </c>
      <c r="W332">
        <f>IF(OR('Example Outstanding'!$E$5="",S332=0,B332="",B332&gt;'Example Outstanding'!$E$5),0,MAX(0,MIN(S332,U332-V332)))</f>
        <v/>
      </c>
      <c r="X332">
        <f>IF(C332="",0,IFERROR(VLOOKUP(C332,'Example Parties'!$B$13:$Q$112,15,FALSE),0))</f>
        <v/>
      </c>
      <c r="Y332">
        <f>IF(C332="","",IFERROR(VLOOKUP(C332,'Example Parties'!$B$13:$Q$112,16,FALSE),0))</f>
        <v/>
      </c>
      <c r="Z332">
        <f>IF(OR(S332=0,B332="",Y332=""),"",IF(AND(F332&lt;&gt;"",D332="Purchase bill"),F332,B332)+Y332)</f>
        <v/>
      </c>
      <c r="AA332">
        <f>IF(OR(W332=0,Z332=""),0,MAX(0,'Example Outstanding'!$E$5-Z332))</f>
        <v/>
      </c>
      <c r="AB332">
        <f>IF(AND(X332=1,AA332&gt;0),W332*((1+3*N('Example Parties'!$E$10)/12)^(AA332*12/365)-1),0)</f>
        <v/>
      </c>
      <c r="AC332">
        <f>IF(W332=0,"",'Example Outstanding'!$E$5-B332)</f>
        <v/>
      </c>
      <c r="AD332">
        <f>IF(S332=0,0,IFERROR(VLOOKUP(C332,'Example Parties'!$B$13:$Q$112,14,FALSE),0)+SUMIFS($T$7:$T$506,$C$7:$C$506,C332,$B$7:$B$506,"&lt;="&amp;'Example Parties'!$E$8))</f>
        <v/>
      </c>
      <c r="AE332">
        <f>IF(OR('Example Parties'!$E$8="",S332=0,B332="",B332&gt;'Example Parties'!$E$8),0,MAX(0,MIN(S332,U332-AD332)))</f>
        <v/>
      </c>
      <c r="AF332">
        <f>IF(AND(P332="Creditor",X332=1,AE332&gt;0,Z332&lt;&gt;""),IF(Z332&lt;='Example Parties'!$E$8,AE332,0),0)</f>
        <v/>
      </c>
      <c r="AG332">
        <f>IF(OR(AE332=0,Z332=""),0,MAX(0,'Example Parties'!$E$8-Z332))</f>
        <v/>
      </c>
      <c r="AH332">
        <f>IF(AND(P332="Creditor",X332=1,AG332&gt;0),AE332*((1+3*N('Example Parties'!$E$10)/12)^(AG332*12/365)-1),0)</f>
        <v/>
      </c>
      <c r="AI332">
        <f>IF(AND(C332&lt;&gt;"",C332='Example Ledger'!$D$4,B332&lt;&gt;"",B332&gt;='Example Ledger'!$D$5,B332&lt;='Example Ledger'!$D$6),1,0)</f>
        <v/>
      </c>
      <c r="AJ332">
        <f>IF(AI332=1,SUM(AI$7:AI332),"")</f>
        <v/>
      </c>
      <c r="AK332">
        <f>IF(OR(N332="",N332="OK"),0,1)</f>
        <v/>
      </c>
    </row>
    <row r="333">
      <c r="B333" s="24" t="n"/>
      <c r="C333" s="14" t="n"/>
      <c r="D333" s="14" t="n"/>
      <c r="E333" s="20" t="n"/>
      <c r="F333" s="24" t="n"/>
      <c r="G333" s="14" t="n"/>
      <c r="H333" s="22" t="n"/>
      <c r="I333" s="25">
        <f>IF(Q333="D",N(H333),0)</f>
        <v/>
      </c>
      <c r="J333" s="25">
        <f>IF(Q333="C",N(H333),0)</f>
        <v/>
      </c>
      <c r="K333" s="26">
        <f>IF(Z333="","",Z333)</f>
        <v/>
      </c>
      <c r="L333" s="27">
        <f>W333</f>
        <v/>
      </c>
      <c r="M333" s="28">
        <f>AA333</f>
        <v/>
      </c>
      <c r="N333" s="23">
        <f>IF(AND(B333="",C333="",D333="",N(H333)=0),"",IF(B333="","Enter the date",IF(C333="","Pick the party",IF(P333="?","Add this party on the Parties sheet first",IF(D333="","Pick the entry type",IF(Q333="?","Pick the entry type from the list",IF(N(H333)=0,"Enter the amount",IF(AND(R333&lt;&gt;"Any",R333&lt;&gt;P333),"Sales, receipts and credit notes are for debtors; purchases, payments and debit notes for creditors",IF(AND(F333&lt;&gt;"",D333&lt;&gt;"Purchase bill"),"The received-on date is only for purchase bills",IF(AND(P333="Creditor",X333=1,AA333&gt;0),"Past due to a micro or small supplier: interest runs under MSMED s.16, and if unpaid at year end it is not deductible that year, s.37(2)(g)",IF(AND(P333="Debtor",X333=1,AA333&gt;0),"Past due to you: as a micro or small supplier you can claim interest under MSMED s.16","OK")))))))))))</f>
        <v/>
      </c>
      <c r="P333">
        <f>IF(C333="","",IFERROR(VLOOKUP(C333,'Example Parties'!$B$13:$Q$112,2,FALSE),"?"))</f>
        <v/>
      </c>
      <c r="Q333">
        <f>IF(D333="","",IFERROR(VLOOKUP(D333,Lists!$A$2:$D$9,3,FALSE),"?"))</f>
        <v/>
      </c>
      <c r="R333">
        <f>IF(D333="","",IFERROR(VLOOKUP(D333,Lists!$A$2:$D$9,4,FALSE),"?"))</f>
        <v/>
      </c>
      <c r="S333">
        <f>IF(P333="Debtor",I333,IF(P333="Creditor",J333,0))</f>
        <v/>
      </c>
      <c r="T333">
        <f>IF(P333="Debtor",J333,IF(P333="Creditor",I333,0))</f>
        <v/>
      </c>
      <c r="U333">
        <f>IF(OR(S333=0,B333=""),0,IFERROR(VLOOKUP(C333,'Example Parties'!$B$13:$Q$112,13,FALSE),0)+SUMIFS($S$7:$S$506,$C$7:$C$506,C333,$B$7:$B$506,"&lt;"&amp;B333)+SUMIFS(S$7:S333,C$7:C333,C333,B$7:B333,B333))</f>
        <v/>
      </c>
      <c r="V333">
        <f>IF(S333=0,0,IFERROR(VLOOKUP(C333,'Example Parties'!$B$13:$Q$112,14,FALSE),0)+SUMIFS($T$7:$T$506,$C$7:$C$506,C333,$B$7:$B$506,"&lt;="&amp;'Example Outstanding'!$E$5))</f>
        <v/>
      </c>
      <c r="W333">
        <f>IF(OR('Example Outstanding'!$E$5="",S333=0,B333="",B333&gt;'Example Outstanding'!$E$5),0,MAX(0,MIN(S333,U333-V333)))</f>
        <v/>
      </c>
      <c r="X333">
        <f>IF(C333="",0,IFERROR(VLOOKUP(C333,'Example Parties'!$B$13:$Q$112,15,FALSE),0))</f>
        <v/>
      </c>
      <c r="Y333">
        <f>IF(C333="","",IFERROR(VLOOKUP(C333,'Example Parties'!$B$13:$Q$112,16,FALSE),0))</f>
        <v/>
      </c>
      <c r="Z333">
        <f>IF(OR(S333=0,B333="",Y333=""),"",IF(AND(F333&lt;&gt;"",D333="Purchase bill"),F333,B333)+Y333)</f>
        <v/>
      </c>
      <c r="AA333">
        <f>IF(OR(W333=0,Z333=""),0,MAX(0,'Example Outstanding'!$E$5-Z333))</f>
        <v/>
      </c>
      <c r="AB333">
        <f>IF(AND(X333=1,AA333&gt;0),W333*((1+3*N('Example Parties'!$E$10)/12)^(AA333*12/365)-1),0)</f>
        <v/>
      </c>
      <c r="AC333">
        <f>IF(W333=0,"",'Example Outstanding'!$E$5-B333)</f>
        <v/>
      </c>
      <c r="AD333">
        <f>IF(S333=0,0,IFERROR(VLOOKUP(C333,'Example Parties'!$B$13:$Q$112,14,FALSE),0)+SUMIFS($T$7:$T$506,$C$7:$C$506,C333,$B$7:$B$506,"&lt;="&amp;'Example Parties'!$E$8))</f>
        <v/>
      </c>
      <c r="AE333">
        <f>IF(OR('Example Parties'!$E$8="",S333=0,B333="",B333&gt;'Example Parties'!$E$8),0,MAX(0,MIN(S333,U333-AD333)))</f>
        <v/>
      </c>
      <c r="AF333">
        <f>IF(AND(P333="Creditor",X333=1,AE333&gt;0,Z333&lt;&gt;""),IF(Z333&lt;='Example Parties'!$E$8,AE333,0),0)</f>
        <v/>
      </c>
      <c r="AG333">
        <f>IF(OR(AE333=0,Z333=""),0,MAX(0,'Example Parties'!$E$8-Z333))</f>
        <v/>
      </c>
      <c r="AH333">
        <f>IF(AND(P333="Creditor",X333=1,AG333&gt;0),AE333*((1+3*N('Example Parties'!$E$10)/12)^(AG333*12/365)-1),0)</f>
        <v/>
      </c>
      <c r="AI333">
        <f>IF(AND(C333&lt;&gt;"",C333='Example Ledger'!$D$4,B333&lt;&gt;"",B333&gt;='Example Ledger'!$D$5,B333&lt;='Example Ledger'!$D$6),1,0)</f>
        <v/>
      </c>
      <c r="AJ333">
        <f>IF(AI333=1,SUM(AI$7:AI333),"")</f>
        <v/>
      </c>
      <c r="AK333">
        <f>IF(OR(N333="",N333="OK"),0,1)</f>
        <v/>
      </c>
    </row>
    <row r="334">
      <c r="B334" s="24" t="n"/>
      <c r="C334" s="14" t="n"/>
      <c r="D334" s="14" t="n"/>
      <c r="E334" s="20" t="n"/>
      <c r="F334" s="24" t="n"/>
      <c r="G334" s="14" t="n"/>
      <c r="H334" s="22" t="n"/>
      <c r="I334" s="25">
        <f>IF(Q334="D",N(H334),0)</f>
        <v/>
      </c>
      <c r="J334" s="25">
        <f>IF(Q334="C",N(H334),0)</f>
        <v/>
      </c>
      <c r="K334" s="26">
        <f>IF(Z334="","",Z334)</f>
        <v/>
      </c>
      <c r="L334" s="27">
        <f>W334</f>
        <v/>
      </c>
      <c r="M334" s="28">
        <f>AA334</f>
        <v/>
      </c>
      <c r="N334" s="23">
        <f>IF(AND(B334="",C334="",D334="",N(H334)=0),"",IF(B334="","Enter the date",IF(C334="","Pick the party",IF(P334="?","Add this party on the Parties sheet first",IF(D334="","Pick the entry type",IF(Q334="?","Pick the entry type from the list",IF(N(H334)=0,"Enter the amount",IF(AND(R334&lt;&gt;"Any",R334&lt;&gt;P334),"Sales, receipts and credit notes are for debtors; purchases, payments and debit notes for creditors",IF(AND(F334&lt;&gt;"",D334&lt;&gt;"Purchase bill"),"The received-on date is only for purchase bills",IF(AND(P334="Creditor",X334=1,AA334&gt;0),"Past due to a micro or small supplier: interest runs under MSMED s.16, and if unpaid at year end it is not deductible that year, s.37(2)(g)",IF(AND(P334="Debtor",X334=1,AA334&gt;0),"Past due to you: as a micro or small supplier you can claim interest under MSMED s.16","OK")))))))))))</f>
        <v/>
      </c>
      <c r="P334">
        <f>IF(C334="","",IFERROR(VLOOKUP(C334,'Example Parties'!$B$13:$Q$112,2,FALSE),"?"))</f>
        <v/>
      </c>
      <c r="Q334">
        <f>IF(D334="","",IFERROR(VLOOKUP(D334,Lists!$A$2:$D$9,3,FALSE),"?"))</f>
        <v/>
      </c>
      <c r="R334">
        <f>IF(D334="","",IFERROR(VLOOKUP(D334,Lists!$A$2:$D$9,4,FALSE),"?"))</f>
        <v/>
      </c>
      <c r="S334">
        <f>IF(P334="Debtor",I334,IF(P334="Creditor",J334,0))</f>
        <v/>
      </c>
      <c r="T334">
        <f>IF(P334="Debtor",J334,IF(P334="Creditor",I334,0))</f>
        <v/>
      </c>
      <c r="U334">
        <f>IF(OR(S334=0,B334=""),0,IFERROR(VLOOKUP(C334,'Example Parties'!$B$13:$Q$112,13,FALSE),0)+SUMIFS($S$7:$S$506,$C$7:$C$506,C334,$B$7:$B$506,"&lt;"&amp;B334)+SUMIFS(S$7:S334,C$7:C334,C334,B$7:B334,B334))</f>
        <v/>
      </c>
      <c r="V334">
        <f>IF(S334=0,0,IFERROR(VLOOKUP(C334,'Example Parties'!$B$13:$Q$112,14,FALSE),0)+SUMIFS($T$7:$T$506,$C$7:$C$506,C334,$B$7:$B$506,"&lt;="&amp;'Example Outstanding'!$E$5))</f>
        <v/>
      </c>
      <c r="W334">
        <f>IF(OR('Example Outstanding'!$E$5="",S334=0,B334="",B334&gt;'Example Outstanding'!$E$5),0,MAX(0,MIN(S334,U334-V334)))</f>
        <v/>
      </c>
      <c r="X334">
        <f>IF(C334="",0,IFERROR(VLOOKUP(C334,'Example Parties'!$B$13:$Q$112,15,FALSE),0))</f>
        <v/>
      </c>
      <c r="Y334">
        <f>IF(C334="","",IFERROR(VLOOKUP(C334,'Example Parties'!$B$13:$Q$112,16,FALSE),0))</f>
        <v/>
      </c>
      <c r="Z334">
        <f>IF(OR(S334=0,B334="",Y334=""),"",IF(AND(F334&lt;&gt;"",D334="Purchase bill"),F334,B334)+Y334)</f>
        <v/>
      </c>
      <c r="AA334">
        <f>IF(OR(W334=0,Z334=""),0,MAX(0,'Example Outstanding'!$E$5-Z334))</f>
        <v/>
      </c>
      <c r="AB334">
        <f>IF(AND(X334=1,AA334&gt;0),W334*((1+3*N('Example Parties'!$E$10)/12)^(AA334*12/365)-1),0)</f>
        <v/>
      </c>
      <c r="AC334">
        <f>IF(W334=0,"",'Example Outstanding'!$E$5-B334)</f>
        <v/>
      </c>
      <c r="AD334">
        <f>IF(S334=0,0,IFERROR(VLOOKUP(C334,'Example Parties'!$B$13:$Q$112,14,FALSE),0)+SUMIFS($T$7:$T$506,$C$7:$C$506,C334,$B$7:$B$506,"&lt;="&amp;'Example Parties'!$E$8))</f>
        <v/>
      </c>
      <c r="AE334">
        <f>IF(OR('Example Parties'!$E$8="",S334=0,B334="",B334&gt;'Example Parties'!$E$8),0,MAX(0,MIN(S334,U334-AD334)))</f>
        <v/>
      </c>
      <c r="AF334">
        <f>IF(AND(P334="Creditor",X334=1,AE334&gt;0,Z334&lt;&gt;""),IF(Z334&lt;='Example Parties'!$E$8,AE334,0),0)</f>
        <v/>
      </c>
      <c r="AG334">
        <f>IF(OR(AE334=0,Z334=""),0,MAX(0,'Example Parties'!$E$8-Z334))</f>
        <v/>
      </c>
      <c r="AH334">
        <f>IF(AND(P334="Creditor",X334=1,AG334&gt;0),AE334*((1+3*N('Example Parties'!$E$10)/12)^(AG334*12/365)-1),0)</f>
        <v/>
      </c>
      <c r="AI334">
        <f>IF(AND(C334&lt;&gt;"",C334='Example Ledger'!$D$4,B334&lt;&gt;"",B334&gt;='Example Ledger'!$D$5,B334&lt;='Example Ledger'!$D$6),1,0)</f>
        <v/>
      </c>
      <c r="AJ334">
        <f>IF(AI334=1,SUM(AI$7:AI334),"")</f>
        <v/>
      </c>
      <c r="AK334">
        <f>IF(OR(N334="",N334="OK"),0,1)</f>
        <v/>
      </c>
    </row>
    <row r="335">
      <c r="B335" s="24" t="n"/>
      <c r="C335" s="14" t="n"/>
      <c r="D335" s="14" t="n"/>
      <c r="E335" s="20" t="n"/>
      <c r="F335" s="24" t="n"/>
      <c r="G335" s="14" t="n"/>
      <c r="H335" s="22" t="n"/>
      <c r="I335" s="25">
        <f>IF(Q335="D",N(H335),0)</f>
        <v/>
      </c>
      <c r="J335" s="25">
        <f>IF(Q335="C",N(H335),0)</f>
        <v/>
      </c>
      <c r="K335" s="26">
        <f>IF(Z335="","",Z335)</f>
        <v/>
      </c>
      <c r="L335" s="27">
        <f>W335</f>
        <v/>
      </c>
      <c r="M335" s="28">
        <f>AA335</f>
        <v/>
      </c>
      <c r="N335" s="23">
        <f>IF(AND(B335="",C335="",D335="",N(H335)=0),"",IF(B335="","Enter the date",IF(C335="","Pick the party",IF(P335="?","Add this party on the Parties sheet first",IF(D335="","Pick the entry type",IF(Q335="?","Pick the entry type from the list",IF(N(H335)=0,"Enter the amount",IF(AND(R335&lt;&gt;"Any",R335&lt;&gt;P335),"Sales, receipts and credit notes are for debtors; purchases, payments and debit notes for creditors",IF(AND(F335&lt;&gt;"",D335&lt;&gt;"Purchase bill"),"The received-on date is only for purchase bills",IF(AND(P335="Creditor",X335=1,AA335&gt;0),"Past due to a micro or small supplier: interest runs under MSMED s.16, and if unpaid at year end it is not deductible that year, s.37(2)(g)",IF(AND(P335="Debtor",X335=1,AA335&gt;0),"Past due to you: as a micro or small supplier you can claim interest under MSMED s.16","OK")))))))))))</f>
        <v/>
      </c>
      <c r="P335">
        <f>IF(C335="","",IFERROR(VLOOKUP(C335,'Example Parties'!$B$13:$Q$112,2,FALSE),"?"))</f>
        <v/>
      </c>
      <c r="Q335">
        <f>IF(D335="","",IFERROR(VLOOKUP(D335,Lists!$A$2:$D$9,3,FALSE),"?"))</f>
        <v/>
      </c>
      <c r="R335">
        <f>IF(D335="","",IFERROR(VLOOKUP(D335,Lists!$A$2:$D$9,4,FALSE),"?"))</f>
        <v/>
      </c>
      <c r="S335">
        <f>IF(P335="Debtor",I335,IF(P335="Creditor",J335,0))</f>
        <v/>
      </c>
      <c r="T335">
        <f>IF(P335="Debtor",J335,IF(P335="Creditor",I335,0))</f>
        <v/>
      </c>
      <c r="U335">
        <f>IF(OR(S335=0,B335=""),0,IFERROR(VLOOKUP(C335,'Example Parties'!$B$13:$Q$112,13,FALSE),0)+SUMIFS($S$7:$S$506,$C$7:$C$506,C335,$B$7:$B$506,"&lt;"&amp;B335)+SUMIFS(S$7:S335,C$7:C335,C335,B$7:B335,B335))</f>
        <v/>
      </c>
      <c r="V335">
        <f>IF(S335=0,0,IFERROR(VLOOKUP(C335,'Example Parties'!$B$13:$Q$112,14,FALSE),0)+SUMIFS($T$7:$T$506,$C$7:$C$506,C335,$B$7:$B$506,"&lt;="&amp;'Example Outstanding'!$E$5))</f>
        <v/>
      </c>
      <c r="W335">
        <f>IF(OR('Example Outstanding'!$E$5="",S335=0,B335="",B335&gt;'Example Outstanding'!$E$5),0,MAX(0,MIN(S335,U335-V335)))</f>
        <v/>
      </c>
      <c r="X335">
        <f>IF(C335="",0,IFERROR(VLOOKUP(C335,'Example Parties'!$B$13:$Q$112,15,FALSE),0))</f>
        <v/>
      </c>
      <c r="Y335">
        <f>IF(C335="","",IFERROR(VLOOKUP(C335,'Example Parties'!$B$13:$Q$112,16,FALSE),0))</f>
        <v/>
      </c>
      <c r="Z335">
        <f>IF(OR(S335=0,B335="",Y335=""),"",IF(AND(F335&lt;&gt;"",D335="Purchase bill"),F335,B335)+Y335)</f>
        <v/>
      </c>
      <c r="AA335">
        <f>IF(OR(W335=0,Z335=""),0,MAX(0,'Example Outstanding'!$E$5-Z335))</f>
        <v/>
      </c>
      <c r="AB335">
        <f>IF(AND(X335=1,AA335&gt;0),W335*((1+3*N('Example Parties'!$E$10)/12)^(AA335*12/365)-1),0)</f>
        <v/>
      </c>
      <c r="AC335">
        <f>IF(W335=0,"",'Example Outstanding'!$E$5-B335)</f>
        <v/>
      </c>
      <c r="AD335">
        <f>IF(S335=0,0,IFERROR(VLOOKUP(C335,'Example Parties'!$B$13:$Q$112,14,FALSE),0)+SUMIFS($T$7:$T$506,$C$7:$C$506,C335,$B$7:$B$506,"&lt;="&amp;'Example Parties'!$E$8))</f>
        <v/>
      </c>
      <c r="AE335">
        <f>IF(OR('Example Parties'!$E$8="",S335=0,B335="",B335&gt;'Example Parties'!$E$8),0,MAX(0,MIN(S335,U335-AD335)))</f>
        <v/>
      </c>
      <c r="AF335">
        <f>IF(AND(P335="Creditor",X335=1,AE335&gt;0,Z335&lt;&gt;""),IF(Z335&lt;='Example Parties'!$E$8,AE335,0),0)</f>
        <v/>
      </c>
      <c r="AG335">
        <f>IF(OR(AE335=0,Z335=""),0,MAX(0,'Example Parties'!$E$8-Z335))</f>
        <v/>
      </c>
      <c r="AH335">
        <f>IF(AND(P335="Creditor",X335=1,AG335&gt;0),AE335*((1+3*N('Example Parties'!$E$10)/12)^(AG335*12/365)-1),0)</f>
        <v/>
      </c>
      <c r="AI335">
        <f>IF(AND(C335&lt;&gt;"",C335='Example Ledger'!$D$4,B335&lt;&gt;"",B335&gt;='Example Ledger'!$D$5,B335&lt;='Example Ledger'!$D$6),1,0)</f>
        <v/>
      </c>
      <c r="AJ335">
        <f>IF(AI335=1,SUM(AI$7:AI335),"")</f>
        <v/>
      </c>
      <c r="AK335">
        <f>IF(OR(N335="",N335="OK"),0,1)</f>
        <v/>
      </c>
    </row>
    <row r="336">
      <c r="B336" s="24" t="n"/>
      <c r="C336" s="14" t="n"/>
      <c r="D336" s="14" t="n"/>
      <c r="E336" s="20" t="n"/>
      <c r="F336" s="24" t="n"/>
      <c r="G336" s="14" t="n"/>
      <c r="H336" s="22" t="n"/>
      <c r="I336" s="25">
        <f>IF(Q336="D",N(H336),0)</f>
        <v/>
      </c>
      <c r="J336" s="25">
        <f>IF(Q336="C",N(H336),0)</f>
        <v/>
      </c>
      <c r="K336" s="26">
        <f>IF(Z336="","",Z336)</f>
        <v/>
      </c>
      <c r="L336" s="27">
        <f>W336</f>
        <v/>
      </c>
      <c r="M336" s="28">
        <f>AA336</f>
        <v/>
      </c>
      <c r="N336" s="23">
        <f>IF(AND(B336="",C336="",D336="",N(H336)=0),"",IF(B336="","Enter the date",IF(C336="","Pick the party",IF(P336="?","Add this party on the Parties sheet first",IF(D336="","Pick the entry type",IF(Q336="?","Pick the entry type from the list",IF(N(H336)=0,"Enter the amount",IF(AND(R336&lt;&gt;"Any",R336&lt;&gt;P336),"Sales, receipts and credit notes are for debtors; purchases, payments and debit notes for creditors",IF(AND(F336&lt;&gt;"",D336&lt;&gt;"Purchase bill"),"The received-on date is only for purchase bills",IF(AND(P336="Creditor",X336=1,AA336&gt;0),"Past due to a micro or small supplier: interest runs under MSMED s.16, and if unpaid at year end it is not deductible that year, s.37(2)(g)",IF(AND(P336="Debtor",X336=1,AA336&gt;0),"Past due to you: as a micro or small supplier you can claim interest under MSMED s.16","OK")))))))))))</f>
        <v/>
      </c>
      <c r="P336">
        <f>IF(C336="","",IFERROR(VLOOKUP(C336,'Example Parties'!$B$13:$Q$112,2,FALSE),"?"))</f>
        <v/>
      </c>
      <c r="Q336">
        <f>IF(D336="","",IFERROR(VLOOKUP(D336,Lists!$A$2:$D$9,3,FALSE),"?"))</f>
        <v/>
      </c>
      <c r="R336">
        <f>IF(D336="","",IFERROR(VLOOKUP(D336,Lists!$A$2:$D$9,4,FALSE),"?"))</f>
        <v/>
      </c>
      <c r="S336">
        <f>IF(P336="Debtor",I336,IF(P336="Creditor",J336,0))</f>
        <v/>
      </c>
      <c r="T336">
        <f>IF(P336="Debtor",J336,IF(P336="Creditor",I336,0))</f>
        <v/>
      </c>
      <c r="U336">
        <f>IF(OR(S336=0,B336=""),0,IFERROR(VLOOKUP(C336,'Example Parties'!$B$13:$Q$112,13,FALSE),0)+SUMIFS($S$7:$S$506,$C$7:$C$506,C336,$B$7:$B$506,"&lt;"&amp;B336)+SUMIFS(S$7:S336,C$7:C336,C336,B$7:B336,B336))</f>
        <v/>
      </c>
      <c r="V336">
        <f>IF(S336=0,0,IFERROR(VLOOKUP(C336,'Example Parties'!$B$13:$Q$112,14,FALSE),0)+SUMIFS($T$7:$T$506,$C$7:$C$506,C336,$B$7:$B$506,"&lt;="&amp;'Example Outstanding'!$E$5))</f>
        <v/>
      </c>
      <c r="W336">
        <f>IF(OR('Example Outstanding'!$E$5="",S336=0,B336="",B336&gt;'Example Outstanding'!$E$5),0,MAX(0,MIN(S336,U336-V336)))</f>
        <v/>
      </c>
      <c r="X336">
        <f>IF(C336="",0,IFERROR(VLOOKUP(C336,'Example Parties'!$B$13:$Q$112,15,FALSE),0))</f>
        <v/>
      </c>
      <c r="Y336">
        <f>IF(C336="","",IFERROR(VLOOKUP(C336,'Example Parties'!$B$13:$Q$112,16,FALSE),0))</f>
        <v/>
      </c>
      <c r="Z336">
        <f>IF(OR(S336=0,B336="",Y336=""),"",IF(AND(F336&lt;&gt;"",D336="Purchase bill"),F336,B336)+Y336)</f>
        <v/>
      </c>
      <c r="AA336">
        <f>IF(OR(W336=0,Z336=""),0,MAX(0,'Example Outstanding'!$E$5-Z336))</f>
        <v/>
      </c>
      <c r="AB336">
        <f>IF(AND(X336=1,AA336&gt;0),W336*((1+3*N('Example Parties'!$E$10)/12)^(AA336*12/365)-1),0)</f>
        <v/>
      </c>
      <c r="AC336">
        <f>IF(W336=0,"",'Example Outstanding'!$E$5-B336)</f>
        <v/>
      </c>
      <c r="AD336">
        <f>IF(S336=0,0,IFERROR(VLOOKUP(C336,'Example Parties'!$B$13:$Q$112,14,FALSE),0)+SUMIFS($T$7:$T$506,$C$7:$C$506,C336,$B$7:$B$506,"&lt;="&amp;'Example Parties'!$E$8))</f>
        <v/>
      </c>
      <c r="AE336">
        <f>IF(OR('Example Parties'!$E$8="",S336=0,B336="",B336&gt;'Example Parties'!$E$8),0,MAX(0,MIN(S336,U336-AD336)))</f>
        <v/>
      </c>
      <c r="AF336">
        <f>IF(AND(P336="Creditor",X336=1,AE336&gt;0,Z336&lt;&gt;""),IF(Z336&lt;='Example Parties'!$E$8,AE336,0),0)</f>
        <v/>
      </c>
      <c r="AG336">
        <f>IF(OR(AE336=0,Z336=""),0,MAX(0,'Example Parties'!$E$8-Z336))</f>
        <v/>
      </c>
      <c r="AH336">
        <f>IF(AND(P336="Creditor",X336=1,AG336&gt;0),AE336*((1+3*N('Example Parties'!$E$10)/12)^(AG336*12/365)-1),0)</f>
        <v/>
      </c>
      <c r="AI336">
        <f>IF(AND(C336&lt;&gt;"",C336='Example Ledger'!$D$4,B336&lt;&gt;"",B336&gt;='Example Ledger'!$D$5,B336&lt;='Example Ledger'!$D$6),1,0)</f>
        <v/>
      </c>
      <c r="AJ336">
        <f>IF(AI336=1,SUM(AI$7:AI336),"")</f>
        <v/>
      </c>
      <c r="AK336">
        <f>IF(OR(N336="",N336="OK"),0,1)</f>
        <v/>
      </c>
    </row>
    <row r="337">
      <c r="B337" s="24" t="n"/>
      <c r="C337" s="14" t="n"/>
      <c r="D337" s="14" t="n"/>
      <c r="E337" s="20" t="n"/>
      <c r="F337" s="24" t="n"/>
      <c r="G337" s="14" t="n"/>
      <c r="H337" s="22" t="n"/>
      <c r="I337" s="25">
        <f>IF(Q337="D",N(H337),0)</f>
        <v/>
      </c>
      <c r="J337" s="25">
        <f>IF(Q337="C",N(H337),0)</f>
        <v/>
      </c>
      <c r="K337" s="26">
        <f>IF(Z337="","",Z337)</f>
        <v/>
      </c>
      <c r="L337" s="27">
        <f>W337</f>
        <v/>
      </c>
      <c r="M337" s="28">
        <f>AA337</f>
        <v/>
      </c>
      <c r="N337" s="23">
        <f>IF(AND(B337="",C337="",D337="",N(H337)=0),"",IF(B337="","Enter the date",IF(C337="","Pick the party",IF(P337="?","Add this party on the Parties sheet first",IF(D337="","Pick the entry type",IF(Q337="?","Pick the entry type from the list",IF(N(H337)=0,"Enter the amount",IF(AND(R337&lt;&gt;"Any",R337&lt;&gt;P337),"Sales, receipts and credit notes are for debtors; purchases, payments and debit notes for creditors",IF(AND(F337&lt;&gt;"",D337&lt;&gt;"Purchase bill"),"The received-on date is only for purchase bills",IF(AND(P337="Creditor",X337=1,AA337&gt;0),"Past due to a micro or small supplier: interest runs under MSMED s.16, and if unpaid at year end it is not deductible that year, s.37(2)(g)",IF(AND(P337="Debtor",X337=1,AA337&gt;0),"Past due to you: as a micro or small supplier you can claim interest under MSMED s.16","OK")))))))))))</f>
        <v/>
      </c>
      <c r="P337">
        <f>IF(C337="","",IFERROR(VLOOKUP(C337,'Example Parties'!$B$13:$Q$112,2,FALSE),"?"))</f>
        <v/>
      </c>
      <c r="Q337">
        <f>IF(D337="","",IFERROR(VLOOKUP(D337,Lists!$A$2:$D$9,3,FALSE),"?"))</f>
        <v/>
      </c>
      <c r="R337">
        <f>IF(D337="","",IFERROR(VLOOKUP(D337,Lists!$A$2:$D$9,4,FALSE),"?"))</f>
        <v/>
      </c>
      <c r="S337">
        <f>IF(P337="Debtor",I337,IF(P337="Creditor",J337,0))</f>
        <v/>
      </c>
      <c r="T337">
        <f>IF(P337="Debtor",J337,IF(P337="Creditor",I337,0))</f>
        <v/>
      </c>
      <c r="U337">
        <f>IF(OR(S337=0,B337=""),0,IFERROR(VLOOKUP(C337,'Example Parties'!$B$13:$Q$112,13,FALSE),0)+SUMIFS($S$7:$S$506,$C$7:$C$506,C337,$B$7:$B$506,"&lt;"&amp;B337)+SUMIFS(S$7:S337,C$7:C337,C337,B$7:B337,B337))</f>
        <v/>
      </c>
      <c r="V337">
        <f>IF(S337=0,0,IFERROR(VLOOKUP(C337,'Example Parties'!$B$13:$Q$112,14,FALSE),0)+SUMIFS($T$7:$T$506,$C$7:$C$506,C337,$B$7:$B$506,"&lt;="&amp;'Example Outstanding'!$E$5))</f>
        <v/>
      </c>
      <c r="W337">
        <f>IF(OR('Example Outstanding'!$E$5="",S337=0,B337="",B337&gt;'Example Outstanding'!$E$5),0,MAX(0,MIN(S337,U337-V337)))</f>
        <v/>
      </c>
      <c r="X337">
        <f>IF(C337="",0,IFERROR(VLOOKUP(C337,'Example Parties'!$B$13:$Q$112,15,FALSE),0))</f>
        <v/>
      </c>
      <c r="Y337">
        <f>IF(C337="","",IFERROR(VLOOKUP(C337,'Example Parties'!$B$13:$Q$112,16,FALSE),0))</f>
        <v/>
      </c>
      <c r="Z337">
        <f>IF(OR(S337=0,B337="",Y337=""),"",IF(AND(F337&lt;&gt;"",D337="Purchase bill"),F337,B337)+Y337)</f>
        <v/>
      </c>
      <c r="AA337">
        <f>IF(OR(W337=0,Z337=""),0,MAX(0,'Example Outstanding'!$E$5-Z337))</f>
        <v/>
      </c>
      <c r="AB337">
        <f>IF(AND(X337=1,AA337&gt;0),W337*((1+3*N('Example Parties'!$E$10)/12)^(AA337*12/365)-1),0)</f>
        <v/>
      </c>
      <c r="AC337">
        <f>IF(W337=0,"",'Example Outstanding'!$E$5-B337)</f>
        <v/>
      </c>
      <c r="AD337">
        <f>IF(S337=0,0,IFERROR(VLOOKUP(C337,'Example Parties'!$B$13:$Q$112,14,FALSE),0)+SUMIFS($T$7:$T$506,$C$7:$C$506,C337,$B$7:$B$506,"&lt;="&amp;'Example Parties'!$E$8))</f>
        <v/>
      </c>
      <c r="AE337">
        <f>IF(OR('Example Parties'!$E$8="",S337=0,B337="",B337&gt;'Example Parties'!$E$8),0,MAX(0,MIN(S337,U337-AD337)))</f>
        <v/>
      </c>
      <c r="AF337">
        <f>IF(AND(P337="Creditor",X337=1,AE337&gt;0,Z337&lt;&gt;""),IF(Z337&lt;='Example Parties'!$E$8,AE337,0),0)</f>
        <v/>
      </c>
      <c r="AG337">
        <f>IF(OR(AE337=0,Z337=""),0,MAX(0,'Example Parties'!$E$8-Z337))</f>
        <v/>
      </c>
      <c r="AH337">
        <f>IF(AND(P337="Creditor",X337=1,AG337&gt;0),AE337*((1+3*N('Example Parties'!$E$10)/12)^(AG337*12/365)-1),0)</f>
        <v/>
      </c>
      <c r="AI337">
        <f>IF(AND(C337&lt;&gt;"",C337='Example Ledger'!$D$4,B337&lt;&gt;"",B337&gt;='Example Ledger'!$D$5,B337&lt;='Example Ledger'!$D$6),1,0)</f>
        <v/>
      </c>
      <c r="AJ337">
        <f>IF(AI337=1,SUM(AI$7:AI337),"")</f>
        <v/>
      </c>
      <c r="AK337">
        <f>IF(OR(N337="",N337="OK"),0,1)</f>
        <v/>
      </c>
    </row>
    <row r="338">
      <c r="B338" s="24" t="n"/>
      <c r="C338" s="14" t="n"/>
      <c r="D338" s="14" t="n"/>
      <c r="E338" s="20" t="n"/>
      <c r="F338" s="24" t="n"/>
      <c r="G338" s="14" t="n"/>
      <c r="H338" s="22" t="n"/>
      <c r="I338" s="25">
        <f>IF(Q338="D",N(H338),0)</f>
        <v/>
      </c>
      <c r="J338" s="25">
        <f>IF(Q338="C",N(H338),0)</f>
        <v/>
      </c>
      <c r="K338" s="26">
        <f>IF(Z338="","",Z338)</f>
        <v/>
      </c>
      <c r="L338" s="27">
        <f>W338</f>
        <v/>
      </c>
      <c r="M338" s="28">
        <f>AA338</f>
        <v/>
      </c>
      <c r="N338" s="23">
        <f>IF(AND(B338="",C338="",D338="",N(H338)=0),"",IF(B338="","Enter the date",IF(C338="","Pick the party",IF(P338="?","Add this party on the Parties sheet first",IF(D338="","Pick the entry type",IF(Q338="?","Pick the entry type from the list",IF(N(H338)=0,"Enter the amount",IF(AND(R338&lt;&gt;"Any",R338&lt;&gt;P338),"Sales, receipts and credit notes are for debtors; purchases, payments and debit notes for creditors",IF(AND(F338&lt;&gt;"",D338&lt;&gt;"Purchase bill"),"The received-on date is only for purchase bills",IF(AND(P338="Creditor",X338=1,AA338&gt;0),"Past due to a micro or small supplier: interest runs under MSMED s.16, and if unpaid at year end it is not deductible that year, s.37(2)(g)",IF(AND(P338="Debtor",X338=1,AA338&gt;0),"Past due to you: as a micro or small supplier you can claim interest under MSMED s.16","OK")))))))))))</f>
        <v/>
      </c>
      <c r="P338">
        <f>IF(C338="","",IFERROR(VLOOKUP(C338,'Example Parties'!$B$13:$Q$112,2,FALSE),"?"))</f>
        <v/>
      </c>
      <c r="Q338">
        <f>IF(D338="","",IFERROR(VLOOKUP(D338,Lists!$A$2:$D$9,3,FALSE),"?"))</f>
        <v/>
      </c>
      <c r="R338">
        <f>IF(D338="","",IFERROR(VLOOKUP(D338,Lists!$A$2:$D$9,4,FALSE),"?"))</f>
        <v/>
      </c>
      <c r="S338">
        <f>IF(P338="Debtor",I338,IF(P338="Creditor",J338,0))</f>
        <v/>
      </c>
      <c r="T338">
        <f>IF(P338="Debtor",J338,IF(P338="Creditor",I338,0))</f>
        <v/>
      </c>
      <c r="U338">
        <f>IF(OR(S338=0,B338=""),0,IFERROR(VLOOKUP(C338,'Example Parties'!$B$13:$Q$112,13,FALSE),0)+SUMIFS($S$7:$S$506,$C$7:$C$506,C338,$B$7:$B$506,"&lt;"&amp;B338)+SUMIFS(S$7:S338,C$7:C338,C338,B$7:B338,B338))</f>
        <v/>
      </c>
      <c r="V338">
        <f>IF(S338=0,0,IFERROR(VLOOKUP(C338,'Example Parties'!$B$13:$Q$112,14,FALSE),0)+SUMIFS($T$7:$T$506,$C$7:$C$506,C338,$B$7:$B$506,"&lt;="&amp;'Example Outstanding'!$E$5))</f>
        <v/>
      </c>
      <c r="W338">
        <f>IF(OR('Example Outstanding'!$E$5="",S338=0,B338="",B338&gt;'Example Outstanding'!$E$5),0,MAX(0,MIN(S338,U338-V338)))</f>
        <v/>
      </c>
      <c r="X338">
        <f>IF(C338="",0,IFERROR(VLOOKUP(C338,'Example Parties'!$B$13:$Q$112,15,FALSE),0))</f>
        <v/>
      </c>
      <c r="Y338">
        <f>IF(C338="","",IFERROR(VLOOKUP(C338,'Example Parties'!$B$13:$Q$112,16,FALSE),0))</f>
        <v/>
      </c>
      <c r="Z338">
        <f>IF(OR(S338=0,B338="",Y338=""),"",IF(AND(F338&lt;&gt;"",D338="Purchase bill"),F338,B338)+Y338)</f>
        <v/>
      </c>
      <c r="AA338">
        <f>IF(OR(W338=0,Z338=""),0,MAX(0,'Example Outstanding'!$E$5-Z338))</f>
        <v/>
      </c>
      <c r="AB338">
        <f>IF(AND(X338=1,AA338&gt;0),W338*((1+3*N('Example Parties'!$E$10)/12)^(AA338*12/365)-1),0)</f>
        <v/>
      </c>
      <c r="AC338">
        <f>IF(W338=0,"",'Example Outstanding'!$E$5-B338)</f>
        <v/>
      </c>
      <c r="AD338">
        <f>IF(S338=0,0,IFERROR(VLOOKUP(C338,'Example Parties'!$B$13:$Q$112,14,FALSE),0)+SUMIFS($T$7:$T$506,$C$7:$C$506,C338,$B$7:$B$506,"&lt;="&amp;'Example Parties'!$E$8))</f>
        <v/>
      </c>
      <c r="AE338">
        <f>IF(OR('Example Parties'!$E$8="",S338=0,B338="",B338&gt;'Example Parties'!$E$8),0,MAX(0,MIN(S338,U338-AD338)))</f>
        <v/>
      </c>
      <c r="AF338">
        <f>IF(AND(P338="Creditor",X338=1,AE338&gt;0,Z338&lt;&gt;""),IF(Z338&lt;='Example Parties'!$E$8,AE338,0),0)</f>
        <v/>
      </c>
      <c r="AG338">
        <f>IF(OR(AE338=0,Z338=""),0,MAX(0,'Example Parties'!$E$8-Z338))</f>
        <v/>
      </c>
      <c r="AH338">
        <f>IF(AND(P338="Creditor",X338=1,AG338&gt;0),AE338*((1+3*N('Example Parties'!$E$10)/12)^(AG338*12/365)-1),0)</f>
        <v/>
      </c>
      <c r="AI338">
        <f>IF(AND(C338&lt;&gt;"",C338='Example Ledger'!$D$4,B338&lt;&gt;"",B338&gt;='Example Ledger'!$D$5,B338&lt;='Example Ledger'!$D$6),1,0)</f>
        <v/>
      </c>
      <c r="AJ338">
        <f>IF(AI338=1,SUM(AI$7:AI338),"")</f>
        <v/>
      </c>
      <c r="AK338">
        <f>IF(OR(N338="",N338="OK"),0,1)</f>
        <v/>
      </c>
    </row>
    <row r="339">
      <c r="B339" s="24" t="n"/>
      <c r="C339" s="14" t="n"/>
      <c r="D339" s="14" t="n"/>
      <c r="E339" s="20" t="n"/>
      <c r="F339" s="24" t="n"/>
      <c r="G339" s="14" t="n"/>
      <c r="H339" s="22" t="n"/>
      <c r="I339" s="25">
        <f>IF(Q339="D",N(H339),0)</f>
        <v/>
      </c>
      <c r="J339" s="25">
        <f>IF(Q339="C",N(H339),0)</f>
        <v/>
      </c>
      <c r="K339" s="26">
        <f>IF(Z339="","",Z339)</f>
        <v/>
      </c>
      <c r="L339" s="27">
        <f>W339</f>
        <v/>
      </c>
      <c r="M339" s="28">
        <f>AA339</f>
        <v/>
      </c>
      <c r="N339" s="23">
        <f>IF(AND(B339="",C339="",D339="",N(H339)=0),"",IF(B339="","Enter the date",IF(C339="","Pick the party",IF(P339="?","Add this party on the Parties sheet first",IF(D339="","Pick the entry type",IF(Q339="?","Pick the entry type from the list",IF(N(H339)=0,"Enter the amount",IF(AND(R339&lt;&gt;"Any",R339&lt;&gt;P339),"Sales, receipts and credit notes are for debtors; purchases, payments and debit notes for creditors",IF(AND(F339&lt;&gt;"",D339&lt;&gt;"Purchase bill"),"The received-on date is only for purchase bills",IF(AND(P339="Creditor",X339=1,AA339&gt;0),"Past due to a micro or small supplier: interest runs under MSMED s.16, and if unpaid at year end it is not deductible that year, s.37(2)(g)",IF(AND(P339="Debtor",X339=1,AA339&gt;0),"Past due to you: as a micro or small supplier you can claim interest under MSMED s.16","OK")))))))))))</f>
        <v/>
      </c>
      <c r="P339">
        <f>IF(C339="","",IFERROR(VLOOKUP(C339,'Example Parties'!$B$13:$Q$112,2,FALSE),"?"))</f>
        <v/>
      </c>
      <c r="Q339">
        <f>IF(D339="","",IFERROR(VLOOKUP(D339,Lists!$A$2:$D$9,3,FALSE),"?"))</f>
        <v/>
      </c>
      <c r="R339">
        <f>IF(D339="","",IFERROR(VLOOKUP(D339,Lists!$A$2:$D$9,4,FALSE),"?"))</f>
        <v/>
      </c>
      <c r="S339">
        <f>IF(P339="Debtor",I339,IF(P339="Creditor",J339,0))</f>
        <v/>
      </c>
      <c r="T339">
        <f>IF(P339="Debtor",J339,IF(P339="Creditor",I339,0))</f>
        <v/>
      </c>
      <c r="U339">
        <f>IF(OR(S339=0,B339=""),0,IFERROR(VLOOKUP(C339,'Example Parties'!$B$13:$Q$112,13,FALSE),0)+SUMIFS($S$7:$S$506,$C$7:$C$506,C339,$B$7:$B$506,"&lt;"&amp;B339)+SUMIFS(S$7:S339,C$7:C339,C339,B$7:B339,B339))</f>
        <v/>
      </c>
      <c r="V339">
        <f>IF(S339=0,0,IFERROR(VLOOKUP(C339,'Example Parties'!$B$13:$Q$112,14,FALSE),0)+SUMIFS($T$7:$T$506,$C$7:$C$506,C339,$B$7:$B$506,"&lt;="&amp;'Example Outstanding'!$E$5))</f>
        <v/>
      </c>
      <c r="W339">
        <f>IF(OR('Example Outstanding'!$E$5="",S339=0,B339="",B339&gt;'Example Outstanding'!$E$5),0,MAX(0,MIN(S339,U339-V339)))</f>
        <v/>
      </c>
      <c r="X339">
        <f>IF(C339="",0,IFERROR(VLOOKUP(C339,'Example Parties'!$B$13:$Q$112,15,FALSE),0))</f>
        <v/>
      </c>
      <c r="Y339">
        <f>IF(C339="","",IFERROR(VLOOKUP(C339,'Example Parties'!$B$13:$Q$112,16,FALSE),0))</f>
        <v/>
      </c>
      <c r="Z339">
        <f>IF(OR(S339=0,B339="",Y339=""),"",IF(AND(F339&lt;&gt;"",D339="Purchase bill"),F339,B339)+Y339)</f>
        <v/>
      </c>
      <c r="AA339">
        <f>IF(OR(W339=0,Z339=""),0,MAX(0,'Example Outstanding'!$E$5-Z339))</f>
        <v/>
      </c>
      <c r="AB339">
        <f>IF(AND(X339=1,AA339&gt;0),W339*((1+3*N('Example Parties'!$E$10)/12)^(AA339*12/365)-1),0)</f>
        <v/>
      </c>
      <c r="AC339">
        <f>IF(W339=0,"",'Example Outstanding'!$E$5-B339)</f>
        <v/>
      </c>
      <c r="AD339">
        <f>IF(S339=0,0,IFERROR(VLOOKUP(C339,'Example Parties'!$B$13:$Q$112,14,FALSE),0)+SUMIFS($T$7:$T$506,$C$7:$C$506,C339,$B$7:$B$506,"&lt;="&amp;'Example Parties'!$E$8))</f>
        <v/>
      </c>
      <c r="AE339">
        <f>IF(OR('Example Parties'!$E$8="",S339=0,B339="",B339&gt;'Example Parties'!$E$8),0,MAX(0,MIN(S339,U339-AD339)))</f>
        <v/>
      </c>
      <c r="AF339">
        <f>IF(AND(P339="Creditor",X339=1,AE339&gt;0,Z339&lt;&gt;""),IF(Z339&lt;='Example Parties'!$E$8,AE339,0),0)</f>
        <v/>
      </c>
      <c r="AG339">
        <f>IF(OR(AE339=0,Z339=""),0,MAX(0,'Example Parties'!$E$8-Z339))</f>
        <v/>
      </c>
      <c r="AH339">
        <f>IF(AND(P339="Creditor",X339=1,AG339&gt;0),AE339*((1+3*N('Example Parties'!$E$10)/12)^(AG339*12/365)-1),0)</f>
        <v/>
      </c>
      <c r="AI339">
        <f>IF(AND(C339&lt;&gt;"",C339='Example Ledger'!$D$4,B339&lt;&gt;"",B339&gt;='Example Ledger'!$D$5,B339&lt;='Example Ledger'!$D$6),1,0)</f>
        <v/>
      </c>
      <c r="AJ339">
        <f>IF(AI339=1,SUM(AI$7:AI339),"")</f>
        <v/>
      </c>
      <c r="AK339">
        <f>IF(OR(N339="",N339="OK"),0,1)</f>
        <v/>
      </c>
    </row>
    <row r="340">
      <c r="B340" s="24" t="n"/>
      <c r="C340" s="14" t="n"/>
      <c r="D340" s="14" t="n"/>
      <c r="E340" s="20" t="n"/>
      <c r="F340" s="24" t="n"/>
      <c r="G340" s="14" t="n"/>
      <c r="H340" s="22" t="n"/>
      <c r="I340" s="25">
        <f>IF(Q340="D",N(H340),0)</f>
        <v/>
      </c>
      <c r="J340" s="25">
        <f>IF(Q340="C",N(H340),0)</f>
        <v/>
      </c>
      <c r="K340" s="26">
        <f>IF(Z340="","",Z340)</f>
        <v/>
      </c>
      <c r="L340" s="27">
        <f>W340</f>
        <v/>
      </c>
      <c r="M340" s="28">
        <f>AA340</f>
        <v/>
      </c>
      <c r="N340" s="23">
        <f>IF(AND(B340="",C340="",D340="",N(H340)=0),"",IF(B340="","Enter the date",IF(C340="","Pick the party",IF(P340="?","Add this party on the Parties sheet first",IF(D340="","Pick the entry type",IF(Q340="?","Pick the entry type from the list",IF(N(H340)=0,"Enter the amount",IF(AND(R340&lt;&gt;"Any",R340&lt;&gt;P340),"Sales, receipts and credit notes are for debtors; purchases, payments and debit notes for creditors",IF(AND(F340&lt;&gt;"",D340&lt;&gt;"Purchase bill"),"The received-on date is only for purchase bills",IF(AND(P340="Creditor",X340=1,AA340&gt;0),"Past due to a micro or small supplier: interest runs under MSMED s.16, and if unpaid at year end it is not deductible that year, s.37(2)(g)",IF(AND(P340="Debtor",X340=1,AA340&gt;0),"Past due to you: as a micro or small supplier you can claim interest under MSMED s.16","OK")))))))))))</f>
        <v/>
      </c>
      <c r="P340">
        <f>IF(C340="","",IFERROR(VLOOKUP(C340,'Example Parties'!$B$13:$Q$112,2,FALSE),"?"))</f>
        <v/>
      </c>
      <c r="Q340">
        <f>IF(D340="","",IFERROR(VLOOKUP(D340,Lists!$A$2:$D$9,3,FALSE),"?"))</f>
        <v/>
      </c>
      <c r="R340">
        <f>IF(D340="","",IFERROR(VLOOKUP(D340,Lists!$A$2:$D$9,4,FALSE),"?"))</f>
        <v/>
      </c>
      <c r="S340">
        <f>IF(P340="Debtor",I340,IF(P340="Creditor",J340,0))</f>
        <v/>
      </c>
      <c r="T340">
        <f>IF(P340="Debtor",J340,IF(P340="Creditor",I340,0))</f>
        <v/>
      </c>
      <c r="U340">
        <f>IF(OR(S340=0,B340=""),0,IFERROR(VLOOKUP(C340,'Example Parties'!$B$13:$Q$112,13,FALSE),0)+SUMIFS($S$7:$S$506,$C$7:$C$506,C340,$B$7:$B$506,"&lt;"&amp;B340)+SUMIFS(S$7:S340,C$7:C340,C340,B$7:B340,B340))</f>
        <v/>
      </c>
      <c r="V340">
        <f>IF(S340=0,0,IFERROR(VLOOKUP(C340,'Example Parties'!$B$13:$Q$112,14,FALSE),0)+SUMIFS($T$7:$T$506,$C$7:$C$506,C340,$B$7:$B$506,"&lt;="&amp;'Example Outstanding'!$E$5))</f>
        <v/>
      </c>
      <c r="W340">
        <f>IF(OR('Example Outstanding'!$E$5="",S340=0,B340="",B340&gt;'Example Outstanding'!$E$5),0,MAX(0,MIN(S340,U340-V340)))</f>
        <v/>
      </c>
      <c r="X340">
        <f>IF(C340="",0,IFERROR(VLOOKUP(C340,'Example Parties'!$B$13:$Q$112,15,FALSE),0))</f>
        <v/>
      </c>
      <c r="Y340">
        <f>IF(C340="","",IFERROR(VLOOKUP(C340,'Example Parties'!$B$13:$Q$112,16,FALSE),0))</f>
        <v/>
      </c>
      <c r="Z340">
        <f>IF(OR(S340=0,B340="",Y340=""),"",IF(AND(F340&lt;&gt;"",D340="Purchase bill"),F340,B340)+Y340)</f>
        <v/>
      </c>
      <c r="AA340">
        <f>IF(OR(W340=0,Z340=""),0,MAX(0,'Example Outstanding'!$E$5-Z340))</f>
        <v/>
      </c>
      <c r="AB340">
        <f>IF(AND(X340=1,AA340&gt;0),W340*((1+3*N('Example Parties'!$E$10)/12)^(AA340*12/365)-1),0)</f>
        <v/>
      </c>
      <c r="AC340">
        <f>IF(W340=0,"",'Example Outstanding'!$E$5-B340)</f>
        <v/>
      </c>
      <c r="AD340">
        <f>IF(S340=0,0,IFERROR(VLOOKUP(C340,'Example Parties'!$B$13:$Q$112,14,FALSE),0)+SUMIFS($T$7:$T$506,$C$7:$C$506,C340,$B$7:$B$506,"&lt;="&amp;'Example Parties'!$E$8))</f>
        <v/>
      </c>
      <c r="AE340">
        <f>IF(OR('Example Parties'!$E$8="",S340=0,B340="",B340&gt;'Example Parties'!$E$8),0,MAX(0,MIN(S340,U340-AD340)))</f>
        <v/>
      </c>
      <c r="AF340">
        <f>IF(AND(P340="Creditor",X340=1,AE340&gt;0,Z340&lt;&gt;""),IF(Z340&lt;='Example Parties'!$E$8,AE340,0),0)</f>
        <v/>
      </c>
      <c r="AG340">
        <f>IF(OR(AE340=0,Z340=""),0,MAX(0,'Example Parties'!$E$8-Z340))</f>
        <v/>
      </c>
      <c r="AH340">
        <f>IF(AND(P340="Creditor",X340=1,AG340&gt;0),AE340*((1+3*N('Example Parties'!$E$10)/12)^(AG340*12/365)-1),0)</f>
        <v/>
      </c>
      <c r="AI340">
        <f>IF(AND(C340&lt;&gt;"",C340='Example Ledger'!$D$4,B340&lt;&gt;"",B340&gt;='Example Ledger'!$D$5,B340&lt;='Example Ledger'!$D$6),1,0)</f>
        <v/>
      </c>
      <c r="AJ340">
        <f>IF(AI340=1,SUM(AI$7:AI340),"")</f>
        <v/>
      </c>
      <c r="AK340">
        <f>IF(OR(N340="",N340="OK"),0,1)</f>
        <v/>
      </c>
    </row>
    <row r="341">
      <c r="B341" s="24" t="n"/>
      <c r="C341" s="14" t="n"/>
      <c r="D341" s="14" t="n"/>
      <c r="E341" s="20" t="n"/>
      <c r="F341" s="24" t="n"/>
      <c r="G341" s="14" t="n"/>
      <c r="H341" s="22" t="n"/>
      <c r="I341" s="25">
        <f>IF(Q341="D",N(H341),0)</f>
        <v/>
      </c>
      <c r="J341" s="25">
        <f>IF(Q341="C",N(H341),0)</f>
        <v/>
      </c>
      <c r="K341" s="26">
        <f>IF(Z341="","",Z341)</f>
        <v/>
      </c>
      <c r="L341" s="27">
        <f>W341</f>
        <v/>
      </c>
      <c r="M341" s="28">
        <f>AA341</f>
        <v/>
      </c>
      <c r="N341" s="23">
        <f>IF(AND(B341="",C341="",D341="",N(H341)=0),"",IF(B341="","Enter the date",IF(C341="","Pick the party",IF(P341="?","Add this party on the Parties sheet first",IF(D341="","Pick the entry type",IF(Q341="?","Pick the entry type from the list",IF(N(H341)=0,"Enter the amount",IF(AND(R341&lt;&gt;"Any",R341&lt;&gt;P341),"Sales, receipts and credit notes are for debtors; purchases, payments and debit notes for creditors",IF(AND(F341&lt;&gt;"",D341&lt;&gt;"Purchase bill"),"The received-on date is only for purchase bills",IF(AND(P341="Creditor",X341=1,AA341&gt;0),"Past due to a micro or small supplier: interest runs under MSMED s.16, and if unpaid at year end it is not deductible that year, s.37(2)(g)",IF(AND(P341="Debtor",X341=1,AA341&gt;0),"Past due to you: as a micro or small supplier you can claim interest under MSMED s.16","OK")))))))))))</f>
        <v/>
      </c>
      <c r="P341">
        <f>IF(C341="","",IFERROR(VLOOKUP(C341,'Example Parties'!$B$13:$Q$112,2,FALSE),"?"))</f>
        <v/>
      </c>
      <c r="Q341">
        <f>IF(D341="","",IFERROR(VLOOKUP(D341,Lists!$A$2:$D$9,3,FALSE),"?"))</f>
        <v/>
      </c>
      <c r="R341">
        <f>IF(D341="","",IFERROR(VLOOKUP(D341,Lists!$A$2:$D$9,4,FALSE),"?"))</f>
        <v/>
      </c>
      <c r="S341">
        <f>IF(P341="Debtor",I341,IF(P341="Creditor",J341,0))</f>
        <v/>
      </c>
      <c r="T341">
        <f>IF(P341="Debtor",J341,IF(P341="Creditor",I341,0))</f>
        <v/>
      </c>
      <c r="U341">
        <f>IF(OR(S341=0,B341=""),0,IFERROR(VLOOKUP(C341,'Example Parties'!$B$13:$Q$112,13,FALSE),0)+SUMIFS($S$7:$S$506,$C$7:$C$506,C341,$B$7:$B$506,"&lt;"&amp;B341)+SUMIFS(S$7:S341,C$7:C341,C341,B$7:B341,B341))</f>
        <v/>
      </c>
      <c r="V341">
        <f>IF(S341=0,0,IFERROR(VLOOKUP(C341,'Example Parties'!$B$13:$Q$112,14,FALSE),0)+SUMIFS($T$7:$T$506,$C$7:$C$506,C341,$B$7:$B$506,"&lt;="&amp;'Example Outstanding'!$E$5))</f>
        <v/>
      </c>
      <c r="W341">
        <f>IF(OR('Example Outstanding'!$E$5="",S341=0,B341="",B341&gt;'Example Outstanding'!$E$5),0,MAX(0,MIN(S341,U341-V341)))</f>
        <v/>
      </c>
      <c r="X341">
        <f>IF(C341="",0,IFERROR(VLOOKUP(C341,'Example Parties'!$B$13:$Q$112,15,FALSE),0))</f>
        <v/>
      </c>
      <c r="Y341">
        <f>IF(C341="","",IFERROR(VLOOKUP(C341,'Example Parties'!$B$13:$Q$112,16,FALSE),0))</f>
        <v/>
      </c>
      <c r="Z341">
        <f>IF(OR(S341=0,B341="",Y341=""),"",IF(AND(F341&lt;&gt;"",D341="Purchase bill"),F341,B341)+Y341)</f>
        <v/>
      </c>
      <c r="AA341">
        <f>IF(OR(W341=0,Z341=""),0,MAX(0,'Example Outstanding'!$E$5-Z341))</f>
        <v/>
      </c>
      <c r="AB341">
        <f>IF(AND(X341=1,AA341&gt;0),W341*((1+3*N('Example Parties'!$E$10)/12)^(AA341*12/365)-1),0)</f>
        <v/>
      </c>
      <c r="AC341">
        <f>IF(W341=0,"",'Example Outstanding'!$E$5-B341)</f>
        <v/>
      </c>
      <c r="AD341">
        <f>IF(S341=0,0,IFERROR(VLOOKUP(C341,'Example Parties'!$B$13:$Q$112,14,FALSE),0)+SUMIFS($T$7:$T$506,$C$7:$C$506,C341,$B$7:$B$506,"&lt;="&amp;'Example Parties'!$E$8))</f>
        <v/>
      </c>
      <c r="AE341">
        <f>IF(OR('Example Parties'!$E$8="",S341=0,B341="",B341&gt;'Example Parties'!$E$8),0,MAX(0,MIN(S341,U341-AD341)))</f>
        <v/>
      </c>
      <c r="AF341">
        <f>IF(AND(P341="Creditor",X341=1,AE341&gt;0,Z341&lt;&gt;""),IF(Z341&lt;='Example Parties'!$E$8,AE341,0),0)</f>
        <v/>
      </c>
      <c r="AG341">
        <f>IF(OR(AE341=0,Z341=""),0,MAX(0,'Example Parties'!$E$8-Z341))</f>
        <v/>
      </c>
      <c r="AH341">
        <f>IF(AND(P341="Creditor",X341=1,AG341&gt;0),AE341*((1+3*N('Example Parties'!$E$10)/12)^(AG341*12/365)-1),0)</f>
        <v/>
      </c>
      <c r="AI341">
        <f>IF(AND(C341&lt;&gt;"",C341='Example Ledger'!$D$4,B341&lt;&gt;"",B341&gt;='Example Ledger'!$D$5,B341&lt;='Example Ledger'!$D$6),1,0)</f>
        <v/>
      </c>
      <c r="AJ341">
        <f>IF(AI341=1,SUM(AI$7:AI341),"")</f>
        <v/>
      </c>
      <c r="AK341">
        <f>IF(OR(N341="",N341="OK"),0,1)</f>
        <v/>
      </c>
    </row>
    <row r="342">
      <c r="B342" s="24" t="n"/>
      <c r="C342" s="14" t="n"/>
      <c r="D342" s="14" t="n"/>
      <c r="E342" s="20" t="n"/>
      <c r="F342" s="24" t="n"/>
      <c r="G342" s="14" t="n"/>
      <c r="H342" s="22" t="n"/>
      <c r="I342" s="25">
        <f>IF(Q342="D",N(H342),0)</f>
        <v/>
      </c>
      <c r="J342" s="25">
        <f>IF(Q342="C",N(H342),0)</f>
        <v/>
      </c>
      <c r="K342" s="26">
        <f>IF(Z342="","",Z342)</f>
        <v/>
      </c>
      <c r="L342" s="27">
        <f>W342</f>
        <v/>
      </c>
      <c r="M342" s="28">
        <f>AA342</f>
        <v/>
      </c>
      <c r="N342" s="23">
        <f>IF(AND(B342="",C342="",D342="",N(H342)=0),"",IF(B342="","Enter the date",IF(C342="","Pick the party",IF(P342="?","Add this party on the Parties sheet first",IF(D342="","Pick the entry type",IF(Q342="?","Pick the entry type from the list",IF(N(H342)=0,"Enter the amount",IF(AND(R342&lt;&gt;"Any",R342&lt;&gt;P342),"Sales, receipts and credit notes are for debtors; purchases, payments and debit notes for creditors",IF(AND(F342&lt;&gt;"",D342&lt;&gt;"Purchase bill"),"The received-on date is only for purchase bills",IF(AND(P342="Creditor",X342=1,AA342&gt;0),"Past due to a micro or small supplier: interest runs under MSMED s.16, and if unpaid at year end it is not deductible that year, s.37(2)(g)",IF(AND(P342="Debtor",X342=1,AA342&gt;0),"Past due to you: as a micro or small supplier you can claim interest under MSMED s.16","OK")))))))))))</f>
        <v/>
      </c>
      <c r="P342">
        <f>IF(C342="","",IFERROR(VLOOKUP(C342,'Example Parties'!$B$13:$Q$112,2,FALSE),"?"))</f>
        <v/>
      </c>
      <c r="Q342">
        <f>IF(D342="","",IFERROR(VLOOKUP(D342,Lists!$A$2:$D$9,3,FALSE),"?"))</f>
        <v/>
      </c>
      <c r="R342">
        <f>IF(D342="","",IFERROR(VLOOKUP(D342,Lists!$A$2:$D$9,4,FALSE),"?"))</f>
        <v/>
      </c>
      <c r="S342">
        <f>IF(P342="Debtor",I342,IF(P342="Creditor",J342,0))</f>
        <v/>
      </c>
      <c r="T342">
        <f>IF(P342="Debtor",J342,IF(P342="Creditor",I342,0))</f>
        <v/>
      </c>
      <c r="U342">
        <f>IF(OR(S342=0,B342=""),0,IFERROR(VLOOKUP(C342,'Example Parties'!$B$13:$Q$112,13,FALSE),0)+SUMIFS($S$7:$S$506,$C$7:$C$506,C342,$B$7:$B$506,"&lt;"&amp;B342)+SUMIFS(S$7:S342,C$7:C342,C342,B$7:B342,B342))</f>
        <v/>
      </c>
      <c r="V342">
        <f>IF(S342=0,0,IFERROR(VLOOKUP(C342,'Example Parties'!$B$13:$Q$112,14,FALSE),0)+SUMIFS($T$7:$T$506,$C$7:$C$506,C342,$B$7:$B$506,"&lt;="&amp;'Example Outstanding'!$E$5))</f>
        <v/>
      </c>
      <c r="W342">
        <f>IF(OR('Example Outstanding'!$E$5="",S342=0,B342="",B342&gt;'Example Outstanding'!$E$5),0,MAX(0,MIN(S342,U342-V342)))</f>
        <v/>
      </c>
      <c r="X342">
        <f>IF(C342="",0,IFERROR(VLOOKUP(C342,'Example Parties'!$B$13:$Q$112,15,FALSE),0))</f>
        <v/>
      </c>
      <c r="Y342">
        <f>IF(C342="","",IFERROR(VLOOKUP(C342,'Example Parties'!$B$13:$Q$112,16,FALSE),0))</f>
        <v/>
      </c>
      <c r="Z342">
        <f>IF(OR(S342=0,B342="",Y342=""),"",IF(AND(F342&lt;&gt;"",D342="Purchase bill"),F342,B342)+Y342)</f>
        <v/>
      </c>
      <c r="AA342">
        <f>IF(OR(W342=0,Z342=""),0,MAX(0,'Example Outstanding'!$E$5-Z342))</f>
        <v/>
      </c>
      <c r="AB342">
        <f>IF(AND(X342=1,AA342&gt;0),W342*((1+3*N('Example Parties'!$E$10)/12)^(AA342*12/365)-1),0)</f>
        <v/>
      </c>
      <c r="AC342">
        <f>IF(W342=0,"",'Example Outstanding'!$E$5-B342)</f>
        <v/>
      </c>
      <c r="AD342">
        <f>IF(S342=0,0,IFERROR(VLOOKUP(C342,'Example Parties'!$B$13:$Q$112,14,FALSE),0)+SUMIFS($T$7:$T$506,$C$7:$C$506,C342,$B$7:$B$506,"&lt;="&amp;'Example Parties'!$E$8))</f>
        <v/>
      </c>
      <c r="AE342">
        <f>IF(OR('Example Parties'!$E$8="",S342=0,B342="",B342&gt;'Example Parties'!$E$8),0,MAX(0,MIN(S342,U342-AD342)))</f>
        <v/>
      </c>
      <c r="AF342">
        <f>IF(AND(P342="Creditor",X342=1,AE342&gt;0,Z342&lt;&gt;""),IF(Z342&lt;='Example Parties'!$E$8,AE342,0),0)</f>
        <v/>
      </c>
      <c r="AG342">
        <f>IF(OR(AE342=0,Z342=""),0,MAX(0,'Example Parties'!$E$8-Z342))</f>
        <v/>
      </c>
      <c r="AH342">
        <f>IF(AND(P342="Creditor",X342=1,AG342&gt;0),AE342*((1+3*N('Example Parties'!$E$10)/12)^(AG342*12/365)-1),0)</f>
        <v/>
      </c>
      <c r="AI342">
        <f>IF(AND(C342&lt;&gt;"",C342='Example Ledger'!$D$4,B342&lt;&gt;"",B342&gt;='Example Ledger'!$D$5,B342&lt;='Example Ledger'!$D$6),1,0)</f>
        <v/>
      </c>
      <c r="AJ342">
        <f>IF(AI342=1,SUM(AI$7:AI342),"")</f>
        <v/>
      </c>
      <c r="AK342">
        <f>IF(OR(N342="",N342="OK"),0,1)</f>
        <v/>
      </c>
    </row>
    <row r="343">
      <c r="B343" s="24" t="n"/>
      <c r="C343" s="14" t="n"/>
      <c r="D343" s="14" t="n"/>
      <c r="E343" s="20" t="n"/>
      <c r="F343" s="24" t="n"/>
      <c r="G343" s="14" t="n"/>
      <c r="H343" s="22" t="n"/>
      <c r="I343" s="25">
        <f>IF(Q343="D",N(H343),0)</f>
        <v/>
      </c>
      <c r="J343" s="25">
        <f>IF(Q343="C",N(H343),0)</f>
        <v/>
      </c>
      <c r="K343" s="26">
        <f>IF(Z343="","",Z343)</f>
        <v/>
      </c>
      <c r="L343" s="27">
        <f>W343</f>
        <v/>
      </c>
      <c r="M343" s="28">
        <f>AA343</f>
        <v/>
      </c>
      <c r="N343" s="23">
        <f>IF(AND(B343="",C343="",D343="",N(H343)=0),"",IF(B343="","Enter the date",IF(C343="","Pick the party",IF(P343="?","Add this party on the Parties sheet first",IF(D343="","Pick the entry type",IF(Q343="?","Pick the entry type from the list",IF(N(H343)=0,"Enter the amount",IF(AND(R343&lt;&gt;"Any",R343&lt;&gt;P343),"Sales, receipts and credit notes are for debtors; purchases, payments and debit notes for creditors",IF(AND(F343&lt;&gt;"",D343&lt;&gt;"Purchase bill"),"The received-on date is only for purchase bills",IF(AND(P343="Creditor",X343=1,AA343&gt;0),"Past due to a micro or small supplier: interest runs under MSMED s.16, and if unpaid at year end it is not deductible that year, s.37(2)(g)",IF(AND(P343="Debtor",X343=1,AA343&gt;0),"Past due to you: as a micro or small supplier you can claim interest under MSMED s.16","OK")))))))))))</f>
        <v/>
      </c>
      <c r="P343">
        <f>IF(C343="","",IFERROR(VLOOKUP(C343,'Example Parties'!$B$13:$Q$112,2,FALSE),"?"))</f>
        <v/>
      </c>
      <c r="Q343">
        <f>IF(D343="","",IFERROR(VLOOKUP(D343,Lists!$A$2:$D$9,3,FALSE),"?"))</f>
        <v/>
      </c>
      <c r="R343">
        <f>IF(D343="","",IFERROR(VLOOKUP(D343,Lists!$A$2:$D$9,4,FALSE),"?"))</f>
        <v/>
      </c>
      <c r="S343">
        <f>IF(P343="Debtor",I343,IF(P343="Creditor",J343,0))</f>
        <v/>
      </c>
      <c r="T343">
        <f>IF(P343="Debtor",J343,IF(P343="Creditor",I343,0))</f>
        <v/>
      </c>
      <c r="U343">
        <f>IF(OR(S343=0,B343=""),0,IFERROR(VLOOKUP(C343,'Example Parties'!$B$13:$Q$112,13,FALSE),0)+SUMIFS($S$7:$S$506,$C$7:$C$506,C343,$B$7:$B$506,"&lt;"&amp;B343)+SUMIFS(S$7:S343,C$7:C343,C343,B$7:B343,B343))</f>
        <v/>
      </c>
      <c r="V343">
        <f>IF(S343=0,0,IFERROR(VLOOKUP(C343,'Example Parties'!$B$13:$Q$112,14,FALSE),0)+SUMIFS($T$7:$T$506,$C$7:$C$506,C343,$B$7:$B$506,"&lt;="&amp;'Example Outstanding'!$E$5))</f>
        <v/>
      </c>
      <c r="W343">
        <f>IF(OR('Example Outstanding'!$E$5="",S343=0,B343="",B343&gt;'Example Outstanding'!$E$5),0,MAX(0,MIN(S343,U343-V343)))</f>
        <v/>
      </c>
      <c r="X343">
        <f>IF(C343="",0,IFERROR(VLOOKUP(C343,'Example Parties'!$B$13:$Q$112,15,FALSE),0))</f>
        <v/>
      </c>
      <c r="Y343">
        <f>IF(C343="","",IFERROR(VLOOKUP(C343,'Example Parties'!$B$13:$Q$112,16,FALSE),0))</f>
        <v/>
      </c>
      <c r="Z343">
        <f>IF(OR(S343=0,B343="",Y343=""),"",IF(AND(F343&lt;&gt;"",D343="Purchase bill"),F343,B343)+Y343)</f>
        <v/>
      </c>
      <c r="AA343">
        <f>IF(OR(W343=0,Z343=""),0,MAX(0,'Example Outstanding'!$E$5-Z343))</f>
        <v/>
      </c>
      <c r="AB343">
        <f>IF(AND(X343=1,AA343&gt;0),W343*((1+3*N('Example Parties'!$E$10)/12)^(AA343*12/365)-1),0)</f>
        <v/>
      </c>
      <c r="AC343">
        <f>IF(W343=0,"",'Example Outstanding'!$E$5-B343)</f>
        <v/>
      </c>
      <c r="AD343">
        <f>IF(S343=0,0,IFERROR(VLOOKUP(C343,'Example Parties'!$B$13:$Q$112,14,FALSE),0)+SUMIFS($T$7:$T$506,$C$7:$C$506,C343,$B$7:$B$506,"&lt;="&amp;'Example Parties'!$E$8))</f>
        <v/>
      </c>
      <c r="AE343">
        <f>IF(OR('Example Parties'!$E$8="",S343=0,B343="",B343&gt;'Example Parties'!$E$8),0,MAX(0,MIN(S343,U343-AD343)))</f>
        <v/>
      </c>
      <c r="AF343">
        <f>IF(AND(P343="Creditor",X343=1,AE343&gt;0,Z343&lt;&gt;""),IF(Z343&lt;='Example Parties'!$E$8,AE343,0),0)</f>
        <v/>
      </c>
      <c r="AG343">
        <f>IF(OR(AE343=0,Z343=""),0,MAX(0,'Example Parties'!$E$8-Z343))</f>
        <v/>
      </c>
      <c r="AH343">
        <f>IF(AND(P343="Creditor",X343=1,AG343&gt;0),AE343*((1+3*N('Example Parties'!$E$10)/12)^(AG343*12/365)-1),0)</f>
        <v/>
      </c>
      <c r="AI343">
        <f>IF(AND(C343&lt;&gt;"",C343='Example Ledger'!$D$4,B343&lt;&gt;"",B343&gt;='Example Ledger'!$D$5,B343&lt;='Example Ledger'!$D$6),1,0)</f>
        <v/>
      </c>
      <c r="AJ343">
        <f>IF(AI343=1,SUM(AI$7:AI343),"")</f>
        <v/>
      </c>
      <c r="AK343">
        <f>IF(OR(N343="",N343="OK"),0,1)</f>
        <v/>
      </c>
    </row>
    <row r="344">
      <c r="B344" s="24" t="n"/>
      <c r="C344" s="14" t="n"/>
      <c r="D344" s="14" t="n"/>
      <c r="E344" s="20" t="n"/>
      <c r="F344" s="24" t="n"/>
      <c r="G344" s="14" t="n"/>
      <c r="H344" s="22" t="n"/>
      <c r="I344" s="25">
        <f>IF(Q344="D",N(H344),0)</f>
        <v/>
      </c>
      <c r="J344" s="25">
        <f>IF(Q344="C",N(H344),0)</f>
        <v/>
      </c>
      <c r="K344" s="26">
        <f>IF(Z344="","",Z344)</f>
        <v/>
      </c>
      <c r="L344" s="27">
        <f>W344</f>
        <v/>
      </c>
      <c r="M344" s="28">
        <f>AA344</f>
        <v/>
      </c>
      <c r="N344" s="23">
        <f>IF(AND(B344="",C344="",D344="",N(H344)=0),"",IF(B344="","Enter the date",IF(C344="","Pick the party",IF(P344="?","Add this party on the Parties sheet first",IF(D344="","Pick the entry type",IF(Q344="?","Pick the entry type from the list",IF(N(H344)=0,"Enter the amount",IF(AND(R344&lt;&gt;"Any",R344&lt;&gt;P344),"Sales, receipts and credit notes are for debtors; purchases, payments and debit notes for creditors",IF(AND(F344&lt;&gt;"",D344&lt;&gt;"Purchase bill"),"The received-on date is only for purchase bills",IF(AND(P344="Creditor",X344=1,AA344&gt;0),"Past due to a micro or small supplier: interest runs under MSMED s.16, and if unpaid at year end it is not deductible that year, s.37(2)(g)",IF(AND(P344="Debtor",X344=1,AA344&gt;0),"Past due to you: as a micro or small supplier you can claim interest under MSMED s.16","OK")))))))))))</f>
        <v/>
      </c>
      <c r="P344">
        <f>IF(C344="","",IFERROR(VLOOKUP(C344,'Example Parties'!$B$13:$Q$112,2,FALSE),"?"))</f>
        <v/>
      </c>
      <c r="Q344">
        <f>IF(D344="","",IFERROR(VLOOKUP(D344,Lists!$A$2:$D$9,3,FALSE),"?"))</f>
        <v/>
      </c>
      <c r="R344">
        <f>IF(D344="","",IFERROR(VLOOKUP(D344,Lists!$A$2:$D$9,4,FALSE),"?"))</f>
        <v/>
      </c>
      <c r="S344">
        <f>IF(P344="Debtor",I344,IF(P344="Creditor",J344,0))</f>
        <v/>
      </c>
      <c r="T344">
        <f>IF(P344="Debtor",J344,IF(P344="Creditor",I344,0))</f>
        <v/>
      </c>
      <c r="U344">
        <f>IF(OR(S344=0,B344=""),0,IFERROR(VLOOKUP(C344,'Example Parties'!$B$13:$Q$112,13,FALSE),0)+SUMIFS($S$7:$S$506,$C$7:$C$506,C344,$B$7:$B$506,"&lt;"&amp;B344)+SUMIFS(S$7:S344,C$7:C344,C344,B$7:B344,B344))</f>
        <v/>
      </c>
      <c r="V344">
        <f>IF(S344=0,0,IFERROR(VLOOKUP(C344,'Example Parties'!$B$13:$Q$112,14,FALSE),0)+SUMIFS($T$7:$T$506,$C$7:$C$506,C344,$B$7:$B$506,"&lt;="&amp;'Example Outstanding'!$E$5))</f>
        <v/>
      </c>
      <c r="W344">
        <f>IF(OR('Example Outstanding'!$E$5="",S344=0,B344="",B344&gt;'Example Outstanding'!$E$5),0,MAX(0,MIN(S344,U344-V344)))</f>
        <v/>
      </c>
      <c r="X344">
        <f>IF(C344="",0,IFERROR(VLOOKUP(C344,'Example Parties'!$B$13:$Q$112,15,FALSE),0))</f>
        <v/>
      </c>
      <c r="Y344">
        <f>IF(C344="","",IFERROR(VLOOKUP(C344,'Example Parties'!$B$13:$Q$112,16,FALSE),0))</f>
        <v/>
      </c>
      <c r="Z344">
        <f>IF(OR(S344=0,B344="",Y344=""),"",IF(AND(F344&lt;&gt;"",D344="Purchase bill"),F344,B344)+Y344)</f>
        <v/>
      </c>
      <c r="AA344">
        <f>IF(OR(W344=0,Z344=""),0,MAX(0,'Example Outstanding'!$E$5-Z344))</f>
        <v/>
      </c>
      <c r="AB344">
        <f>IF(AND(X344=1,AA344&gt;0),W344*((1+3*N('Example Parties'!$E$10)/12)^(AA344*12/365)-1),0)</f>
        <v/>
      </c>
      <c r="AC344">
        <f>IF(W344=0,"",'Example Outstanding'!$E$5-B344)</f>
        <v/>
      </c>
      <c r="AD344">
        <f>IF(S344=0,0,IFERROR(VLOOKUP(C344,'Example Parties'!$B$13:$Q$112,14,FALSE),0)+SUMIFS($T$7:$T$506,$C$7:$C$506,C344,$B$7:$B$506,"&lt;="&amp;'Example Parties'!$E$8))</f>
        <v/>
      </c>
      <c r="AE344">
        <f>IF(OR('Example Parties'!$E$8="",S344=0,B344="",B344&gt;'Example Parties'!$E$8),0,MAX(0,MIN(S344,U344-AD344)))</f>
        <v/>
      </c>
      <c r="AF344">
        <f>IF(AND(P344="Creditor",X344=1,AE344&gt;0,Z344&lt;&gt;""),IF(Z344&lt;='Example Parties'!$E$8,AE344,0),0)</f>
        <v/>
      </c>
      <c r="AG344">
        <f>IF(OR(AE344=0,Z344=""),0,MAX(0,'Example Parties'!$E$8-Z344))</f>
        <v/>
      </c>
      <c r="AH344">
        <f>IF(AND(P344="Creditor",X344=1,AG344&gt;0),AE344*((1+3*N('Example Parties'!$E$10)/12)^(AG344*12/365)-1),0)</f>
        <v/>
      </c>
      <c r="AI344">
        <f>IF(AND(C344&lt;&gt;"",C344='Example Ledger'!$D$4,B344&lt;&gt;"",B344&gt;='Example Ledger'!$D$5,B344&lt;='Example Ledger'!$D$6),1,0)</f>
        <v/>
      </c>
      <c r="AJ344">
        <f>IF(AI344=1,SUM(AI$7:AI344),"")</f>
        <v/>
      </c>
      <c r="AK344">
        <f>IF(OR(N344="",N344="OK"),0,1)</f>
        <v/>
      </c>
    </row>
    <row r="345">
      <c r="B345" s="24" t="n"/>
      <c r="C345" s="14" t="n"/>
      <c r="D345" s="14" t="n"/>
      <c r="E345" s="20" t="n"/>
      <c r="F345" s="24" t="n"/>
      <c r="G345" s="14" t="n"/>
      <c r="H345" s="22" t="n"/>
      <c r="I345" s="25">
        <f>IF(Q345="D",N(H345),0)</f>
        <v/>
      </c>
      <c r="J345" s="25">
        <f>IF(Q345="C",N(H345),0)</f>
        <v/>
      </c>
      <c r="K345" s="26">
        <f>IF(Z345="","",Z345)</f>
        <v/>
      </c>
      <c r="L345" s="27">
        <f>W345</f>
        <v/>
      </c>
      <c r="M345" s="28">
        <f>AA345</f>
        <v/>
      </c>
      <c r="N345" s="23">
        <f>IF(AND(B345="",C345="",D345="",N(H345)=0),"",IF(B345="","Enter the date",IF(C345="","Pick the party",IF(P345="?","Add this party on the Parties sheet first",IF(D345="","Pick the entry type",IF(Q345="?","Pick the entry type from the list",IF(N(H345)=0,"Enter the amount",IF(AND(R345&lt;&gt;"Any",R345&lt;&gt;P345),"Sales, receipts and credit notes are for debtors; purchases, payments and debit notes for creditors",IF(AND(F345&lt;&gt;"",D345&lt;&gt;"Purchase bill"),"The received-on date is only for purchase bills",IF(AND(P345="Creditor",X345=1,AA345&gt;0),"Past due to a micro or small supplier: interest runs under MSMED s.16, and if unpaid at year end it is not deductible that year, s.37(2)(g)",IF(AND(P345="Debtor",X345=1,AA345&gt;0),"Past due to you: as a micro or small supplier you can claim interest under MSMED s.16","OK")))))))))))</f>
        <v/>
      </c>
      <c r="P345">
        <f>IF(C345="","",IFERROR(VLOOKUP(C345,'Example Parties'!$B$13:$Q$112,2,FALSE),"?"))</f>
        <v/>
      </c>
      <c r="Q345">
        <f>IF(D345="","",IFERROR(VLOOKUP(D345,Lists!$A$2:$D$9,3,FALSE),"?"))</f>
        <v/>
      </c>
      <c r="R345">
        <f>IF(D345="","",IFERROR(VLOOKUP(D345,Lists!$A$2:$D$9,4,FALSE),"?"))</f>
        <v/>
      </c>
      <c r="S345">
        <f>IF(P345="Debtor",I345,IF(P345="Creditor",J345,0))</f>
        <v/>
      </c>
      <c r="T345">
        <f>IF(P345="Debtor",J345,IF(P345="Creditor",I345,0))</f>
        <v/>
      </c>
      <c r="U345">
        <f>IF(OR(S345=0,B345=""),0,IFERROR(VLOOKUP(C345,'Example Parties'!$B$13:$Q$112,13,FALSE),0)+SUMIFS($S$7:$S$506,$C$7:$C$506,C345,$B$7:$B$506,"&lt;"&amp;B345)+SUMIFS(S$7:S345,C$7:C345,C345,B$7:B345,B345))</f>
        <v/>
      </c>
      <c r="V345">
        <f>IF(S345=0,0,IFERROR(VLOOKUP(C345,'Example Parties'!$B$13:$Q$112,14,FALSE),0)+SUMIFS($T$7:$T$506,$C$7:$C$506,C345,$B$7:$B$506,"&lt;="&amp;'Example Outstanding'!$E$5))</f>
        <v/>
      </c>
      <c r="W345">
        <f>IF(OR('Example Outstanding'!$E$5="",S345=0,B345="",B345&gt;'Example Outstanding'!$E$5),0,MAX(0,MIN(S345,U345-V345)))</f>
        <v/>
      </c>
      <c r="X345">
        <f>IF(C345="",0,IFERROR(VLOOKUP(C345,'Example Parties'!$B$13:$Q$112,15,FALSE),0))</f>
        <v/>
      </c>
      <c r="Y345">
        <f>IF(C345="","",IFERROR(VLOOKUP(C345,'Example Parties'!$B$13:$Q$112,16,FALSE),0))</f>
        <v/>
      </c>
      <c r="Z345">
        <f>IF(OR(S345=0,B345="",Y345=""),"",IF(AND(F345&lt;&gt;"",D345="Purchase bill"),F345,B345)+Y345)</f>
        <v/>
      </c>
      <c r="AA345">
        <f>IF(OR(W345=0,Z345=""),0,MAX(0,'Example Outstanding'!$E$5-Z345))</f>
        <v/>
      </c>
      <c r="AB345">
        <f>IF(AND(X345=1,AA345&gt;0),W345*((1+3*N('Example Parties'!$E$10)/12)^(AA345*12/365)-1),0)</f>
        <v/>
      </c>
      <c r="AC345">
        <f>IF(W345=0,"",'Example Outstanding'!$E$5-B345)</f>
        <v/>
      </c>
      <c r="AD345">
        <f>IF(S345=0,0,IFERROR(VLOOKUP(C345,'Example Parties'!$B$13:$Q$112,14,FALSE),0)+SUMIFS($T$7:$T$506,$C$7:$C$506,C345,$B$7:$B$506,"&lt;="&amp;'Example Parties'!$E$8))</f>
        <v/>
      </c>
      <c r="AE345">
        <f>IF(OR('Example Parties'!$E$8="",S345=0,B345="",B345&gt;'Example Parties'!$E$8),0,MAX(0,MIN(S345,U345-AD345)))</f>
        <v/>
      </c>
      <c r="AF345">
        <f>IF(AND(P345="Creditor",X345=1,AE345&gt;0,Z345&lt;&gt;""),IF(Z345&lt;='Example Parties'!$E$8,AE345,0),0)</f>
        <v/>
      </c>
      <c r="AG345">
        <f>IF(OR(AE345=0,Z345=""),0,MAX(0,'Example Parties'!$E$8-Z345))</f>
        <v/>
      </c>
      <c r="AH345">
        <f>IF(AND(P345="Creditor",X345=1,AG345&gt;0),AE345*((1+3*N('Example Parties'!$E$10)/12)^(AG345*12/365)-1),0)</f>
        <v/>
      </c>
      <c r="AI345">
        <f>IF(AND(C345&lt;&gt;"",C345='Example Ledger'!$D$4,B345&lt;&gt;"",B345&gt;='Example Ledger'!$D$5,B345&lt;='Example Ledger'!$D$6),1,0)</f>
        <v/>
      </c>
      <c r="AJ345">
        <f>IF(AI345=1,SUM(AI$7:AI345),"")</f>
        <v/>
      </c>
      <c r="AK345">
        <f>IF(OR(N345="",N345="OK"),0,1)</f>
        <v/>
      </c>
    </row>
    <row r="346">
      <c r="B346" s="24" t="n"/>
      <c r="C346" s="14" t="n"/>
      <c r="D346" s="14" t="n"/>
      <c r="E346" s="20" t="n"/>
      <c r="F346" s="24" t="n"/>
      <c r="G346" s="14" t="n"/>
      <c r="H346" s="22" t="n"/>
      <c r="I346" s="25">
        <f>IF(Q346="D",N(H346),0)</f>
        <v/>
      </c>
      <c r="J346" s="25">
        <f>IF(Q346="C",N(H346),0)</f>
        <v/>
      </c>
      <c r="K346" s="26">
        <f>IF(Z346="","",Z346)</f>
        <v/>
      </c>
      <c r="L346" s="27">
        <f>W346</f>
        <v/>
      </c>
      <c r="M346" s="28">
        <f>AA346</f>
        <v/>
      </c>
      <c r="N346" s="23">
        <f>IF(AND(B346="",C346="",D346="",N(H346)=0),"",IF(B346="","Enter the date",IF(C346="","Pick the party",IF(P346="?","Add this party on the Parties sheet first",IF(D346="","Pick the entry type",IF(Q346="?","Pick the entry type from the list",IF(N(H346)=0,"Enter the amount",IF(AND(R346&lt;&gt;"Any",R346&lt;&gt;P346),"Sales, receipts and credit notes are for debtors; purchases, payments and debit notes for creditors",IF(AND(F346&lt;&gt;"",D346&lt;&gt;"Purchase bill"),"The received-on date is only for purchase bills",IF(AND(P346="Creditor",X346=1,AA346&gt;0),"Past due to a micro or small supplier: interest runs under MSMED s.16, and if unpaid at year end it is not deductible that year, s.37(2)(g)",IF(AND(P346="Debtor",X346=1,AA346&gt;0),"Past due to you: as a micro or small supplier you can claim interest under MSMED s.16","OK")))))))))))</f>
        <v/>
      </c>
      <c r="P346">
        <f>IF(C346="","",IFERROR(VLOOKUP(C346,'Example Parties'!$B$13:$Q$112,2,FALSE),"?"))</f>
        <v/>
      </c>
      <c r="Q346">
        <f>IF(D346="","",IFERROR(VLOOKUP(D346,Lists!$A$2:$D$9,3,FALSE),"?"))</f>
        <v/>
      </c>
      <c r="R346">
        <f>IF(D346="","",IFERROR(VLOOKUP(D346,Lists!$A$2:$D$9,4,FALSE),"?"))</f>
        <v/>
      </c>
      <c r="S346">
        <f>IF(P346="Debtor",I346,IF(P346="Creditor",J346,0))</f>
        <v/>
      </c>
      <c r="T346">
        <f>IF(P346="Debtor",J346,IF(P346="Creditor",I346,0))</f>
        <v/>
      </c>
      <c r="U346">
        <f>IF(OR(S346=0,B346=""),0,IFERROR(VLOOKUP(C346,'Example Parties'!$B$13:$Q$112,13,FALSE),0)+SUMIFS($S$7:$S$506,$C$7:$C$506,C346,$B$7:$B$506,"&lt;"&amp;B346)+SUMIFS(S$7:S346,C$7:C346,C346,B$7:B346,B346))</f>
        <v/>
      </c>
      <c r="V346">
        <f>IF(S346=0,0,IFERROR(VLOOKUP(C346,'Example Parties'!$B$13:$Q$112,14,FALSE),0)+SUMIFS($T$7:$T$506,$C$7:$C$506,C346,$B$7:$B$506,"&lt;="&amp;'Example Outstanding'!$E$5))</f>
        <v/>
      </c>
      <c r="W346">
        <f>IF(OR('Example Outstanding'!$E$5="",S346=0,B346="",B346&gt;'Example Outstanding'!$E$5),0,MAX(0,MIN(S346,U346-V346)))</f>
        <v/>
      </c>
      <c r="X346">
        <f>IF(C346="",0,IFERROR(VLOOKUP(C346,'Example Parties'!$B$13:$Q$112,15,FALSE),0))</f>
        <v/>
      </c>
      <c r="Y346">
        <f>IF(C346="","",IFERROR(VLOOKUP(C346,'Example Parties'!$B$13:$Q$112,16,FALSE),0))</f>
        <v/>
      </c>
      <c r="Z346">
        <f>IF(OR(S346=0,B346="",Y346=""),"",IF(AND(F346&lt;&gt;"",D346="Purchase bill"),F346,B346)+Y346)</f>
        <v/>
      </c>
      <c r="AA346">
        <f>IF(OR(W346=0,Z346=""),0,MAX(0,'Example Outstanding'!$E$5-Z346))</f>
        <v/>
      </c>
      <c r="AB346">
        <f>IF(AND(X346=1,AA346&gt;0),W346*((1+3*N('Example Parties'!$E$10)/12)^(AA346*12/365)-1),0)</f>
        <v/>
      </c>
      <c r="AC346">
        <f>IF(W346=0,"",'Example Outstanding'!$E$5-B346)</f>
        <v/>
      </c>
      <c r="AD346">
        <f>IF(S346=0,0,IFERROR(VLOOKUP(C346,'Example Parties'!$B$13:$Q$112,14,FALSE),0)+SUMIFS($T$7:$T$506,$C$7:$C$506,C346,$B$7:$B$506,"&lt;="&amp;'Example Parties'!$E$8))</f>
        <v/>
      </c>
      <c r="AE346">
        <f>IF(OR('Example Parties'!$E$8="",S346=0,B346="",B346&gt;'Example Parties'!$E$8),0,MAX(0,MIN(S346,U346-AD346)))</f>
        <v/>
      </c>
      <c r="AF346">
        <f>IF(AND(P346="Creditor",X346=1,AE346&gt;0,Z346&lt;&gt;""),IF(Z346&lt;='Example Parties'!$E$8,AE346,0),0)</f>
        <v/>
      </c>
      <c r="AG346">
        <f>IF(OR(AE346=0,Z346=""),0,MAX(0,'Example Parties'!$E$8-Z346))</f>
        <v/>
      </c>
      <c r="AH346">
        <f>IF(AND(P346="Creditor",X346=1,AG346&gt;0),AE346*((1+3*N('Example Parties'!$E$10)/12)^(AG346*12/365)-1),0)</f>
        <v/>
      </c>
      <c r="AI346">
        <f>IF(AND(C346&lt;&gt;"",C346='Example Ledger'!$D$4,B346&lt;&gt;"",B346&gt;='Example Ledger'!$D$5,B346&lt;='Example Ledger'!$D$6),1,0)</f>
        <v/>
      </c>
      <c r="AJ346">
        <f>IF(AI346=1,SUM(AI$7:AI346),"")</f>
        <v/>
      </c>
      <c r="AK346">
        <f>IF(OR(N346="",N346="OK"),0,1)</f>
        <v/>
      </c>
    </row>
    <row r="347">
      <c r="B347" s="24" t="n"/>
      <c r="C347" s="14" t="n"/>
      <c r="D347" s="14" t="n"/>
      <c r="E347" s="20" t="n"/>
      <c r="F347" s="24" t="n"/>
      <c r="G347" s="14" t="n"/>
      <c r="H347" s="22" t="n"/>
      <c r="I347" s="25">
        <f>IF(Q347="D",N(H347),0)</f>
        <v/>
      </c>
      <c r="J347" s="25">
        <f>IF(Q347="C",N(H347),0)</f>
        <v/>
      </c>
      <c r="K347" s="26">
        <f>IF(Z347="","",Z347)</f>
        <v/>
      </c>
      <c r="L347" s="27">
        <f>W347</f>
        <v/>
      </c>
      <c r="M347" s="28">
        <f>AA347</f>
        <v/>
      </c>
      <c r="N347" s="23">
        <f>IF(AND(B347="",C347="",D347="",N(H347)=0),"",IF(B347="","Enter the date",IF(C347="","Pick the party",IF(P347="?","Add this party on the Parties sheet first",IF(D347="","Pick the entry type",IF(Q347="?","Pick the entry type from the list",IF(N(H347)=0,"Enter the amount",IF(AND(R347&lt;&gt;"Any",R347&lt;&gt;P347),"Sales, receipts and credit notes are for debtors; purchases, payments and debit notes for creditors",IF(AND(F347&lt;&gt;"",D347&lt;&gt;"Purchase bill"),"The received-on date is only for purchase bills",IF(AND(P347="Creditor",X347=1,AA347&gt;0),"Past due to a micro or small supplier: interest runs under MSMED s.16, and if unpaid at year end it is not deductible that year, s.37(2)(g)",IF(AND(P347="Debtor",X347=1,AA347&gt;0),"Past due to you: as a micro or small supplier you can claim interest under MSMED s.16","OK")))))))))))</f>
        <v/>
      </c>
      <c r="P347">
        <f>IF(C347="","",IFERROR(VLOOKUP(C347,'Example Parties'!$B$13:$Q$112,2,FALSE),"?"))</f>
        <v/>
      </c>
      <c r="Q347">
        <f>IF(D347="","",IFERROR(VLOOKUP(D347,Lists!$A$2:$D$9,3,FALSE),"?"))</f>
        <v/>
      </c>
      <c r="R347">
        <f>IF(D347="","",IFERROR(VLOOKUP(D347,Lists!$A$2:$D$9,4,FALSE),"?"))</f>
        <v/>
      </c>
      <c r="S347">
        <f>IF(P347="Debtor",I347,IF(P347="Creditor",J347,0))</f>
        <v/>
      </c>
      <c r="T347">
        <f>IF(P347="Debtor",J347,IF(P347="Creditor",I347,0))</f>
        <v/>
      </c>
      <c r="U347">
        <f>IF(OR(S347=0,B347=""),0,IFERROR(VLOOKUP(C347,'Example Parties'!$B$13:$Q$112,13,FALSE),0)+SUMIFS($S$7:$S$506,$C$7:$C$506,C347,$B$7:$B$506,"&lt;"&amp;B347)+SUMIFS(S$7:S347,C$7:C347,C347,B$7:B347,B347))</f>
        <v/>
      </c>
      <c r="V347">
        <f>IF(S347=0,0,IFERROR(VLOOKUP(C347,'Example Parties'!$B$13:$Q$112,14,FALSE),0)+SUMIFS($T$7:$T$506,$C$7:$C$506,C347,$B$7:$B$506,"&lt;="&amp;'Example Outstanding'!$E$5))</f>
        <v/>
      </c>
      <c r="W347">
        <f>IF(OR('Example Outstanding'!$E$5="",S347=0,B347="",B347&gt;'Example Outstanding'!$E$5),0,MAX(0,MIN(S347,U347-V347)))</f>
        <v/>
      </c>
      <c r="X347">
        <f>IF(C347="",0,IFERROR(VLOOKUP(C347,'Example Parties'!$B$13:$Q$112,15,FALSE),0))</f>
        <v/>
      </c>
      <c r="Y347">
        <f>IF(C347="","",IFERROR(VLOOKUP(C347,'Example Parties'!$B$13:$Q$112,16,FALSE),0))</f>
        <v/>
      </c>
      <c r="Z347">
        <f>IF(OR(S347=0,B347="",Y347=""),"",IF(AND(F347&lt;&gt;"",D347="Purchase bill"),F347,B347)+Y347)</f>
        <v/>
      </c>
      <c r="AA347">
        <f>IF(OR(W347=0,Z347=""),0,MAX(0,'Example Outstanding'!$E$5-Z347))</f>
        <v/>
      </c>
      <c r="AB347">
        <f>IF(AND(X347=1,AA347&gt;0),W347*((1+3*N('Example Parties'!$E$10)/12)^(AA347*12/365)-1),0)</f>
        <v/>
      </c>
      <c r="AC347">
        <f>IF(W347=0,"",'Example Outstanding'!$E$5-B347)</f>
        <v/>
      </c>
      <c r="AD347">
        <f>IF(S347=0,0,IFERROR(VLOOKUP(C347,'Example Parties'!$B$13:$Q$112,14,FALSE),0)+SUMIFS($T$7:$T$506,$C$7:$C$506,C347,$B$7:$B$506,"&lt;="&amp;'Example Parties'!$E$8))</f>
        <v/>
      </c>
      <c r="AE347">
        <f>IF(OR('Example Parties'!$E$8="",S347=0,B347="",B347&gt;'Example Parties'!$E$8),0,MAX(0,MIN(S347,U347-AD347)))</f>
        <v/>
      </c>
      <c r="AF347">
        <f>IF(AND(P347="Creditor",X347=1,AE347&gt;0,Z347&lt;&gt;""),IF(Z347&lt;='Example Parties'!$E$8,AE347,0),0)</f>
        <v/>
      </c>
      <c r="AG347">
        <f>IF(OR(AE347=0,Z347=""),0,MAX(0,'Example Parties'!$E$8-Z347))</f>
        <v/>
      </c>
      <c r="AH347">
        <f>IF(AND(P347="Creditor",X347=1,AG347&gt;0),AE347*((1+3*N('Example Parties'!$E$10)/12)^(AG347*12/365)-1),0)</f>
        <v/>
      </c>
      <c r="AI347">
        <f>IF(AND(C347&lt;&gt;"",C347='Example Ledger'!$D$4,B347&lt;&gt;"",B347&gt;='Example Ledger'!$D$5,B347&lt;='Example Ledger'!$D$6),1,0)</f>
        <v/>
      </c>
      <c r="AJ347">
        <f>IF(AI347=1,SUM(AI$7:AI347),"")</f>
        <v/>
      </c>
      <c r="AK347">
        <f>IF(OR(N347="",N347="OK"),0,1)</f>
        <v/>
      </c>
    </row>
    <row r="348">
      <c r="B348" s="24" t="n"/>
      <c r="C348" s="14" t="n"/>
      <c r="D348" s="14" t="n"/>
      <c r="E348" s="20" t="n"/>
      <c r="F348" s="24" t="n"/>
      <c r="G348" s="14" t="n"/>
      <c r="H348" s="22" t="n"/>
      <c r="I348" s="25">
        <f>IF(Q348="D",N(H348),0)</f>
        <v/>
      </c>
      <c r="J348" s="25">
        <f>IF(Q348="C",N(H348),0)</f>
        <v/>
      </c>
      <c r="K348" s="26">
        <f>IF(Z348="","",Z348)</f>
        <v/>
      </c>
      <c r="L348" s="27">
        <f>W348</f>
        <v/>
      </c>
      <c r="M348" s="28">
        <f>AA348</f>
        <v/>
      </c>
      <c r="N348" s="23">
        <f>IF(AND(B348="",C348="",D348="",N(H348)=0),"",IF(B348="","Enter the date",IF(C348="","Pick the party",IF(P348="?","Add this party on the Parties sheet first",IF(D348="","Pick the entry type",IF(Q348="?","Pick the entry type from the list",IF(N(H348)=0,"Enter the amount",IF(AND(R348&lt;&gt;"Any",R348&lt;&gt;P348),"Sales, receipts and credit notes are for debtors; purchases, payments and debit notes for creditors",IF(AND(F348&lt;&gt;"",D348&lt;&gt;"Purchase bill"),"The received-on date is only for purchase bills",IF(AND(P348="Creditor",X348=1,AA348&gt;0),"Past due to a micro or small supplier: interest runs under MSMED s.16, and if unpaid at year end it is not deductible that year, s.37(2)(g)",IF(AND(P348="Debtor",X348=1,AA348&gt;0),"Past due to you: as a micro or small supplier you can claim interest under MSMED s.16","OK")))))))))))</f>
        <v/>
      </c>
      <c r="P348">
        <f>IF(C348="","",IFERROR(VLOOKUP(C348,'Example Parties'!$B$13:$Q$112,2,FALSE),"?"))</f>
        <v/>
      </c>
      <c r="Q348">
        <f>IF(D348="","",IFERROR(VLOOKUP(D348,Lists!$A$2:$D$9,3,FALSE),"?"))</f>
        <v/>
      </c>
      <c r="R348">
        <f>IF(D348="","",IFERROR(VLOOKUP(D348,Lists!$A$2:$D$9,4,FALSE),"?"))</f>
        <v/>
      </c>
      <c r="S348">
        <f>IF(P348="Debtor",I348,IF(P348="Creditor",J348,0))</f>
        <v/>
      </c>
      <c r="T348">
        <f>IF(P348="Debtor",J348,IF(P348="Creditor",I348,0))</f>
        <v/>
      </c>
      <c r="U348">
        <f>IF(OR(S348=0,B348=""),0,IFERROR(VLOOKUP(C348,'Example Parties'!$B$13:$Q$112,13,FALSE),0)+SUMIFS($S$7:$S$506,$C$7:$C$506,C348,$B$7:$B$506,"&lt;"&amp;B348)+SUMIFS(S$7:S348,C$7:C348,C348,B$7:B348,B348))</f>
        <v/>
      </c>
      <c r="V348">
        <f>IF(S348=0,0,IFERROR(VLOOKUP(C348,'Example Parties'!$B$13:$Q$112,14,FALSE),0)+SUMIFS($T$7:$T$506,$C$7:$C$506,C348,$B$7:$B$506,"&lt;="&amp;'Example Outstanding'!$E$5))</f>
        <v/>
      </c>
      <c r="W348">
        <f>IF(OR('Example Outstanding'!$E$5="",S348=0,B348="",B348&gt;'Example Outstanding'!$E$5),0,MAX(0,MIN(S348,U348-V348)))</f>
        <v/>
      </c>
      <c r="X348">
        <f>IF(C348="",0,IFERROR(VLOOKUP(C348,'Example Parties'!$B$13:$Q$112,15,FALSE),0))</f>
        <v/>
      </c>
      <c r="Y348">
        <f>IF(C348="","",IFERROR(VLOOKUP(C348,'Example Parties'!$B$13:$Q$112,16,FALSE),0))</f>
        <v/>
      </c>
      <c r="Z348">
        <f>IF(OR(S348=0,B348="",Y348=""),"",IF(AND(F348&lt;&gt;"",D348="Purchase bill"),F348,B348)+Y348)</f>
        <v/>
      </c>
      <c r="AA348">
        <f>IF(OR(W348=0,Z348=""),0,MAX(0,'Example Outstanding'!$E$5-Z348))</f>
        <v/>
      </c>
      <c r="AB348">
        <f>IF(AND(X348=1,AA348&gt;0),W348*((1+3*N('Example Parties'!$E$10)/12)^(AA348*12/365)-1),0)</f>
        <v/>
      </c>
      <c r="AC348">
        <f>IF(W348=0,"",'Example Outstanding'!$E$5-B348)</f>
        <v/>
      </c>
      <c r="AD348">
        <f>IF(S348=0,0,IFERROR(VLOOKUP(C348,'Example Parties'!$B$13:$Q$112,14,FALSE),0)+SUMIFS($T$7:$T$506,$C$7:$C$506,C348,$B$7:$B$506,"&lt;="&amp;'Example Parties'!$E$8))</f>
        <v/>
      </c>
      <c r="AE348">
        <f>IF(OR('Example Parties'!$E$8="",S348=0,B348="",B348&gt;'Example Parties'!$E$8),0,MAX(0,MIN(S348,U348-AD348)))</f>
        <v/>
      </c>
      <c r="AF348">
        <f>IF(AND(P348="Creditor",X348=1,AE348&gt;0,Z348&lt;&gt;""),IF(Z348&lt;='Example Parties'!$E$8,AE348,0),0)</f>
        <v/>
      </c>
      <c r="AG348">
        <f>IF(OR(AE348=0,Z348=""),0,MAX(0,'Example Parties'!$E$8-Z348))</f>
        <v/>
      </c>
      <c r="AH348">
        <f>IF(AND(P348="Creditor",X348=1,AG348&gt;0),AE348*((1+3*N('Example Parties'!$E$10)/12)^(AG348*12/365)-1),0)</f>
        <v/>
      </c>
      <c r="AI348">
        <f>IF(AND(C348&lt;&gt;"",C348='Example Ledger'!$D$4,B348&lt;&gt;"",B348&gt;='Example Ledger'!$D$5,B348&lt;='Example Ledger'!$D$6),1,0)</f>
        <v/>
      </c>
      <c r="AJ348">
        <f>IF(AI348=1,SUM(AI$7:AI348),"")</f>
        <v/>
      </c>
      <c r="AK348">
        <f>IF(OR(N348="",N348="OK"),0,1)</f>
        <v/>
      </c>
    </row>
    <row r="349">
      <c r="B349" s="24" t="n"/>
      <c r="C349" s="14" t="n"/>
      <c r="D349" s="14" t="n"/>
      <c r="E349" s="20" t="n"/>
      <c r="F349" s="24" t="n"/>
      <c r="G349" s="14" t="n"/>
      <c r="H349" s="22" t="n"/>
      <c r="I349" s="25">
        <f>IF(Q349="D",N(H349),0)</f>
        <v/>
      </c>
      <c r="J349" s="25">
        <f>IF(Q349="C",N(H349),0)</f>
        <v/>
      </c>
      <c r="K349" s="26">
        <f>IF(Z349="","",Z349)</f>
        <v/>
      </c>
      <c r="L349" s="27">
        <f>W349</f>
        <v/>
      </c>
      <c r="M349" s="28">
        <f>AA349</f>
        <v/>
      </c>
      <c r="N349" s="23">
        <f>IF(AND(B349="",C349="",D349="",N(H349)=0),"",IF(B349="","Enter the date",IF(C349="","Pick the party",IF(P349="?","Add this party on the Parties sheet first",IF(D349="","Pick the entry type",IF(Q349="?","Pick the entry type from the list",IF(N(H349)=0,"Enter the amount",IF(AND(R349&lt;&gt;"Any",R349&lt;&gt;P349),"Sales, receipts and credit notes are for debtors; purchases, payments and debit notes for creditors",IF(AND(F349&lt;&gt;"",D349&lt;&gt;"Purchase bill"),"The received-on date is only for purchase bills",IF(AND(P349="Creditor",X349=1,AA349&gt;0),"Past due to a micro or small supplier: interest runs under MSMED s.16, and if unpaid at year end it is not deductible that year, s.37(2)(g)",IF(AND(P349="Debtor",X349=1,AA349&gt;0),"Past due to you: as a micro or small supplier you can claim interest under MSMED s.16","OK")))))))))))</f>
        <v/>
      </c>
      <c r="P349">
        <f>IF(C349="","",IFERROR(VLOOKUP(C349,'Example Parties'!$B$13:$Q$112,2,FALSE),"?"))</f>
        <v/>
      </c>
      <c r="Q349">
        <f>IF(D349="","",IFERROR(VLOOKUP(D349,Lists!$A$2:$D$9,3,FALSE),"?"))</f>
        <v/>
      </c>
      <c r="R349">
        <f>IF(D349="","",IFERROR(VLOOKUP(D349,Lists!$A$2:$D$9,4,FALSE),"?"))</f>
        <v/>
      </c>
      <c r="S349">
        <f>IF(P349="Debtor",I349,IF(P349="Creditor",J349,0))</f>
        <v/>
      </c>
      <c r="T349">
        <f>IF(P349="Debtor",J349,IF(P349="Creditor",I349,0))</f>
        <v/>
      </c>
      <c r="U349">
        <f>IF(OR(S349=0,B349=""),0,IFERROR(VLOOKUP(C349,'Example Parties'!$B$13:$Q$112,13,FALSE),0)+SUMIFS($S$7:$S$506,$C$7:$C$506,C349,$B$7:$B$506,"&lt;"&amp;B349)+SUMIFS(S$7:S349,C$7:C349,C349,B$7:B349,B349))</f>
        <v/>
      </c>
      <c r="V349">
        <f>IF(S349=0,0,IFERROR(VLOOKUP(C349,'Example Parties'!$B$13:$Q$112,14,FALSE),0)+SUMIFS($T$7:$T$506,$C$7:$C$506,C349,$B$7:$B$506,"&lt;="&amp;'Example Outstanding'!$E$5))</f>
        <v/>
      </c>
      <c r="W349">
        <f>IF(OR('Example Outstanding'!$E$5="",S349=0,B349="",B349&gt;'Example Outstanding'!$E$5),0,MAX(0,MIN(S349,U349-V349)))</f>
        <v/>
      </c>
      <c r="X349">
        <f>IF(C349="",0,IFERROR(VLOOKUP(C349,'Example Parties'!$B$13:$Q$112,15,FALSE),0))</f>
        <v/>
      </c>
      <c r="Y349">
        <f>IF(C349="","",IFERROR(VLOOKUP(C349,'Example Parties'!$B$13:$Q$112,16,FALSE),0))</f>
        <v/>
      </c>
      <c r="Z349">
        <f>IF(OR(S349=0,B349="",Y349=""),"",IF(AND(F349&lt;&gt;"",D349="Purchase bill"),F349,B349)+Y349)</f>
        <v/>
      </c>
      <c r="AA349">
        <f>IF(OR(W349=0,Z349=""),0,MAX(0,'Example Outstanding'!$E$5-Z349))</f>
        <v/>
      </c>
      <c r="AB349">
        <f>IF(AND(X349=1,AA349&gt;0),W349*((1+3*N('Example Parties'!$E$10)/12)^(AA349*12/365)-1),0)</f>
        <v/>
      </c>
      <c r="AC349">
        <f>IF(W349=0,"",'Example Outstanding'!$E$5-B349)</f>
        <v/>
      </c>
      <c r="AD349">
        <f>IF(S349=0,0,IFERROR(VLOOKUP(C349,'Example Parties'!$B$13:$Q$112,14,FALSE),0)+SUMIFS($T$7:$T$506,$C$7:$C$506,C349,$B$7:$B$506,"&lt;="&amp;'Example Parties'!$E$8))</f>
        <v/>
      </c>
      <c r="AE349">
        <f>IF(OR('Example Parties'!$E$8="",S349=0,B349="",B349&gt;'Example Parties'!$E$8),0,MAX(0,MIN(S349,U349-AD349)))</f>
        <v/>
      </c>
      <c r="AF349">
        <f>IF(AND(P349="Creditor",X349=1,AE349&gt;0,Z349&lt;&gt;""),IF(Z349&lt;='Example Parties'!$E$8,AE349,0),0)</f>
        <v/>
      </c>
      <c r="AG349">
        <f>IF(OR(AE349=0,Z349=""),0,MAX(0,'Example Parties'!$E$8-Z349))</f>
        <v/>
      </c>
      <c r="AH349">
        <f>IF(AND(P349="Creditor",X349=1,AG349&gt;0),AE349*((1+3*N('Example Parties'!$E$10)/12)^(AG349*12/365)-1),0)</f>
        <v/>
      </c>
      <c r="AI349">
        <f>IF(AND(C349&lt;&gt;"",C349='Example Ledger'!$D$4,B349&lt;&gt;"",B349&gt;='Example Ledger'!$D$5,B349&lt;='Example Ledger'!$D$6),1,0)</f>
        <v/>
      </c>
      <c r="AJ349">
        <f>IF(AI349=1,SUM(AI$7:AI349),"")</f>
        <v/>
      </c>
      <c r="AK349">
        <f>IF(OR(N349="",N349="OK"),0,1)</f>
        <v/>
      </c>
    </row>
    <row r="350">
      <c r="B350" s="24" t="n"/>
      <c r="C350" s="14" t="n"/>
      <c r="D350" s="14" t="n"/>
      <c r="E350" s="20" t="n"/>
      <c r="F350" s="24" t="n"/>
      <c r="G350" s="14" t="n"/>
      <c r="H350" s="22" t="n"/>
      <c r="I350" s="25">
        <f>IF(Q350="D",N(H350),0)</f>
        <v/>
      </c>
      <c r="J350" s="25">
        <f>IF(Q350="C",N(H350),0)</f>
        <v/>
      </c>
      <c r="K350" s="26">
        <f>IF(Z350="","",Z350)</f>
        <v/>
      </c>
      <c r="L350" s="27">
        <f>W350</f>
        <v/>
      </c>
      <c r="M350" s="28">
        <f>AA350</f>
        <v/>
      </c>
      <c r="N350" s="23">
        <f>IF(AND(B350="",C350="",D350="",N(H350)=0),"",IF(B350="","Enter the date",IF(C350="","Pick the party",IF(P350="?","Add this party on the Parties sheet first",IF(D350="","Pick the entry type",IF(Q350="?","Pick the entry type from the list",IF(N(H350)=0,"Enter the amount",IF(AND(R350&lt;&gt;"Any",R350&lt;&gt;P350),"Sales, receipts and credit notes are for debtors; purchases, payments and debit notes for creditors",IF(AND(F350&lt;&gt;"",D350&lt;&gt;"Purchase bill"),"The received-on date is only for purchase bills",IF(AND(P350="Creditor",X350=1,AA350&gt;0),"Past due to a micro or small supplier: interest runs under MSMED s.16, and if unpaid at year end it is not deductible that year, s.37(2)(g)",IF(AND(P350="Debtor",X350=1,AA350&gt;0),"Past due to you: as a micro or small supplier you can claim interest under MSMED s.16","OK")))))))))))</f>
        <v/>
      </c>
      <c r="P350">
        <f>IF(C350="","",IFERROR(VLOOKUP(C350,'Example Parties'!$B$13:$Q$112,2,FALSE),"?"))</f>
        <v/>
      </c>
      <c r="Q350">
        <f>IF(D350="","",IFERROR(VLOOKUP(D350,Lists!$A$2:$D$9,3,FALSE),"?"))</f>
        <v/>
      </c>
      <c r="R350">
        <f>IF(D350="","",IFERROR(VLOOKUP(D350,Lists!$A$2:$D$9,4,FALSE),"?"))</f>
        <v/>
      </c>
      <c r="S350">
        <f>IF(P350="Debtor",I350,IF(P350="Creditor",J350,0))</f>
        <v/>
      </c>
      <c r="T350">
        <f>IF(P350="Debtor",J350,IF(P350="Creditor",I350,0))</f>
        <v/>
      </c>
      <c r="U350">
        <f>IF(OR(S350=0,B350=""),0,IFERROR(VLOOKUP(C350,'Example Parties'!$B$13:$Q$112,13,FALSE),0)+SUMIFS($S$7:$S$506,$C$7:$C$506,C350,$B$7:$B$506,"&lt;"&amp;B350)+SUMIFS(S$7:S350,C$7:C350,C350,B$7:B350,B350))</f>
        <v/>
      </c>
      <c r="V350">
        <f>IF(S350=0,0,IFERROR(VLOOKUP(C350,'Example Parties'!$B$13:$Q$112,14,FALSE),0)+SUMIFS($T$7:$T$506,$C$7:$C$506,C350,$B$7:$B$506,"&lt;="&amp;'Example Outstanding'!$E$5))</f>
        <v/>
      </c>
      <c r="W350">
        <f>IF(OR('Example Outstanding'!$E$5="",S350=0,B350="",B350&gt;'Example Outstanding'!$E$5),0,MAX(0,MIN(S350,U350-V350)))</f>
        <v/>
      </c>
      <c r="X350">
        <f>IF(C350="",0,IFERROR(VLOOKUP(C350,'Example Parties'!$B$13:$Q$112,15,FALSE),0))</f>
        <v/>
      </c>
      <c r="Y350">
        <f>IF(C350="","",IFERROR(VLOOKUP(C350,'Example Parties'!$B$13:$Q$112,16,FALSE),0))</f>
        <v/>
      </c>
      <c r="Z350">
        <f>IF(OR(S350=0,B350="",Y350=""),"",IF(AND(F350&lt;&gt;"",D350="Purchase bill"),F350,B350)+Y350)</f>
        <v/>
      </c>
      <c r="AA350">
        <f>IF(OR(W350=0,Z350=""),0,MAX(0,'Example Outstanding'!$E$5-Z350))</f>
        <v/>
      </c>
      <c r="AB350">
        <f>IF(AND(X350=1,AA350&gt;0),W350*((1+3*N('Example Parties'!$E$10)/12)^(AA350*12/365)-1),0)</f>
        <v/>
      </c>
      <c r="AC350">
        <f>IF(W350=0,"",'Example Outstanding'!$E$5-B350)</f>
        <v/>
      </c>
      <c r="AD350">
        <f>IF(S350=0,0,IFERROR(VLOOKUP(C350,'Example Parties'!$B$13:$Q$112,14,FALSE),0)+SUMIFS($T$7:$T$506,$C$7:$C$506,C350,$B$7:$B$506,"&lt;="&amp;'Example Parties'!$E$8))</f>
        <v/>
      </c>
      <c r="AE350">
        <f>IF(OR('Example Parties'!$E$8="",S350=0,B350="",B350&gt;'Example Parties'!$E$8),0,MAX(0,MIN(S350,U350-AD350)))</f>
        <v/>
      </c>
      <c r="AF350">
        <f>IF(AND(P350="Creditor",X350=1,AE350&gt;0,Z350&lt;&gt;""),IF(Z350&lt;='Example Parties'!$E$8,AE350,0),0)</f>
        <v/>
      </c>
      <c r="AG350">
        <f>IF(OR(AE350=0,Z350=""),0,MAX(0,'Example Parties'!$E$8-Z350))</f>
        <v/>
      </c>
      <c r="AH350">
        <f>IF(AND(P350="Creditor",X350=1,AG350&gt;0),AE350*((1+3*N('Example Parties'!$E$10)/12)^(AG350*12/365)-1),0)</f>
        <v/>
      </c>
      <c r="AI350">
        <f>IF(AND(C350&lt;&gt;"",C350='Example Ledger'!$D$4,B350&lt;&gt;"",B350&gt;='Example Ledger'!$D$5,B350&lt;='Example Ledger'!$D$6),1,0)</f>
        <v/>
      </c>
      <c r="AJ350">
        <f>IF(AI350=1,SUM(AI$7:AI350),"")</f>
        <v/>
      </c>
      <c r="AK350">
        <f>IF(OR(N350="",N350="OK"),0,1)</f>
        <v/>
      </c>
    </row>
    <row r="351">
      <c r="B351" s="24" t="n"/>
      <c r="C351" s="14" t="n"/>
      <c r="D351" s="14" t="n"/>
      <c r="E351" s="20" t="n"/>
      <c r="F351" s="24" t="n"/>
      <c r="G351" s="14" t="n"/>
      <c r="H351" s="22" t="n"/>
      <c r="I351" s="25">
        <f>IF(Q351="D",N(H351),0)</f>
        <v/>
      </c>
      <c r="J351" s="25">
        <f>IF(Q351="C",N(H351),0)</f>
        <v/>
      </c>
      <c r="K351" s="26">
        <f>IF(Z351="","",Z351)</f>
        <v/>
      </c>
      <c r="L351" s="27">
        <f>W351</f>
        <v/>
      </c>
      <c r="M351" s="28">
        <f>AA351</f>
        <v/>
      </c>
      <c r="N351" s="23">
        <f>IF(AND(B351="",C351="",D351="",N(H351)=0),"",IF(B351="","Enter the date",IF(C351="","Pick the party",IF(P351="?","Add this party on the Parties sheet first",IF(D351="","Pick the entry type",IF(Q351="?","Pick the entry type from the list",IF(N(H351)=0,"Enter the amount",IF(AND(R351&lt;&gt;"Any",R351&lt;&gt;P351),"Sales, receipts and credit notes are for debtors; purchases, payments and debit notes for creditors",IF(AND(F351&lt;&gt;"",D351&lt;&gt;"Purchase bill"),"The received-on date is only for purchase bills",IF(AND(P351="Creditor",X351=1,AA351&gt;0),"Past due to a micro or small supplier: interest runs under MSMED s.16, and if unpaid at year end it is not deductible that year, s.37(2)(g)",IF(AND(P351="Debtor",X351=1,AA351&gt;0),"Past due to you: as a micro or small supplier you can claim interest under MSMED s.16","OK")))))))))))</f>
        <v/>
      </c>
      <c r="P351">
        <f>IF(C351="","",IFERROR(VLOOKUP(C351,'Example Parties'!$B$13:$Q$112,2,FALSE),"?"))</f>
        <v/>
      </c>
      <c r="Q351">
        <f>IF(D351="","",IFERROR(VLOOKUP(D351,Lists!$A$2:$D$9,3,FALSE),"?"))</f>
        <v/>
      </c>
      <c r="R351">
        <f>IF(D351="","",IFERROR(VLOOKUP(D351,Lists!$A$2:$D$9,4,FALSE),"?"))</f>
        <v/>
      </c>
      <c r="S351">
        <f>IF(P351="Debtor",I351,IF(P351="Creditor",J351,0))</f>
        <v/>
      </c>
      <c r="T351">
        <f>IF(P351="Debtor",J351,IF(P351="Creditor",I351,0))</f>
        <v/>
      </c>
      <c r="U351">
        <f>IF(OR(S351=0,B351=""),0,IFERROR(VLOOKUP(C351,'Example Parties'!$B$13:$Q$112,13,FALSE),0)+SUMIFS($S$7:$S$506,$C$7:$C$506,C351,$B$7:$B$506,"&lt;"&amp;B351)+SUMIFS(S$7:S351,C$7:C351,C351,B$7:B351,B351))</f>
        <v/>
      </c>
      <c r="V351">
        <f>IF(S351=0,0,IFERROR(VLOOKUP(C351,'Example Parties'!$B$13:$Q$112,14,FALSE),0)+SUMIFS($T$7:$T$506,$C$7:$C$506,C351,$B$7:$B$506,"&lt;="&amp;'Example Outstanding'!$E$5))</f>
        <v/>
      </c>
      <c r="W351">
        <f>IF(OR('Example Outstanding'!$E$5="",S351=0,B351="",B351&gt;'Example Outstanding'!$E$5),0,MAX(0,MIN(S351,U351-V351)))</f>
        <v/>
      </c>
      <c r="X351">
        <f>IF(C351="",0,IFERROR(VLOOKUP(C351,'Example Parties'!$B$13:$Q$112,15,FALSE),0))</f>
        <v/>
      </c>
      <c r="Y351">
        <f>IF(C351="","",IFERROR(VLOOKUP(C351,'Example Parties'!$B$13:$Q$112,16,FALSE),0))</f>
        <v/>
      </c>
      <c r="Z351">
        <f>IF(OR(S351=0,B351="",Y351=""),"",IF(AND(F351&lt;&gt;"",D351="Purchase bill"),F351,B351)+Y351)</f>
        <v/>
      </c>
      <c r="AA351">
        <f>IF(OR(W351=0,Z351=""),0,MAX(0,'Example Outstanding'!$E$5-Z351))</f>
        <v/>
      </c>
      <c r="AB351">
        <f>IF(AND(X351=1,AA351&gt;0),W351*((1+3*N('Example Parties'!$E$10)/12)^(AA351*12/365)-1),0)</f>
        <v/>
      </c>
      <c r="AC351">
        <f>IF(W351=0,"",'Example Outstanding'!$E$5-B351)</f>
        <v/>
      </c>
      <c r="AD351">
        <f>IF(S351=0,0,IFERROR(VLOOKUP(C351,'Example Parties'!$B$13:$Q$112,14,FALSE),0)+SUMIFS($T$7:$T$506,$C$7:$C$506,C351,$B$7:$B$506,"&lt;="&amp;'Example Parties'!$E$8))</f>
        <v/>
      </c>
      <c r="AE351">
        <f>IF(OR('Example Parties'!$E$8="",S351=0,B351="",B351&gt;'Example Parties'!$E$8),0,MAX(0,MIN(S351,U351-AD351)))</f>
        <v/>
      </c>
      <c r="AF351">
        <f>IF(AND(P351="Creditor",X351=1,AE351&gt;0,Z351&lt;&gt;""),IF(Z351&lt;='Example Parties'!$E$8,AE351,0),0)</f>
        <v/>
      </c>
      <c r="AG351">
        <f>IF(OR(AE351=0,Z351=""),0,MAX(0,'Example Parties'!$E$8-Z351))</f>
        <v/>
      </c>
      <c r="AH351">
        <f>IF(AND(P351="Creditor",X351=1,AG351&gt;0),AE351*((1+3*N('Example Parties'!$E$10)/12)^(AG351*12/365)-1),0)</f>
        <v/>
      </c>
      <c r="AI351">
        <f>IF(AND(C351&lt;&gt;"",C351='Example Ledger'!$D$4,B351&lt;&gt;"",B351&gt;='Example Ledger'!$D$5,B351&lt;='Example Ledger'!$D$6),1,0)</f>
        <v/>
      </c>
      <c r="AJ351">
        <f>IF(AI351=1,SUM(AI$7:AI351),"")</f>
        <v/>
      </c>
      <c r="AK351">
        <f>IF(OR(N351="",N351="OK"),0,1)</f>
        <v/>
      </c>
    </row>
    <row r="352">
      <c r="B352" s="24" t="n"/>
      <c r="C352" s="14" t="n"/>
      <c r="D352" s="14" t="n"/>
      <c r="E352" s="20" t="n"/>
      <c r="F352" s="24" t="n"/>
      <c r="G352" s="14" t="n"/>
      <c r="H352" s="22" t="n"/>
      <c r="I352" s="25">
        <f>IF(Q352="D",N(H352),0)</f>
        <v/>
      </c>
      <c r="J352" s="25">
        <f>IF(Q352="C",N(H352),0)</f>
        <v/>
      </c>
      <c r="K352" s="26">
        <f>IF(Z352="","",Z352)</f>
        <v/>
      </c>
      <c r="L352" s="27">
        <f>W352</f>
        <v/>
      </c>
      <c r="M352" s="28">
        <f>AA352</f>
        <v/>
      </c>
      <c r="N352" s="23">
        <f>IF(AND(B352="",C352="",D352="",N(H352)=0),"",IF(B352="","Enter the date",IF(C352="","Pick the party",IF(P352="?","Add this party on the Parties sheet first",IF(D352="","Pick the entry type",IF(Q352="?","Pick the entry type from the list",IF(N(H352)=0,"Enter the amount",IF(AND(R352&lt;&gt;"Any",R352&lt;&gt;P352),"Sales, receipts and credit notes are for debtors; purchases, payments and debit notes for creditors",IF(AND(F352&lt;&gt;"",D352&lt;&gt;"Purchase bill"),"The received-on date is only for purchase bills",IF(AND(P352="Creditor",X352=1,AA352&gt;0),"Past due to a micro or small supplier: interest runs under MSMED s.16, and if unpaid at year end it is not deductible that year, s.37(2)(g)",IF(AND(P352="Debtor",X352=1,AA352&gt;0),"Past due to you: as a micro or small supplier you can claim interest under MSMED s.16","OK")))))))))))</f>
        <v/>
      </c>
      <c r="P352">
        <f>IF(C352="","",IFERROR(VLOOKUP(C352,'Example Parties'!$B$13:$Q$112,2,FALSE),"?"))</f>
        <v/>
      </c>
      <c r="Q352">
        <f>IF(D352="","",IFERROR(VLOOKUP(D352,Lists!$A$2:$D$9,3,FALSE),"?"))</f>
        <v/>
      </c>
      <c r="R352">
        <f>IF(D352="","",IFERROR(VLOOKUP(D352,Lists!$A$2:$D$9,4,FALSE),"?"))</f>
        <v/>
      </c>
      <c r="S352">
        <f>IF(P352="Debtor",I352,IF(P352="Creditor",J352,0))</f>
        <v/>
      </c>
      <c r="T352">
        <f>IF(P352="Debtor",J352,IF(P352="Creditor",I352,0))</f>
        <v/>
      </c>
      <c r="U352">
        <f>IF(OR(S352=0,B352=""),0,IFERROR(VLOOKUP(C352,'Example Parties'!$B$13:$Q$112,13,FALSE),0)+SUMIFS($S$7:$S$506,$C$7:$C$506,C352,$B$7:$B$506,"&lt;"&amp;B352)+SUMIFS(S$7:S352,C$7:C352,C352,B$7:B352,B352))</f>
        <v/>
      </c>
      <c r="V352">
        <f>IF(S352=0,0,IFERROR(VLOOKUP(C352,'Example Parties'!$B$13:$Q$112,14,FALSE),0)+SUMIFS($T$7:$T$506,$C$7:$C$506,C352,$B$7:$B$506,"&lt;="&amp;'Example Outstanding'!$E$5))</f>
        <v/>
      </c>
      <c r="W352">
        <f>IF(OR('Example Outstanding'!$E$5="",S352=0,B352="",B352&gt;'Example Outstanding'!$E$5),0,MAX(0,MIN(S352,U352-V352)))</f>
        <v/>
      </c>
      <c r="X352">
        <f>IF(C352="",0,IFERROR(VLOOKUP(C352,'Example Parties'!$B$13:$Q$112,15,FALSE),0))</f>
        <v/>
      </c>
      <c r="Y352">
        <f>IF(C352="","",IFERROR(VLOOKUP(C352,'Example Parties'!$B$13:$Q$112,16,FALSE),0))</f>
        <v/>
      </c>
      <c r="Z352">
        <f>IF(OR(S352=0,B352="",Y352=""),"",IF(AND(F352&lt;&gt;"",D352="Purchase bill"),F352,B352)+Y352)</f>
        <v/>
      </c>
      <c r="AA352">
        <f>IF(OR(W352=0,Z352=""),0,MAX(0,'Example Outstanding'!$E$5-Z352))</f>
        <v/>
      </c>
      <c r="AB352">
        <f>IF(AND(X352=1,AA352&gt;0),W352*((1+3*N('Example Parties'!$E$10)/12)^(AA352*12/365)-1),0)</f>
        <v/>
      </c>
      <c r="AC352">
        <f>IF(W352=0,"",'Example Outstanding'!$E$5-B352)</f>
        <v/>
      </c>
      <c r="AD352">
        <f>IF(S352=0,0,IFERROR(VLOOKUP(C352,'Example Parties'!$B$13:$Q$112,14,FALSE),0)+SUMIFS($T$7:$T$506,$C$7:$C$506,C352,$B$7:$B$506,"&lt;="&amp;'Example Parties'!$E$8))</f>
        <v/>
      </c>
      <c r="AE352">
        <f>IF(OR('Example Parties'!$E$8="",S352=0,B352="",B352&gt;'Example Parties'!$E$8),0,MAX(0,MIN(S352,U352-AD352)))</f>
        <v/>
      </c>
      <c r="AF352">
        <f>IF(AND(P352="Creditor",X352=1,AE352&gt;0,Z352&lt;&gt;""),IF(Z352&lt;='Example Parties'!$E$8,AE352,0),0)</f>
        <v/>
      </c>
      <c r="AG352">
        <f>IF(OR(AE352=0,Z352=""),0,MAX(0,'Example Parties'!$E$8-Z352))</f>
        <v/>
      </c>
      <c r="AH352">
        <f>IF(AND(P352="Creditor",X352=1,AG352&gt;0),AE352*((1+3*N('Example Parties'!$E$10)/12)^(AG352*12/365)-1),0)</f>
        <v/>
      </c>
      <c r="AI352">
        <f>IF(AND(C352&lt;&gt;"",C352='Example Ledger'!$D$4,B352&lt;&gt;"",B352&gt;='Example Ledger'!$D$5,B352&lt;='Example Ledger'!$D$6),1,0)</f>
        <v/>
      </c>
      <c r="AJ352">
        <f>IF(AI352=1,SUM(AI$7:AI352),"")</f>
        <v/>
      </c>
      <c r="AK352">
        <f>IF(OR(N352="",N352="OK"),0,1)</f>
        <v/>
      </c>
    </row>
    <row r="353">
      <c r="B353" s="24" t="n"/>
      <c r="C353" s="14" t="n"/>
      <c r="D353" s="14" t="n"/>
      <c r="E353" s="20" t="n"/>
      <c r="F353" s="24" t="n"/>
      <c r="G353" s="14" t="n"/>
      <c r="H353" s="22" t="n"/>
      <c r="I353" s="25">
        <f>IF(Q353="D",N(H353),0)</f>
        <v/>
      </c>
      <c r="J353" s="25">
        <f>IF(Q353="C",N(H353),0)</f>
        <v/>
      </c>
      <c r="K353" s="26">
        <f>IF(Z353="","",Z353)</f>
        <v/>
      </c>
      <c r="L353" s="27">
        <f>W353</f>
        <v/>
      </c>
      <c r="M353" s="28">
        <f>AA353</f>
        <v/>
      </c>
      <c r="N353" s="23">
        <f>IF(AND(B353="",C353="",D353="",N(H353)=0),"",IF(B353="","Enter the date",IF(C353="","Pick the party",IF(P353="?","Add this party on the Parties sheet first",IF(D353="","Pick the entry type",IF(Q353="?","Pick the entry type from the list",IF(N(H353)=0,"Enter the amount",IF(AND(R353&lt;&gt;"Any",R353&lt;&gt;P353),"Sales, receipts and credit notes are for debtors; purchases, payments and debit notes for creditors",IF(AND(F353&lt;&gt;"",D353&lt;&gt;"Purchase bill"),"The received-on date is only for purchase bills",IF(AND(P353="Creditor",X353=1,AA353&gt;0),"Past due to a micro or small supplier: interest runs under MSMED s.16, and if unpaid at year end it is not deductible that year, s.37(2)(g)",IF(AND(P353="Debtor",X353=1,AA353&gt;0),"Past due to you: as a micro or small supplier you can claim interest under MSMED s.16","OK")))))))))))</f>
        <v/>
      </c>
      <c r="P353">
        <f>IF(C353="","",IFERROR(VLOOKUP(C353,'Example Parties'!$B$13:$Q$112,2,FALSE),"?"))</f>
        <v/>
      </c>
      <c r="Q353">
        <f>IF(D353="","",IFERROR(VLOOKUP(D353,Lists!$A$2:$D$9,3,FALSE),"?"))</f>
        <v/>
      </c>
      <c r="R353">
        <f>IF(D353="","",IFERROR(VLOOKUP(D353,Lists!$A$2:$D$9,4,FALSE),"?"))</f>
        <v/>
      </c>
      <c r="S353">
        <f>IF(P353="Debtor",I353,IF(P353="Creditor",J353,0))</f>
        <v/>
      </c>
      <c r="T353">
        <f>IF(P353="Debtor",J353,IF(P353="Creditor",I353,0))</f>
        <v/>
      </c>
      <c r="U353">
        <f>IF(OR(S353=0,B353=""),0,IFERROR(VLOOKUP(C353,'Example Parties'!$B$13:$Q$112,13,FALSE),0)+SUMIFS($S$7:$S$506,$C$7:$C$506,C353,$B$7:$B$506,"&lt;"&amp;B353)+SUMIFS(S$7:S353,C$7:C353,C353,B$7:B353,B353))</f>
        <v/>
      </c>
      <c r="V353">
        <f>IF(S353=0,0,IFERROR(VLOOKUP(C353,'Example Parties'!$B$13:$Q$112,14,FALSE),0)+SUMIFS($T$7:$T$506,$C$7:$C$506,C353,$B$7:$B$506,"&lt;="&amp;'Example Outstanding'!$E$5))</f>
        <v/>
      </c>
      <c r="W353">
        <f>IF(OR('Example Outstanding'!$E$5="",S353=0,B353="",B353&gt;'Example Outstanding'!$E$5),0,MAX(0,MIN(S353,U353-V353)))</f>
        <v/>
      </c>
      <c r="X353">
        <f>IF(C353="",0,IFERROR(VLOOKUP(C353,'Example Parties'!$B$13:$Q$112,15,FALSE),0))</f>
        <v/>
      </c>
      <c r="Y353">
        <f>IF(C353="","",IFERROR(VLOOKUP(C353,'Example Parties'!$B$13:$Q$112,16,FALSE),0))</f>
        <v/>
      </c>
      <c r="Z353">
        <f>IF(OR(S353=0,B353="",Y353=""),"",IF(AND(F353&lt;&gt;"",D353="Purchase bill"),F353,B353)+Y353)</f>
        <v/>
      </c>
      <c r="AA353">
        <f>IF(OR(W353=0,Z353=""),0,MAX(0,'Example Outstanding'!$E$5-Z353))</f>
        <v/>
      </c>
      <c r="AB353">
        <f>IF(AND(X353=1,AA353&gt;0),W353*((1+3*N('Example Parties'!$E$10)/12)^(AA353*12/365)-1),0)</f>
        <v/>
      </c>
      <c r="AC353">
        <f>IF(W353=0,"",'Example Outstanding'!$E$5-B353)</f>
        <v/>
      </c>
      <c r="AD353">
        <f>IF(S353=0,0,IFERROR(VLOOKUP(C353,'Example Parties'!$B$13:$Q$112,14,FALSE),0)+SUMIFS($T$7:$T$506,$C$7:$C$506,C353,$B$7:$B$506,"&lt;="&amp;'Example Parties'!$E$8))</f>
        <v/>
      </c>
      <c r="AE353">
        <f>IF(OR('Example Parties'!$E$8="",S353=0,B353="",B353&gt;'Example Parties'!$E$8),0,MAX(0,MIN(S353,U353-AD353)))</f>
        <v/>
      </c>
      <c r="AF353">
        <f>IF(AND(P353="Creditor",X353=1,AE353&gt;0,Z353&lt;&gt;""),IF(Z353&lt;='Example Parties'!$E$8,AE353,0),0)</f>
        <v/>
      </c>
      <c r="AG353">
        <f>IF(OR(AE353=0,Z353=""),0,MAX(0,'Example Parties'!$E$8-Z353))</f>
        <v/>
      </c>
      <c r="AH353">
        <f>IF(AND(P353="Creditor",X353=1,AG353&gt;0),AE353*((1+3*N('Example Parties'!$E$10)/12)^(AG353*12/365)-1),0)</f>
        <v/>
      </c>
      <c r="AI353">
        <f>IF(AND(C353&lt;&gt;"",C353='Example Ledger'!$D$4,B353&lt;&gt;"",B353&gt;='Example Ledger'!$D$5,B353&lt;='Example Ledger'!$D$6),1,0)</f>
        <v/>
      </c>
      <c r="AJ353">
        <f>IF(AI353=1,SUM(AI$7:AI353),"")</f>
        <v/>
      </c>
      <c r="AK353">
        <f>IF(OR(N353="",N353="OK"),0,1)</f>
        <v/>
      </c>
    </row>
    <row r="354">
      <c r="B354" s="24" t="n"/>
      <c r="C354" s="14" t="n"/>
      <c r="D354" s="14" t="n"/>
      <c r="E354" s="20" t="n"/>
      <c r="F354" s="24" t="n"/>
      <c r="G354" s="14" t="n"/>
      <c r="H354" s="22" t="n"/>
      <c r="I354" s="25">
        <f>IF(Q354="D",N(H354),0)</f>
        <v/>
      </c>
      <c r="J354" s="25">
        <f>IF(Q354="C",N(H354),0)</f>
        <v/>
      </c>
      <c r="K354" s="26">
        <f>IF(Z354="","",Z354)</f>
        <v/>
      </c>
      <c r="L354" s="27">
        <f>W354</f>
        <v/>
      </c>
      <c r="M354" s="28">
        <f>AA354</f>
        <v/>
      </c>
      <c r="N354" s="23">
        <f>IF(AND(B354="",C354="",D354="",N(H354)=0),"",IF(B354="","Enter the date",IF(C354="","Pick the party",IF(P354="?","Add this party on the Parties sheet first",IF(D354="","Pick the entry type",IF(Q354="?","Pick the entry type from the list",IF(N(H354)=0,"Enter the amount",IF(AND(R354&lt;&gt;"Any",R354&lt;&gt;P354),"Sales, receipts and credit notes are for debtors; purchases, payments and debit notes for creditors",IF(AND(F354&lt;&gt;"",D354&lt;&gt;"Purchase bill"),"The received-on date is only for purchase bills",IF(AND(P354="Creditor",X354=1,AA354&gt;0),"Past due to a micro or small supplier: interest runs under MSMED s.16, and if unpaid at year end it is not deductible that year, s.37(2)(g)",IF(AND(P354="Debtor",X354=1,AA354&gt;0),"Past due to you: as a micro or small supplier you can claim interest under MSMED s.16","OK")))))))))))</f>
        <v/>
      </c>
      <c r="P354">
        <f>IF(C354="","",IFERROR(VLOOKUP(C354,'Example Parties'!$B$13:$Q$112,2,FALSE),"?"))</f>
        <v/>
      </c>
      <c r="Q354">
        <f>IF(D354="","",IFERROR(VLOOKUP(D354,Lists!$A$2:$D$9,3,FALSE),"?"))</f>
        <v/>
      </c>
      <c r="R354">
        <f>IF(D354="","",IFERROR(VLOOKUP(D354,Lists!$A$2:$D$9,4,FALSE),"?"))</f>
        <v/>
      </c>
      <c r="S354">
        <f>IF(P354="Debtor",I354,IF(P354="Creditor",J354,0))</f>
        <v/>
      </c>
      <c r="T354">
        <f>IF(P354="Debtor",J354,IF(P354="Creditor",I354,0))</f>
        <v/>
      </c>
      <c r="U354">
        <f>IF(OR(S354=0,B354=""),0,IFERROR(VLOOKUP(C354,'Example Parties'!$B$13:$Q$112,13,FALSE),0)+SUMIFS($S$7:$S$506,$C$7:$C$506,C354,$B$7:$B$506,"&lt;"&amp;B354)+SUMIFS(S$7:S354,C$7:C354,C354,B$7:B354,B354))</f>
        <v/>
      </c>
      <c r="V354">
        <f>IF(S354=0,0,IFERROR(VLOOKUP(C354,'Example Parties'!$B$13:$Q$112,14,FALSE),0)+SUMIFS($T$7:$T$506,$C$7:$C$506,C354,$B$7:$B$506,"&lt;="&amp;'Example Outstanding'!$E$5))</f>
        <v/>
      </c>
      <c r="W354">
        <f>IF(OR('Example Outstanding'!$E$5="",S354=0,B354="",B354&gt;'Example Outstanding'!$E$5),0,MAX(0,MIN(S354,U354-V354)))</f>
        <v/>
      </c>
      <c r="X354">
        <f>IF(C354="",0,IFERROR(VLOOKUP(C354,'Example Parties'!$B$13:$Q$112,15,FALSE),0))</f>
        <v/>
      </c>
      <c r="Y354">
        <f>IF(C354="","",IFERROR(VLOOKUP(C354,'Example Parties'!$B$13:$Q$112,16,FALSE),0))</f>
        <v/>
      </c>
      <c r="Z354">
        <f>IF(OR(S354=0,B354="",Y354=""),"",IF(AND(F354&lt;&gt;"",D354="Purchase bill"),F354,B354)+Y354)</f>
        <v/>
      </c>
      <c r="AA354">
        <f>IF(OR(W354=0,Z354=""),0,MAX(0,'Example Outstanding'!$E$5-Z354))</f>
        <v/>
      </c>
      <c r="AB354">
        <f>IF(AND(X354=1,AA354&gt;0),W354*((1+3*N('Example Parties'!$E$10)/12)^(AA354*12/365)-1),0)</f>
        <v/>
      </c>
      <c r="AC354">
        <f>IF(W354=0,"",'Example Outstanding'!$E$5-B354)</f>
        <v/>
      </c>
      <c r="AD354">
        <f>IF(S354=0,0,IFERROR(VLOOKUP(C354,'Example Parties'!$B$13:$Q$112,14,FALSE),0)+SUMIFS($T$7:$T$506,$C$7:$C$506,C354,$B$7:$B$506,"&lt;="&amp;'Example Parties'!$E$8))</f>
        <v/>
      </c>
      <c r="AE354">
        <f>IF(OR('Example Parties'!$E$8="",S354=0,B354="",B354&gt;'Example Parties'!$E$8),0,MAX(0,MIN(S354,U354-AD354)))</f>
        <v/>
      </c>
      <c r="AF354">
        <f>IF(AND(P354="Creditor",X354=1,AE354&gt;0,Z354&lt;&gt;""),IF(Z354&lt;='Example Parties'!$E$8,AE354,0),0)</f>
        <v/>
      </c>
      <c r="AG354">
        <f>IF(OR(AE354=0,Z354=""),0,MAX(0,'Example Parties'!$E$8-Z354))</f>
        <v/>
      </c>
      <c r="AH354">
        <f>IF(AND(P354="Creditor",X354=1,AG354&gt;0),AE354*((1+3*N('Example Parties'!$E$10)/12)^(AG354*12/365)-1),0)</f>
        <v/>
      </c>
      <c r="AI354">
        <f>IF(AND(C354&lt;&gt;"",C354='Example Ledger'!$D$4,B354&lt;&gt;"",B354&gt;='Example Ledger'!$D$5,B354&lt;='Example Ledger'!$D$6),1,0)</f>
        <v/>
      </c>
      <c r="AJ354">
        <f>IF(AI354=1,SUM(AI$7:AI354),"")</f>
        <v/>
      </c>
      <c r="AK354">
        <f>IF(OR(N354="",N354="OK"),0,1)</f>
        <v/>
      </c>
    </row>
    <row r="355">
      <c r="B355" s="24" t="n"/>
      <c r="C355" s="14" t="n"/>
      <c r="D355" s="14" t="n"/>
      <c r="E355" s="20" t="n"/>
      <c r="F355" s="24" t="n"/>
      <c r="G355" s="14" t="n"/>
      <c r="H355" s="22" t="n"/>
      <c r="I355" s="25">
        <f>IF(Q355="D",N(H355),0)</f>
        <v/>
      </c>
      <c r="J355" s="25">
        <f>IF(Q355="C",N(H355),0)</f>
        <v/>
      </c>
      <c r="K355" s="26">
        <f>IF(Z355="","",Z355)</f>
        <v/>
      </c>
      <c r="L355" s="27">
        <f>W355</f>
        <v/>
      </c>
      <c r="M355" s="28">
        <f>AA355</f>
        <v/>
      </c>
      <c r="N355" s="23">
        <f>IF(AND(B355="",C355="",D355="",N(H355)=0),"",IF(B355="","Enter the date",IF(C355="","Pick the party",IF(P355="?","Add this party on the Parties sheet first",IF(D355="","Pick the entry type",IF(Q355="?","Pick the entry type from the list",IF(N(H355)=0,"Enter the amount",IF(AND(R355&lt;&gt;"Any",R355&lt;&gt;P355),"Sales, receipts and credit notes are for debtors; purchases, payments and debit notes for creditors",IF(AND(F355&lt;&gt;"",D355&lt;&gt;"Purchase bill"),"The received-on date is only for purchase bills",IF(AND(P355="Creditor",X355=1,AA355&gt;0),"Past due to a micro or small supplier: interest runs under MSMED s.16, and if unpaid at year end it is not deductible that year, s.37(2)(g)",IF(AND(P355="Debtor",X355=1,AA355&gt;0),"Past due to you: as a micro or small supplier you can claim interest under MSMED s.16","OK")))))))))))</f>
        <v/>
      </c>
      <c r="P355">
        <f>IF(C355="","",IFERROR(VLOOKUP(C355,'Example Parties'!$B$13:$Q$112,2,FALSE),"?"))</f>
        <v/>
      </c>
      <c r="Q355">
        <f>IF(D355="","",IFERROR(VLOOKUP(D355,Lists!$A$2:$D$9,3,FALSE),"?"))</f>
        <v/>
      </c>
      <c r="R355">
        <f>IF(D355="","",IFERROR(VLOOKUP(D355,Lists!$A$2:$D$9,4,FALSE),"?"))</f>
        <v/>
      </c>
      <c r="S355">
        <f>IF(P355="Debtor",I355,IF(P355="Creditor",J355,0))</f>
        <v/>
      </c>
      <c r="T355">
        <f>IF(P355="Debtor",J355,IF(P355="Creditor",I355,0))</f>
        <v/>
      </c>
      <c r="U355">
        <f>IF(OR(S355=0,B355=""),0,IFERROR(VLOOKUP(C355,'Example Parties'!$B$13:$Q$112,13,FALSE),0)+SUMIFS($S$7:$S$506,$C$7:$C$506,C355,$B$7:$B$506,"&lt;"&amp;B355)+SUMIFS(S$7:S355,C$7:C355,C355,B$7:B355,B355))</f>
        <v/>
      </c>
      <c r="V355">
        <f>IF(S355=0,0,IFERROR(VLOOKUP(C355,'Example Parties'!$B$13:$Q$112,14,FALSE),0)+SUMIFS($T$7:$T$506,$C$7:$C$506,C355,$B$7:$B$506,"&lt;="&amp;'Example Outstanding'!$E$5))</f>
        <v/>
      </c>
      <c r="W355">
        <f>IF(OR('Example Outstanding'!$E$5="",S355=0,B355="",B355&gt;'Example Outstanding'!$E$5),0,MAX(0,MIN(S355,U355-V355)))</f>
        <v/>
      </c>
      <c r="X355">
        <f>IF(C355="",0,IFERROR(VLOOKUP(C355,'Example Parties'!$B$13:$Q$112,15,FALSE),0))</f>
        <v/>
      </c>
      <c r="Y355">
        <f>IF(C355="","",IFERROR(VLOOKUP(C355,'Example Parties'!$B$13:$Q$112,16,FALSE),0))</f>
        <v/>
      </c>
      <c r="Z355">
        <f>IF(OR(S355=0,B355="",Y355=""),"",IF(AND(F355&lt;&gt;"",D355="Purchase bill"),F355,B355)+Y355)</f>
        <v/>
      </c>
      <c r="AA355">
        <f>IF(OR(W355=0,Z355=""),0,MAX(0,'Example Outstanding'!$E$5-Z355))</f>
        <v/>
      </c>
      <c r="AB355">
        <f>IF(AND(X355=1,AA355&gt;0),W355*((1+3*N('Example Parties'!$E$10)/12)^(AA355*12/365)-1),0)</f>
        <v/>
      </c>
      <c r="AC355">
        <f>IF(W355=0,"",'Example Outstanding'!$E$5-B355)</f>
        <v/>
      </c>
      <c r="AD355">
        <f>IF(S355=0,0,IFERROR(VLOOKUP(C355,'Example Parties'!$B$13:$Q$112,14,FALSE),0)+SUMIFS($T$7:$T$506,$C$7:$C$506,C355,$B$7:$B$506,"&lt;="&amp;'Example Parties'!$E$8))</f>
        <v/>
      </c>
      <c r="AE355">
        <f>IF(OR('Example Parties'!$E$8="",S355=0,B355="",B355&gt;'Example Parties'!$E$8),0,MAX(0,MIN(S355,U355-AD355)))</f>
        <v/>
      </c>
      <c r="AF355">
        <f>IF(AND(P355="Creditor",X355=1,AE355&gt;0,Z355&lt;&gt;""),IF(Z355&lt;='Example Parties'!$E$8,AE355,0),0)</f>
        <v/>
      </c>
      <c r="AG355">
        <f>IF(OR(AE355=0,Z355=""),0,MAX(0,'Example Parties'!$E$8-Z355))</f>
        <v/>
      </c>
      <c r="AH355">
        <f>IF(AND(P355="Creditor",X355=1,AG355&gt;0),AE355*((1+3*N('Example Parties'!$E$10)/12)^(AG355*12/365)-1),0)</f>
        <v/>
      </c>
      <c r="AI355">
        <f>IF(AND(C355&lt;&gt;"",C355='Example Ledger'!$D$4,B355&lt;&gt;"",B355&gt;='Example Ledger'!$D$5,B355&lt;='Example Ledger'!$D$6),1,0)</f>
        <v/>
      </c>
      <c r="AJ355">
        <f>IF(AI355=1,SUM(AI$7:AI355),"")</f>
        <v/>
      </c>
      <c r="AK355">
        <f>IF(OR(N355="",N355="OK"),0,1)</f>
        <v/>
      </c>
    </row>
    <row r="356">
      <c r="B356" s="24" t="n"/>
      <c r="C356" s="14" t="n"/>
      <c r="D356" s="14" t="n"/>
      <c r="E356" s="20" t="n"/>
      <c r="F356" s="24" t="n"/>
      <c r="G356" s="14" t="n"/>
      <c r="H356" s="22" t="n"/>
      <c r="I356" s="25">
        <f>IF(Q356="D",N(H356),0)</f>
        <v/>
      </c>
      <c r="J356" s="25">
        <f>IF(Q356="C",N(H356),0)</f>
        <v/>
      </c>
      <c r="K356" s="26">
        <f>IF(Z356="","",Z356)</f>
        <v/>
      </c>
      <c r="L356" s="27">
        <f>W356</f>
        <v/>
      </c>
      <c r="M356" s="28">
        <f>AA356</f>
        <v/>
      </c>
      <c r="N356" s="23">
        <f>IF(AND(B356="",C356="",D356="",N(H356)=0),"",IF(B356="","Enter the date",IF(C356="","Pick the party",IF(P356="?","Add this party on the Parties sheet first",IF(D356="","Pick the entry type",IF(Q356="?","Pick the entry type from the list",IF(N(H356)=0,"Enter the amount",IF(AND(R356&lt;&gt;"Any",R356&lt;&gt;P356),"Sales, receipts and credit notes are for debtors; purchases, payments and debit notes for creditors",IF(AND(F356&lt;&gt;"",D356&lt;&gt;"Purchase bill"),"The received-on date is only for purchase bills",IF(AND(P356="Creditor",X356=1,AA356&gt;0),"Past due to a micro or small supplier: interest runs under MSMED s.16, and if unpaid at year end it is not deductible that year, s.37(2)(g)",IF(AND(P356="Debtor",X356=1,AA356&gt;0),"Past due to you: as a micro or small supplier you can claim interest under MSMED s.16","OK")))))))))))</f>
        <v/>
      </c>
      <c r="P356">
        <f>IF(C356="","",IFERROR(VLOOKUP(C356,'Example Parties'!$B$13:$Q$112,2,FALSE),"?"))</f>
        <v/>
      </c>
      <c r="Q356">
        <f>IF(D356="","",IFERROR(VLOOKUP(D356,Lists!$A$2:$D$9,3,FALSE),"?"))</f>
        <v/>
      </c>
      <c r="R356">
        <f>IF(D356="","",IFERROR(VLOOKUP(D356,Lists!$A$2:$D$9,4,FALSE),"?"))</f>
        <v/>
      </c>
      <c r="S356">
        <f>IF(P356="Debtor",I356,IF(P356="Creditor",J356,0))</f>
        <v/>
      </c>
      <c r="T356">
        <f>IF(P356="Debtor",J356,IF(P356="Creditor",I356,0))</f>
        <v/>
      </c>
      <c r="U356">
        <f>IF(OR(S356=0,B356=""),0,IFERROR(VLOOKUP(C356,'Example Parties'!$B$13:$Q$112,13,FALSE),0)+SUMIFS($S$7:$S$506,$C$7:$C$506,C356,$B$7:$B$506,"&lt;"&amp;B356)+SUMIFS(S$7:S356,C$7:C356,C356,B$7:B356,B356))</f>
        <v/>
      </c>
      <c r="V356">
        <f>IF(S356=0,0,IFERROR(VLOOKUP(C356,'Example Parties'!$B$13:$Q$112,14,FALSE),0)+SUMIFS($T$7:$T$506,$C$7:$C$506,C356,$B$7:$B$506,"&lt;="&amp;'Example Outstanding'!$E$5))</f>
        <v/>
      </c>
      <c r="W356">
        <f>IF(OR('Example Outstanding'!$E$5="",S356=0,B356="",B356&gt;'Example Outstanding'!$E$5),0,MAX(0,MIN(S356,U356-V356)))</f>
        <v/>
      </c>
      <c r="X356">
        <f>IF(C356="",0,IFERROR(VLOOKUP(C356,'Example Parties'!$B$13:$Q$112,15,FALSE),0))</f>
        <v/>
      </c>
      <c r="Y356">
        <f>IF(C356="","",IFERROR(VLOOKUP(C356,'Example Parties'!$B$13:$Q$112,16,FALSE),0))</f>
        <v/>
      </c>
      <c r="Z356">
        <f>IF(OR(S356=0,B356="",Y356=""),"",IF(AND(F356&lt;&gt;"",D356="Purchase bill"),F356,B356)+Y356)</f>
        <v/>
      </c>
      <c r="AA356">
        <f>IF(OR(W356=0,Z356=""),0,MAX(0,'Example Outstanding'!$E$5-Z356))</f>
        <v/>
      </c>
      <c r="AB356">
        <f>IF(AND(X356=1,AA356&gt;0),W356*((1+3*N('Example Parties'!$E$10)/12)^(AA356*12/365)-1),0)</f>
        <v/>
      </c>
      <c r="AC356">
        <f>IF(W356=0,"",'Example Outstanding'!$E$5-B356)</f>
        <v/>
      </c>
      <c r="AD356">
        <f>IF(S356=0,0,IFERROR(VLOOKUP(C356,'Example Parties'!$B$13:$Q$112,14,FALSE),0)+SUMIFS($T$7:$T$506,$C$7:$C$506,C356,$B$7:$B$506,"&lt;="&amp;'Example Parties'!$E$8))</f>
        <v/>
      </c>
      <c r="AE356">
        <f>IF(OR('Example Parties'!$E$8="",S356=0,B356="",B356&gt;'Example Parties'!$E$8),0,MAX(0,MIN(S356,U356-AD356)))</f>
        <v/>
      </c>
      <c r="AF356">
        <f>IF(AND(P356="Creditor",X356=1,AE356&gt;0,Z356&lt;&gt;""),IF(Z356&lt;='Example Parties'!$E$8,AE356,0),0)</f>
        <v/>
      </c>
      <c r="AG356">
        <f>IF(OR(AE356=0,Z356=""),0,MAX(0,'Example Parties'!$E$8-Z356))</f>
        <v/>
      </c>
      <c r="AH356">
        <f>IF(AND(P356="Creditor",X356=1,AG356&gt;0),AE356*((1+3*N('Example Parties'!$E$10)/12)^(AG356*12/365)-1),0)</f>
        <v/>
      </c>
      <c r="AI356">
        <f>IF(AND(C356&lt;&gt;"",C356='Example Ledger'!$D$4,B356&lt;&gt;"",B356&gt;='Example Ledger'!$D$5,B356&lt;='Example Ledger'!$D$6),1,0)</f>
        <v/>
      </c>
      <c r="AJ356">
        <f>IF(AI356=1,SUM(AI$7:AI356),"")</f>
        <v/>
      </c>
      <c r="AK356">
        <f>IF(OR(N356="",N356="OK"),0,1)</f>
        <v/>
      </c>
    </row>
    <row r="357">
      <c r="B357" s="24" t="n"/>
      <c r="C357" s="14" t="n"/>
      <c r="D357" s="14" t="n"/>
      <c r="E357" s="20" t="n"/>
      <c r="F357" s="24" t="n"/>
      <c r="G357" s="14" t="n"/>
      <c r="H357" s="22" t="n"/>
      <c r="I357" s="25">
        <f>IF(Q357="D",N(H357),0)</f>
        <v/>
      </c>
      <c r="J357" s="25">
        <f>IF(Q357="C",N(H357),0)</f>
        <v/>
      </c>
      <c r="K357" s="26">
        <f>IF(Z357="","",Z357)</f>
        <v/>
      </c>
      <c r="L357" s="27">
        <f>W357</f>
        <v/>
      </c>
      <c r="M357" s="28">
        <f>AA357</f>
        <v/>
      </c>
      <c r="N357" s="23">
        <f>IF(AND(B357="",C357="",D357="",N(H357)=0),"",IF(B357="","Enter the date",IF(C357="","Pick the party",IF(P357="?","Add this party on the Parties sheet first",IF(D357="","Pick the entry type",IF(Q357="?","Pick the entry type from the list",IF(N(H357)=0,"Enter the amount",IF(AND(R357&lt;&gt;"Any",R357&lt;&gt;P357),"Sales, receipts and credit notes are for debtors; purchases, payments and debit notes for creditors",IF(AND(F357&lt;&gt;"",D357&lt;&gt;"Purchase bill"),"The received-on date is only for purchase bills",IF(AND(P357="Creditor",X357=1,AA357&gt;0),"Past due to a micro or small supplier: interest runs under MSMED s.16, and if unpaid at year end it is not deductible that year, s.37(2)(g)",IF(AND(P357="Debtor",X357=1,AA357&gt;0),"Past due to you: as a micro or small supplier you can claim interest under MSMED s.16","OK")))))))))))</f>
        <v/>
      </c>
      <c r="P357">
        <f>IF(C357="","",IFERROR(VLOOKUP(C357,'Example Parties'!$B$13:$Q$112,2,FALSE),"?"))</f>
        <v/>
      </c>
      <c r="Q357">
        <f>IF(D357="","",IFERROR(VLOOKUP(D357,Lists!$A$2:$D$9,3,FALSE),"?"))</f>
        <v/>
      </c>
      <c r="R357">
        <f>IF(D357="","",IFERROR(VLOOKUP(D357,Lists!$A$2:$D$9,4,FALSE),"?"))</f>
        <v/>
      </c>
      <c r="S357">
        <f>IF(P357="Debtor",I357,IF(P357="Creditor",J357,0))</f>
        <v/>
      </c>
      <c r="T357">
        <f>IF(P357="Debtor",J357,IF(P357="Creditor",I357,0))</f>
        <v/>
      </c>
      <c r="U357">
        <f>IF(OR(S357=0,B357=""),0,IFERROR(VLOOKUP(C357,'Example Parties'!$B$13:$Q$112,13,FALSE),0)+SUMIFS($S$7:$S$506,$C$7:$C$506,C357,$B$7:$B$506,"&lt;"&amp;B357)+SUMIFS(S$7:S357,C$7:C357,C357,B$7:B357,B357))</f>
        <v/>
      </c>
      <c r="V357">
        <f>IF(S357=0,0,IFERROR(VLOOKUP(C357,'Example Parties'!$B$13:$Q$112,14,FALSE),0)+SUMIFS($T$7:$T$506,$C$7:$C$506,C357,$B$7:$B$506,"&lt;="&amp;'Example Outstanding'!$E$5))</f>
        <v/>
      </c>
      <c r="W357">
        <f>IF(OR('Example Outstanding'!$E$5="",S357=0,B357="",B357&gt;'Example Outstanding'!$E$5),0,MAX(0,MIN(S357,U357-V357)))</f>
        <v/>
      </c>
      <c r="X357">
        <f>IF(C357="",0,IFERROR(VLOOKUP(C357,'Example Parties'!$B$13:$Q$112,15,FALSE),0))</f>
        <v/>
      </c>
      <c r="Y357">
        <f>IF(C357="","",IFERROR(VLOOKUP(C357,'Example Parties'!$B$13:$Q$112,16,FALSE),0))</f>
        <v/>
      </c>
      <c r="Z357">
        <f>IF(OR(S357=0,B357="",Y357=""),"",IF(AND(F357&lt;&gt;"",D357="Purchase bill"),F357,B357)+Y357)</f>
        <v/>
      </c>
      <c r="AA357">
        <f>IF(OR(W357=0,Z357=""),0,MAX(0,'Example Outstanding'!$E$5-Z357))</f>
        <v/>
      </c>
      <c r="AB357">
        <f>IF(AND(X357=1,AA357&gt;0),W357*((1+3*N('Example Parties'!$E$10)/12)^(AA357*12/365)-1),0)</f>
        <v/>
      </c>
      <c r="AC357">
        <f>IF(W357=0,"",'Example Outstanding'!$E$5-B357)</f>
        <v/>
      </c>
      <c r="AD357">
        <f>IF(S357=0,0,IFERROR(VLOOKUP(C357,'Example Parties'!$B$13:$Q$112,14,FALSE),0)+SUMIFS($T$7:$T$506,$C$7:$C$506,C357,$B$7:$B$506,"&lt;="&amp;'Example Parties'!$E$8))</f>
        <v/>
      </c>
      <c r="AE357">
        <f>IF(OR('Example Parties'!$E$8="",S357=0,B357="",B357&gt;'Example Parties'!$E$8),0,MAX(0,MIN(S357,U357-AD357)))</f>
        <v/>
      </c>
      <c r="AF357">
        <f>IF(AND(P357="Creditor",X357=1,AE357&gt;0,Z357&lt;&gt;""),IF(Z357&lt;='Example Parties'!$E$8,AE357,0),0)</f>
        <v/>
      </c>
      <c r="AG357">
        <f>IF(OR(AE357=0,Z357=""),0,MAX(0,'Example Parties'!$E$8-Z357))</f>
        <v/>
      </c>
      <c r="AH357">
        <f>IF(AND(P357="Creditor",X357=1,AG357&gt;0),AE357*((1+3*N('Example Parties'!$E$10)/12)^(AG357*12/365)-1),0)</f>
        <v/>
      </c>
      <c r="AI357">
        <f>IF(AND(C357&lt;&gt;"",C357='Example Ledger'!$D$4,B357&lt;&gt;"",B357&gt;='Example Ledger'!$D$5,B357&lt;='Example Ledger'!$D$6),1,0)</f>
        <v/>
      </c>
      <c r="AJ357">
        <f>IF(AI357=1,SUM(AI$7:AI357),"")</f>
        <v/>
      </c>
      <c r="AK357">
        <f>IF(OR(N357="",N357="OK"),0,1)</f>
        <v/>
      </c>
    </row>
    <row r="358">
      <c r="B358" s="24" t="n"/>
      <c r="C358" s="14" t="n"/>
      <c r="D358" s="14" t="n"/>
      <c r="E358" s="20" t="n"/>
      <c r="F358" s="24" t="n"/>
      <c r="G358" s="14" t="n"/>
      <c r="H358" s="22" t="n"/>
      <c r="I358" s="25">
        <f>IF(Q358="D",N(H358),0)</f>
        <v/>
      </c>
      <c r="J358" s="25">
        <f>IF(Q358="C",N(H358),0)</f>
        <v/>
      </c>
      <c r="K358" s="26">
        <f>IF(Z358="","",Z358)</f>
        <v/>
      </c>
      <c r="L358" s="27">
        <f>W358</f>
        <v/>
      </c>
      <c r="M358" s="28">
        <f>AA358</f>
        <v/>
      </c>
      <c r="N358" s="23">
        <f>IF(AND(B358="",C358="",D358="",N(H358)=0),"",IF(B358="","Enter the date",IF(C358="","Pick the party",IF(P358="?","Add this party on the Parties sheet first",IF(D358="","Pick the entry type",IF(Q358="?","Pick the entry type from the list",IF(N(H358)=0,"Enter the amount",IF(AND(R358&lt;&gt;"Any",R358&lt;&gt;P358),"Sales, receipts and credit notes are for debtors; purchases, payments and debit notes for creditors",IF(AND(F358&lt;&gt;"",D358&lt;&gt;"Purchase bill"),"The received-on date is only for purchase bills",IF(AND(P358="Creditor",X358=1,AA358&gt;0),"Past due to a micro or small supplier: interest runs under MSMED s.16, and if unpaid at year end it is not deductible that year, s.37(2)(g)",IF(AND(P358="Debtor",X358=1,AA358&gt;0),"Past due to you: as a micro or small supplier you can claim interest under MSMED s.16","OK")))))))))))</f>
        <v/>
      </c>
      <c r="P358">
        <f>IF(C358="","",IFERROR(VLOOKUP(C358,'Example Parties'!$B$13:$Q$112,2,FALSE),"?"))</f>
        <v/>
      </c>
      <c r="Q358">
        <f>IF(D358="","",IFERROR(VLOOKUP(D358,Lists!$A$2:$D$9,3,FALSE),"?"))</f>
        <v/>
      </c>
      <c r="R358">
        <f>IF(D358="","",IFERROR(VLOOKUP(D358,Lists!$A$2:$D$9,4,FALSE),"?"))</f>
        <v/>
      </c>
      <c r="S358">
        <f>IF(P358="Debtor",I358,IF(P358="Creditor",J358,0))</f>
        <v/>
      </c>
      <c r="T358">
        <f>IF(P358="Debtor",J358,IF(P358="Creditor",I358,0))</f>
        <v/>
      </c>
      <c r="U358">
        <f>IF(OR(S358=0,B358=""),0,IFERROR(VLOOKUP(C358,'Example Parties'!$B$13:$Q$112,13,FALSE),0)+SUMIFS($S$7:$S$506,$C$7:$C$506,C358,$B$7:$B$506,"&lt;"&amp;B358)+SUMIFS(S$7:S358,C$7:C358,C358,B$7:B358,B358))</f>
        <v/>
      </c>
      <c r="V358">
        <f>IF(S358=0,0,IFERROR(VLOOKUP(C358,'Example Parties'!$B$13:$Q$112,14,FALSE),0)+SUMIFS($T$7:$T$506,$C$7:$C$506,C358,$B$7:$B$506,"&lt;="&amp;'Example Outstanding'!$E$5))</f>
        <v/>
      </c>
      <c r="W358">
        <f>IF(OR('Example Outstanding'!$E$5="",S358=0,B358="",B358&gt;'Example Outstanding'!$E$5),0,MAX(0,MIN(S358,U358-V358)))</f>
        <v/>
      </c>
      <c r="X358">
        <f>IF(C358="",0,IFERROR(VLOOKUP(C358,'Example Parties'!$B$13:$Q$112,15,FALSE),0))</f>
        <v/>
      </c>
      <c r="Y358">
        <f>IF(C358="","",IFERROR(VLOOKUP(C358,'Example Parties'!$B$13:$Q$112,16,FALSE),0))</f>
        <v/>
      </c>
      <c r="Z358">
        <f>IF(OR(S358=0,B358="",Y358=""),"",IF(AND(F358&lt;&gt;"",D358="Purchase bill"),F358,B358)+Y358)</f>
        <v/>
      </c>
      <c r="AA358">
        <f>IF(OR(W358=0,Z358=""),0,MAX(0,'Example Outstanding'!$E$5-Z358))</f>
        <v/>
      </c>
      <c r="AB358">
        <f>IF(AND(X358=1,AA358&gt;0),W358*((1+3*N('Example Parties'!$E$10)/12)^(AA358*12/365)-1),0)</f>
        <v/>
      </c>
      <c r="AC358">
        <f>IF(W358=0,"",'Example Outstanding'!$E$5-B358)</f>
        <v/>
      </c>
      <c r="AD358">
        <f>IF(S358=0,0,IFERROR(VLOOKUP(C358,'Example Parties'!$B$13:$Q$112,14,FALSE),0)+SUMIFS($T$7:$T$506,$C$7:$C$506,C358,$B$7:$B$506,"&lt;="&amp;'Example Parties'!$E$8))</f>
        <v/>
      </c>
      <c r="AE358">
        <f>IF(OR('Example Parties'!$E$8="",S358=0,B358="",B358&gt;'Example Parties'!$E$8),0,MAX(0,MIN(S358,U358-AD358)))</f>
        <v/>
      </c>
      <c r="AF358">
        <f>IF(AND(P358="Creditor",X358=1,AE358&gt;0,Z358&lt;&gt;""),IF(Z358&lt;='Example Parties'!$E$8,AE358,0),0)</f>
        <v/>
      </c>
      <c r="AG358">
        <f>IF(OR(AE358=0,Z358=""),0,MAX(0,'Example Parties'!$E$8-Z358))</f>
        <v/>
      </c>
      <c r="AH358">
        <f>IF(AND(P358="Creditor",X358=1,AG358&gt;0),AE358*((1+3*N('Example Parties'!$E$10)/12)^(AG358*12/365)-1),0)</f>
        <v/>
      </c>
      <c r="AI358">
        <f>IF(AND(C358&lt;&gt;"",C358='Example Ledger'!$D$4,B358&lt;&gt;"",B358&gt;='Example Ledger'!$D$5,B358&lt;='Example Ledger'!$D$6),1,0)</f>
        <v/>
      </c>
      <c r="AJ358">
        <f>IF(AI358=1,SUM(AI$7:AI358),"")</f>
        <v/>
      </c>
      <c r="AK358">
        <f>IF(OR(N358="",N358="OK"),0,1)</f>
        <v/>
      </c>
    </row>
    <row r="359">
      <c r="B359" s="24" t="n"/>
      <c r="C359" s="14" t="n"/>
      <c r="D359" s="14" t="n"/>
      <c r="E359" s="20" t="n"/>
      <c r="F359" s="24" t="n"/>
      <c r="G359" s="14" t="n"/>
      <c r="H359" s="22" t="n"/>
      <c r="I359" s="25">
        <f>IF(Q359="D",N(H359),0)</f>
        <v/>
      </c>
      <c r="J359" s="25">
        <f>IF(Q359="C",N(H359),0)</f>
        <v/>
      </c>
      <c r="K359" s="26">
        <f>IF(Z359="","",Z359)</f>
        <v/>
      </c>
      <c r="L359" s="27">
        <f>W359</f>
        <v/>
      </c>
      <c r="M359" s="28">
        <f>AA359</f>
        <v/>
      </c>
      <c r="N359" s="23">
        <f>IF(AND(B359="",C359="",D359="",N(H359)=0),"",IF(B359="","Enter the date",IF(C359="","Pick the party",IF(P359="?","Add this party on the Parties sheet first",IF(D359="","Pick the entry type",IF(Q359="?","Pick the entry type from the list",IF(N(H359)=0,"Enter the amount",IF(AND(R359&lt;&gt;"Any",R359&lt;&gt;P359),"Sales, receipts and credit notes are for debtors; purchases, payments and debit notes for creditors",IF(AND(F359&lt;&gt;"",D359&lt;&gt;"Purchase bill"),"The received-on date is only for purchase bills",IF(AND(P359="Creditor",X359=1,AA359&gt;0),"Past due to a micro or small supplier: interest runs under MSMED s.16, and if unpaid at year end it is not deductible that year, s.37(2)(g)",IF(AND(P359="Debtor",X359=1,AA359&gt;0),"Past due to you: as a micro or small supplier you can claim interest under MSMED s.16","OK")))))))))))</f>
        <v/>
      </c>
      <c r="P359">
        <f>IF(C359="","",IFERROR(VLOOKUP(C359,'Example Parties'!$B$13:$Q$112,2,FALSE),"?"))</f>
        <v/>
      </c>
      <c r="Q359">
        <f>IF(D359="","",IFERROR(VLOOKUP(D359,Lists!$A$2:$D$9,3,FALSE),"?"))</f>
        <v/>
      </c>
      <c r="R359">
        <f>IF(D359="","",IFERROR(VLOOKUP(D359,Lists!$A$2:$D$9,4,FALSE),"?"))</f>
        <v/>
      </c>
      <c r="S359">
        <f>IF(P359="Debtor",I359,IF(P359="Creditor",J359,0))</f>
        <v/>
      </c>
      <c r="T359">
        <f>IF(P359="Debtor",J359,IF(P359="Creditor",I359,0))</f>
        <v/>
      </c>
      <c r="U359">
        <f>IF(OR(S359=0,B359=""),0,IFERROR(VLOOKUP(C359,'Example Parties'!$B$13:$Q$112,13,FALSE),0)+SUMIFS($S$7:$S$506,$C$7:$C$506,C359,$B$7:$B$506,"&lt;"&amp;B359)+SUMIFS(S$7:S359,C$7:C359,C359,B$7:B359,B359))</f>
        <v/>
      </c>
      <c r="V359">
        <f>IF(S359=0,0,IFERROR(VLOOKUP(C359,'Example Parties'!$B$13:$Q$112,14,FALSE),0)+SUMIFS($T$7:$T$506,$C$7:$C$506,C359,$B$7:$B$506,"&lt;="&amp;'Example Outstanding'!$E$5))</f>
        <v/>
      </c>
      <c r="W359">
        <f>IF(OR('Example Outstanding'!$E$5="",S359=0,B359="",B359&gt;'Example Outstanding'!$E$5),0,MAX(0,MIN(S359,U359-V359)))</f>
        <v/>
      </c>
      <c r="X359">
        <f>IF(C359="",0,IFERROR(VLOOKUP(C359,'Example Parties'!$B$13:$Q$112,15,FALSE),0))</f>
        <v/>
      </c>
      <c r="Y359">
        <f>IF(C359="","",IFERROR(VLOOKUP(C359,'Example Parties'!$B$13:$Q$112,16,FALSE),0))</f>
        <v/>
      </c>
      <c r="Z359">
        <f>IF(OR(S359=0,B359="",Y359=""),"",IF(AND(F359&lt;&gt;"",D359="Purchase bill"),F359,B359)+Y359)</f>
        <v/>
      </c>
      <c r="AA359">
        <f>IF(OR(W359=0,Z359=""),0,MAX(0,'Example Outstanding'!$E$5-Z359))</f>
        <v/>
      </c>
      <c r="AB359">
        <f>IF(AND(X359=1,AA359&gt;0),W359*((1+3*N('Example Parties'!$E$10)/12)^(AA359*12/365)-1),0)</f>
        <v/>
      </c>
      <c r="AC359">
        <f>IF(W359=0,"",'Example Outstanding'!$E$5-B359)</f>
        <v/>
      </c>
      <c r="AD359">
        <f>IF(S359=0,0,IFERROR(VLOOKUP(C359,'Example Parties'!$B$13:$Q$112,14,FALSE),0)+SUMIFS($T$7:$T$506,$C$7:$C$506,C359,$B$7:$B$506,"&lt;="&amp;'Example Parties'!$E$8))</f>
        <v/>
      </c>
      <c r="AE359">
        <f>IF(OR('Example Parties'!$E$8="",S359=0,B359="",B359&gt;'Example Parties'!$E$8),0,MAX(0,MIN(S359,U359-AD359)))</f>
        <v/>
      </c>
      <c r="AF359">
        <f>IF(AND(P359="Creditor",X359=1,AE359&gt;0,Z359&lt;&gt;""),IF(Z359&lt;='Example Parties'!$E$8,AE359,0),0)</f>
        <v/>
      </c>
      <c r="AG359">
        <f>IF(OR(AE359=0,Z359=""),0,MAX(0,'Example Parties'!$E$8-Z359))</f>
        <v/>
      </c>
      <c r="AH359">
        <f>IF(AND(P359="Creditor",X359=1,AG359&gt;0),AE359*((1+3*N('Example Parties'!$E$10)/12)^(AG359*12/365)-1),0)</f>
        <v/>
      </c>
      <c r="AI359">
        <f>IF(AND(C359&lt;&gt;"",C359='Example Ledger'!$D$4,B359&lt;&gt;"",B359&gt;='Example Ledger'!$D$5,B359&lt;='Example Ledger'!$D$6),1,0)</f>
        <v/>
      </c>
      <c r="AJ359">
        <f>IF(AI359=1,SUM(AI$7:AI359),"")</f>
        <v/>
      </c>
      <c r="AK359">
        <f>IF(OR(N359="",N359="OK"),0,1)</f>
        <v/>
      </c>
    </row>
    <row r="360">
      <c r="B360" s="24" t="n"/>
      <c r="C360" s="14" t="n"/>
      <c r="D360" s="14" t="n"/>
      <c r="E360" s="20" t="n"/>
      <c r="F360" s="24" t="n"/>
      <c r="G360" s="14" t="n"/>
      <c r="H360" s="22" t="n"/>
      <c r="I360" s="25">
        <f>IF(Q360="D",N(H360),0)</f>
        <v/>
      </c>
      <c r="J360" s="25">
        <f>IF(Q360="C",N(H360),0)</f>
        <v/>
      </c>
      <c r="K360" s="26">
        <f>IF(Z360="","",Z360)</f>
        <v/>
      </c>
      <c r="L360" s="27">
        <f>W360</f>
        <v/>
      </c>
      <c r="M360" s="28">
        <f>AA360</f>
        <v/>
      </c>
      <c r="N360" s="23">
        <f>IF(AND(B360="",C360="",D360="",N(H360)=0),"",IF(B360="","Enter the date",IF(C360="","Pick the party",IF(P360="?","Add this party on the Parties sheet first",IF(D360="","Pick the entry type",IF(Q360="?","Pick the entry type from the list",IF(N(H360)=0,"Enter the amount",IF(AND(R360&lt;&gt;"Any",R360&lt;&gt;P360),"Sales, receipts and credit notes are for debtors; purchases, payments and debit notes for creditors",IF(AND(F360&lt;&gt;"",D360&lt;&gt;"Purchase bill"),"The received-on date is only for purchase bills",IF(AND(P360="Creditor",X360=1,AA360&gt;0),"Past due to a micro or small supplier: interest runs under MSMED s.16, and if unpaid at year end it is not deductible that year, s.37(2)(g)",IF(AND(P360="Debtor",X360=1,AA360&gt;0),"Past due to you: as a micro or small supplier you can claim interest under MSMED s.16","OK")))))))))))</f>
        <v/>
      </c>
      <c r="P360">
        <f>IF(C360="","",IFERROR(VLOOKUP(C360,'Example Parties'!$B$13:$Q$112,2,FALSE),"?"))</f>
        <v/>
      </c>
      <c r="Q360">
        <f>IF(D360="","",IFERROR(VLOOKUP(D360,Lists!$A$2:$D$9,3,FALSE),"?"))</f>
        <v/>
      </c>
      <c r="R360">
        <f>IF(D360="","",IFERROR(VLOOKUP(D360,Lists!$A$2:$D$9,4,FALSE),"?"))</f>
        <v/>
      </c>
      <c r="S360">
        <f>IF(P360="Debtor",I360,IF(P360="Creditor",J360,0))</f>
        <v/>
      </c>
      <c r="T360">
        <f>IF(P360="Debtor",J360,IF(P360="Creditor",I360,0))</f>
        <v/>
      </c>
      <c r="U360">
        <f>IF(OR(S360=0,B360=""),0,IFERROR(VLOOKUP(C360,'Example Parties'!$B$13:$Q$112,13,FALSE),0)+SUMIFS($S$7:$S$506,$C$7:$C$506,C360,$B$7:$B$506,"&lt;"&amp;B360)+SUMIFS(S$7:S360,C$7:C360,C360,B$7:B360,B360))</f>
        <v/>
      </c>
      <c r="V360">
        <f>IF(S360=0,0,IFERROR(VLOOKUP(C360,'Example Parties'!$B$13:$Q$112,14,FALSE),0)+SUMIFS($T$7:$T$506,$C$7:$C$506,C360,$B$7:$B$506,"&lt;="&amp;'Example Outstanding'!$E$5))</f>
        <v/>
      </c>
      <c r="W360">
        <f>IF(OR('Example Outstanding'!$E$5="",S360=0,B360="",B360&gt;'Example Outstanding'!$E$5),0,MAX(0,MIN(S360,U360-V360)))</f>
        <v/>
      </c>
      <c r="X360">
        <f>IF(C360="",0,IFERROR(VLOOKUP(C360,'Example Parties'!$B$13:$Q$112,15,FALSE),0))</f>
        <v/>
      </c>
      <c r="Y360">
        <f>IF(C360="","",IFERROR(VLOOKUP(C360,'Example Parties'!$B$13:$Q$112,16,FALSE),0))</f>
        <v/>
      </c>
      <c r="Z360">
        <f>IF(OR(S360=0,B360="",Y360=""),"",IF(AND(F360&lt;&gt;"",D360="Purchase bill"),F360,B360)+Y360)</f>
        <v/>
      </c>
      <c r="AA360">
        <f>IF(OR(W360=0,Z360=""),0,MAX(0,'Example Outstanding'!$E$5-Z360))</f>
        <v/>
      </c>
      <c r="AB360">
        <f>IF(AND(X360=1,AA360&gt;0),W360*((1+3*N('Example Parties'!$E$10)/12)^(AA360*12/365)-1),0)</f>
        <v/>
      </c>
      <c r="AC360">
        <f>IF(W360=0,"",'Example Outstanding'!$E$5-B360)</f>
        <v/>
      </c>
      <c r="AD360">
        <f>IF(S360=0,0,IFERROR(VLOOKUP(C360,'Example Parties'!$B$13:$Q$112,14,FALSE),0)+SUMIFS($T$7:$T$506,$C$7:$C$506,C360,$B$7:$B$506,"&lt;="&amp;'Example Parties'!$E$8))</f>
        <v/>
      </c>
      <c r="AE360">
        <f>IF(OR('Example Parties'!$E$8="",S360=0,B360="",B360&gt;'Example Parties'!$E$8),0,MAX(0,MIN(S360,U360-AD360)))</f>
        <v/>
      </c>
      <c r="AF360">
        <f>IF(AND(P360="Creditor",X360=1,AE360&gt;0,Z360&lt;&gt;""),IF(Z360&lt;='Example Parties'!$E$8,AE360,0),0)</f>
        <v/>
      </c>
      <c r="AG360">
        <f>IF(OR(AE360=0,Z360=""),0,MAX(0,'Example Parties'!$E$8-Z360))</f>
        <v/>
      </c>
      <c r="AH360">
        <f>IF(AND(P360="Creditor",X360=1,AG360&gt;0),AE360*((1+3*N('Example Parties'!$E$10)/12)^(AG360*12/365)-1),0)</f>
        <v/>
      </c>
      <c r="AI360">
        <f>IF(AND(C360&lt;&gt;"",C360='Example Ledger'!$D$4,B360&lt;&gt;"",B360&gt;='Example Ledger'!$D$5,B360&lt;='Example Ledger'!$D$6),1,0)</f>
        <v/>
      </c>
      <c r="AJ360">
        <f>IF(AI360=1,SUM(AI$7:AI360),"")</f>
        <v/>
      </c>
      <c r="AK360">
        <f>IF(OR(N360="",N360="OK"),0,1)</f>
        <v/>
      </c>
    </row>
    <row r="361">
      <c r="B361" s="24" t="n"/>
      <c r="C361" s="14" t="n"/>
      <c r="D361" s="14" t="n"/>
      <c r="E361" s="20" t="n"/>
      <c r="F361" s="24" t="n"/>
      <c r="G361" s="14" t="n"/>
      <c r="H361" s="22" t="n"/>
      <c r="I361" s="25">
        <f>IF(Q361="D",N(H361),0)</f>
        <v/>
      </c>
      <c r="J361" s="25">
        <f>IF(Q361="C",N(H361),0)</f>
        <v/>
      </c>
      <c r="K361" s="26">
        <f>IF(Z361="","",Z361)</f>
        <v/>
      </c>
      <c r="L361" s="27">
        <f>W361</f>
        <v/>
      </c>
      <c r="M361" s="28">
        <f>AA361</f>
        <v/>
      </c>
      <c r="N361" s="23">
        <f>IF(AND(B361="",C361="",D361="",N(H361)=0),"",IF(B361="","Enter the date",IF(C361="","Pick the party",IF(P361="?","Add this party on the Parties sheet first",IF(D361="","Pick the entry type",IF(Q361="?","Pick the entry type from the list",IF(N(H361)=0,"Enter the amount",IF(AND(R361&lt;&gt;"Any",R361&lt;&gt;P361),"Sales, receipts and credit notes are for debtors; purchases, payments and debit notes for creditors",IF(AND(F361&lt;&gt;"",D361&lt;&gt;"Purchase bill"),"The received-on date is only for purchase bills",IF(AND(P361="Creditor",X361=1,AA361&gt;0),"Past due to a micro or small supplier: interest runs under MSMED s.16, and if unpaid at year end it is not deductible that year, s.37(2)(g)",IF(AND(P361="Debtor",X361=1,AA361&gt;0),"Past due to you: as a micro or small supplier you can claim interest under MSMED s.16","OK")))))))))))</f>
        <v/>
      </c>
      <c r="P361">
        <f>IF(C361="","",IFERROR(VLOOKUP(C361,'Example Parties'!$B$13:$Q$112,2,FALSE),"?"))</f>
        <v/>
      </c>
      <c r="Q361">
        <f>IF(D361="","",IFERROR(VLOOKUP(D361,Lists!$A$2:$D$9,3,FALSE),"?"))</f>
        <v/>
      </c>
      <c r="R361">
        <f>IF(D361="","",IFERROR(VLOOKUP(D361,Lists!$A$2:$D$9,4,FALSE),"?"))</f>
        <v/>
      </c>
      <c r="S361">
        <f>IF(P361="Debtor",I361,IF(P361="Creditor",J361,0))</f>
        <v/>
      </c>
      <c r="T361">
        <f>IF(P361="Debtor",J361,IF(P361="Creditor",I361,0))</f>
        <v/>
      </c>
      <c r="U361">
        <f>IF(OR(S361=0,B361=""),0,IFERROR(VLOOKUP(C361,'Example Parties'!$B$13:$Q$112,13,FALSE),0)+SUMIFS($S$7:$S$506,$C$7:$C$506,C361,$B$7:$B$506,"&lt;"&amp;B361)+SUMIFS(S$7:S361,C$7:C361,C361,B$7:B361,B361))</f>
        <v/>
      </c>
      <c r="V361">
        <f>IF(S361=0,0,IFERROR(VLOOKUP(C361,'Example Parties'!$B$13:$Q$112,14,FALSE),0)+SUMIFS($T$7:$T$506,$C$7:$C$506,C361,$B$7:$B$506,"&lt;="&amp;'Example Outstanding'!$E$5))</f>
        <v/>
      </c>
      <c r="W361">
        <f>IF(OR('Example Outstanding'!$E$5="",S361=0,B361="",B361&gt;'Example Outstanding'!$E$5),0,MAX(0,MIN(S361,U361-V361)))</f>
        <v/>
      </c>
      <c r="X361">
        <f>IF(C361="",0,IFERROR(VLOOKUP(C361,'Example Parties'!$B$13:$Q$112,15,FALSE),0))</f>
        <v/>
      </c>
      <c r="Y361">
        <f>IF(C361="","",IFERROR(VLOOKUP(C361,'Example Parties'!$B$13:$Q$112,16,FALSE),0))</f>
        <v/>
      </c>
      <c r="Z361">
        <f>IF(OR(S361=0,B361="",Y361=""),"",IF(AND(F361&lt;&gt;"",D361="Purchase bill"),F361,B361)+Y361)</f>
        <v/>
      </c>
      <c r="AA361">
        <f>IF(OR(W361=0,Z361=""),0,MAX(0,'Example Outstanding'!$E$5-Z361))</f>
        <v/>
      </c>
      <c r="AB361">
        <f>IF(AND(X361=1,AA361&gt;0),W361*((1+3*N('Example Parties'!$E$10)/12)^(AA361*12/365)-1),0)</f>
        <v/>
      </c>
      <c r="AC361">
        <f>IF(W361=0,"",'Example Outstanding'!$E$5-B361)</f>
        <v/>
      </c>
      <c r="AD361">
        <f>IF(S361=0,0,IFERROR(VLOOKUP(C361,'Example Parties'!$B$13:$Q$112,14,FALSE),0)+SUMIFS($T$7:$T$506,$C$7:$C$506,C361,$B$7:$B$506,"&lt;="&amp;'Example Parties'!$E$8))</f>
        <v/>
      </c>
      <c r="AE361">
        <f>IF(OR('Example Parties'!$E$8="",S361=0,B361="",B361&gt;'Example Parties'!$E$8),0,MAX(0,MIN(S361,U361-AD361)))</f>
        <v/>
      </c>
      <c r="AF361">
        <f>IF(AND(P361="Creditor",X361=1,AE361&gt;0,Z361&lt;&gt;""),IF(Z361&lt;='Example Parties'!$E$8,AE361,0),0)</f>
        <v/>
      </c>
      <c r="AG361">
        <f>IF(OR(AE361=0,Z361=""),0,MAX(0,'Example Parties'!$E$8-Z361))</f>
        <v/>
      </c>
      <c r="AH361">
        <f>IF(AND(P361="Creditor",X361=1,AG361&gt;0),AE361*((1+3*N('Example Parties'!$E$10)/12)^(AG361*12/365)-1),0)</f>
        <v/>
      </c>
      <c r="AI361">
        <f>IF(AND(C361&lt;&gt;"",C361='Example Ledger'!$D$4,B361&lt;&gt;"",B361&gt;='Example Ledger'!$D$5,B361&lt;='Example Ledger'!$D$6),1,0)</f>
        <v/>
      </c>
      <c r="AJ361">
        <f>IF(AI361=1,SUM(AI$7:AI361),"")</f>
        <v/>
      </c>
      <c r="AK361">
        <f>IF(OR(N361="",N361="OK"),0,1)</f>
        <v/>
      </c>
    </row>
    <row r="362">
      <c r="B362" s="24" t="n"/>
      <c r="C362" s="14" t="n"/>
      <c r="D362" s="14" t="n"/>
      <c r="E362" s="20" t="n"/>
      <c r="F362" s="24" t="n"/>
      <c r="G362" s="14" t="n"/>
      <c r="H362" s="22" t="n"/>
      <c r="I362" s="25">
        <f>IF(Q362="D",N(H362),0)</f>
        <v/>
      </c>
      <c r="J362" s="25">
        <f>IF(Q362="C",N(H362),0)</f>
        <v/>
      </c>
      <c r="K362" s="26">
        <f>IF(Z362="","",Z362)</f>
        <v/>
      </c>
      <c r="L362" s="27">
        <f>W362</f>
        <v/>
      </c>
      <c r="M362" s="28">
        <f>AA362</f>
        <v/>
      </c>
      <c r="N362" s="23">
        <f>IF(AND(B362="",C362="",D362="",N(H362)=0),"",IF(B362="","Enter the date",IF(C362="","Pick the party",IF(P362="?","Add this party on the Parties sheet first",IF(D362="","Pick the entry type",IF(Q362="?","Pick the entry type from the list",IF(N(H362)=0,"Enter the amount",IF(AND(R362&lt;&gt;"Any",R362&lt;&gt;P362),"Sales, receipts and credit notes are for debtors; purchases, payments and debit notes for creditors",IF(AND(F362&lt;&gt;"",D362&lt;&gt;"Purchase bill"),"The received-on date is only for purchase bills",IF(AND(P362="Creditor",X362=1,AA362&gt;0),"Past due to a micro or small supplier: interest runs under MSMED s.16, and if unpaid at year end it is not deductible that year, s.37(2)(g)",IF(AND(P362="Debtor",X362=1,AA362&gt;0),"Past due to you: as a micro or small supplier you can claim interest under MSMED s.16","OK")))))))))))</f>
        <v/>
      </c>
      <c r="P362">
        <f>IF(C362="","",IFERROR(VLOOKUP(C362,'Example Parties'!$B$13:$Q$112,2,FALSE),"?"))</f>
        <v/>
      </c>
      <c r="Q362">
        <f>IF(D362="","",IFERROR(VLOOKUP(D362,Lists!$A$2:$D$9,3,FALSE),"?"))</f>
        <v/>
      </c>
      <c r="R362">
        <f>IF(D362="","",IFERROR(VLOOKUP(D362,Lists!$A$2:$D$9,4,FALSE),"?"))</f>
        <v/>
      </c>
      <c r="S362">
        <f>IF(P362="Debtor",I362,IF(P362="Creditor",J362,0))</f>
        <v/>
      </c>
      <c r="T362">
        <f>IF(P362="Debtor",J362,IF(P362="Creditor",I362,0))</f>
        <v/>
      </c>
      <c r="U362">
        <f>IF(OR(S362=0,B362=""),0,IFERROR(VLOOKUP(C362,'Example Parties'!$B$13:$Q$112,13,FALSE),0)+SUMIFS($S$7:$S$506,$C$7:$C$506,C362,$B$7:$B$506,"&lt;"&amp;B362)+SUMIFS(S$7:S362,C$7:C362,C362,B$7:B362,B362))</f>
        <v/>
      </c>
      <c r="V362">
        <f>IF(S362=0,0,IFERROR(VLOOKUP(C362,'Example Parties'!$B$13:$Q$112,14,FALSE),0)+SUMIFS($T$7:$T$506,$C$7:$C$506,C362,$B$7:$B$506,"&lt;="&amp;'Example Outstanding'!$E$5))</f>
        <v/>
      </c>
      <c r="W362">
        <f>IF(OR('Example Outstanding'!$E$5="",S362=0,B362="",B362&gt;'Example Outstanding'!$E$5),0,MAX(0,MIN(S362,U362-V362)))</f>
        <v/>
      </c>
      <c r="X362">
        <f>IF(C362="",0,IFERROR(VLOOKUP(C362,'Example Parties'!$B$13:$Q$112,15,FALSE),0))</f>
        <v/>
      </c>
      <c r="Y362">
        <f>IF(C362="","",IFERROR(VLOOKUP(C362,'Example Parties'!$B$13:$Q$112,16,FALSE),0))</f>
        <v/>
      </c>
      <c r="Z362">
        <f>IF(OR(S362=0,B362="",Y362=""),"",IF(AND(F362&lt;&gt;"",D362="Purchase bill"),F362,B362)+Y362)</f>
        <v/>
      </c>
      <c r="AA362">
        <f>IF(OR(W362=0,Z362=""),0,MAX(0,'Example Outstanding'!$E$5-Z362))</f>
        <v/>
      </c>
      <c r="AB362">
        <f>IF(AND(X362=1,AA362&gt;0),W362*((1+3*N('Example Parties'!$E$10)/12)^(AA362*12/365)-1),0)</f>
        <v/>
      </c>
      <c r="AC362">
        <f>IF(W362=0,"",'Example Outstanding'!$E$5-B362)</f>
        <v/>
      </c>
      <c r="AD362">
        <f>IF(S362=0,0,IFERROR(VLOOKUP(C362,'Example Parties'!$B$13:$Q$112,14,FALSE),0)+SUMIFS($T$7:$T$506,$C$7:$C$506,C362,$B$7:$B$506,"&lt;="&amp;'Example Parties'!$E$8))</f>
        <v/>
      </c>
      <c r="AE362">
        <f>IF(OR('Example Parties'!$E$8="",S362=0,B362="",B362&gt;'Example Parties'!$E$8),0,MAX(0,MIN(S362,U362-AD362)))</f>
        <v/>
      </c>
      <c r="AF362">
        <f>IF(AND(P362="Creditor",X362=1,AE362&gt;0,Z362&lt;&gt;""),IF(Z362&lt;='Example Parties'!$E$8,AE362,0),0)</f>
        <v/>
      </c>
      <c r="AG362">
        <f>IF(OR(AE362=0,Z362=""),0,MAX(0,'Example Parties'!$E$8-Z362))</f>
        <v/>
      </c>
      <c r="AH362">
        <f>IF(AND(P362="Creditor",X362=1,AG362&gt;0),AE362*((1+3*N('Example Parties'!$E$10)/12)^(AG362*12/365)-1),0)</f>
        <v/>
      </c>
      <c r="AI362">
        <f>IF(AND(C362&lt;&gt;"",C362='Example Ledger'!$D$4,B362&lt;&gt;"",B362&gt;='Example Ledger'!$D$5,B362&lt;='Example Ledger'!$D$6),1,0)</f>
        <v/>
      </c>
      <c r="AJ362">
        <f>IF(AI362=1,SUM(AI$7:AI362),"")</f>
        <v/>
      </c>
      <c r="AK362">
        <f>IF(OR(N362="",N362="OK"),0,1)</f>
        <v/>
      </c>
    </row>
    <row r="363">
      <c r="B363" s="24" t="n"/>
      <c r="C363" s="14" t="n"/>
      <c r="D363" s="14" t="n"/>
      <c r="E363" s="20" t="n"/>
      <c r="F363" s="24" t="n"/>
      <c r="G363" s="14" t="n"/>
      <c r="H363" s="22" t="n"/>
      <c r="I363" s="25">
        <f>IF(Q363="D",N(H363),0)</f>
        <v/>
      </c>
      <c r="J363" s="25">
        <f>IF(Q363="C",N(H363),0)</f>
        <v/>
      </c>
      <c r="K363" s="26">
        <f>IF(Z363="","",Z363)</f>
        <v/>
      </c>
      <c r="L363" s="27">
        <f>W363</f>
        <v/>
      </c>
      <c r="M363" s="28">
        <f>AA363</f>
        <v/>
      </c>
      <c r="N363" s="23">
        <f>IF(AND(B363="",C363="",D363="",N(H363)=0),"",IF(B363="","Enter the date",IF(C363="","Pick the party",IF(P363="?","Add this party on the Parties sheet first",IF(D363="","Pick the entry type",IF(Q363="?","Pick the entry type from the list",IF(N(H363)=0,"Enter the amount",IF(AND(R363&lt;&gt;"Any",R363&lt;&gt;P363),"Sales, receipts and credit notes are for debtors; purchases, payments and debit notes for creditors",IF(AND(F363&lt;&gt;"",D363&lt;&gt;"Purchase bill"),"The received-on date is only for purchase bills",IF(AND(P363="Creditor",X363=1,AA363&gt;0),"Past due to a micro or small supplier: interest runs under MSMED s.16, and if unpaid at year end it is not deductible that year, s.37(2)(g)",IF(AND(P363="Debtor",X363=1,AA363&gt;0),"Past due to you: as a micro or small supplier you can claim interest under MSMED s.16","OK")))))))))))</f>
        <v/>
      </c>
      <c r="P363">
        <f>IF(C363="","",IFERROR(VLOOKUP(C363,'Example Parties'!$B$13:$Q$112,2,FALSE),"?"))</f>
        <v/>
      </c>
      <c r="Q363">
        <f>IF(D363="","",IFERROR(VLOOKUP(D363,Lists!$A$2:$D$9,3,FALSE),"?"))</f>
        <v/>
      </c>
      <c r="R363">
        <f>IF(D363="","",IFERROR(VLOOKUP(D363,Lists!$A$2:$D$9,4,FALSE),"?"))</f>
        <v/>
      </c>
      <c r="S363">
        <f>IF(P363="Debtor",I363,IF(P363="Creditor",J363,0))</f>
        <v/>
      </c>
      <c r="T363">
        <f>IF(P363="Debtor",J363,IF(P363="Creditor",I363,0))</f>
        <v/>
      </c>
      <c r="U363">
        <f>IF(OR(S363=0,B363=""),0,IFERROR(VLOOKUP(C363,'Example Parties'!$B$13:$Q$112,13,FALSE),0)+SUMIFS($S$7:$S$506,$C$7:$C$506,C363,$B$7:$B$506,"&lt;"&amp;B363)+SUMIFS(S$7:S363,C$7:C363,C363,B$7:B363,B363))</f>
        <v/>
      </c>
      <c r="V363">
        <f>IF(S363=0,0,IFERROR(VLOOKUP(C363,'Example Parties'!$B$13:$Q$112,14,FALSE),0)+SUMIFS($T$7:$T$506,$C$7:$C$506,C363,$B$7:$B$506,"&lt;="&amp;'Example Outstanding'!$E$5))</f>
        <v/>
      </c>
      <c r="W363">
        <f>IF(OR('Example Outstanding'!$E$5="",S363=0,B363="",B363&gt;'Example Outstanding'!$E$5),0,MAX(0,MIN(S363,U363-V363)))</f>
        <v/>
      </c>
      <c r="X363">
        <f>IF(C363="",0,IFERROR(VLOOKUP(C363,'Example Parties'!$B$13:$Q$112,15,FALSE),0))</f>
        <v/>
      </c>
      <c r="Y363">
        <f>IF(C363="","",IFERROR(VLOOKUP(C363,'Example Parties'!$B$13:$Q$112,16,FALSE),0))</f>
        <v/>
      </c>
      <c r="Z363">
        <f>IF(OR(S363=0,B363="",Y363=""),"",IF(AND(F363&lt;&gt;"",D363="Purchase bill"),F363,B363)+Y363)</f>
        <v/>
      </c>
      <c r="AA363">
        <f>IF(OR(W363=0,Z363=""),0,MAX(0,'Example Outstanding'!$E$5-Z363))</f>
        <v/>
      </c>
      <c r="AB363">
        <f>IF(AND(X363=1,AA363&gt;0),W363*((1+3*N('Example Parties'!$E$10)/12)^(AA363*12/365)-1),0)</f>
        <v/>
      </c>
      <c r="AC363">
        <f>IF(W363=0,"",'Example Outstanding'!$E$5-B363)</f>
        <v/>
      </c>
      <c r="AD363">
        <f>IF(S363=0,0,IFERROR(VLOOKUP(C363,'Example Parties'!$B$13:$Q$112,14,FALSE),0)+SUMIFS($T$7:$T$506,$C$7:$C$506,C363,$B$7:$B$506,"&lt;="&amp;'Example Parties'!$E$8))</f>
        <v/>
      </c>
      <c r="AE363">
        <f>IF(OR('Example Parties'!$E$8="",S363=0,B363="",B363&gt;'Example Parties'!$E$8),0,MAX(0,MIN(S363,U363-AD363)))</f>
        <v/>
      </c>
      <c r="AF363">
        <f>IF(AND(P363="Creditor",X363=1,AE363&gt;0,Z363&lt;&gt;""),IF(Z363&lt;='Example Parties'!$E$8,AE363,0),0)</f>
        <v/>
      </c>
      <c r="AG363">
        <f>IF(OR(AE363=0,Z363=""),0,MAX(0,'Example Parties'!$E$8-Z363))</f>
        <v/>
      </c>
      <c r="AH363">
        <f>IF(AND(P363="Creditor",X363=1,AG363&gt;0),AE363*((1+3*N('Example Parties'!$E$10)/12)^(AG363*12/365)-1),0)</f>
        <v/>
      </c>
      <c r="AI363">
        <f>IF(AND(C363&lt;&gt;"",C363='Example Ledger'!$D$4,B363&lt;&gt;"",B363&gt;='Example Ledger'!$D$5,B363&lt;='Example Ledger'!$D$6),1,0)</f>
        <v/>
      </c>
      <c r="AJ363">
        <f>IF(AI363=1,SUM(AI$7:AI363),"")</f>
        <v/>
      </c>
      <c r="AK363">
        <f>IF(OR(N363="",N363="OK"),0,1)</f>
        <v/>
      </c>
    </row>
    <row r="364">
      <c r="B364" s="24" t="n"/>
      <c r="C364" s="14" t="n"/>
      <c r="D364" s="14" t="n"/>
      <c r="E364" s="20" t="n"/>
      <c r="F364" s="24" t="n"/>
      <c r="G364" s="14" t="n"/>
      <c r="H364" s="22" t="n"/>
      <c r="I364" s="25">
        <f>IF(Q364="D",N(H364),0)</f>
        <v/>
      </c>
      <c r="J364" s="25">
        <f>IF(Q364="C",N(H364),0)</f>
        <v/>
      </c>
      <c r="K364" s="26">
        <f>IF(Z364="","",Z364)</f>
        <v/>
      </c>
      <c r="L364" s="27">
        <f>W364</f>
        <v/>
      </c>
      <c r="M364" s="28">
        <f>AA364</f>
        <v/>
      </c>
      <c r="N364" s="23">
        <f>IF(AND(B364="",C364="",D364="",N(H364)=0),"",IF(B364="","Enter the date",IF(C364="","Pick the party",IF(P364="?","Add this party on the Parties sheet first",IF(D364="","Pick the entry type",IF(Q364="?","Pick the entry type from the list",IF(N(H364)=0,"Enter the amount",IF(AND(R364&lt;&gt;"Any",R364&lt;&gt;P364),"Sales, receipts and credit notes are for debtors; purchases, payments and debit notes for creditors",IF(AND(F364&lt;&gt;"",D364&lt;&gt;"Purchase bill"),"The received-on date is only for purchase bills",IF(AND(P364="Creditor",X364=1,AA364&gt;0),"Past due to a micro or small supplier: interest runs under MSMED s.16, and if unpaid at year end it is not deductible that year, s.37(2)(g)",IF(AND(P364="Debtor",X364=1,AA364&gt;0),"Past due to you: as a micro or small supplier you can claim interest under MSMED s.16","OK")))))))))))</f>
        <v/>
      </c>
      <c r="P364">
        <f>IF(C364="","",IFERROR(VLOOKUP(C364,'Example Parties'!$B$13:$Q$112,2,FALSE),"?"))</f>
        <v/>
      </c>
      <c r="Q364">
        <f>IF(D364="","",IFERROR(VLOOKUP(D364,Lists!$A$2:$D$9,3,FALSE),"?"))</f>
        <v/>
      </c>
      <c r="R364">
        <f>IF(D364="","",IFERROR(VLOOKUP(D364,Lists!$A$2:$D$9,4,FALSE),"?"))</f>
        <v/>
      </c>
      <c r="S364">
        <f>IF(P364="Debtor",I364,IF(P364="Creditor",J364,0))</f>
        <v/>
      </c>
      <c r="T364">
        <f>IF(P364="Debtor",J364,IF(P364="Creditor",I364,0))</f>
        <v/>
      </c>
      <c r="U364">
        <f>IF(OR(S364=0,B364=""),0,IFERROR(VLOOKUP(C364,'Example Parties'!$B$13:$Q$112,13,FALSE),0)+SUMIFS($S$7:$S$506,$C$7:$C$506,C364,$B$7:$B$506,"&lt;"&amp;B364)+SUMIFS(S$7:S364,C$7:C364,C364,B$7:B364,B364))</f>
        <v/>
      </c>
      <c r="V364">
        <f>IF(S364=0,0,IFERROR(VLOOKUP(C364,'Example Parties'!$B$13:$Q$112,14,FALSE),0)+SUMIFS($T$7:$T$506,$C$7:$C$506,C364,$B$7:$B$506,"&lt;="&amp;'Example Outstanding'!$E$5))</f>
        <v/>
      </c>
      <c r="W364">
        <f>IF(OR('Example Outstanding'!$E$5="",S364=0,B364="",B364&gt;'Example Outstanding'!$E$5),0,MAX(0,MIN(S364,U364-V364)))</f>
        <v/>
      </c>
      <c r="X364">
        <f>IF(C364="",0,IFERROR(VLOOKUP(C364,'Example Parties'!$B$13:$Q$112,15,FALSE),0))</f>
        <v/>
      </c>
      <c r="Y364">
        <f>IF(C364="","",IFERROR(VLOOKUP(C364,'Example Parties'!$B$13:$Q$112,16,FALSE),0))</f>
        <v/>
      </c>
      <c r="Z364">
        <f>IF(OR(S364=0,B364="",Y364=""),"",IF(AND(F364&lt;&gt;"",D364="Purchase bill"),F364,B364)+Y364)</f>
        <v/>
      </c>
      <c r="AA364">
        <f>IF(OR(W364=0,Z364=""),0,MAX(0,'Example Outstanding'!$E$5-Z364))</f>
        <v/>
      </c>
      <c r="AB364">
        <f>IF(AND(X364=1,AA364&gt;0),W364*((1+3*N('Example Parties'!$E$10)/12)^(AA364*12/365)-1),0)</f>
        <v/>
      </c>
      <c r="AC364">
        <f>IF(W364=0,"",'Example Outstanding'!$E$5-B364)</f>
        <v/>
      </c>
      <c r="AD364">
        <f>IF(S364=0,0,IFERROR(VLOOKUP(C364,'Example Parties'!$B$13:$Q$112,14,FALSE),0)+SUMIFS($T$7:$T$506,$C$7:$C$506,C364,$B$7:$B$506,"&lt;="&amp;'Example Parties'!$E$8))</f>
        <v/>
      </c>
      <c r="AE364">
        <f>IF(OR('Example Parties'!$E$8="",S364=0,B364="",B364&gt;'Example Parties'!$E$8),0,MAX(0,MIN(S364,U364-AD364)))</f>
        <v/>
      </c>
      <c r="AF364">
        <f>IF(AND(P364="Creditor",X364=1,AE364&gt;0,Z364&lt;&gt;""),IF(Z364&lt;='Example Parties'!$E$8,AE364,0),0)</f>
        <v/>
      </c>
      <c r="AG364">
        <f>IF(OR(AE364=0,Z364=""),0,MAX(0,'Example Parties'!$E$8-Z364))</f>
        <v/>
      </c>
      <c r="AH364">
        <f>IF(AND(P364="Creditor",X364=1,AG364&gt;0),AE364*((1+3*N('Example Parties'!$E$10)/12)^(AG364*12/365)-1),0)</f>
        <v/>
      </c>
      <c r="AI364">
        <f>IF(AND(C364&lt;&gt;"",C364='Example Ledger'!$D$4,B364&lt;&gt;"",B364&gt;='Example Ledger'!$D$5,B364&lt;='Example Ledger'!$D$6),1,0)</f>
        <v/>
      </c>
      <c r="AJ364">
        <f>IF(AI364=1,SUM(AI$7:AI364),"")</f>
        <v/>
      </c>
      <c r="AK364">
        <f>IF(OR(N364="",N364="OK"),0,1)</f>
        <v/>
      </c>
    </row>
    <row r="365">
      <c r="B365" s="24" t="n"/>
      <c r="C365" s="14" t="n"/>
      <c r="D365" s="14" t="n"/>
      <c r="E365" s="20" t="n"/>
      <c r="F365" s="24" t="n"/>
      <c r="G365" s="14" t="n"/>
      <c r="H365" s="22" t="n"/>
      <c r="I365" s="25">
        <f>IF(Q365="D",N(H365),0)</f>
        <v/>
      </c>
      <c r="J365" s="25">
        <f>IF(Q365="C",N(H365),0)</f>
        <v/>
      </c>
      <c r="K365" s="26">
        <f>IF(Z365="","",Z365)</f>
        <v/>
      </c>
      <c r="L365" s="27">
        <f>W365</f>
        <v/>
      </c>
      <c r="M365" s="28">
        <f>AA365</f>
        <v/>
      </c>
      <c r="N365" s="23">
        <f>IF(AND(B365="",C365="",D365="",N(H365)=0),"",IF(B365="","Enter the date",IF(C365="","Pick the party",IF(P365="?","Add this party on the Parties sheet first",IF(D365="","Pick the entry type",IF(Q365="?","Pick the entry type from the list",IF(N(H365)=0,"Enter the amount",IF(AND(R365&lt;&gt;"Any",R365&lt;&gt;P365),"Sales, receipts and credit notes are for debtors; purchases, payments and debit notes for creditors",IF(AND(F365&lt;&gt;"",D365&lt;&gt;"Purchase bill"),"The received-on date is only for purchase bills",IF(AND(P365="Creditor",X365=1,AA365&gt;0),"Past due to a micro or small supplier: interest runs under MSMED s.16, and if unpaid at year end it is not deductible that year, s.37(2)(g)",IF(AND(P365="Debtor",X365=1,AA365&gt;0),"Past due to you: as a micro or small supplier you can claim interest under MSMED s.16","OK")))))))))))</f>
        <v/>
      </c>
      <c r="P365">
        <f>IF(C365="","",IFERROR(VLOOKUP(C365,'Example Parties'!$B$13:$Q$112,2,FALSE),"?"))</f>
        <v/>
      </c>
      <c r="Q365">
        <f>IF(D365="","",IFERROR(VLOOKUP(D365,Lists!$A$2:$D$9,3,FALSE),"?"))</f>
        <v/>
      </c>
      <c r="R365">
        <f>IF(D365="","",IFERROR(VLOOKUP(D365,Lists!$A$2:$D$9,4,FALSE),"?"))</f>
        <v/>
      </c>
      <c r="S365">
        <f>IF(P365="Debtor",I365,IF(P365="Creditor",J365,0))</f>
        <v/>
      </c>
      <c r="T365">
        <f>IF(P365="Debtor",J365,IF(P365="Creditor",I365,0))</f>
        <v/>
      </c>
      <c r="U365">
        <f>IF(OR(S365=0,B365=""),0,IFERROR(VLOOKUP(C365,'Example Parties'!$B$13:$Q$112,13,FALSE),0)+SUMIFS($S$7:$S$506,$C$7:$C$506,C365,$B$7:$B$506,"&lt;"&amp;B365)+SUMIFS(S$7:S365,C$7:C365,C365,B$7:B365,B365))</f>
        <v/>
      </c>
      <c r="V365">
        <f>IF(S365=0,0,IFERROR(VLOOKUP(C365,'Example Parties'!$B$13:$Q$112,14,FALSE),0)+SUMIFS($T$7:$T$506,$C$7:$C$506,C365,$B$7:$B$506,"&lt;="&amp;'Example Outstanding'!$E$5))</f>
        <v/>
      </c>
      <c r="W365">
        <f>IF(OR('Example Outstanding'!$E$5="",S365=0,B365="",B365&gt;'Example Outstanding'!$E$5),0,MAX(0,MIN(S365,U365-V365)))</f>
        <v/>
      </c>
      <c r="X365">
        <f>IF(C365="",0,IFERROR(VLOOKUP(C365,'Example Parties'!$B$13:$Q$112,15,FALSE),0))</f>
        <v/>
      </c>
      <c r="Y365">
        <f>IF(C365="","",IFERROR(VLOOKUP(C365,'Example Parties'!$B$13:$Q$112,16,FALSE),0))</f>
        <v/>
      </c>
      <c r="Z365">
        <f>IF(OR(S365=0,B365="",Y365=""),"",IF(AND(F365&lt;&gt;"",D365="Purchase bill"),F365,B365)+Y365)</f>
        <v/>
      </c>
      <c r="AA365">
        <f>IF(OR(W365=0,Z365=""),0,MAX(0,'Example Outstanding'!$E$5-Z365))</f>
        <v/>
      </c>
      <c r="AB365">
        <f>IF(AND(X365=1,AA365&gt;0),W365*((1+3*N('Example Parties'!$E$10)/12)^(AA365*12/365)-1),0)</f>
        <v/>
      </c>
      <c r="AC365">
        <f>IF(W365=0,"",'Example Outstanding'!$E$5-B365)</f>
        <v/>
      </c>
      <c r="AD365">
        <f>IF(S365=0,0,IFERROR(VLOOKUP(C365,'Example Parties'!$B$13:$Q$112,14,FALSE),0)+SUMIFS($T$7:$T$506,$C$7:$C$506,C365,$B$7:$B$506,"&lt;="&amp;'Example Parties'!$E$8))</f>
        <v/>
      </c>
      <c r="AE365">
        <f>IF(OR('Example Parties'!$E$8="",S365=0,B365="",B365&gt;'Example Parties'!$E$8),0,MAX(0,MIN(S365,U365-AD365)))</f>
        <v/>
      </c>
      <c r="AF365">
        <f>IF(AND(P365="Creditor",X365=1,AE365&gt;0,Z365&lt;&gt;""),IF(Z365&lt;='Example Parties'!$E$8,AE365,0),0)</f>
        <v/>
      </c>
      <c r="AG365">
        <f>IF(OR(AE365=0,Z365=""),0,MAX(0,'Example Parties'!$E$8-Z365))</f>
        <v/>
      </c>
      <c r="AH365">
        <f>IF(AND(P365="Creditor",X365=1,AG365&gt;0),AE365*((1+3*N('Example Parties'!$E$10)/12)^(AG365*12/365)-1),0)</f>
        <v/>
      </c>
      <c r="AI365">
        <f>IF(AND(C365&lt;&gt;"",C365='Example Ledger'!$D$4,B365&lt;&gt;"",B365&gt;='Example Ledger'!$D$5,B365&lt;='Example Ledger'!$D$6),1,0)</f>
        <v/>
      </c>
      <c r="AJ365">
        <f>IF(AI365=1,SUM(AI$7:AI365),"")</f>
        <v/>
      </c>
      <c r="AK365">
        <f>IF(OR(N365="",N365="OK"),0,1)</f>
        <v/>
      </c>
    </row>
    <row r="366">
      <c r="B366" s="24" t="n"/>
      <c r="C366" s="14" t="n"/>
      <c r="D366" s="14" t="n"/>
      <c r="E366" s="20" t="n"/>
      <c r="F366" s="24" t="n"/>
      <c r="G366" s="14" t="n"/>
      <c r="H366" s="22" t="n"/>
      <c r="I366" s="25">
        <f>IF(Q366="D",N(H366),0)</f>
        <v/>
      </c>
      <c r="J366" s="25">
        <f>IF(Q366="C",N(H366),0)</f>
        <v/>
      </c>
      <c r="K366" s="26">
        <f>IF(Z366="","",Z366)</f>
        <v/>
      </c>
      <c r="L366" s="27">
        <f>W366</f>
        <v/>
      </c>
      <c r="M366" s="28">
        <f>AA366</f>
        <v/>
      </c>
      <c r="N366" s="23">
        <f>IF(AND(B366="",C366="",D366="",N(H366)=0),"",IF(B366="","Enter the date",IF(C366="","Pick the party",IF(P366="?","Add this party on the Parties sheet first",IF(D366="","Pick the entry type",IF(Q366="?","Pick the entry type from the list",IF(N(H366)=0,"Enter the amount",IF(AND(R366&lt;&gt;"Any",R366&lt;&gt;P366),"Sales, receipts and credit notes are for debtors; purchases, payments and debit notes for creditors",IF(AND(F366&lt;&gt;"",D366&lt;&gt;"Purchase bill"),"The received-on date is only for purchase bills",IF(AND(P366="Creditor",X366=1,AA366&gt;0),"Past due to a micro or small supplier: interest runs under MSMED s.16, and if unpaid at year end it is not deductible that year, s.37(2)(g)",IF(AND(P366="Debtor",X366=1,AA366&gt;0),"Past due to you: as a micro or small supplier you can claim interest under MSMED s.16","OK")))))))))))</f>
        <v/>
      </c>
      <c r="P366">
        <f>IF(C366="","",IFERROR(VLOOKUP(C366,'Example Parties'!$B$13:$Q$112,2,FALSE),"?"))</f>
        <v/>
      </c>
      <c r="Q366">
        <f>IF(D366="","",IFERROR(VLOOKUP(D366,Lists!$A$2:$D$9,3,FALSE),"?"))</f>
        <v/>
      </c>
      <c r="R366">
        <f>IF(D366="","",IFERROR(VLOOKUP(D366,Lists!$A$2:$D$9,4,FALSE),"?"))</f>
        <v/>
      </c>
      <c r="S366">
        <f>IF(P366="Debtor",I366,IF(P366="Creditor",J366,0))</f>
        <v/>
      </c>
      <c r="T366">
        <f>IF(P366="Debtor",J366,IF(P366="Creditor",I366,0))</f>
        <v/>
      </c>
      <c r="U366">
        <f>IF(OR(S366=0,B366=""),0,IFERROR(VLOOKUP(C366,'Example Parties'!$B$13:$Q$112,13,FALSE),0)+SUMIFS($S$7:$S$506,$C$7:$C$506,C366,$B$7:$B$506,"&lt;"&amp;B366)+SUMIFS(S$7:S366,C$7:C366,C366,B$7:B366,B366))</f>
        <v/>
      </c>
      <c r="V366">
        <f>IF(S366=0,0,IFERROR(VLOOKUP(C366,'Example Parties'!$B$13:$Q$112,14,FALSE),0)+SUMIFS($T$7:$T$506,$C$7:$C$506,C366,$B$7:$B$506,"&lt;="&amp;'Example Outstanding'!$E$5))</f>
        <v/>
      </c>
      <c r="W366">
        <f>IF(OR('Example Outstanding'!$E$5="",S366=0,B366="",B366&gt;'Example Outstanding'!$E$5),0,MAX(0,MIN(S366,U366-V366)))</f>
        <v/>
      </c>
      <c r="X366">
        <f>IF(C366="",0,IFERROR(VLOOKUP(C366,'Example Parties'!$B$13:$Q$112,15,FALSE),0))</f>
        <v/>
      </c>
      <c r="Y366">
        <f>IF(C366="","",IFERROR(VLOOKUP(C366,'Example Parties'!$B$13:$Q$112,16,FALSE),0))</f>
        <v/>
      </c>
      <c r="Z366">
        <f>IF(OR(S366=0,B366="",Y366=""),"",IF(AND(F366&lt;&gt;"",D366="Purchase bill"),F366,B366)+Y366)</f>
        <v/>
      </c>
      <c r="AA366">
        <f>IF(OR(W366=0,Z366=""),0,MAX(0,'Example Outstanding'!$E$5-Z366))</f>
        <v/>
      </c>
      <c r="AB366">
        <f>IF(AND(X366=1,AA366&gt;0),W366*((1+3*N('Example Parties'!$E$10)/12)^(AA366*12/365)-1),0)</f>
        <v/>
      </c>
      <c r="AC366">
        <f>IF(W366=0,"",'Example Outstanding'!$E$5-B366)</f>
        <v/>
      </c>
      <c r="AD366">
        <f>IF(S366=0,0,IFERROR(VLOOKUP(C366,'Example Parties'!$B$13:$Q$112,14,FALSE),0)+SUMIFS($T$7:$T$506,$C$7:$C$506,C366,$B$7:$B$506,"&lt;="&amp;'Example Parties'!$E$8))</f>
        <v/>
      </c>
      <c r="AE366">
        <f>IF(OR('Example Parties'!$E$8="",S366=0,B366="",B366&gt;'Example Parties'!$E$8),0,MAX(0,MIN(S366,U366-AD366)))</f>
        <v/>
      </c>
      <c r="AF366">
        <f>IF(AND(P366="Creditor",X366=1,AE366&gt;0,Z366&lt;&gt;""),IF(Z366&lt;='Example Parties'!$E$8,AE366,0),0)</f>
        <v/>
      </c>
      <c r="AG366">
        <f>IF(OR(AE366=0,Z366=""),0,MAX(0,'Example Parties'!$E$8-Z366))</f>
        <v/>
      </c>
      <c r="AH366">
        <f>IF(AND(P366="Creditor",X366=1,AG366&gt;0),AE366*((1+3*N('Example Parties'!$E$10)/12)^(AG366*12/365)-1),0)</f>
        <v/>
      </c>
      <c r="AI366">
        <f>IF(AND(C366&lt;&gt;"",C366='Example Ledger'!$D$4,B366&lt;&gt;"",B366&gt;='Example Ledger'!$D$5,B366&lt;='Example Ledger'!$D$6),1,0)</f>
        <v/>
      </c>
      <c r="AJ366">
        <f>IF(AI366=1,SUM(AI$7:AI366),"")</f>
        <v/>
      </c>
      <c r="AK366">
        <f>IF(OR(N366="",N366="OK"),0,1)</f>
        <v/>
      </c>
    </row>
    <row r="367">
      <c r="B367" s="24" t="n"/>
      <c r="C367" s="14" t="n"/>
      <c r="D367" s="14" t="n"/>
      <c r="E367" s="20" t="n"/>
      <c r="F367" s="24" t="n"/>
      <c r="G367" s="14" t="n"/>
      <c r="H367" s="22" t="n"/>
      <c r="I367" s="25">
        <f>IF(Q367="D",N(H367),0)</f>
        <v/>
      </c>
      <c r="J367" s="25">
        <f>IF(Q367="C",N(H367),0)</f>
        <v/>
      </c>
      <c r="K367" s="26">
        <f>IF(Z367="","",Z367)</f>
        <v/>
      </c>
      <c r="L367" s="27">
        <f>W367</f>
        <v/>
      </c>
      <c r="M367" s="28">
        <f>AA367</f>
        <v/>
      </c>
      <c r="N367" s="23">
        <f>IF(AND(B367="",C367="",D367="",N(H367)=0),"",IF(B367="","Enter the date",IF(C367="","Pick the party",IF(P367="?","Add this party on the Parties sheet first",IF(D367="","Pick the entry type",IF(Q367="?","Pick the entry type from the list",IF(N(H367)=0,"Enter the amount",IF(AND(R367&lt;&gt;"Any",R367&lt;&gt;P367),"Sales, receipts and credit notes are for debtors; purchases, payments and debit notes for creditors",IF(AND(F367&lt;&gt;"",D367&lt;&gt;"Purchase bill"),"The received-on date is only for purchase bills",IF(AND(P367="Creditor",X367=1,AA367&gt;0),"Past due to a micro or small supplier: interest runs under MSMED s.16, and if unpaid at year end it is not deductible that year, s.37(2)(g)",IF(AND(P367="Debtor",X367=1,AA367&gt;0),"Past due to you: as a micro or small supplier you can claim interest under MSMED s.16","OK")))))))))))</f>
        <v/>
      </c>
      <c r="P367">
        <f>IF(C367="","",IFERROR(VLOOKUP(C367,'Example Parties'!$B$13:$Q$112,2,FALSE),"?"))</f>
        <v/>
      </c>
      <c r="Q367">
        <f>IF(D367="","",IFERROR(VLOOKUP(D367,Lists!$A$2:$D$9,3,FALSE),"?"))</f>
        <v/>
      </c>
      <c r="R367">
        <f>IF(D367="","",IFERROR(VLOOKUP(D367,Lists!$A$2:$D$9,4,FALSE),"?"))</f>
        <v/>
      </c>
      <c r="S367">
        <f>IF(P367="Debtor",I367,IF(P367="Creditor",J367,0))</f>
        <v/>
      </c>
      <c r="T367">
        <f>IF(P367="Debtor",J367,IF(P367="Creditor",I367,0))</f>
        <v/>
      </c>
      <c r="U367">
        <f>IF(OR(S367=0,B367=""),0,IFERROR(VLOOKUP(C367,'Example Parties'!$B$13:$Q$112,13,FALSE),0)+SUMIFS($S$7:$S$506,$C$7:$C$506,C367,$B$7:$B$506,"&lt;"&amp;B367)+SUMIFS(S$7:S367,C$7:C367,C367,B$7:B367,B367))</f>
        <v/>
      </c>
      <c r="V367">
        <f>IF(S367=0,0,IFERROR(VLOOKUP(C367,'Example Parties'!$B$13:$Q$112,14,FALSE),0)+SUMIFS($T$7:$T$506,$C$7:$C$506,C367,$B$7:$B$506,"&lt;="&amp;'Example Outstanding'!$E$5))</f>
        <v/>
      </c>
      <c r="W367">
        <f>IF(OR('Example Outstanding'!$E$5="",S367=0,B367="",B367&gt;'Example Outstanding'!$E$5),0,MAX(0,MIN(S367,U367-V367)))</f>
        <v/>
      </c>
      <c r="X367">
        <f>IF(C367="",0,IFERROR(VLOOKUP(C367,'Example Parties'!$B$13:$Q$112,15,FALSE),0))</f>
        <v/>
      </c>
      <c r="Y367">
        <f>IF(C367="","",IFERROR(VLOOKUP(C367,'Example Parties'!$B$13:$Q$112,16,FALSE),0))</f>
        <v/>
      </c>
      <c r="Z367">
        <f>IF(OR(S367=0,B367="",Y367=""),"",IF(AND(F367&lt;&gt;"",D367="Purchase bill"),F367,B367)+Y367)</f>
        <v/>
      </c>
      <c r="AA367">
        <f>IF(OR(W367=0,Z367=""),0,MAX(0,'Example Outstanding'!$E$5-Z367))</f>
        <v/>
      </c>
      <c r="AB367">
        <f>IF(AND(X367=1,AA367&gt;0),W367*((1+3*N('Example Parties'!$E$10)/12)^(AA367*12/365)-1),0)</f>
        <v/>
      </c>
      <c r="AC367">
        <f>IF(W367=0,"",'Example Outstanding'!$E$5-B367)</f>
        <v/>
      </c>
      <c r="AD367">
        <f>IF(S367=0,0,IFERROR(VLOOKUP(C367,'Example Parties'!$B$13:$Q$112,14,FALSE),0)+SUMIFS($T$7:$T$506,$C$7:$C$506,C367,$B$7:$B$506,"&lt;="&amp;'Example Parties'!$E$8))</f>
        <v/>
      </c>
      <c r="AE367">
        <f>IF(OR('Example Parties'!$E$8="",S367=0,B367="",B367&gt;'Example Parties'!$E$8),0,MAX(0,MIN(S367,U367-AD367)))</f>
        <v/>
      </c>
      <c r="AF367">
        <f>IF(AND(P367="Creditor",X367=1,AE367&gt;0,Z367&lt;&gt;""),IF(Z367&lt;='Example Parties'!$E$8,AE367,0),0)</f>
        <v/>
      </c>
      <c r="AG367">
        <f>IF(OR(AE367=0,Z367=""),0,MAX(0,'Example Parties'!$E$8-Z367))</f>
        <v/>
      </c>
      <c r="AH367">
        <f>IF(AND(P367="Creditor",X367=1,AG367&gt;0),AE367*((1+3*N('Example Parties'!$E$10)/12)^(AG367*12/365)-1),0)</f>
        <v/>
      </c>
      <c r="AI367">
        <f>IF(AND(C367&lt;&gt;"",C367='Example Ledger'!$D$4,B367&lt;&gt;"",B367&gt;='Example Ledger'!$D$5,B367&lt;='Example Ledger'!$D$6),1,0)</f>
        <v/>
      </c>
      <c r="AJ367">
        <f>IF(AI367=1,SUM(AI$7:AI367),"")</f>
        <v/>
      </c>
      <c r="AK367">
        <f>IF(OR(N367="",N367="OK"),0,1)</f>
        <v/>
      </c>
    </row>
    <row r="368">
      <c r="B368" s="24" t="n"/>
      <c r="C368" s="14" t="n"/>
      <c r="D368" s="14" t="n"/>
      <c r="E368" s="20" t="n"/>
      <c r="F368" s="24" t="n"/>
      <c r="G368" s="14" t="n"/>
      <c r="H368" s="22" t="n"/>
      <c r="I368" s="25">
        <f>IF(Q368="D",N(H368),0)</f>
        <v/>
      </c>
      <c r="J368" s="25">
        <f>IF(Q368="C",N(H368),0)</f>
        <v/>
      </c>
      <c r="K368" s="26">
        <f>IF(Z368="","",Z368)</f>
        <v/>
      </c>
      <c r="L368" s="27">
        <f>W368</f>
        <v/>
      </c>
      <c r="M368" s="28">
        <f>AA368</f>
        <v/>
      </c>
      <c r="N368" s="23">
        <f>IF(AND(B368="",C368="",D368="",N(H368)=0),"",IF(B368="","Enter the date",IF(C368="","Pick the party",IF(P368="?","Add this party on the Parties sheet first",IF(D368="","Pick the entry type",IF(Q368="?","Pick the entry type from the list",IF(N(H368)=0,"Enter the amount",IF(AND(R368&lt;&gt;"Any",R368&lt;&gt;P368),"Sales, receipts and credit notes are for debtors; purchases, payments and debit notes for creditors",IF(AND(F368&lt;&gt;"",D368&lt;&gt;"Purchase bill"),"The received-on date is only for purchase bills",IF(AND(P368="Creditor",X368=1,AA368&gt;0),"Past due to a micro or small supplier: interest runs under MSMED s.16, and if unpaid at year end it is not deductible that year, s.37(2)(g)",IF(AND(P368="Debtor",X368=1,AA368&gt;0),"Past due to you: as a micro or small supplier you can claim interest under MSMED s.16","OK")))))))))))</f>
        <v/>
      </c>
      <c r="P368">
        <f>IF(C368="","",IFERROR(VLOOKUP(C368,'Example Parties'!$B$13:$Q$112,2,FALSE),"?"))</f>
        <v/>
      </c>
      <c r="Q368">
        <f>IF(D368="","",IFERROR(VLOOKUP(D368,Lists!$A$2:$D$9,3,FALSE),"?"))</f>
        <v/>
      </c>
      <c r="R368">
        <f>IF(D368="","",IFERROR(VLOOKUP(D368,Lists!$A$2:$D$9,4,FALSE),"?"))</f>
        <v/>
      </c>
      <c r="S368">
        <f>IF(P368="Debtor",I368,IF(P368="Creditor",J368,0))</f>
        <v/>
      </c>
      <c r="T368">
        <f>IF(P368="Debtor",J368,IF(P368="Creditor",I368,0))</f>
        <v/>
      </c>
      <c r="U368">
        <f>IF(OR(S368=0,B368=""),0,IFERROR(VLOOKUP(C368,'Example Parties'!$B$13:$Q$112,13,FALSE),0)+SUMIFS($S$7:$S$506,$C$7:$C$506,C368,$B$7:$B$506,"&lt;"&amp;B368)+SUMIFS(S$7:S368,C$7:C368,C368,B$7:B368,B368))</f>
        <v/>
      </c>
      <c r="V368">
        <f>IF(S368=0,0,IFERROR(VLOOKUP(C368,'Example Parties'!$B$13:$Q$112,14,FALSE),0)+SUMIFS($T$7:$T$506,$C$7:$C$506,C368,$B$7:$B$506,"&lt;="&amp;'Example Outstanding'!$E$5))</f>
        <v/>
      </c>
      <c r="W368">
        <f>IF(OR('Example Outstanding'!$E$5="",S368=0,B368="",B368&gt;'Example Outstanding'!$E$5),0,MAX(0,MIN(S368,U368-V368)))</f>
        <v/>
      </c>
      <c r="X368">
        <f>IF(C368="",0,IFERROR(VLOOKUP(C368,'Example Parties'!$B$13:$Q$112,15,FALSE),0))</f>
        <v/>
      </c>
      <c r="Y368">
        <f>IF(C368="","",IFERROR(VLOOKUP(C368,'Example Parties'!$B$13:$Q$112,16,FALSE),0))</f>
        <v/>
      </c>
      <c r="Z368">
        <f>IF(OR(S368=0,B368="",Y368=""),"",IF(AND(F368&lt;&gt;"",D368="Purchase bill"),F368,B368)+Y368)</f>
        <v/>
      </c>
      <c r="AA368">
        <f>IF(OR(W368=0,Z368=""),0,MAX(0,'Example Outstanding'!$E$5-Z368))</f>
        <v/>
      </c>
      <c r="AB368">
        <f>IF(AND(X368=1,AA368&gt;0),W368*((1+3*N('Example Parties'!$E$10)/12)^(AA368*12/365)-1),0)</f>
        <v/>
      </c>
      <c r="AC368">
        <f>IF(W368=0,"",'Example Outstanding'!$E$5-B368)</f>
        <v/>
      </c>
      <c r="AD368">
        <f>IF(S368=0,0,IFERROR(VLOOKUP(C368,'Example Parties'!$B$13:$Q$112,14,FALSE),0)+SUMIFS($T$7:$T$506,$C$7:$C$506,C368,$B$7:$B$506,"&lt;="&amp;'Example Parties'!$E$8))</f>
        <v/>
      </c>
      <c r="AE368">
        <f>IF(OR('Example Parties'!$E$8="",S368=0,B368="",B368&gt;'Example Parties'!$E$8),0,MAX(0,MIN(S368,U368-AD368)))</f>
        <v/>
      </c>
      <c r="AF368">
        <f>IF(AND(P368="Creditor",X368=1,AE368&gt;0,Z368&lt;&gt;""),IF(Z368&lt;='Example Parties'!$E$8,AE368,0),0)</f>
        <v/>
      </c>
      <c r="AG368">
        <f>IF(OR(AE368=0,Z368=""),0,MAX(0,'Example Parties'!$E$8-Z368))</f>
        <v/>
      </c>
      <c r="AH368">
        <f>IF(AND(P368="Creditor",X368=1,AG368&gt;0),AE368*((1+3*N('Example Parties'!$E$10)/12)^(AG368*12/365)-1),0)</f>
        <v/>
      </c>
      <c r="AI368">
        <f>IF(AND(C368&lt;&gt;"",C368='Example Ledger'!$D$4,B368&lt;&gt;"",B368&gt;='Example Ledger'!$D$5,B368&lt;='Example Ledger'!$D$6),1,0)</f>
        <v/>
      </c>
      <c r="AJ368">
        <f>IF(AI368=1,SUM(AI$7:AI368),"")</f>
        <v/>
      </c>
      <c r="AK368">
        <f>IF(OR(N368="",N368="OK"),0,1)</f>
        <v/>
      </c>
    </row>
    <row r="369">
      <c r="B369" s="24" t="n"/>
      <c r="C369" s="14" t="n"/>
      <c r="D369" s="14" t="n"/>
      <c r="E369" s="20" t="n"/>
      <c r="F369" s="24" t="n"/>
      <c r="G369" s="14" t="n"/>
      <c r="H369" s="22" t="n"/>
      <c r="I369" s="25">
        <f>IF(Q369="D",N(H369),0)</f>
        <v/>
      </c>
      <c r="J369" s="25">
        <f>IF(Q369="C",N(H369),0)</f>
        <v/>
      </c>
      <c r="K369" s="26">
        <f>IF(Z369="","",Z369)</f>
        <v/>
      </c>
      <c r="L369" s="27">
        <f>W369</f>
        <v/>
      </c>
      <c r="M369" s="28">
        <f>AA369</f>
        <v/>
      </c>
      <c r="N369" s="23">
        <f>IF(AND(B369="",C369="",D369="",N(H369)=0),"",IF(B369="","Enter the date",IF(C369="","Pick the party",IF(P369="?","Add this party on the Parties sheet first",IF(D369="","Pick the entry type",IF(Q369="?","Pick the entry type from the list",IF(N(H369)=0,"Enter the amount",IF(AND(R369&lt;&gt;"Any",R369&lt;&gt;P369),"Sales, receipts and credit notes are for debtors; purchases, payments and debit notes for creditors",IF(AND(F369&lt;&gt;"",D369&lt;&gt;"Purchase bill"),"The received-on date is only for purchase bills",IF(AND(P369="Creditor",X369=1,AA369&gt;0),"Past due to a micro or small supplier: interest runs under MSMED s.16, and if unpaid at year end it is not deductible that year, s.37(2)(g)",IF(AND(P369="Debtor",X369=1,AA369&gt;0),"Past due to you: as a micro or small supplier you can claim interest under MSMED s.16","OK")))))))))))</f>
        <v/>
      </c>
      <c r="P369">
        <f>IF(C369="","",IFERROR(VLOOKUP(C369,'Example Parties'!$B$13:$Q$112,2,FALSE),"?"))</f>
        <v/>
      </c>
      <c r="Q369">
        <f>IF(D369="","",IFERROR(VLOOKUP(D369,Lists!$A$2:$D$9,3,FALSE),"?"))</f>
        <v/>
      </c>
      <c r="R369">
        <f>IF(D369="","",IFERROR(VLOOKUP(D369,Lists!$A$2:$D$9,4,FALSE),"?"))</f>
        <v/>
      </c>
      <c r="S369">
        <f>IF(P369="Debtor",I369,IF(P369="Creditor",J369,0))</f>
        <v/>
      </c>
      <c r="T369">
        <f>IF(P369="Debtor",J369,IF(P369="Creditor",I369,0))</f>
        <v/>
      </c>
      <c r="U369">
        <f>IF(OR(S369=0,B369=""),0,IFERROR(VLOOKUP(C369,'Example Parties'!$B$13:$Q$112,13,FALSE),0)+SUMIFS($S$7:$S$506,$C$7:$C$506,C369,$B$7:$B$506,"&lt;"&amp;B369)+SUMIFS(S$7:S369,C$7:C369,C369,B$7:B369,B369))</f>
        <v/>
      </c>
      <c r="V369">
        <f>IF(S369=0,0,IFERROR(VLOOKUP(C369,'Example Parties'!$B$13:$Q$112,14,FALSE),0)+SUMIFS($T$7:$T$506,$C$7:$C$506,C369,$B$7:$B$506,"&lt;="&amp;'Example Outstanding'!$E$5))</f>
        <v/>
      </c>
      <c r="W369">
        <f>IF(OR('Example Outstanding'!$E$5="",S369=0,B369="",B369&gt;'Example Outstanding'!$E$5),0,MAX(0,MIN(S369,U369-V369)))</f>
        <v/>
      </c>
      <c r="X369">
        <f>IF(C369="",0,IFERROR(VLOOKUP(C369,'Example Parties'!$B$13:$Q$112,15,FALSE),0))</f>
        <v/>
      </c>
      <c r="Y369">
        <f>IF(C369="","",IFERROR(VLOOKUP(C369,'Example Parties'!$B$13:$Q$112,16,FALSE),0))</f>
        <v/>
      </c>
      <c r="Z369">
        <f>IF(OR(S369=0,B369="",Y369=""),"",IF(AND(F369&lt;&gt;"",D369="Purchase bill"),F369,B369)+Y369)</f>
        <v/>
      </c>
      <c r="AA369">
        <f>IF(OR(W369=0,Z369=""),0,MAX(0,'Example Outstanding'!$E$5-Z369))</f>
        <v/>
      </c>
      <c r="AB369">
        <f>IF(AND(X369=1,AA369&gt;0),W369*((1+3*N('Example Parties'!$E$10)/12)^(AA369*12/365)-1),0)</f>
        <v/>
      </c>
      <c r="AC369">
        <f>IF(W369=0,"",'Example Outstanding'!$E$5-B369)</f>
        <v/>
      </c>
      <c r="AD369">
        <f>IF(S369=0,0,IFERROR(VLOOKUP(C369,'Example Parties'!$B$13:$Q$112,14,FALSE),0)+SUMIFS($T$7:$T$506,$C$7:$C$506,C369,$B$7:$B$506,"&lt;="&amp;'Example Parties'!$E$8))</f>
        <v/>
      </c>
      <c r="AE369">
        <f>IF(OR('Example Parties'!$E$8="",S369=0,B369="",B369&gt;'Example Parties'!$E$8),0,MAX(0,MIN(S369,U369-AD369)))</f>
        <v/>
      </c>
      <c r="AF369">
        <f>IF(AND(P369="Creditor",X369=1,AE369&gt;0,Z369&lt;&gt;""),IF(Z369&lt;='Example Parties'!$E$8,AE369,0),0)</f>
        <v/>
      </c>
      <c r="AG369">
        <f>IF(OR(AE369=0,Z369=""),0,MAX(0,'Example Parties'!$E$8-Z369))</f>
        <v/>
      </c>
      <c r="AH369">
        <f>IF(AND(P369="Creditor",X369=1,AG369&gt;0),AE369*((1+3*N('Example Parties'!$E$10)/12)^(AG369*12/365)-1),0)</f>
        <v/>
      </c>
      <c r="AI369">
        <f>IF(AND(C369&lt;&gt;"",C369='Example Ledger'!$D$4,B369&lt;&gt;"",B369&gt;='Example Ledger'!$D$5,B369&lt;='Example Ledger'!$D$6),1,0)</f>
        <v/>
      </c>
      <c r="AJ369">
        <f>IF(AI369=1,SUM(AI$7:AI369),"")</f>
        <v/>
      </c>
      <c r="AK369">
        <f>IF(OR(N369="",N369="OK"),0,1)</f>
        <v/>
      </c>
    </row>
    <row r="370">
      <c r="B370" s="24" t="n"/>
      <c r="C370" s="14" t="n"/>
      <c r="D370" s="14" t="n"/>
      <c r="E370" s="20" t="n"/>
      <c r="F370" s="24" t="n"/>
      <c r="G370" s="14" t="n"/>
      <c r="H370" s="22" t="n"/>
      <c r="I370" s="25">
        <f>IF(Q370="D",N(H370),0)</f>
        <v/>
      </c>
      <c r="J370" s="25">
        <f>IF(Q370="C",N(H370),0)</f>
        <v/>
      </c>
      <c r="K370" s="26">
        <f>IF(Z370="","",Z370)</f>
        <v/>
      </c>
      <c r="L370" s="27">
        <f>W370</f>
        <v/>
      </c>
      <c r="M370" s="28">
        <f>AA370</f>
        <v/>
      </c>
      <c r="N370" s="23">
        <f>IF(AND(B370="",C370="",D370="",N(H370)=0),"",IF(B370="","Enter the date",IF(C370="","Pick the party",IF(P370="?","Add this party on the Parties sheet first",IF(D370="","Pick the entry type",IF(Q370="?","Pick the entry type from the list",IF(N(H370)=0,"Enter the amount",IF(AND(R370&lt;&gt;"Any",R370&lt;&gt;P370),"Sales, receipts and credit notes are for debtors; purchases, payments and debit notes for creditors",IF(AND(F370&lt;&gt;"",D370&lt;&gt;"Purchase bill"),"The received-on date is only for purchase bills",IF(AND(P370="Creditor",X370=1,AA370&gt;0),"Past due to a micro or small supplier: interest runs under MSMED s.16, and if unpaid at year end it is not deductible that year, s.37(2)(g)",IF(AND(P370="Debtor",X370=1,AA370&gt;0),"Past due to you: as a micro or small supplier you can claim interest under MSMED s.16","OK")))))))))))</f>
        <v/>
      </c>
      <c r="P370">
        <f>IF(C370="","",IFERROR(VLOOKUP(C370,'Example Parties'!$B$13:$Q$112,2,FALSE),"?"))</f>
        <v/>
      </c>
      <c r="Q370">
        <f>IF(D370="","",IFERROR(VLOOKUP(D370,Lists!$A$2:$D$9,3,FALSE),"?"))</f>
        <v/>
      </c>
      <c r="R370">
        <f>IF(D370="","",IFERROR(VLOOKUP(D370,Lists!$A$2:$D$9,4,FALSE),"?"))</f>
        <v/>
      </c>
      <c r="S370">
        <f>IF(P370="Debtor",I370,IF(P370="Creditor",J370,0))</f>
        <v/>
      </c>
      <c r="T370">
        <f>IF(P370="Debtor",J370,IF(P370="Creditor",I370,0))</f>
        <v/>
      </c>
      <c r="U370">
        <f>IF(OR(S370=0,B370=""),0,IFERROR(VLOOKUP(C370,'Example Parties'!$B$13:$Q$112,13,FALSE),0)+SUMIFS($S$7:$S$506,$C$7:$C$506,C370,$B$7:$B$506,"&lt;"&amp;B370)+SUMIFS(S$7:S370,C$7:C370,C370,B$7:B370,B370))</f>
        <v/>
      </c>
      <c r="V370">
        <f>IF(S370=0,0,IFERROR(VLOOKUP(C370,'Example Parties'!$B$13:$Q$112,14,FALSE),0)+SUMIFS($T$7:$T$506,$C$7:$C$506,C370,$B$7:$B$506,"&lt;="&amp;'Example Outstanding'!$E$5))</f>
        <v/>
      </c>
      <c r="W370">
        <f>IF(OR('Example Outstanding'!$E$5="",S370=0,B370="",B370&gt;'Example Outstanding'!$E$5),0,MAX(0,MIN(S370,U370-V370)))</f>
        <v/>
      </c>
      <c r="X370">
        <f>IF(C370="",0,IFERROR(VLOOKUP(C370,'Example Parties'!$B$13:$Q$112,15,FALSE),0))</f>
        <v/>
      </c>
      <c r="Y370">
        <f>IF(C370="","",IFERROR(VLOOKUP(C370,'Example Parties'!$B$13:$Q$112,16,FALSE),0))</f>
        <v/>
      </c>
      <c r="Z370">
        <f>IF(OR(S370=0,B370="",Y370=""),"",IF(AND(F370&lt;&gt;"",D370="Purchase bill"),F370,B370)+Y370)</f>
        <v/>
      </c>
      <c r="AA370">
        <f>IF(OR(W370=0,Z370=""),0,MAX(0,'Example Outstanding'!$E$5-Z370))</f>
        <v/>
      </c>
      <c r="AB370">
        <f>IF(AND(X370=1,AA370&gt;0),W370*((1+3*N('Example Parties'!$E$10)/12)^(AA370*12/365)-1),0)</f>
        <v/>
      </c>
      <c r="AC370">
        <f>IF(W370=0,"",'Example Outstanding'!$E$5-B370)</f>
        <v/>
      </c>
      <c r="AD370">
        <f>IF(S370=0,0,IFERROR(VLOOKUP(C370,'Example Parties'!$B$13:$Q$112,14,FALSE),0)+SUMIFS($T$7:$T$506,$C$7:$C$506,C370,$B$7:$B$506,"&lt;="&amp;'Example Parties'!$E$8))</f>
        <v/>
      </c>
      <c r="AE370">
        <f>IF(OR('Example Parties'!$E$8="",S370=0,B370="",B370&gt;'Example Parties'!$E$8),0,MAX(0,MIN(S370,U370-AD370)))</f>
        <v/>
      </c>
      <c r="AF370">
        <f>IF(AND(P370="Creditor",X370=1,AE370&gt;0,Z370&lt;&gt;""),IF(Z370&lt;='Example Parties'!$E$8,AE370,0),0)</f>
        <v/>
      </c>
      <c r="AG370">
        <f>IF(OR(AE370=0,Z370=""),0,MAX(0,'Example Parties'!$E$8-Z370))</f>
        <v/>
      </c>
      <c r="AH370">
        <f>IF(AND(P370="Creditor",X370=1,AG370&gt;0),AE370*((1+3*N('Example Parties'!$E$10)/12)^(AG370*12/365)-1),0)</f>
        <v/>
      </c>
      <c r="AI370">
        <f>IF(AND(C370&lt;&gt;"",C370='Example Ledger'!$D$4,B370&lt;&gt;"",B370&gt;='Example Ledger'!$D$5,B370&lt;='Example Ledger'!$D$6),1,0)</f>
        <v/>
      </c>
      <c r="AJ370">
        <f>IF(AI370=1,SUM(AI$7:AI370),"")</f>
        <v/>
      </c>
      <c r="AK370">
        <f>IF(OR(N370="",N370="OK"),0,1)</f>
        <v/>
      </c>
    </row>
    <row r="371">
      <c r="B371" s="24" t="n"/>
      <c r="C371" s="14" t="n"/>
      <c r="D371" s="14" t="n"/>
      <c r="E371" s="20" t="n"/>
      <c r="F371" s="24" t="n"/>
      <c r="G371" s="14" t="n"/>
      <c r="H371" s="22" t="n"/>
      <c r="I371" s="25">
        <f>IF(Q371="D",N(H371),0)</f>
        <v/>
      </c>
      <c r="J371" s="25">
        <f>IF(Q371="C",N(H371),0)</f>
        <v/>
      </c>
      <c r="K371" s="26">
        <f>IF(Z371="","",Z371)</f>
        <v/>
      </c>
      <c r="L371" s="27">
        <f>W371</f>
        <v/>
      </c>
      <c r="M371" s="28">
        <f>AA371</f>
        <v/>
      </c>
      <c r="N371" s="23">
        <f>IF(AND(B371="",C371="",D371="",N(H371)=0),"",IF(B371="","Enter the date",IF(C371="","Pick the party",IF(P371="?","Add this party on the Parties sheet first",IF(D371="","Pick the entry type",IF(Q371="?","Pick the entry type from the list",IF(N(H371)=0,"Enter the amount",IF(AND(R371&lt;&gt;"Any",R371&lt;&gt;P371),"Sales, receipts and credit notes are for debtors; purchases, payments and debit notes for creditors",IF(AND(F371&lt;&gt;"",D371&lt;&gt;"Purchase bill"),"The received-on date is only for purchase bills",IF(AND(P371="Creditor",X371=1,AA371&gt;0),"Past due to a micro or small supplier: interest runs under MSMED s.16, and if unpaid at year end it is not deductible that year, s.37(2)(g)",IF(AND(P371="Debtor",X371=1,AA371&gt;0),"Past due to you: as a micro or small supplier you can claim interest under MSMED s.16","OK")))))))))))</f>
        <v/>
      </c>
      <c r="P371">
        <f>IF(C371="","",IFERROR(VLOOKUP(C371,'Example Parties'!$B$13:$Q$112,2,FALSE),"?"))</f>
        <v/>
      </c>
      <c r="Q371">
        <f>IF(D371="","",IFERROR(VLOOKUP(D371,Lists!$A$2:$D$9,3,FALSE),"?"))</f>
        <v/>
      </c>
      <c r="R371">
        <f>IF(D371="","",IFERROR(VLOOKUP(D371,Lists!$A$2:$D$9,4,FALSE),"?"))</f>
        <v/>
      </c>
      <c r="S371">
        <f>IF(P371="Debtor",I371,IF(P371="Creditor",J371,0))</f>
        <v/>
      </c>
      <c r="T371">
        <f>IF(P371="Debtor",J371,IF(P371="Creditor",I371,0))</f>
        <v/>
      </c>
      <c r="U371">
        <f>IF(OR(S371=0,B371=""),0,IFERROR(VLOOKUP(C371,'Example Parties'!$B$13:$Q$112,13,FALSE),0)+SUMIFS($S$7:$S$506,$C$7:$C$506,C371,$B$7:$B$506,"&lt;"&amp;B371)+SUMIFS(S$7:S371,C$7:C371,C371,B$7:B371,B371))</f>
        <v/>
      </c>
      <c r="V371">
        <f>IF(S371=0,0,IFERROR(VLOOKUP(C371,'Example Parties'!$B$13:$Q$112,14,FALSE),0)+SUMIFS($T$7:$T$506,$C$7:$C$506,C371,$B$7:$B$506,"&lt;="&amp;'Example Outstanding'!$E$5))</f>
        <v/>
      </c>
      <c r="W371">
        <f>IF(OR('Example Outstanding'!$E$5="",S371=0,B371="",B371&gt;'Example Outstanding'!$E$5),0,MAX(0,MIN(S371,U371-V371)))</f>
        <v/>
      </c>
      <c r="X371">
        <f>IF(C371="",0,IFERROR(VLOOKUP(C371,'Example Parties'!$B$13:$Q$112,15,FALSE),0))</f>
        <v/>
      </c>
      <c r="Y371">
        <f>IF(C371="","",IFERROR(VLOOKUP(C371,'Example Parties'!$B$13:$Q$112,16,FALSE),0))</f>
        <v/>
      </c>
      <c r="Z371">
        <f>IF(OR(S371=0,B371="",Y371=""),"",IF(AND(F371&lt;&gt;"",D371="Purchase bill"),F371,B371)+Y371)</f>
        <v/>
      </c>
      <c r="AA371">
        <f>IF(OR(W371=0,Z371=""),0,MAX(0,'Example Outstanding'!$E$5-Z371))</f>
        <v/>
      </c>
      <c r="AB371">
        <f>IF(AND(X371=1,AA371&gt;0),W371*((1+3*N('Example Parties'!$E$10)/12)^(AA371*12/365)-1),0)</f>
        <v/>
      </c>
      <c r="AC371">
        <f>IF(W371=0,"",'Example Outstanding'!$E$5-B371)</f>
        <v/>
      </c>
      <c r="AD371">
        <f>IF(S371=0,0,IFERROR(VLOOKUP(C371,'Example Parties'!$B$13:$Q$112,14,FALSE),0)+SUMIFS($T$7:$T$506,$C$7:$C$506,C371,$B$7:$B$506,"&lt;="&amp;'Example Parties'!$E$8))</f>
        <v/>
      </c>
      <c r="AE371">
        <f>IF(OR('Example Parties'!$E$8="",S371=0,B371="",B371&gt;'Example Parties'!$E$8),0,MAX(0,MIN(S371,U371-AD371)))</f>
        <v/>
      </c>
      <c r="AF371">
        <f>IF(AND(P371="Creditor",X371=1,AE371&gt;0,Z371&lt;&gt;""),IF(Z371&lt;='Example Parties'!$E$8,AE371,0),0)</f>
        <v/>
      </c>
      <c r="AG371">
        <f>IF(OR(AE371=0,Z371=""),0,MAX(0,'Example Parties'!$E$8-Z371))</f>
        <v/>
      </c>
      <c r="AH371">
        <f>IF(AND(P371="Creditor",X371=1,AG371&gt;0),AE371*((1+3*N('Example Parties'!$E$10)/12)^(AG371*12/365)-1),0)</f>
        <v/>
      </c>
      <c r="AI371">
        <f>IF(AND(C371&lt;&gt;"",C371='Example Ledger'!$D$4,B371&lt;&gt;"",B371&gt;='Example Ledger'!$D$5,B371&lt;='Example Ledger'!$D$6),1,0)</f>
        <v/>
      </c>
      <c r="AJ371">
        <f>IF(AI371=1,SUM(AI$7:AI371),"")</f>
        <v/>
      </c>
      <c r="AK371">
        <f>IF(OR(N371="",N371="OK"),0,1)</f>
        <v/>
      </c>
    </row>
    <row r="372">
      <c r="B372" s="24" t="n"/>
      <c r="C372" s="14" t="n"/>
      <c r="D372" s="14" t="n"/>
      <c r="E372" s="20" t="n"/>
      <c r="F372" s="24" t="n"/>
      <c r="G372" s="14" t="n"/>
      <c r="H372" s="22" t="n"/>
      <c r="I372" s="25">
        <f>IF(Q372="D",N(H372),0)</f>
        <v/>
      </c>
      <c r="J372" s="25">
        <f>IF(Q372="C",N(H372),0)</f>
        <v/>
      </c>
      <c r="K372" s="26">
        <f>IF(Z372="","",Z372)</f>
        <v/>
      </c>
      <c r="L372" s="27">
        <f>W372</f>
        <v/>
      </c>
      <c r="M372" s="28">
        <f>AA372</f>
        <v/>
      </c>
      <c r="N372" s="23">
        <f>IF(AND(B372="",C372="",D372="",N(H372)=0),"",IF(B372="","Enter the date",IF(C372="","Pick the party",IF(P372="?","Add this party on the Parties sheet first",IF(D372="","Pick the entry type",IF(Q372="?","Pick the entry type from the list",IF(N(H372)=0,"Enter the amount",IF(AND(R372&lt;&gt;"Any",R372&lt;&gt;P372),"Sales, receipts and credit notes are for debtors; purchases, payments and debit notes for creditors",IF(AND(F372&lt;&gt;"",D372&lt;&gt;"Purchase bill"),"The received-on date is only for purchase bills",IF(AND(P372="Creditor",X372=1,AA372&gt;0),"Past due to a micro or small supplier: interest runs under MSMED s.16, and if unpaid at year end it is not deductible that year, s.37(2)(g)",IF(AND(P372="Debtor",X372=1,AA372&gt;0),"Past due to you: as a micro or small supplier you can claim interest under MSMED s.16","OK")))))))))))</f>
        <v/>
      </c>
      <c r="P372">
        <f>IF(C372="","",IFERROR(VLOOKUP(C372,'Example Parties'!$B$13:$Q$112,2,FALSE),"?"))</f>
        <v/>
      </c>
      <c r="Q372">
        <f>IF(D372="","",IFERROR(VLOOKUP(D372,Lists!$A$2:$D$9,3,FALSE),"?"))</f>
        <v/>
      </c>
      <c r="R372">
        <f>IF(D372="","",IFERROR(VLOOKUP(D372,Lists!$A$2:$D$9,4,FALSE),"?"))</f>
        <v/>
      </c>
      <c r="S372">
        <f>IF(P372="Debtor",I372,IF(P372="Creditor",J372,0))</f>
        <v/>
      </c>
      <c r="T372">
        <f>IF(P372="Debtor",J372,IF(P372="Creditor",I372,0))</f>
        <v/>
      </c>
      <c r="U372">
        <f>IF(OR(S372=0,B372=""),0,IFERROR(VLOOKUP(C372,'Example Parties'!$B$13:$Q$112,13,FALSE),0)+SUMIFS($S$7:$S$506,$C$7:$C$506,C372,$B$7:$B$506,"&lt;"&amp;B372)+SUMIFS(S$7:S372,C$7:C372,C372,B$7:B372,B372))</f>
        <v/>
      </c>
      <c r="V372">
        <f>IF(S372=0,0,IFERROR(VLOOKUP(C372,'Example Parties'!$B$13:$Q$112,14,FALSE),0)+SUMIFS($T$7:$T$506,$C$7:$C$506,C372,$B$7:$B$506,"&lt;="&amp;'Example Outstanding'!$E$5))</f>
        <v/>
      </c>
      <c r="W372">
        <f>IF(OR('Example Outstanding'!$E$5="",S372=0,B372="",B372&gt;'Example Outstanding'!$E$5),0,MAX(0,MIN(S372,U372-V372)))</f>
        <v/>
      </c>
      <c r="X372">
        <f>IF(C372="",0,IFERROR(VLOOKUP(C372,'Example Parties'!$B$13:$Q$112,15,FALSE),0))</f>
        <v/>
      </c>
      <c r="Y372">
        <f>IF(C372="","",IFERROR(VLOOKUP(C372,'Example Parties'!$B$13:$Q$112,16,FALSE),0))</f>
        <v/>
      </c>
      <c r="Z372">
        <f>IF(OR(S372=0,B372="",Y372=""),"",IF(AND(F372&lt;&gt;"",D372="Purchase bill"),F372,B372)+Y372)</f>
        <v/>
      </c>
      <c r="AA372">
        <f>IF(OR(W372=0,Z372=""),0,MAX(0,'Example Outstanding'!$E$5-Z372))</f>
        <v/>
      </c>
      <c r="AB372">
        <f>IF(AND(X372=1,AA372&gt;0),W372*((1+3*N('Example Parties'!$E$10)/12)^(AA372*12/365)-1),0)</f>
        <v/>
      </c>
      <c r="AC372">
        <f>IF(W372=0,"",'Example Outstanding'!$E$5-B372)</f>
        <v/>
      </c>
      <c r="AD372">
        <f>IF(S372=0,0,IFERROR(VLOOKUP(C372,'Example Parties'!$B$13:$Q$112,14,FALSE),0)+SUMIFS($T$7:$T$506,$C$7:$C$506,C372,$B$7:$B$506,"&lt;="&amp;'Example Parties'!$E$8))</f>
        <v/>
      </c>
      <c r="AE372">
        <f>IF(OR('Example Parties'!$E$8="",S372=0,B372="",B372&gt;'Example Parties'!$E$8),0,MAX(0,MIN(S372,U372-AD372)))</f>
        <v/>
      </c>
      <c r="AF372">
        <f>IF(AND(P372="Creditor",X372=1,AE372&gt;0,Z372&lt;&gt;""),IF(Z372&lt;='Example Parties'!$E$8,AE372,0),0)</f>
        <v/>
      </c>
      <c r="AG372">
        <f>IF(OR(AE372=0,Z372=""),0,MAX(0,'Example Parties'!$E$8-Z372))</f>
        <v/>
      </c>
      <c r="AH372">
        <f>IF(AND(P372="Creditor",X372=1,AG372&gt;0),AE372*((1+3*N('Example Parties'!$E$10)/12)^(AG372*12/365)-1),0)</f>
        <v/>
      </c>
      <c r="AI372">
        <f>IF(AND(C372&lt;&gt;"",C372='Example Ledger'!$D$4,B372&lt;&gt;"",B372&gt;='Example Ledger'!$D$5,B372&lt;='Example Ledger'!$D$6),1,0)</f>
        <v/>
      </c>
      <c r="AJ372">
        <f>IF(AI372=1,SUM(AI$7:AI372),"")</f>
        <v/>
      </c>
      <c r="AK372">
        <f>IF(OR(N372="",N372="OK"),0,1)</f>
        <v/>
      </c>
    </row>
    <row r="373">
      <c r="B373" s="24" t="n"/>
      <c r="C373" s="14" t="n"/>
      <c r="D373" s="14" t="n"/>
      <c r="E373" s="20" t="n"/>
      <c r="F373" s="24" t="n"/>
      <c r="G373" s="14" t="n"/>
      <c r="H373" s="22" t="n"/>
      <c r="I373" s="25">
        <f>IF(Q373="D",N(H373),0)</f>
        <v/>
      </c>
      <c r="J373" s="25">
        <f>IF(Q373="C",N(H373),0)</f>
        <v/>
      </c>
      <c r="K373" s="26">
        <f>IF(Z373="","",Z373)</f>
        <v/>
      </c>
      <c r="L373" s="27">
        <f>W373</f>
        <v/>
      </c>
      <c r="M373" s="28">
        <f>AA373</f>
        <v/>
      </c>
      <c r="N373" s="23">
        <f>IF(AND(B373="",C373="",D373="",N(H373)=0),"",IF(B373="","Enter the date",IF(C373="","Pick the party",IF(P373="?","Add this party on the Parties sheet first",IF(D373="","Pick the entry type",IF(Q373="?","Pick the entry type from the list",IF(N(H373)=0,"Enter the amount",IF(AND(R373&lt;&gt;"Any",R373&lt;&gt;P373),"Sales, receipts and credit notes are for debtors; purchases, payments and debit notes for creditors",IF(AND(F373&lt;&gt;"",D373&lt;&gt;"Purchase bill"),"The received-on date is only for purchase bills",IF(AND(P373="Creditor",X373=1,AA373&gt;0),"Past due to a micro or small supplier: interest runs under MSMED s.16, and if unpaid at year end it is not deductible that year, s.37(2)(g)",IF(AND(P373="Debtor",X373=1,AA373&gt;0),"Past due to you: as a micro or small supplier you can claim interest under MSMED s.16","OK")))))))))))</f>
        <v/>
      </c>
      <c r="P373">
        <f>IF(C373="","",IFERROR(VLOOKUP(C373,'Example Parties'!$B$13:$Q$112,2,FALSE),"?"))</f>
        <v/>
      </c>
      <c r="Q373">
        <f>IF(D373="","",IFERROR(VLOOKUP(D373,Lists!$A$2:$D$9,3,FALSE),"?"))</f>
        <v/>
      </c>
      <c r="R373">
        <f>IF(D373="","",IFERROR(VLOOKUP(D373,Lists!$A$2:$D$9,4,FALSE),"?"))</f>
        <v/>
      </c>
      <c r="S373">
        <f>IF(P373="Debtor",I373,IF(P373="Creditor",J373,0))</f>
        <v/>
      </c>
      <c r="T373">
        <f>IF(P373="Debtor",J373,IF(P373="Creditor",I373,0))</f>
        <v/>
      </c>
      <c r="U373">
        <f>IF(OR(S373=0,B373=""),0,IFERROR(VLOOKUP(C373,'Example Parties'!$B$13:$Q$112,13,FALSE),0)+SUMIFS($S$7:$S$506,$C$7:$C$506,C373,$B$7:$B$506,"&lt;"&amp;B373)+SUMIFS(S$7:S373,C$7:C373,C373,B$7:B373,B373))</f>
        <v/>
      </c>
      <c r="V373">
        <f>IF(S373=0,0,IFERROR(VLOOKUP(C373,'Example Parties'!$B$13:$Q$112,14,FALSE),0)+SUMIFS($T$7:$T$506,$C$7:$C$506,C373,$B$7:$B$506,"&lt;="&amp;'Example Outstanding'!$E$5))</f>
        <v/>
      </c>
      <c r="W373">
        <f>IF(OR('Example Outstanding'!$E$5="",S373=0,B373="",B373&gt;'Example Outstanding'!$E$5),0,MAX(0,MIN(S373,U373-V373)))</f>
        <v/>
      </c>
      <c r="X373">
        <f>IF(C373="",0,IFERROR(VLOOKUP(C373,'Example Parties'!$B$13:$Q$112,15,FALSE),0))</f>
        <v/>
      </c>
      <c r="Y373">
        <f>IF(C373="","",IFERROR(VLOOKUP(C373,'Example Parties'!$B$13:$Q$112,16,FALSE),0))</f>
        <v/>
      </c>
      <c r="Z373">
        <f>IF(OR(S373=0,B373="",Y373=""),"",IF(AND(F373&lt;&gt;"",D373="Purchase bill"),F373,B373)+Y373)</f>
        <v/>
      </c>
      <c r="AA373">
        <f>IF(OR(W373=0,Z373=""),0,MAX(0,'Example Outstanding'!$E$5-Z373))</f>
        <v/>
      </c>
      <c r="AB373">
        <f>IF(AND(X373=1,AA373&gt;0),W373*((1+3*N('Example Parties'!$E$10)/12)^(AA373*12/365)-1),0)</f>
        <v/>
      </c>
      <c r="AC373">
        <f>IF(W373=0,"",'Example Outstanding'!$E$5-B373)</f>
        <v/>
      </c>
      <c r="AD373">
        <f>IF(S373=0,0,IFERROR(VLOOKUP(C373,'Example Parties'!$B$13:$Q$112,14,FALSE),0)+SUMIFS($T$7:$T$506,$C$7:$C$506,C373,$B$7:$B$506,"&lt;="&amp;'Example Parties'!$E$8))</f>
        <v/>
      </c>
      <c r="AE373">
        <f>IF(OR('Example Parties'!$E$8="",S373=0,B373="",B373&gt;'Example Parties'!$E$8),0,MAX(0,MIN(S373,U373-AD373)))</f>
        <v/>
      </c>
      <c r="AF373">
        <f>IF(AND(P373="Creditor",X373=1,AE373&gt;0,Z373&lt;&gt;""),IF(Z373&lt;='Example Parties'!$E$8,AE373,0),0)</f>
        <v/>
      </c>
      <c r="AG373">
        <f>IF(OR(AE373=0,Z373=""),0,MAX(0,'Example Parties'!$E$8-Z373))</f>
        <v/>
      </c>
      <c r="AH373">
        <f>IF(AND(P373="Creditor",X373=1,AG373&gt;0),AE373*((1+3*N('Example Parties'!$E$10)/12)^(AG373*12/365)-1),0)</f>
        <v/>
      </c>
      <c r="AI373">
        <f>IF(AND(C373&lt;&gt;"",C373='Example Ledger'!$D$4,B373&lt;&gt;"",B373&gt;='Example Ledger'!$D$5,B373&lt;='Example Ledger'!$D$6),1,0)</f>
        <v/>
      </c>
      <c r="AJ373">
        <f>IF(AI373=1,SUM(AI$7:AI373),"")</f>
        <v/>
      </c>
      <c r="AK373">
        <f>IF(OR(N373="",N373="OK"),0,1)</f>
        <v/>
      </c>
    </row>
    <row r="374">
      <c r="B374" s="24" t="n"/>
      <c r="C374" s="14" t="n"/>
      <c r="D374" s="14" t="n"/>
      <c r="E374" s="20" t="n"/>
      <c r="F374" s="24" t="n"/>
      <c r="G374" s="14" t="n"/>
      <c r="H374" s="22" t="n"/>
      <c r="I374" s="25">
        <f>IF(Q374="D",N(H374),0)</f>
        <v/>
      </c>
      <c r="J374" s="25">
        <f>IF(Q374="C",N(H374),0)</f>
        <v/>
      </c>
      <c r="K374" s="26">
        <f>IF(Z374="","",Z374)</f>
        <v/>
      </c>
      <c r="L374" s="27">
        <f>W374</f>
        <v/>
      </c>
      <c r="M374" s="28">
        <f>AA374</f>
        <v/>
      </c>
      <c r="N374" s="23">
        <f>IF(AND(B374="",C374="",D374="",N(H374)=0),"",IF(B374="","Enter the date",IF(C374="","Pick the party",IF(P374="?","Add this party on the Parties sheet first",IF(D374="","Pick the entry type",IF(Q374="?","Pick the entry type from the list",IF(N(H374)=0,"Enter the amount",IF(AND(R374&lt;&gt;"Any",R374&lt;&gt;P374),"Sales, receipts and credit notes are for debtors; purchases, payments and debit notes for creditors",IF(AND(F374&lt;&gt;"",D374&lt;&gt;"Purchase bill"),"The received-on date is only for purchase bills",IF(AND(P374="Creditor",X374=1,AA374&gt;0),"Past due to a micro or small supplier: interest runs under MSMED s.16, and if unpaid at year end it is not deductible that year, s.37(2)(g)",IF(AND(P374="Debtor",X374=1,AA374&gt;0),"Past due to you: as a micro or small supplier you can claim interest under MSMED s.16","OK")))))))))))</f>
        <v/>
      </c>
      <c r="P374">
        <f>IF(C374="","",IFERROR(VLOOKUP(C374,'Example Parties'!$B$13:$Q$112,2,FALSE),"?"))</f>
        <v/>
      </c>
      <c r="Q374">
        <f>IF(D374="","",IFERROR(VLOOKUP(D374,Lists!$A$2:$D$9,3,FALSE),"?"))</f>
        <v/>
      </c>
      <c r="R374">
        <f>IF(D374="","",IFERROR(VLOOKUP(D374,Lists!$A$2:$D$9,4,FALSE),"?"))</f>
        <v/>
      </c>
      <c r="S374">
        <f>IF(P374="Debtor",I374,IF(P374="Creditor",J374,0))</f>
        <v/>
      </c>
      <c r="T374">
        <f>IF(P374="Debtor",J374,IF(P374="Creditor",I374,0))</f>
        <v/>
      </c>
      <c r="U374">
        <f>IF(OR(S374=0,B374=""),0,IFERROR(VLOOKUP(C374,'Example Parties'!$B$13:$Q$112,13,FALSE),0)+SUMIFS($S$7:$S$506,$C$7:$C$506,C374,$B$7:$B$506,"&lt;"&amp;B374)+SUMIFS(S$7:S374,C$7:C374,C374,B$7:B374,B374))</f>
        <v/>
      </c>
      <c r="V374">
        <f>IF(S374=0,0,IFERROR(VLOOKUP(C374,'Example Parties'!$B$13:$Q$112,14,FALSE),0)+SUMIFS($T$7:$T$506,$C$7:$C$506,C374,$B$7:$B$506,"&lt;="&amp;'Example Outstanding'!$E$5))</f>
        <v/>
      </c>
      <c r="W374">
        <f>IF(OR('Example Outstanding'!$E$5="",S374=0,B374="",B374&gt;'Example Outstanding'!$E$5),0,MAX(0,MIN(S374,U374-V374)))</f>
        <v/>
      </c>
      <c r="X374">
        <f>IF(C374="",0,IFERROR(VLOOKUP(C374,'Example Parties'!$B$13:$Q$112,15,FALSE),0))</f>
        <v/>
      </c>
      <c r="Y374">
        <f>IF(C374="","",IFERROR(VLOOKUP(C374,'Example Parties'!$B$13:$Q$112,16,FALSE),0))</f>
        <v/>
      </c>
      <c r="Z374">
        <f>IF(OR(S374=0,B374="",Y374=""),"",IF(AND(F374&lt;&gt;"",D374="Purchase bill"),F374,B374)+Y374)</f>
        <v/>
      </c>
      <c r="AA374">
        <f>IF(OR(W374=0,Z374=""),0,MAX(0,'Example Outstanding'!$E$5-Z374))</f>
        <v/>
      </c>
      <c r="AB374">
        <f>IF(AND(X374=1,AA374&gt;0),W374*((1+3*N('Example Parties'!$E$10)/12)^(AA374*12/365)-1),0)</f>
        <v/>
      </c>
      <c r="AC374">
        <f>IF(W374=0,"",'Example Outstanding'!$E$5-B374)</f>
        <v/>
      </c>
      <c r="AD374">
        <f>IF(S374=0,0,IFERROR(VLOOKUP(C374,'Example Parties'!$B$13:$Q$112,14,FALSE),0)+SUMIFS($T$7:$T$506,$C$7:$C$506,C374,$B$7:$B$506,"&lt;="&amp;'Example Parties'!$E$8))</f>
        <v/>
      </c>
      <c r="AE374">
        <f>IF(OR('Example Parties'!$E$8="",S374=0,B374="",B374&gt;'Example Parties'!$E$8),0,MAX(0,MIN(S374,U374-AD374)))</f>
        <v/>
      </c>
      <c r="AF374">
        <f>IF(AND(P374="Creditor",X374=1,AE374&gt;0,Z374&lt;&gt;""),IF(Z374&lt;='Example Parties'!$E$8,AE374,0),0)</f>
        <v/>
      </c>
      <c r="AG374">
        <f>IF(OR(AE374=0,Z374=""),0,MAX(0,'Example Parties'!$E$8-Z374))</f>
        <v/>
      </c>
      <c r="AH374">
        <f>IF(AND(P374="Creditor",X374=1,AG374&gt;0),AE374*((1+3*N('Example Parties'!$E$10)/12)^(AG374*12/365)-1),0)</f>
        <v/>
      </c>
      <c r="AI374">
        <f>IF(AND(C374&lt;&gt;"",C374='Example Ledger'!$D$4,B374&lt;&gt;"",B374&gt;='Example Ledger'!$D$5,B374&lt;='Example Ledger'!$D$6),1,0)</f>
        <v/>
      </c>
      <c r="AJ374">
        <f>IF(AI374=1,SUM(AI$7:AI374),"")</f>
        <v/>
      </c>
      <c r="AK374">
        <f>IF(OR(N374="",N374="OK"),0,1)</f>
        <v/>
      </c>
    </row>
    <row r="375">
      <c r="B375" s="24" t="n"/>
      <c r="C375" s="14" t="n"/>
      <c r="D375" s="14" t="n"/>
      <c r="E375" s="20" t="n"/>
      <c r="F375" s="24" t="n"/>
      <c r="G375" s="14" t="n"/>
      <c r="H375" s="22" t="n"/>
      <c r="I375" s="25">
        <f>IF(Q375="D",N(H375),0)</f>
        <v/>
      </c>
      <c r="J375" s="25">
        <f>IF(Q375="C",N(H375),0)</f>
        <v/>
      </c>
      <c r="K375" s="26">
        <f>IF(Z375="","",Z375)</f>
        <v/>
      </c>
      <c r="L375" s="27">
        <f>W375</f>
        <v/>
      </c>
      <c r="M375" s="28">
        <f>AA375</f>
        <v/>
      </c>
      <c r="N375" s="23">
        <f>IF(AND(B375="",C375="",D375="",N(H375)=0),"",IF(B375="","Enter the date",IF(C375="","Pick the party",IF(P375="?","Add this party on the Parties sheet first",IF(D375="","Pick the entry type",IF(Q375="?","Pick the entry type from the list",IF(N(H375)=0,"Enter the amount",IF(AND(R375&lt;&gt;"Any",R375&lt;&gt;P375),"Sales, receipts and credit notes are for debtors; purchases, payments and debit notes for creditors",IF(AND(F375&lt;&gt;"",D375&lt;&gt;"Purchase bill"),"The received-on date is only for purchase bills",IF(AND(P375="Creditor",X375=1,AA375&gt;0),"Past due to a micro or small supplier: interest runs under MSMED s.16, and if unpaid at year end it is not deductible that year, s.37(2)(g)",IF(AND(P375="Debtor",X375=1,AA375&gt;0),"Past due to you: as a micro or small supplier you can claim interest under MSMED s.16","OK")))))))))))</f>
        <v/>
      </c>
      <c r="P375">
        <f>IF(C375="","",IFERROR(VLOOKUP(C375,'Example Parties'!$B$13:$Q$112,2,FALSE),"?"))</f>
        <v/>
      </c>
      <c r="Q375">
        <f>IF(D375="","",IFERROR(VLOOKUP(D375,Lists!$A$2:$D$9,3,FALSE),"?"))</f>
        <v/>
      </c>
      <c r="R375">
        <f>IF(D375="","",IFERROR(VLOOKUP(D375,Lists!$A$2:$D$9,4,FALSE),"?"))</f>
        <v/>
      </c>
      <c r="S375">
        <f>IF(P375="Debtor",I375,IF(P375="Creditor",J375,0))</f>
        <v/>
      </c>
      <c r="T375">
        <f>IF(P375="Debtor",J375,IF(P375="Creditor",I375,0))</f>
        <v/>
      </c>
      <c r="U375">
        <f>IF(OR(S375=0,B375=""),0,IFERROR(VLOOKUP(C375,'Example Parties'!$B$13:$Q$112,13,FALSE),0)+SUMIFS($S$7:$S$506,$C$7:$C$506,C375,$B$7:$B$506,"&lt;"&amp;B375)+SUMIFS(S$7:S375,C$7:C375,C375,B$7:B375,B375))</f>
        <v/>
      </c>
      <c r="V375">
        <f>IF(S375=0,0,IFERROR(VLOOKUP(C375,'Example Parties'!$B$13:$Q$112,14,FALSE),0)+SUMIFS($T$7:$T$506,$C$7:$C$506,C375,$B$7:$B$506,"&lt;="&amp;'Example Outstanding'!$E$5))</f>
        <v/>
      </c>
      <c r="W375">
        <f>IF(OR('Example Outstanding'!$E$5="",S375=0,B375="",B375&gt;'Example Outstanding'!$E$5),0,MAX(0,MIN(S375,U375-V375)))</f>
        <v/>
      </c>
      <c r="X375">
        <f>IF(C375="",0,IFERROR(VLOOKUP(C375,'Example Parties'!$B$13:$Q$112,15,FALSE),0))</f>
        <v/>
      </c>
      <c r="Y375">
        <f>IF(C375="","",IFERROR(VLOOKUP(C375,'Example Parties'!$B$13:$Q$112,16,FALSE),0))</f>
        <v/>
      </c>
      <c r="Z375">
        <f>IF(OR(S375=0,B375="",Y375=""),"",IF(AND(F375&lt;&gt;"",D375="Purchase bill"),F375,B375)+Y375)</f>
        <v/>
      </c>
      <c r="AA375">
        <f>IF(OR(W375=0,Z375=""),0,MAX(0,'Example Outstanding'!$E$5-Z375))</f>
        <v/>
      </c>
      <c r="AB375">
        <f>IF(AND(X375=1,AA375&gt;0),W375*((1+3*N('Example Parties'!$E$10)/12)^(AA375*12/365)-1),0)</f>
        <v/>
      </c>
      <c r="AC375">
        <f>IF(W375=0,"",'Example Outstanding'!$E$5-B375)</f>
        <v/>
      </c>
      <c r="AD375">
        <f>IF(S375=0,0,IFERROR(VLOOKUP(C375,'Example Parties'!$B$13:$Q$112,14,FALSE),0)+SUMIFS($T$7:$T$506,$C$7:$C$506,C375,$B$7:$B$506,"&lt;="&amp;'Example Parties'!$E$8))</f>
        <v/>
      </c>
      <c r="AE375">
        <f>IF(OR('Example Parties'!$E$8="",S375=0,B375="",B375&gt;'Example Parties'!$E$8),0,MAX(0,MIN(S375,U375-AD375)))</f>
        <v/>
      </c>
      <c r="AF375">
        <f>IF(AND(P375="Creditor",X375=1,AE375&gt;0,Z375&lt;&gt;""),IF(Z375&lt;='Example Parties'!$E$8,AE375,0),0)</f>
        <v/>
      </c>
      <c r="AG375">
        <f>IF(OR(AE375=0,Z375=""),0,MAX(0,'Example Parties'!$E$8-Z375))</f>
        <v/>
      </c>
      <c r="AH375">
        <f>IF(AND(P375="Creditor",X375=1,AG375&gt;0),AE375*((1+3*N('Example Parties'!$E$10)/12)^(AG375*12/365)-1),0)</f>
        <v/>
      </c>
      <c r="AI375">
        <f>IF(AND(C375&lt;&gt;"",C375='Example Ledger'!$D$4,B375&lt;&gt;"",B375&gt;='Example Ledger'!$D$5,B375&lt;='Example Ledger'!$D$6),1,0)</f>
        <v/>
      </c>
      <c r="AJ375">
        <f>IF(AI375=1,SUM(AI$7:AI375),"")</f>
        <v/>
      </c>
      <c r="AK375">
        <f>IF(OR(N375="",N375="OK"),0,1)</f>
        <v/>
      </c>
    </row>
    <row r="376">
      <c r="B376" s="24" t="n"/>
      <c r="C376" s="14" t="n"/>
      <c r="D376" s="14" t="n"/>
      <c r="E376" s="20" t="n"/>
      <c r="F376" s="24" t="n"/>
      <c r="G376" s="14" t="n"/>
      <c r="H376" s="22" t="n"/>
      <c r="I376" s="25">
        <f>IF(Q376="D",N(H376),0)</f>
        <v/>
      </c>
      <c r="J376" s="25">
        <f>IF(Q376="C",N(H376),0)</f>
        <v/>
      </c>
      <c r="K376" s="26">
        <f>IF(Z376="","",Z376)</f>
        <v/>
      </c>
      <c r="L376" s="27">
        <f>W376</f>
        <v/>
      </c>
      <c r="M376" s="28">
        <f>AA376</f>
        <v/>
      </c>
      <c r="N376" s="23">
        <f>IF(AND(B376="",C376="",D376="",N(H376)=0),"",IF(B376="","Enter the date",IF(C376="","Pick the party",IF(P376="?","Add this party on the Parties sheet first",IF(D376="","Pick the entry type",IF(Q376="?","Pick the entry type from the list",IF(N(H376)=0,"Enter the amount",IF(AND(R376&lt;&gt;"Any",R376&lt;&gt;P376),"Sales, receipts and credit notes are for debtors; purchases, payments and debit notes for creditors",IF(AND(F376&lt;&gt;"",D376&lt;&gt;"Purchase bill"),"The received-on date is only for purchase bills",IF(AND(P376="Creditor",X376=1,AA376&gt;0),"Past due to a micro or small supplier: interest runs under MSMED s.16, and if unpaid at year end it is not deductible that year, s.37(2)(g)",IF(AND(P376="Debtor",X376=1,AA376&gt;0),"Past due to you: as a micro or small supplier you can claim interest under MSMED s.16","OK")))))))))))</f>
        <v/>
      </c>
      <c r="P376">
        <f>IF(C376="","",IFERROR(VLOOKUP(C376,'Example Parties'!$B$13:$Q$112,2,FALSE),"?"))</f>
        <v/>
      </c>
      <c r="Q376">
        <f>IF(D376="","",IFERROR(VLOOKUP(D376,Lists!$A$2:$D$9,3,FALSE),"?"))</f>
        <v/>
      </c>
      <c r="R376">
        <f>IF(D376="","",IFERROR(VLOOKUP(D376,Lists!$A$2:$D$9,4,FALSE),"?"))</f>
        <v/>
      </c>
      <c r="S376">
        <f>IF(P376="Debtor",I376,IF(P376="Creditor",J376,0))</f>
        <v/>
      </c>
      <c r="T376">
        <f>IF(P376="Debtor",J376,IF(P376="Creditor",I376,0))</f>
        <v/>
      </c>
      <c r="U376">
        <f>IF(OR(S376=0,B376=""),0,IFERROR(VLOOKUP(C376,'Example Parties'!$B$13:$Q$112,13,FALSE),0)+SUMIFS($S$7:$S$506,$C$7:$C$506,C376,$B$7:$B$506,"&lt;"&amp;B376)+SUMIFS(S$7:S376,C$7:C376,C376,B$7:B376,B376))</f>
        <v/>
      </c>
      <c r="V376">
        <f>IF(S376=0,0,IFERROR(VLOOKUP(C376,'Example Parties'!$B$13:$Q$112,14,FALSE),0)+SUMIFS($T$7:$T$506,$C$7:$C$506,C376,$B$7:$B$506,"&lt;="&amp;'Example Outstanding'!$E$5))</f>
        <v/>
      </c>
      <c r="W376">
        <f>IF(OR('Example Outstanding'!$E$5="",S376=0,B376="",B376&gt;'Example Outstanding'!$E$5),0,MAX(0,MIN(S376,U376-V376)))</f>
        <v/>
      </c>
      <c r="X376">
        <f>IF(C376="",0,IFERROR(VLOOKUP(C376,'Example Parties'!$B$13:$Q$112,15,FALSE),0))</f>
        <v/>
      </c>
      <c r="Y376">
        <f>IF(C376="","",IFERROR(VLOOKUP(C376,'Example Parties'!$B$13:$Q$112,16,FALSE),0))</f>
        <v/>
      </c>
      <c r="Z376">
        <f>IF(OR(S376=0,B376="",Y376=""),"",IF(AND(F376&lt;&gt;"",D376="Purchase bill"),F376,B376)+Y376)</f>
        <v/>
      </c>
      <c r="AA376">
        <f>IF(OR(W376=0,Z376=""),0,MAX(0,'Example Outstanding'!$E$5-Z376))</f>
        <v/>
      </c>
      <c r="AB376">
        <f>IF(AND(X376=1,AA376&gt;0),W376*((1+3*N('Example Parties'!$E$10)/12)^(AA376*12/365)-1),0)</f>
        <v/>
      </c>
      <c r="AC376">
        <f>IF(W376=0,"",'Example Outstanding'!$E$5-B376)</f>
        <v/>
      </c>
      <c r="AD376">
        <f>IF(S376=0,0,IFERROR(VLOOKUP(C376,'Example Parties'!$B$13:$Q$112,14,FALSE),0)+SUMIFS($T$7:$T$506,$C$7:$C$506,C376,$B$7:$B$506,"&lt;="&amp;'Example Parties'!$E$8))</f>
        <v/>
      </c>
      <c r="AE376">
        <f>IF(OR('Example Parties'!$E$8="",S376=0,B376="",B376&gt;'Example Parties'!$E$8),0,MAX(0,MIN(S376,U376-AD376)))</f>
        <v/>
      </c>
      <c r="AF376">
        <f>IF(AND(P376="Creditor",X376=1,AE376&gt;0,Z376&lt;&gt;""),IF(Z376&lt;='Example Parties'!$E$8,AE376,0),0)</f>
        <v/>
      </c>
      <c r="AG376">
        <f>IF(OR(AE376=0,Z376=""),0,MAX(0,'Example Parties'!$E$8-Z376))</f>
        <v/>
      </c>
      <c r="AH376">
        <f>IF(AND(P376="Creditor",X376=1,AG376&gt;0),AE376*((1+3*N('Example Parties'!$E$10)/12)^(AG376*12/365)-1),0)</f>
        <v/>
      </c>
      <c r="AI376">
        <f>IF(AND(C376&lt;&gt;"",C376='Example Ledger'!$D$4,B376&lt;&gt;"",B376&gt;='Example Ledger'!$D$5,B376&lt;='Example Ledger'!$D$6),1,0)</f>
        <v/>
      </c>
      <c r="AJ376">
        <f>IF(AI376=1,SUM(AI$7:AI376),"")</f>
        <v/>
      </c>
      <c r="AK376">
        <f>IF(OR(N376="",N376="OK"),0,1)</f>
        <v/>
      </c>
    </row>
    <row r="377">
      <c r="B377" s="24" t="n"/>
      <c r="C377" s="14" t="n"/>
      <c r="D377" s="14" t="n"/>
      <c r="E377" s="20" t="n"/>
      <c r="F377" s="24" t="n"/>
      <c r="G377" s="14" t="n"/>
      <c r="H377" s="22" t="n"/>
      <c r="I377" s="25">
        <f>IF(Q377="D",N(H377),0)</f>
        <v/>
      </c>
      <c r="J377" s="25">
        <f>IF(Q377="C",N(H377),0)</f>
        <v/>
      </c>
      <c r="K377" s="26">
        <f>IF(Z377="","",Z377)</f>
        <v/>
      </c>
      <c r="L377" s="27">
        <f>W377</f>
        <v/>
      </c>
      <c r="M377" s="28">
        <f>AA377</f>
        <v/>
      </c>
      <c r="N377" s="23">
        <f>IF(AND(B377="",C377="",D377="",N(H377)=0),"",IF(B377="","Enter the date",IF(C377="","Pick the party",IF(P377="?","Add this party on the Parties sheet first",IF(D377="","Pick the entry type",IF(Q377="?","Pick the entry type from the list",IF(N(H377)=0,"Enter the amount",IF(AND(R377&lt;&gt;"Any",R377&lt;&gt;P377),"Sales, receipts and credit notes are for debtors; purchases, payments and debit notes for creditors",IF(AND(F377&lt;&gt;"",D377&lt;&gt;"Purchase bill"),"The received-on date is only for purchase bills",IF(AND(P377="Creditor",X377=1,AA377&gt;0),"Past due to a micro or small supplier: interest runs under MSMED s.16, and if unpaid at year end it is not deductible that year, s.37(2)(g)",IF(AND(P377="Debtor",X377=1,AA377&gt;0),"Past due to you: as a micro or small supplier you can claim interest under MSMED s.16","OK")))))))))))</f>
        <v/>
      </c>
      <c r="P377">
        <f>IF(C377="","",IFERROR(VLOOKUP(C377,'Example Parties'!$B$13:$Q$112,2,FALSE),"?"))</f>
        <v/>
      </c>
      <c r="Q377">
        <f>IF(D377="","",IFERROR(VLOOKUP(D377,Lists!$A$2:$D$9,3,FALSE),"?"))</f>
        <v/>
      </c>
      <c r="R377">
        <f>IF(D377="","",IFERROR(VLOOKUP(D377,Lists!$A$2:$D$9,4,FALSE),"?"))</f>
        <v/>
      </c>
      <c r="S377">
        <f>IF(P377="Debtor",I377,IF(P377="Creditor",J377,0))</f>
        <v/>
      </c>
      <c r="T377">
        <f>IF(P377="Debtor",J377,IF(P377="Creditor",I377,0))</f>
        <v/>
      </c>
      <c r="U377">
        <f>IF(OR(S377=0,B377=""),0,IFERROR(VLOOKUP(C377,'Example Parties'!$B$13:$Q$112,13,FALSE),0)+SUMIFS($S$7:$S$506,$C$7:$C$506,C377,$B$7:$B$506,"&lt;"&amp;B377)+SUMIFS(S$7:S377,C$7:C377,C377,B$7:B377,B377))</f>
        <v/>
      </c>
      <c r="V377">
        <f>IF(S377=0,0,IFERROR(VLOOKUP(C377,'Example Parties'!$B$13:$Q$112,14,FALSE),0)+SUMIFS($T$7:$T$506,$C$7:$C$506,C377,$B$7:$B$506,"&lt;="&amp;'Example Outstanding'!$E$5))</f>
        <v/>
      </c>
      <c r="W377">
        <f>IF(OR('Example Outstanding'!$E$5="",S377=0,B377="",B377&gt;'Example Outstanding'!$E$5),0,MAX(0,MIN(S377,U377-V377)))</f>
        <v/>
      </c>
      <c r="X377">
        <f>IF(C377="",0,IFERROR(VLOOKUP(C377,'Example Parties'!$B$13:$Q$112,15,FALSE),0))</f>
        <v/>
      </c>
      <c r="Y377">
        <f>IF(C377="","",IFERROR(VLOOKUP(C377,'Example Parties'!$B$13:$Q$112,16,FALSE),0))</f>
        <v/>
      </c>
      <c r="Z377">
        <f>IF(OR(S377=0,B377="",Y377=""),"",IF(AND(F377&lt;&gt;"",D377="Purchase bill"),F377,B377)+Y377)</f>
        <v/>
      </c>
      <c r="AA377">
        <f>IF(OR(W377=0,Z377=""),0,MAX(0,'Example Outstanding'!$E$5-Z377))</f>
        <v/>
      </c>
      <c r="AB377">
        <f>IF(AND(X377=1,AA377&gt;0),W377*((1+3*N('Example Parties'!$E$10)/12)^(AA377*12/365)-1),0)</f>
        <v/>
      </c>
      <c r="AC377">
        <f>IF(W377=0,"",'Example Outstanding'!$E$5-B377)</f>
        <v/>
      </c>
      <c r="AD377">
        <f>IF(S377=0,0,IFERROR(VLOOKUP(C377,'Example Parties'!$B$13:$Q$112,14,FALSE),0)+SUMIFS($T$7:$T$506,$C$7:$C$506,C377,$B$7:$B$506,"&lt;="&amp;'Example Parties'!$E$8))</f>
        <v/>
      </c>
      <c r="AE377">
        <f>IF(OR('Example Parties'!$E$8="",S377=0,B377="",B377&gt;'Example Parties'!$E$8),0,MAX(0,MIN(S377,U377-AD377)))</f>
        <v/>
      </c>
      <c r="AF377">
        <f>IF(AND(P377="Creditor",X377=1,AE377&gt;0,Z377&lt;&gt;""),IF(Z377&lt;='Example Parties'!$E$8,AE377,0),0)</f>
        <v/>
      </c>
      <c r="AG377">
        <f>IF(OR(AE377=0,Z377=""),0,MAX(0,'Example Parties'!$E$8-Z377))</f>
        <v/>
      </c>
      <c r="AH377">
        <f>IF(AND(P377="Creditor",X377=1,AG377&gt;0),AE377*((1+3*N('Example Parties'!$E$10)/12)^(AG377*12/365)-1),0)</f>
        <v/>
      </c>
      <c r="AI377">
        <f>IF(AND(C377&lt;&gt;"",C377='Example Ledger'!$D$4,B377&lt;&gt;"",B377&gt;='Example Ledger'!$D$5,B377&lt;='Example Ledger'!$D$6),1,0)</f>
        <v/>
      </c>
      <c r="AJ377">
        <f>IF(AI377=1,SUM(AI$7:AI377),"")</f>
        <v/>
      </c>
      <c r="AK377">
        <f>IF(OR(N377="",N377="OK"),0,1)</f>
        <v/>
      </c>
    </row>
    <row r="378">
      <c r="B378" s="24" t="n"/>
      <c r="C378" s="14" t="n"/>
      <c r="D378" s="14" t="n"/>
      <c r="E378" s="20" t="n"/>
      <c r="F378" s="24" t="n"/>
      <c r="G378" s="14" t="n"/>
      <c r="H378" s="22" t="n"/>
      <c r="I378" s="25">
        <f>IF(Q378="D",N(H378),0)</f>
        <v/>
      </c>
      <c r="J378" s="25">
        <f>IF(Q378="C",N(H378),0)</f>
        <v/>
      </c>
      <c r="K378" s="26">
        <f>IF(Z378="","",Z378)</f>
        <v/>
      </c>
      <c r="L378" s="27">
        <f>W378</f>
        <v/>
      </c>
      <c r="M378" s="28">
        <f>AA378</f>
        <v/>
      </c>
      <c r="N378" s="23">
        <f>IF(AND(B378="",C378="",D378="",N(H378)=0),"",IF(B378="","Enter the date",IF(C378="","Pick the party",IF(P378="?","Add this party on the Parties sheet first",IF(D378="","Pick the entry type",IF(Q378="?","Pick the entry type from the list",IF(N(H378)=0,"Enter the amount",IF(AND(R378&lt;&gt;"Any",R378&lt;&gt;P378),"Sales, receipts and credit notes are for debtors; purchases, payments and debit notes for creditors",IF(AND(F378&lt;&gt;"",D378&lt;&gt;"Purchase bill"),"The received-on date is only for purchase bills",IF(AND(P378="Creditor",X378=1,AA378&gt;0),"Past due to a micro or small supplier: interest runs under MSMED s.16, and if unpaid at year end it is not deductible that year, s.37(2)(g)",IF(AND(P378="Debtor",X378=1,AA378&gt;0),"Past due to you: as a micro or small supplier you can claim interest under MSMED s.16","OK")))))))))))</f>
        <v/>
      </c>
      <c r="P378">
        <f>IF(C378="","",IFERROR(VLOOKUP(C378,'Example Parties'!$B$13:$Q$112,2,FALSE),"?"))</f>
        <v/>
      </c>
      <c r="Q378">
        <f>IF(D378="","",IFERROR(VLOOKUP(D378,Lists!$A$2:$D$9,3,FALSE),"?"))</f>
        <v/>
      </c>
      <c r="R378">
        <f>IF(D378="","",IFERROR(VLOOKUP(D378,Lists!$A$2:$D$9,4,FALSE),"?"))</f>
        <v/>
      </c>
      <c r="S378">
        <f>IF(P378="Debtor",I378,IF(P378="Creditor",J378,0))</f>
        <v/>
      </c>
      <c r="T378">
        <f>IF(P378="Debtor",J378,IF(P378="Creditor",I378,0))</f>
        <v/>
      </c>
      <c r="U378">
        <f>IF(OR(S378=0,B378=""),0,IFERROR(VLOOKUP(C378,'Example Parties'!$B$13:$Q$112,13,FALSE),0)+SUMIFS($S$7:$S$506,$C$7:$C$506,C378,$B$7:$B$506,"&lt;"&amp;B378)+SUMIFS(S$7:S378,C$7:C378,C378,B$7:B378,B378))</f>
        <v/>
      </c>
      <c r="V378">
        <f>IF(S378=0,0,IFERROR(VLOOKUP(C378,'Example Parties'!$B$13:$Q$112,14,FALSE),0)+SUMIFS($T$7:$T$506,$C$7:$C$506,C378,$B$7:$B$506,"&lt;="&amp;'Example Outstanding'!$E$5))</f>
        <v/>
      </c>
      <c r="W378">
        <f>IF(OR('Example Outstanding'!$E$5="",S378=0,B378="",B378&gt;'Example Outstanding'!$E$5),0,MAX(0,MIN(S378,U378-V378)))</f>
        <v/>
      </c>
      <c r="X378">
        <f>IF(C378="",0,IFERROR(VLOOKUP(C378,'Example Parties'!$B$13:$Q$112,15,FALSE),0))</f>
        <v/>
      </c>
      <c r="Y378">
        <f>IF(C378="","",IFERROR(VLOOKUP(C378,'Example Parties'!$B$13:$Q$112,16,FALSE),0))</f>
        <v/>
      </c>
      <c r="Z378">
        <f>IF(OR(S378=0,B378="",Y378=""),"",IF(AND(F378&lt;&gt;"",D378="Purchase bill"),F378,B378)+Y378)</f>
        <v/>
      </c>
      <c r="AA378">
        <f>IF(OR(W378=0,Z378=""),0,MAX(0,'Example Outstanding'!$E$5-Z378))</f>
        <v/>
      </c>
      <c r="AB378">
        <f>IF(AND(X378=1,AA378&gt;0),W378*((1+3*N('Example Parties'!$E$10)/12)^(AA378*12/365)-1),0)</f>
        <v/>
      </c>
      <c r="AC378">
        <f>IF(W378=0,"",'Example Outstanding'!$E$5-B378)</f>
        <v/>
      </c>
      <c r="AD378">
        <f>IF(S378=0,0,IFERROR(VLOOKUP(C378,'Example Parties'!$B$13:$Q$112,14,FALSE),0)+SUMIFS($T$7:$T$506,$C$7:$C$506,C378,$B$7:$B$506,"&lt;="&amp;'Example Parties'!$E$8))</f>
        <v/>
      </c>
      <c r="AE378">
        <f>IF(OR('Example Parties'!$E$8="",S378=0,B378="",B378&gt;'Example Parties'!$E$8),0,MAX(0,MIN(S378,U378-AD378)))</f>
        <v/>
      </c>
      <c r="AF378">
        <f>IF(AND(P378="Creditor",X378=1,AE378&gt;0,Z378&lt;&gt;""),IF(Z378&lt;='Example Parties'!$E$8,AE378,0),0)</f>
        <v/>
      </c>
      <c r="AG378">
        <f>IF(OR(AE378=0,Z378=""),0,MAX(0,'Example Parties'!$E$8-Z378))</f>
        <v/>
      </c>
      <c r="AH378">
        <f>IF(AND(P378="Creditor",X378=1,AG378&gt;0),AE378*((1+3*N('Example Parties'!$E$10)/12)^(AG378*12/365)-1),0)</f>
        <v/>
      </c>
      <c r="AI378">
        <f>IF(AND(C378&lt;&gt;"",C378='Example Ledger'!$D$4,B378&lt;&gt;"",B378&gt;='Example Ledger'!$D$5,B378&lt;='Example Ledger'!$D$6),1,0)</f>
        <v/>
      </c>
      <c r="AJ378">
        <f>IF(AI378=1,SUM(AI$7:AI378),"")</f>
        <v/>
      </c>
      <c r="AK378">
        <f>IF(OR(N378="",N378="OK"),0,1)</f>
        <v/>
      </c>
    </row>
    <row r="379">
      <c r="B379" s="24" t="n"/>
      <c r="C379" s="14" t="n"/>
      <c r="D379" s="14" t="n"/>
      <c r="E379" s="20" t="n"/>
      <c r="F379" s="24" t="n"/>
      <c r="G379" s="14" t="n"/>
      <c r="H379" s="22" t="n"/>
      <c r="I379" s="25">
        <f>IF(Q379="D",N(H379),0)</f>
        <v/>
      </c>
      <c r="J379" s="25">
        <f>IF(Q379="C",N(H379),0)</f>
        <v/>
      </c>
      <c r="K379" s="26">
        <f>IF(Z379="","",Z379)</f>
        <v/>
      </c>
      <c r="L379" s="27">
        <f>W379</f>
        <v/>
      </c>
      <c r="M379" s="28">
        <f>AA379</f>
        <v/>
      </c>
      <c r="N379" s="23">
        <f>IF(AND(B379="",C379="",D379="",N(H379)=0),"",IF(B379="","Enter the date",IF(C379="","Pick the party",IF(P379="?","Add this party on the Parties sheet first",IF(D379="","Pick the entry type",IF(Q379="?","Pick the entry type from the list",IF(N(H379)=0,"Enter the amount",IF(AND(R379&lt;&gt;"Any",R379&lt;&gt;P379),"Sales, receipts and credit notes are for debtors; purchases, payments and debit notes for creditors",IF(AND(F379&lt;&gt;"",D379&lt;&gt;"Purchase bill"),"The received-on date is only for purchase bills",IF(AND(P379="Creditor",X379=1,AA379&gt;0),"Past due to a micro or small supplier: interest runs under MSMED s.16, and if unpaid at year end it is not deductible that year, s.37(2)(g)",IF(AND(P379="Debtor",X379=1,AA379&gt;0),"Past due to you: as a micro or small supplier you can claim interest under MSMED s.16","OK")))))))))))</f>
        <v/>
      </c>
      <c r="P379">
        <f>IF(C379="","",IFERROR(VLOOKUP(C379,'Example Parties'!$B$13:$Q$112,2,FALSE),"?"))</f>
        <v/>
      </c>
      <c r="Q379">
        <f>IF(D379="","",IFERROR(VLOOKUP(D379,Lists!$A$2:$D$9,3,FALSE),"?"))</f>
        <v/>
      </c>
      <c r="R379">
        <f>IF(D379="","",IFERROR(VLOOKUP(D379,Lists!$A$2:$D$9,4,FALSE),"?"))</f>
        <v/>
      </c>
      <c r="S379">
        <f>IF(P379="Debtor",I379,IF(P379="Creditor",J379,0))</f>
        <v/>
      </c>
      <c r="T379">
        <f>IF(P379="Debtor",J379,IF(P379="Creditor",I379,0))</f>
        <v/>
      </c>
      <c r="U379">
        <f>IF(OR(S379=0,B379=""),0,IFERROR(VLOOKUP(C379,'Example Parties'!$B$13:$Q$112,13,FALSE),0)+SUMIFS($S$7:$S$506,$C$7:$C$506,C379,$B$7:$B$506,"&lt;"&amp;B379)+SUMIFS(S$7:S379,C$7:C379,C379,B$7:B379,B379))</f>
        <v/>
      </c>
      <c r="V379">
        <f>IF(S379=0,0,IFERROR(VLOOKUP(C379,'Example Parties'!$B$13:$Q$112,14,FALSE),0)+SUMIFS($T$7:$T$506,$C$7:$C$506,C379,$B$7:$B$506,"&lt;="&amp;'Example Outstanding'!$E$5))</f>
        <v/>
      </c>
      <c r="W379">
        <f>IF(OR('Example Outstanding'!$E$5="",S379=0,B379="",B379&gt;'Example Outstanding'!$E$5),0,MAX(0,MIN(S379,U379-V379)))</f>
        <v/>
      </c>
      <c r="X379">
        <f>IF(C379="",0,IFERROR(VLOOKUP(C379,'Example Parties'!$B$13:$Q$112,15,FALSE),0))</f>
        <v/>
      </c>
      <c r="Y379">
        <f>IF(C379="","",IFERROR(VLOOKUP(C379,'Example Parties'!$B$13:$Q$112,16,FALSE),0))</f>
        <v/>
      </c>
      <c r="Z379">
        <f>IF(OR(S379=0,B379="",Y379=""),"",IF(AND(F379&lt;&gt;"",D379="Purchase bill"),F379,B379)+Y379)</f>
        <v/>
      </c>
      <c r="AA379">
        <f>IF(OR(W379=0,Z379=""),0,MAX(0,'Example Outstanding'!$E$5-Z379))</f>
        <v/>
      </c>
      <c r="AB379">
        <f>IF(AND(X379=1,AA379&gt;0),W379*((1+3*N('Example Parties'!$E$10)/12)^(AA379*12/365)-1),0)</f>
        <v/>
      </c>
      <c r="AC379">
        <f>IF(W379=0,"",'Example Outstanding'!$E$5-B379)</f>
        <v/>
      </c>
      <c r="AD379">
        <f>IF(S379=0,0,IFERROR(VLOOKUP(C379,'Example Parties'!$B$13:$Q$112,14,FALSE),0)+SUMIFS($T$7:$T$506,$C$7:$C$506,C379,$B$7:$B$506,"&lt;="&amp;'Example Parties'!$E$8))</f>
        <v/>
      </c>
      <c r="AE379">
        <f>IF(OR('Example Parties'!$E$8="",S379=0,B379="",B379&gt;'Example Parties'!$E$8),0,MAX(0,MIN(S379,U379-AD379)))</f>
        <v/>
      </c>
      <c r="AF379">
        <f>IF(AND(P379="Creditor",X379=1,AE379&gt;0,Z379&lt;&gt;""),IF(Z379&lt;='Example Parties'!$E$8,AE379,0),0)</f>
        <v/>
      </c>
      <c r="AG379">
        <f>IF(OR(AE379=0,Z379=""),0,MAX(0,'Example Parties'!$E$8-Z379))</f>
        <v/>
      </c>
      <c r="AH379">
        <f>IF(AND(P379="Creditor",X379=1,AG379&gt;0),AE379*((1+3*N('Example Parties'!$E$10)/12)^(AG379*12/365)-1),0)</f>
        <v/>
      </c>
      <c r="AI379">
        <f>IF(AND(C379&lt;&gt;"",C379='Example Ledger'!$D$4,B379&lt;&gt;"",B379&gt;='Example Ledger'!$D$5,B379&lt;='Example Ledger'!$D$6),1,0)</f>
        <v/>
      </c>
      <c r="AJ379">
        <f>IF(AI379=1,SUM(AI$7:AI379),"")</f>
        <v/>
      </c>
      <c r="AK379">
        <f>IF(OR(N379="",N379="OK"),0,1)</f>
        <v/>
      </c>
    </row>
    <row r="380">
      <c r="B380" s="24" t="n"/>
      <c r="C380" s="14" t="n"/>
      <c r="D380" s="14" t="n"/>
      <c r="E380" s="20" t="n"/>
      <c r="F380" s="24" t="n"/>
      <c r="G380" s="14" t="n"/>
      <c r="H380" s="22" t="n"/>
      <c r="I380" s="25">
        <f>IF(Q380="D",N(H380),0)</f>
        <v/>
      </c>
      <c r="J380" s="25">
        <f>IF(Q380="C",N(H380),0)</f>
        <v/>
      </c>
      <c r="K380" s="26">
        <f>IF(Z380="","",Z380)</f>
        <v/>
      </c>
      <c r="L380" s="27">
        <f>W380</f>
        <v/>
      </c>
      <c r="M380" s="28">
        <f>AA380</f>
        <v/>
      </c>
      <c r="N380" s="23">
        <f>IF(AND(B380="",C380="",D380="",N(H380)=0),"",IF(B380="","Enter the date",IF(C380="","Pick the party",IF(P380="?","Add this party on the Parties sheet first",IF(D380="","Pick the entry type",IF(Q380="?","Pick the entry type from the list",IF(N(H380)=0,"Enter the amount",IF(AND(R380&lt;&gt;"Any",R380&lt;&gt;P380),"Sales, receipts and credit notes are for debtors; purchases, payments and debit notes for creditors",IF(AND(F380&lt;&gt;"",D380&lt;&gt;"Purchase bill"),"The received-on date is only for purchase bills",IF(AND(P380="Creditor",X380=1,AA380&gt;0),"Past due to a micro or small supplier: interest runs under MSMED s.16, and if unpaid at year end it is not deductible that year, s.37(2)(g)",IF(AND(P380="Debtor",X380=1,AA380&gt;0),"Past due to you: as a micro or small supplier you can claim interest under MSMED s.16","OK")))))))))))</f>
        <v/>
      </c>
      <c r="P380">
        <f>IF(C380="","",IFERROR(VLOOKUP(C380,'Example Parties'!$B$13:$Q$112,2,FALSE),"?"))</f>
        <v/>
      </c>
      <c r="Q380">
        <f>IF(D380="","",IFERROR(VLOOKUP(D380,Lists!$A$2:$D$9,3,FALSE),"?"))</f>
        <v/>
      </c>
      <c r="R380">
        <f>IF(D380="","",IFERROR(VLOOKUP(D380,Lists!$A$2:$D$9,4,FALSE),"?"))</f>
        <v/>
      </c>
      <c r="S380">
        <f>IF(P380="Debtor",I380,IF(P380="Creditor",J380,0))</f>
        <v/>
      </c>
      <c r="T380">
        <f>IF(P380="Debtor",J380,IF(P380="Creditor",I380,0))</f>
        <v/>
      </c>
      <c r="U380">
        <f>IF(OR(S380=0,B380=""),0,IFERROR(VLOOKUP(C380,'Example Parties'!$B$13:$Q$112,13,FALSE),0)+SUMIFS($S$7:$S$506,$C$7:$C$506,C380,$B$7:$B$506,"&lt;"&amp;B380)+SUMIFS(S$7:S380,C$7:C380,C380,B$7:B380,B380))</f>
        <v/>
      </c>
      <c r="V380">
        <f>IF(S380=0,0,IFERROR(VLOOKUP(C380,'Example Parties'!$B$13:$Q$112,14,FALSE),0)+SUMIFS($T$7:$T$506,$C$7:$C$506,C380,$B$7:$B$506,"&lt;="&amp;'Example Outstanding'!$E$5))</f>
        <v/>
      </c>
      <c r="W380">
        <f>IF(OR('Example Outstanding'!$E$5="",S380=0,B380="",B380&gt;'Example Outstanding'!$E$5),0,MAX(0,MIN(S380,U380-V380)))</f>
        <v/>
      </c>
      <c r="X380">
        <f>IF(C380="",0,IFERROR(VLOOKUP(C380,'Example Parties'!$B$13:$Q$112,15,FALSE),0))</f>
        <v/>
      </c>
      <c r="Y380">
        <f>IF(C380="","",IFERROR(VLOOKUP(C380,'Example Parties'!$B$13:$Q$112,16,FALSE),0))</f>
        <v/>
      </c>
      <c r="Z380">
        <f>IF(OR(S380=0,B380="",Y380=""),"",IF(AND(F380&lt;&gt;"",D380="Purchase bill"),F380,B380)+Y380)</f>
        <v/>
      </c>
      <c r="AA380">
        <f>IF(OR(W380=0,Z380=""),0,MAX(0,'Example Outstanding'!$E$5-Z380))</f>
        <v/>
      </c>
      <c r="AB380">
        <f>IF(AND(X380=1,AA380&gt;0),W380*((1+3*N('Example Parties'!$E$10)/12)^(AA380*12/365)-1),0)</f>
        <v/>
      </c>
      <c r="AC380">
        <f>IF(W380=0,"",'Example Outstanding'!$E$5-B380)</f>
        <v/>
      </c>
      <c r="AD380">
        <f>IF(S380=0,0,IFERROR(VLOOKUP(C380,'Example Parties'!$B$13:$Q$112,14,FALSE),0)+SUMIFS($T$7:$T$506,$C$7:$C$506,C380,$B$7:$B$506,"&lt;="&amp;'Example Parties'!$E$8))</f>
        <v/>
      </c>
      <c r="AE380">
        <f>IF(OR('Example Parties'!$E$8="",S380=0,B380="",B380&gt;'Example Parties'!$E$8),0,MAX(0,MIN(S380,U380-AD380)))</f>
        <v/>
      </c>
      <c r="AF380">
        <f>IF(AND(P380="Creditor",X380=1,AE380&gt;0,Z380&lt;&gt;""),IF(Z380&lt;='Example Parties'!$E$8,AE380,0),0)</f>
        <v/>
      </c>
      <c r="AG380">
        <f>IF(OR(AE380=0,Z380=""),0,MAX(0,'Example Parties'!$E$8-Z380))</f>
        <v/>
      </c>
      <c r="AH380">
        <f>IF(AND(P380="Creditor",X380=1,AG380&gt;0),AE380*((1+3*N('Example Parties'!$E$10)/12)^(AG380*12/365)-1),0)</f>
        <v/>
      </c>
      <c r="AI380">
        <f>IF(AND(C380&lt;&gt;"",C380='Example Ledger'!$D$4,B380&lt;&gt;"",B380&gt;='Example Ledger'!$D$5,B380&lt;='Example Ledger'!$D$6),1,0)</f>
        <v/>
      </c>
      <c r="AJ380">
        <f>IF(AI380=1,SUM(AI$7:AI380),"")</f>
        <v/>
      </c>
      <c r="AK380">
        <f>IF(OR(N380="",N380="OK"),0,1)</f>
        <v/>
      </c>
    </row>
    <row r="381">
      <c r="B381" s="24" t="n"/>
      <c r="C381" s="14" t="n"/>
      <c r="D381" s="14" t="n"/>
      <c r="E381" s="20" t="n"/>
      <c r="F381" s="24" t="n"/>
      <c r="G381" s="14" t="n"/>
      <c r="H381" s="22" t="n"/>
      <c r="I381" s="25">
        <f>IF(Q381="D",N(H381),0)</f>
        <v/>
      </c>
      <c r="J381" s="25">
        <f>IF(Q381="C",N(H381),0)</f>
        <v/>
      </c>
      <c r="K381" s="26">
        <f>IF(Z381="","",Z381)</f>
        <v/>
      </c>
      <c r="L381" s="27">
        <f>W381</f>
        <v/>
      </c>
      <c r="M381" s="28">
        <f>AA381</f>
        <v/>
      </c>
      <c r="N381" s="23">
        <f>IF(AND(B381="",C381="",D381="",N(H381)=0),"",IF(B381="","Enter the date",IF(C381="","Pick the party",IF(P381="?","Add this party on the Parties sheet first",IF(D381="","Pick the entry type",IF(Q381="?","Pick the entry type from the list",IF(N(H381)=0,"Enter the amount",IF(AND(R381&lt;&gt;"Any",R381&lt;&gt;P381),"Sales, receipts and credit notes are for debtors; purchases, payments and debit notes for creditors",IF(AND(F381&lt;&gt;"",D381&lt;&gt;"Purchase bill"),"The received-on date is only for purchase bills",IF(AND(P381="Creditor",X381=1,AA381&gt;0),"Past due to a micro or small supplier: interest runs under MSMED s.16, and if unpaid at year end it is not deductible that year, s.37(2)(g)",IF(AND(P381="Debtor",X381=1,AA381&gt;0),"Past due to you: as a micro or small supplier you can claim interest under MSMED s.16","OK")))))))))))</f>
        <v/>
      </c>
      <c r="P381">
        <f>IF(C381="","",IFERROR(VLOOKUP(C381,'Example Parties'!$B$13:$Q$112,2,FALSE),"?"))</f>
        <v/>
      </c>
      <c r="Q381">
        <f>IF(D381="","",IFERROR(VLOOKUP(D381,Lists!$A$2:$D$9,3,FALSE),"?"))</f>
        <v/>
      </c>
      <c r="R381">
        <f>IF(D381="","",IFERROR(VLOOKUP(D381,Lists!$A$2:$D$9,4,FALSE),"?"))</f>
        <v/>
      </c>
      <c r="S381">
        <f>IF(P381="Debtor",I381,IF(P381="Creditor",J381,0))</f>
        <v/>
      </c>
      <c r="T381">
        <f>IF(P381="Debtor",J381,IF(P381="Creditor",I381,0))</f>
        <v/>
      </c>
      <c r="U381">
        <f>IF(OR(S381=0,B381=""),0,IFERROR(VLOOKUP(C381,'Example Parties'!$B$13:$Q$112,13,FALSE),0)+SUMIFS($S$7:$S$506,$C$7:$C$506,C381,$B$7:$B$506,"&lt;"&amp;B381)+SUMIFS(S$7:S381,C$7:C381,C381,B$7:B381,B381))</f>
        <v/>
      </c>
      <c r="V381">
        <f>IF(S381=0,0,IFERROR(VLOOKUP(C381,'Example Parties'!$B$13:$Q$112,14,FALSE),0)+SUMIFS($T$7:$T$506,$C$7:$C$506,C381,$B$7:$B$506,"&lt;="&amp;'Example Outstanding'!$E$5))</f>
        <v/>
      </c>
      <c r="W381">
        <f>IF(OR('Example Outstanding'!$E$5="",S381=0,B381="",B381&gt;'Example Outstanding'!$E$5),0,MAX(0,MIN(S381,U381-V381)))</f>
        <v/>
      </c>
      <c r="X381">
        <f>IF(C381="",0,IFERROR(VLOOKUP(C381,'Example Parties'!$B$13:$Q$112,15,FALSE),0))</f>
        <v/>
      </c>
      <c r="Y381">
        <f>IF(C381="","",IFERROR(VLOOKUP(C381,'Example Parties'!$B$13:$Q$112,16,FALSE),0))</f>
        <v/>
      </c>
      <c r="Z381">
        <f>IF(OR(S381=0,B381="",Y381=""),"",IF(AND(F381&lt;&gt;"",D381="Purchase bill"),F381,B381)+Y381)</f>
        <v/>
      </c>
      <c r="AA381">
        <f>IF(OR(W381=0,Z381=""),0,MAX(0,'Example Outstanding'!$E$5-Z381))</f>
        <v/>
      </c>
      <c r="AB381">
        <f>IF(AND(X381=1,AA381&gt;0),W381*((1+3*N('Example Parties'!$E$10)/12)^(AA381*12/365)-1),0)</f>
        <v/>
      </c>
      <c r="AC381">
        <f>IF(W381=0,"",'Example Outstanding'!$E$5-B381)</f>
        <v/>
      </c>
      <c r="AD381">
        <f>IF(S381=0,0,IFERROR(VLOOKUP(C381,'Example Parties'!$B$13:$Q$112,14,FALSE),0)+SUMIFS($T$7:$T$506,$C$7:$C$506,C381,$B$7:$B$506,"&lt;="&amp;'Example Parties'!$E$8))</f>
        <v/>
      </c>
      <c r="AE381">
        <f>IF(OR('Example Parties'!$E$8="",S381=0,B381="",B381&gt;'Example Parties'!$E$8),0,MAX(0,MIN(S381,U381-AD381)))</f>
        <v/>
      </c>
      <c r="AF381">
        <f>IF(AND(P381="Creditor",X381=1,AE381&gt;0,Z381&lt;&gt;""),IF(Z381&lt;='Example Parties'!$E$8,AE381,0),0)</f>
        <v/>
      </c>
      <c r="AG381">
        <f>IF(OR(AE381=0,Z381=""),0,MAX(0,'Example Parties'!$E$8-Z381))</f>
        <v/>
      </c>
      <c r="AH381">
        <f>IF(AND(P381="Creditor",X381=1,AG381&gt;0),AE381*((1+3*N('Example Parties'!$E$10)/12)^(AG381*12/365)-1),0)</f>
        <v/>
      </c>
      <c r="AI381">
        <f>IF(AND(C381&lt;&gt;"",C381='Example Ledger'!$D$4,B381&lt;&gt;"",B381&gt;='Example Ledger'!$D$5,B381&lt;='Example Ledger'!$D$6),1,0)</f>
        <v/>
      </c>
      <c r="AJ381">
        <f>IF(AI381=1,SUM(AI$7:AI381),"")</f>
        <v/>
      </c>
      <c r="AK381">
        <f>IF(OR(N381="",N381="OK"),0,1)</f>
        <v/>
      </c>
    </row>
    <row r="382">
      <c r="B382" s="24" t="n"/>
      <c r="C382" s="14" t="n"/>
      <c r="D382" s="14" t="n"/>
      <c r="E382" s="20" t="n"/>
      <c r="F382" s="24" t="n"/>
      <c r="G382" s="14" t="n"/>
      <c r="H382" s="22" t="n"/>
      <c r="I382" s="25">
        <f>IF(Q382="D",N(H382),0)</f>
        <v/>
      </c>
      <c r="J382" s="25">
        <f>IF(Q382="C",N(H382),0)</f>
        <v/>
      </c>
      <c r="K382" s="26">
        <f>IF(Z382="","",Z382)</f>
        <v/>
      </c>
      <c r="L382" s="27">
        <f>W382</f>
        <v/>
      </c>
      <c r="M382" s="28">
        <f>AA382</f>
        <v/>
      </c>
      <c r="N382" s="23">
        <f>IF(AND(B382="",C382="",D382="",N(H382)=0),"",IF(B382="","Enter the date",IF(C382="","Pick the party",IF(P382="?","Add this party on the Parties sheet first",IF(D382="","Pick the entry type",IF(Q382="?","Pick the entry type from the list",IF(N(H382)=0,"Enter the amount",IF(AND(R382&lt;&gt;"Any",R382&lt;&gt;P382),"Sales, receipts and credit notes are for debtors; purchases, payments and debit notes for creditors",IF(AND(F382&lt;&gt;"",D382&lt;&gt;"Purchase bill"),"The received-on date is only for purchase bills",IF(AND(P382="Creditor",X382=1,AA382&gt;0),"Past due to a micro or small supplier: interest runs under MSMED s.16, and if unpaid at year end it is not deductible that year, s.37(2)(g)",IF(AND(P382="Debtor",X382=1,AA382&gt;0),"Past due to you: as a micro or small supplier you can claim interest under MSMED s.16","OK")))))))))))</f>
        <v/>
      </c>
      <c r="P382">
        <f>IF(C382="","",IFERROR(VLOOKUP(C382,'Example Parties'!$B$13:$Q$112,2,FALSE),"?"))</f>
        <v/>
      </c>
      <c r="Q382">
        <f>IF(D382="","",IFERROR(VLOOKUP(D382,Lists!$A$2:$D$9,3,FALSE),"?"))</f>
        <v/>
      </c>
      <c r="R382">
        <f>IF(D382="","",IFERROR(VLOOKUP(D382,Lists!$A$2:$D$9,4,FALSE),"?"))</f>
        <v/>
      </c>
      <c r="S382">
        <f>IF(P382="Debtor",I382,IF(P382="Creditor",J382,0))</f>
        <v/>
      </c>
      <c r="T382">
        <f>IF(P382="Debtor",J382,IF(P382="Creditor",I382,0))</f>
        <v/>
      </c>
      <c r="U382">
        <f>IF(OR(S382=0,B382=""),0,IFERROR(VLOOKUP(C382,'Example Parties'!$B$13:$Q$112,13,FALSE),0)+SUMIFS($S$7:$S$506,$C$7:$C$506,C382,$B$7:$B$506,"&lt;"&amp;B382)+SUMIFS(S$7:S382,C$7:C382,C382,B$7:B382,B382))</f>
        <v/>
      </c>
      <c r="V382">
        <f>IF(S382=0,0,IFERROR(VLOOKUP(C382,'Example Parties'!$B$13:$Q$112,14,FALSE),0)+SUMIFS($T$7:$T$506,$C$7:$C$506,C382,$B$7:$B$506,"&lt;="&amp;'Example Outstanding'!$E$5))</f>
        <v/>
      </c>
      <c r="W382">
        <f>IF(OR('Example Outstanding'!$E$5="",S382=0,B382="",B382&gt;'Example Outstanding'!$E$5),0,MAX(0,MIN(S382,U382-V382)))</f>
        <v/>
      </c>
      <c r="X382">
        <f>IF(C382="",0,IFERROR(VLOOKUP(C382,'Example Parties'!$B$13:$Q$112,15,FALSE),0))</f>
        <v/>
      </c>
      <c r="Y382">
        <f>IF(C382="","",IFERROR(VLOOKUP(C382,'Example Parties'!$B$13:$Q$112,16,FALSE),0))</f>
        <v/>
      </c>
      <c r="Z382">
        <f>IF(OR(S382=0,B382="",Y382=""),"",IF(AND(F382&lt;&gt;"",D382="Purchase bill"),F382,B382)+Y382)</f>
        <v/>
      </c>
      <c r="AA382">
        <f>IF(OR(W382=0,Z382=""),0,MAX(0,'Example Outstanding'!$E$5-Z382))</f>
        <v/>
      </c>
      <c r="AB382">
        <f>IF(AND(X382=1,AA382&gt;0),W382*((1+3*N('Example Parties'!$E$10)/12)^(AA382*12/365)-1),0)</f>
        <v/>
      </c>
      <c r="AC382">
        <f>IF(W382=0,"",'Example Outstanding'!$E$5-B382)</f>
        <v/>
      </c>
      <c r="AD382">
        <f>IF(S382=0,0,IFERROR(VLOOKUP(C382,'Example Parties'!$B$13:$Q$112,14,FALSE),0)+SUMIFS($T$7:$T$506,$C$7:$C$506,C382,$B$7:$B$506,"&lt;="&amp;'Example Parties'!$E$8))</f>
        <v/>
      </c>
      <c r="AE382">
        <f>IF(OR('Example Parties'!$E$8="",S382=0,B382="",B382&gt;'Example Parties'!$E$8),0,MAX(0,MIN(S382,U382-AD382)))</f>
        <v/>
      </c>
      <c r="AF382">
        <f>IF(AND(P382="Creditor",X382=1,AE382&gt;0,Z382&lt;&gt;""),IF(Z382&lt;='Example Parties'!$E$8,AE382,0),0)</f>
        <v/>
      </c>
      <c r="AG382">
        <f>IF(OR(AE382=0,Z382=""),0,MAX(0,'Example Parties'!$E$8-Z382))</f>
        <v/>
      </c>
      <c r="AH382">
        <f>IF(AND(P382="Creditor",X382=1,AG382&gt;0),AE382*((1+3*N('Example Parties'!$E$10)/12)^(AG382*12/365)-1),0)</f>
        <v/>
      </c>
      <c r="AI382">
        <f>IF(AND(C382&lt;&gt;"",C382='Example Ledger'!$D$4,B382&lt;&gt;"",B382&gt;='Example Ledger'!$D$5,B382&lt;='Example Ledger'!$D$6),1,0)</f>
        <v/>
      </c>
      <c r="AJ382">
        <f>IF(AI382=1,SUM(AI$7:AI382),"")</f>
        <v/>
      </c>
      <c r="AK382">
        <f>IF(OR(N382="",N382="OK"),0,1)</f>
        <v/>
      </c>
    </row>
    <row r="383">
      <c r="B383" s="24" t="n"/>
      <c r="C383" s="14" t="n"/>
      <c r="D383" s="14" t="n"/>
      <c r="E383" s="20" t="n"/>
      <c r="F383" s="24" t="n"/>
      <c r="G383" s="14" t="n"/>
      <c r="H383" s="22" t="n"/>
      <c r="I383" s="25">
        <f>IF(Q383="D",N(H383),0)</f>
        <v/>
      </c>
      <c r="J383" s="25">
        <f>IF(Q383="C",N(H383),0)</f>
        <v/>
      </c>
      <c r="K383" s="26">
        <f>IF(Z383="","",Z383)</f>
        <v/>
      </c>
      <c r="L383" s="27">
        <f>W383</f>
        <v/>
      </c>
      <c r="M383" s="28">
        <f>AA383</f>
        <v/>
      </c>
      <c r="N383" s="23">
        <f>IF(AND(B383="",C383="",D383="",N(H383)=0),"",IF(B383="","Enter the date",IF(C383="","Pick the party",IF(P383="?","Add this party on the Parties sheet first",IF(D383="","Pick the entry type",IF(Q383="?","Pick the entry type from the list",IF(N(H383)=0,"Enter the amount",IF(AND(R383&lt;&gt;"Any",R383&lt;&gt;P383),"Sales, receipts and credit notes are for debtors; purchases, payments and debit notes for creditors",IF(AND(F383&lt;&gt;"",D383&lt;&gt;"Purchase bill"),"The received-on date is only for purchase bills",IF(AND(P383="Creditor",X383=1,AA383&gt;0),"Past due to a micro or small supplier: interest runs under MSMED s.16, and if unpaid at year end it is not deductible that year, s.37(2)(g)",IF(AND(P383="Debtor",X383=1,AA383&gt;0),"Past due to you: as a micro or small supplier you can claim interest under MSMED s.16","OK")))))))))))</f>
        <v/>
      </c>
      <c r="P383">
        <f>IF(C383="","",IFERROR(VLOOKUP(C383,'Example Parties'!$B$13:$Q$112,2,FALSE),"?"))</f>
        <v/>
      </c>
      <c r="Q383">
        <f>IF(D383="","",IFERROR(VLOOKUP(D383,Lists!$A$2:$D$9,3,FALSE),"?"))</f>
        <v/>
      </c>
      <c r="R383">
        <f>IF(D383="","",IFERROR(VLOOKUP(D383,Lists!$A$2:$D$9,4,FALSE),"?"))</f>
        <v/>
      </c>
      <c r="S383">
        <f>IF(P383="Debtor",I383,IF(P383="Creditor",J383,0))</f>
        <v/>
      </c>
      <c r="T383">
        <f>IF(P383="Debtor",J383,IF(P383="Creditor",I383,0))</f>
        <v/>
      </c>
      <c r="U383">
        <f>IF(OR(S383=0,B383=""),0,IFERROR(VLOOKUP(C383,'Example Parties'!$B$13:$Q$112,13,FALSE),0)+SUMIFS($S$7:$S$506,$C$7:$C$506,C383,$B$7:$B$506,"&lt;"&amp;B383)+SUMIFS(S$7:S383,C$7:C383,C383,B$7:B383,B383))</f>
        <v/>
      </c>
      <c r="V383">
        <f>IF(S383=0,0,IFERROR(VLOOKUP(C383,'Example Parties'!$B$13:$Q$112,14,FALSE),0)+SUMIFS($T$7:$T$506,$C$7:$C$506,C383,$B$7:$B$506,"&lt;="&amp;'Example Outstanding'!$E$5))</f>
        <v/>
      </c>
      <c r="W383">
        <f>IF(OR('Example Outstanding'!$E$5="",S383=0,B383="",B383&gt;'Example Outstanding'!$E$5),0,MAX(0,MIN(S383,U383-V383)))</f>
        <v/>
      </c>
      <c r="X383">
        <f>IF(C383="",0,IFERROR(VLOOKUP(C383,'Example Parties'!$B$13:$Q$112,15,FALSE),0))</f>
        <v/>
      </c>
      <c r="Y383">
        <f>IF(C383="","",IFERROR(VLOOKUP(C383,'Example Parties'!$B$13:$Q$112,16,FALSE),0))</f>
        <v/>
      </c>
      <c r="Z383">
        <f>IF(OR(S383=0,B383="",Y383=""),"",IF(AND(F383&lt;&gt;"",D383="Purchase bill"),F383,B383)+Y383)</f>
        <v/>
      </c>
      <c r="AA383">
        <f>IF(OR(W383=0,Z383=""),0,MAX(0,'Example Outstanding'!$E$5-Z383))</f>
        <v/>
      </c>
      <c r="AB383">
        <f>IF(AND(X383=1,AA383&gt;0),W383*((1+3*N('Example Parties'!$E$10)/12)^(AA383*12/365)-1),0)</f>
        <v/>
      </c>
      <c r="AC383">
        <f>IF(W383=0,"",'Example Outstanding'!$E$5-B383)</f>
        <v/>
      </c>
      <c r="AD383">
        <f>IF(S383=0,0,IFERROR(VLOOKUP(C383,'Example Parties'!$B$13:$Q$112,14,FALSE),0)+SUMIFS($T$7:$T$506,$C$7:$C$506,C383,$B$7:$B$506,"&lt;="&amp;'Example Parties'!$E$8))</f>
        <v/>
      </c>
      <c r="AE383">
        <f>IF(OR('Example Parties'!$E$8="",S383=0,B383="",B383&gt;'Example Parties'!$E$8),0,MAX(0,MIN(S383,U383-AD383)))</f>
        <v/>
      </c>
      <c r="AF383">
        <f>IF(AND(P383="Creditor",X383=1,AE383&gt;0,Z383&lt;&gt;""),IF(Z383&lt;='Example Parties'!$E$8,AE383,0),0)</f>
        <v/>
      </c>
      <c r="AG383">
        <f>IF(OR(AE383=0,Z383=""),0,MAX(0,'Example Parties'!$E$8-Z383))</f>
        <v/>
      </c>
      <c r="AH383">
        <f>IF(AND(P383="Creditor",X383=1,AG383&gt;0),AE383*((1+3*N('Example Parties'!$E$10)/12)^(AG383*12/365)-1),0)</f>
        <v/>
      </c>
      <c r="AI383">
        <f>IF(AND(C383&lt;&gt;"",C383='Example Ledger'!$D$4,B383&lt;&gt;"",B383&gt;='Example Ledger'!$D$5,B383&lt;='Example Ledger'!$D$6),1,0)</f>
        <v/>
      </c>
      <c r="AJ383">
        <f>IF(AI383=1,SUM(AI$7:AI383),"")</f>
        <v/>
      </c>
      <c r="AK383">
        <f>IF(OR(N383="",N383="OK"),0,1)</f>
        <v/>
      </c>
    </row>
    <row r="384">
      <c r="B384" s="24" t="n"/>
      <c r="C384" s="14" t="n"/>
      <c r="D384" s="14" t="n"/>
      <c r="E384" s="20" t="n"/>
      <c r="F384" s="24" t="n"/>
      <c r="G384" s="14" t="n"/>
      <c r="H384" s="22" t="n"/>
      <c r="I384" s="25">
        <f>IF(Q384="D",N(H384),0)</f>
        <v/>
      </c>
      <c r="J384" s="25">
        <f>IF(Q384="C",N(H384),0)</f>
        <v/>
      </c>
      <c r="K384" s="26">
        <f>IF(Z384="","",Z384)</f>
        <v/>
      </c>
      <c r="L384" s="27">
        <f>W384</f>
        <v/>
      </c>
      <c r="M384" s="28">
        <f>AA384</f>
        <v/>
      </c>
      <c r="N384" s="23">
        <f>IF(AND(B384="",C384="",D384="",N(H384)=0),"",IF(B384="","Enter the date",IF(C384="","Pick the party",IF(P384="?","Add this party on the Parties sheet first",IF(D384="","Pick the entry type",IF(Q384="?","Pick the entry type from the list",IF(N(H384)=0,"Enter the amount",IF(AND(R384&lt;&gt;"Any",R384&lt;&gt;P384),"Sales, receipts and credit notes are for debtors; purchases, payments and debit notes for creditors",IF(AND(F384&lt;&gt;"",D384&lt;&gt;"Purchase bill"),"The received-on date is only for purchase bills",IF(AND(P384="Creditor",X384=1,AA384&gt;0),"Past due to a micro or small supplier: interest runs under MSMED s.16, and if unpaid at year end it is not deductible that year, s.37(2)(g)",IF(AND(P384="Debtor",X384=1,AA384&gt;0),"Past due to you: as a micro or small supplier you can claim interest under MSMED s.16","OK")))))))))))</f>
        <v/>
      </c>
      <c r="P384">
        <f>IF(C384="","",IFERROR(VLOOKUP(C384,'Example Parties'!$B$13:$Q$112,2,FALSE),"?"))</f>
        <v/>
      </c>
      <c r="Q384">
        <f>IF(D384="","",IFERROR(VLOOKUP(D384,Lists!$A$2:$D$9,3,FALSE),"?"))</f>
        <v/>
      </c>
      <c r="R384">
        <f>IF(D384="","",IFERROR(VLOOKUP(D384,Lists!$A$2:$D$9,4,FALSE),"?"))</f>
        <v/>
      </c>
      <c r="S384">
        <f>IF(P384="Debtor",I384,IF(P384="Creditor",J384,0))</f>
        <v/>
      </c>
      <c r="T384">
        <f>IF(P384="Debtor",J384,IF(P384="Creditor",I384,0))</f>
        <v/>
      </c>
      <c r="U384">
        <f>IF(OR(S384=0,B384=""),0,IFERROR(VLOOKUP(C384,'Example Parties'!$B$13:$Q$112,13,FALSE),0)+SUMIFS($S$7:$S$506,$C$7:$C$506,C384,$B$7:$B$506,"&lt;"&amp;B384)+SUMIFS(S$7:S384,C$7:C384,C384,B$7:B384,B384))</f>
        <v/>
      </c>
      <c r="V384">
        <f>IF(S384=0,0,IFERROR(VLOOKUP(C384,'Example Parties'!$B$13:$Q$112,14,FALSE),0)+SUMIFS($T$7:$T$506,$C$7:$C$506,C384,$B$7:$B$506,"&lt;="&amp;'Example Outstanding'!$E$5))</f>
        <v/>
      </c>
      <c r="W384">
        <f>IF(OR('Example Outstanding'!$E$5="",S384=0,B384="",B384&gt;'Example Outstanding'!$E$5),0,MAX(0,MIN(S384,U384-V384)))</f>
        <v/>
      </c>
      <c r="X384">
        <f>IF(C384="",0,IFERROR(VLOOKUP(C384,'Example Parties'!$B$13:$Q$112,15,FALSE),0))</f>
        <v/>
      </c>
      <c r="Y384">
        <f>IF(C384="","",IFERROR(VLOOKUP(C384,'Example Parties'!$B$13:$Q$112,16,FALSE),0))</f>
        <v/>
      </c>
      <c r="Z384">
        <f>IF(OR(S384=0,B384="",Y384=""),"",IF(AND(F384&lt;&gt;"",D384="Purchase bill"),F384,B384)+Y384)</f>
        <v/>
      </c>
      <c r="AA384">
        <f>IF(OR(W384=0,Z384=""),0,MAX(0,'Example Outstanding'!$E$5-Z384))</f>
        <v/>
      </c>
      <c r="AB384">
        <f>IF(AND(X384=1,AA384&gt;0),W384*((1+3*N('Example Parties'!$E$10)/12)^(AA384*12/365)-1),0)</f>
        <v/>
      </c>
      <c r="AC384">
        <f>IF(W384=0,"",'Example Outstanding'!$E$5-B384)</f>
        <v/>
      </c>
      <c r="AD384">
        <f>IF(S384=0,0,IFERROR(VLOOKUP(C384,'Example Parties'!$B$13:$Q$112,14,FALSE),0)+SUMIFS($T$7:$T$506,$C$7:$C$506,C384,$B$7:$B$506,"&lt;="&amp;'Example Parties'!$E$8))</f>
        <v/>
      </c>
      <c r="AE384">
        <f>IF(OR('Example Parties'!$E$8="",S384=0,B384="",B384&gt;'Example Parties'!$E$8),0,MAX(0,MIN(S384,U384-AD384)))</f>
        <v/>
      </c>
      <c r="AF384">
        <f>IF(AND(P384="Creditor",X384=1,AE384&gt;0,Z384&lt;&gt;""),IF(Z384&lt;='Example Parties'!$E$8,AE384,0),0)</f>
        <v/>
      </c>
      <c r="AG384">
        <f>IF(OR(AE384=0,Z384=""),0,MAX(0,'Example Parties'!$E$8-Z384))</f>
        <v/>
      </c>
      <c r="AH384">
        <f>IF(AND(P384="Creditor",X384=1,AG384&gt;0),AE384*((1+3*N('Example Parties'!$E$10)/12)^(AG384*12/365)-1),0)</f>
        <v/>
      </c>
      <c r="AI384">
        <f>IF(AND(C384&lt;&gt;"",C384='Example Ledger'!$D$4,B384&lt;&gt;"",B384&gt;='Example Ledger'!$D$5,B384&lt;='Example Ledger'!$D$6),1,0)</f>
        <v/>
      </c>
      <c r="AJ384">
        <f>IF(AI384=1,SUM(AI$7:AI384),"")</f>
        <v/>
      </c>
      <c r="AK384">
        <f>IF(OR(N384="",N384="OK"),0,1)</f>
        <v/>
      </c>
    </row>
    <row r="385">
      <c r="B385" s="24" t="n"/>
      <c r="C385" s="14" t="n"/>
      <c r="D385" s="14" t="n"/>
      <c r="E385" s="20" t="n"/>
      <c r="F385" s="24" t="n"/>
      <c r="G385" s="14" t="n"/>
      <c r="H385" s="22" t="n"/>
      <c r="I385" s="25">
        <f>IF(Q385="D",N(H385),0)</f>
        <v/>
      </c>
      <c r="J385" s="25">
        <f>IF(Q385="C",N(H385),0)</f>
        <v/>
      </c>
      <c r="K385" s="26">
        <f>IF(Z385="","",Z385)</f>
        <v/>
      </c>
      <c r="L385" s="27">
        <f>W385</f>
        <v/>
      </c>
      <c r="M385" s="28">
        <f>AA385</f>
        <v/>
      </c>
      <c r="N385" s="23">
        <f>IF(AND(B385="",C385="",D385="",N(H385)=0),"",IF(B385="","Enter the date",IF(C385="","Pick the party",IF(P385="?","Add this party on the Parties sheet first",IF(D385="","Pick the entry type",IF(Q385="?","Pick the entry type from the list",IF(N(H385)=0,"Enter the amount",IF(AND(R385&lt;&gt;"Any",R385&lt;&gt;P385),"Sales, receipts and credit notes are for debtors; purchases, payments and debit notes for creditors",IF(AND(F385&lt;&gt;"",D385&lt;&gt;"Purchase bill"),"The received-on date is only for purchase bills",IF(AND(P385="Creditor",X385=1,AA385&gt;0),"Past due to a micro or small supplier: interest runs under MSMED s.16, and if unpaid at year end it is not deductible that year, s.37(2)(g)",IF(AND(P385="Debtor",X385=1,AA385&gt;0),"Past due to you: as a micro or small supplier you can claim interest under MSMED s.16","OK")))))))))))</f>
        <v/>
      </c>
      <c r="P385">
        <f>IF(C385="","",IFERROR(VLOOKUP(C385,'Example Parties'!$B$13:$Q$112,2,FALSE),"?"))</f>
        <v/>
      </c>
      <c r="Q385">
        <f>IF(D385="","",IFERROR(VLOOKUP(D385,Lists!$A$2:$D$9,3,FALSE),"?"))</f>
        <v/>
      </c>
      <c r="R385">
        <f>IF(D385="","",IFERROR(VLOOKUP(D385,Lists!$A$2:$D$9,4,FALSE),"?"))</f>
        <v/>
      </c>
      <c r="S385">
        <f>IF(P385="Debtor",I385,IF(P385="Creditor",J385,0))</f>
        <v/>
      </c>
      <c r="T385">
        <f>IF(P385="Debtor",J385,IF(P385="Creditor",I385,0))</f>
        <v/>
      </c>
      <c r="U385">
        <f>IF(OR(S385=0,B385=""),0,IFERROR(VLOOKUP(C385,'Example Parties'!$B$13:$Q$112,13,FALSE),0)+SUMIFS($S$7:$S$506,$C$7:$C$506,C385,$B$7:$B$506,"&lt;"&amp;B385)+SUMIFS(S$7:S385,C$7:C385,C385,B$7:B385,B385))</f>
        <v/>
      </c>
      <c r="V385">
        <f>IF(S385=0,0,IFERROR(VLOOKUP(C385,'Example Parties'!$B$13:$Q$112,14,FALSE),0)+SUMIFS($T$7:$T$506,$C$7:$C$506,C385,$B$7:$B$506,"&lt;="&amp;'Example Outstanding'!$E$5))</f>
        <v/>
      </c>
      <c r="W385">
        <f>IF(OR('Example Outstanding'!$E$5="",S385=0,B385="",B385&gt;'Example Outstanding'!$E$5),0,MAX(0,MIN(S385,U385-V385)))</f>
        <v/>
      </c>
      <c r="X385">
        <f>IF(C385="",0,IFERROR(VLOOKUP(C385,'Example Parties'!$B$13:$Q$112,15,FALSE),0))</f>
        <v/>
      </c>
      <c r="Y385">
        <f>IF(C385="","",IFERROR(VLOOKUP(C385,'Example Parties'!$B$13:$Q$112,16,FALSE),0))</f>
        <v/>
      </c>
      <c r="Z385">
        <f>IF(OR(S385=0,B385="",Y385=""),"",IF(AND(F385&lt;&gt;"",D385="Purchase bill"),F385,B385)+Y385)</f>
        <v/>
      </c>
      <c r="AA385">
        <f>IF(OR(W385=0,Z385=""),0,MAX(0,'Example Outstanding'!$E$5-Z385))</f>
        <v/>
      </c>
      <c r="AB385">
        <f>IF(AND(X385=1,AA385&gt;0),W385*((1+3*N('Example Parties'!$E$10)/12)^(AA385*12/365)-1),0)</f>
        <v/>
      </c>
      <c r="AC385">
        <f>IF(W385=0,"",'Example Outstanding'!$E$5-B385)</f>
        <v/>
      </c>
      <c r="AD385">
        <f>IF(S385=0,0,IFERROR(VLOOKUP(C385,'Example Parties'!$B$13:$Q$112,14,FALSE),0)+SUMIFS($T$7:$T$506,$C$7:$C$506,C385,$B$7:$B$506,"&lt;="&amp;'Example Parties'!$E$8))</f>
        <v/>
      </c>
      <c r="AE385">
        <f>IF(OR('Example Parties'!$E$8="",S385=0,B385="",B385&gt;'Example Parties'!$E$8),0,MAX(0,MIN(S385,U385-AD385)))</f>
        <v/>
      </c>
      <c r="AF385">
        <f>IF(AND(P385="Creditor",X385=1,AE385&gt;0,Z385&lt;&gt;""),IF(Z385&lt;='Example Parties'!$E$8,AE385,0),0)</f>
        <v/>
      </c>
      <c r="AG385">
        <f>IF(OR(AE385=0,Z385=""),0,MAX(0,'Example Parties'!$E$8-Z385))</f>
        <v/>
      </c>
      <c r="AH385">
        <f>IF(AND(P385="Creditor",X385=1,AG385&gt;0),AE385*((1+3*N('Example Parties'!$E$10)/12)^(AG385*12/365)-1),0)</f>
        <v/>
      </c>
      <c r="AI385">
        <f>IF(AND(C385&lt;&gt;"",C385='Example Ledger'!$D$4,B385&lt;&gt;"",B385&gt;='Example Ledger'!$D$5,B385&lt;='Example Ledger'!$D$6),1,0)</f>
        <v/>
      </c>
      <c r="AJ385">
        <f>IF(AI385=1,SUM(AI$7:AI385),"")</f>
        <v/>
      </c>
      <c r="AK385">
        <f>IF(OR(N385="",N385="OK"),0,1)</f>
        <v/>
      </c>
    </row>
    <row r="386">
      <c r="B386" s="24" t="n"/>
      <c r="C386" s="14" t="n"/>
      <c r="D386" s="14" t="n"/>
      <c r="E386" s="20" t="n"/>
      <c r="F386" s="24" t="n"/>
      <c r="G386" s="14" t="n"/>
      <c r="H386" s="22" t="n"/>
      <c r="I386" s="25">
        <f>IF(Q386="D",N(H386),0)</f>
        <v/>
      </c>
      <c r="J386" s="25">
        <f>IF(Q386="C",N(H386),0)</f>
        <v/>
      </c>
      <c r="K386" s="26">
        <f>IF(Z386="","",Z386)</f>
        <v/>
      </c>
      <c r="L386" s="27">
        <f>W386</f>
        <v/>
      </c>
      <c r="M386" s="28">
        <f>AA386</f>
        <v/>
      </c>
      <c r="N386" s="23">
        <f>IF(AND(B386="",C386="",D386="",N(H386)=0),"",IF(B386="","Enter the date",IF(C386="","Pick the party",IF(P386="?","Add this party on the Parties sheet first",IF(D386="","Pick the entry type",IF(Q386="?","Pick the entry type from the list",IF(N(H386)=0,"Enter the amount",IF(AND(R386&lt;&gt;"Any",R386&lt;&gt;P386),"Sales, receipts and credit notes are for debtors; purchases, payments and debit notes for creditors",IF(AND(F386&lt;&gt;"",D386&lt;&gt;"Purchase bill"),"The received-on date is only for purchase bills",IF(AND(P386="Creditor",X386=1,AA386&gt;0),"Past due to a micro or small supplier: interest runs under MSMED s.16, and if unpaid at year end it is not deductible that year, s.37(2)(g)",IF(AND(P386="Debtor",X386=1,AA386&gt;0),"Past due to you: as a micro or small supplier you can claim interest under MSMED s.16","OK")))))))))))</f>
        <v/>
      </c>
      <c r="P386">
        <f>IF(C386="","",IFERROR(VLOOKUP(C386,'Example Parties'!$B$13:$Q$112,2,FALSE),"?"))</f>
        <v/>
      </c>
      <c r="Q386">
        <f>IF(D386="","",IFERROR(VLOOKUP(D386,Lists!$A$2:$D$9,3,FALSE),"?"))</f>
        <v/>
      </c>
      <c r="R386">
        <f>IF(D386="","",IFERROR(VLOOKUP(D386,Lists!$A$2:$D$9,4,FALSE),"?"))</f>
        <v/>
      </c>
      <c r="S386">
        <f>IF(P386="Debtor",I386,IF(P386="Creditor",J386,0))</f>
        <v/>
      </c>
      <c r="T386">
        <f>IF(P386="Debtor",J386,IF(P386="Creditor",I386,0))</f>
        <v/>
      </c>
      <c r="U386">
        <f>IF(OR(S386=0,B386=""),0,IFERROR(VLOOKUP(C386,'Example Parties'!$B$13:$Q$112,13,FALSE),0)+SUMIFS($S$7:$S$506,$C$7:$C$506,C386,$B$7:$B$506,"&lt;"&amp;B386)+SUMIFS(S$7:S386,C$7:C386,C386,B$7:B386,B386))</f>
        <v/>
      </c>
      <c r="V386">
        <f>IF(S386=0,0,IFERROR(VLOOKUP(C386,'Example Parties'!$B$13:$Q$112,14,FALSE),0)+SUMIFS($T$7:$T$506,$C$7:$C$506,C386,$B$7:$B$506,"&lt;="&amp;'Example Outstanding'!$E$5))</f>
        <v/>
      </c>
      <c r="W386">
        <f>IF(OR('Example Outstanding'!$E$5="",S386=0,B386="",B386&gt;'Example Outstanding'!$E$5),0,MAX(0,MIN(S386,U386-V386)))</f>
        <v/>
      </c>
      <c r="X386">
        <f>IF(C386="",0,IFERROR(VLOOKUP(C386,'Example Parties'!$B$13:$Q$112,15,FALSE),0))</f>
        <v/>
      </c>
      <c r="Y386">
        <f>IF(C386="","",IFERROR(VLOOKUP(C386,'Example Parties'!$B$13:$Q$112,16,FALSE),0))</f>
        <v/>
      </c>
      <c r="Z386">
        <f>IF(OR(S386=0,B386="",Y386=""),"",IF(AND(F386&lt;&gt;"",D386="Purchase bill"),F386,B386)+Y386)</f>
        <v/>
      </c>
      <c r="AA386">
        <f>IF(OR(W386=0,Z386=""),0,MAX(0,'Example Outstanding'!$E$5-Z386))</f>
        <v/>
      </c>
      <c r="AB386">
        <f>IF(AND(X386=1,AA386&gt;0),W386*((1+3*N('Example Parties'!$E$10)/12)^(AA386*12/365)-1),0)</f>
        <v/>
      </c>
      <c r="AC386">
        <f>IF(W386=0,"",'Example Outstanding'!$E$5-B386)</f>
        <v/>
      </c>
      <c r="AD386">
        <f>IF(S386=0,0,IFERROR(VLOOKUP(C386,'Example Parties'!$B$13:$Q$112,14,FALSE),0)+SUMIFS($T$7:$T$506,$C$7:$C$506,C386,$B$7:$B$506,"&lt;="&amp;'Example Parties'!$E$8))</f>
        <v/>
      </c>
      <c r="AE386">
        <f>IF(OR('Example Parties'!$E$8="",S386=0,B386="",B386&gt;'Example Parties'!$E$8),0,MAX(0,MIN(S386,U386-AD386)))</f>
        <v/>
      </c>
      <c r="AF386">
        <f>IF(AND(P386="Creditor",X386=1,AE386&gt;0,Z386&lt;&gt;""),IF(Z386&lt;='Example Parties'!$E$8,AE386,0),0)</f>
        <v/>
      </c>
      <c r="AG386">
        <f>IF(OR(AE386=0,Z386=""),0,MAX(0,'Example Parties'!$E$8-Z386))</f>
        <v/>
      </c>
      <c r="AH386">
        <f>IF(AND(P386="Creditor",X386=1,AG386&gt;0),AE386*((1+3*N('Example Parties'!$E$10)/12)^(AG386*12/365)-1),0)</f>
        <v/>
      </c>
      <c r="AI386">
        <f>IF(AND(C386&lt;&gt;"",C386='Example Ledger'!$D$4,B386&lt;&gt;"",B386&gt;='Example Ledger'!$D$5,B386&lt;='Example Ledger'!$D$6),1,0)</f>
        <v/>
      </c>
      <c r="AJ386">
        <f>IF(AI386=1,SUM(AI$7:AI386),"")</f>
        <v/>
      </c>
      <c r="AK386">
        <f>IF(OR(N386="",N386="OK"),0,1)</f>
        <v/>
      </c>
    </row>
    <row r="387">
      <c r="B387" s="24" t="n"/>
      <c r="C387" s="14" t="n"/>
      <c r="D387" s="14" t="n"/>
      <c r="E387" s="20" t="n"/>
      <c r="F387" s="24" t="n"/>
      <c r="G387" s="14" t="n"/>
      <c r="H387" s="22" t="n"/>
      <c r="I387" s="25">
        <f>IF(Q387="D",N(H387),0)</f>
        <v/>
      </c>
      <c r="J387" s="25">
        <f>IF(Q387="C",N(H387),0)</f>
        <v/>
      </c>
      <c r="K387" s="26">
        <f>IF(Z387="","",Z387)</f>
        <v/>
      </c>
      <c r="L387" s="27">
        <f>W387</f>
        <v/>
      </c>
      <c r="M387" s="28">
        <f>AA387</f>
        <v/>
      </c>
      <c r="N387" s="23">
        <f>IF(AND(B387="",C387="",D387="",N(H387)=0),"",IF(B387="","Enter the date",IF(C387="","Pick the party",IF(P387="?","Add this party on the Parties sheet first",IF(D387="","Pick the entry type",IF(Q387="?","Pick the entry type from the list",IF(N(H387)=0,"Enter the amount",IF(AND(R387&lt;&gt;"Any",R387&lt;&gt;P387),"Sales, receipts and credit notes are for debtors; purchases, payments and debit notes for creditors",IF(AND(F387&lt;&gt;"",D387&lt;&gt;"Purchase bill"),"The received-on date is only for purchase bills",IF(AND(P387="Creditor",X387=1,AA387&gt;0),"Past due to a micro or small supplier: interest runs under MSMED s.16, and if unpaid at year end it is not deductible that year, s.37(2)(g)",IF(AND(P387="Debtor",X387=1,AA387&gt;0),"Past due to you: as a micro or small supplier you can claim interest under MSMED s.16","OK")))))))))))</f>
        <v/>
      </c>
      <c r="P387">
        <f>IF(C387="","",IFERROR(VLOOKUP(C387,'Example Parties'!$B$13:$Q$112,2,FALSE),"?"))</f>
        <v/>
      </c>
      <c r="Q387">
        <f>IF(D387="","",IFERROR(VLOOKUP(D387,Lists!$A$2:$D$9,3,FALSE),"?"))</f>
        <v/>
      </c>
      <c r="R387">
        <f>IF(D387="","",IFERROR(VLOOKUP(D387,Lists!$A$2:$D$9,4,FALSE),"?"))</f>
        <v/>
      </c>
      <c r="S387">
        <f>IF(P387="Debtor",I387,IF(P387="Creditor",J387,0))</f>
        <v/>
      </c>
      <c r="T387">
        <f>IF(P387="Debtor",J387,IF(P387="Creditor",I387,0))</f>
        <v/>
      </c>
      <c r="U387">
        <f>IF(OR(S387=0,B387=""),0,IFERROR(VLOOKUP(C387,'Example Parties'!$B$13:$Q$112,13,FALSE),0)+SUMIFS($S$7:$S$506,$C$7:$C$506,C387,$B$7:$B$506,"&lt;"&amp;B387)+SUMIFS(S$7:S387,C$7:C387,C387,B$7:B387,B387))</f>
        <v/>
      </c>
      <c r="V387">
        <f>IF(S387=0,0,IFERROR(VLOOKUP(C387,'Example Parties'!$B$13:$Q$112,14,FALSE),0)+SUMIFS($T$7:$T$506,$C$7:$C$506,C387,$B$7:$B$506,"&lt;="&amp;'Example Outstanding'!$E$5))</f>
        <v/>
      </c>
      <c r="W387">
        <f>IF(OR('Example Outstanding'!$E$5="",S387=0,B387="",B387&gt;'Example Outstanding'!$E$5),0,MAX(0,MIN(S387,U387-V387)))</f>
        <v/>
      </c>
      <c r="X387">
        <f>IF(C387="",0,IFERROR(VLOOKUP(C387,'Example Parties'!$B$13:$Q$112,15,FALSE),0))</f>
        <v/>
      </c>
      <c r="Y387">
        <f>IF(C387="","",IFERROR(VLOOKUP(C387,'Example Parties'!$B$13:$Q$112,16,FALSE),0))</f>
        <v/>
      </c>
      <c r="Z387">
        <f>IF(OR(S387=0,B387="",Y387=""),"",IF(AND(F387&lt;&gt;"",D387="Purchase bill"),F387,B387)+Y387)</f>
        <v/>
      </c>
      <c r="AA387">
        <f>IF(OR(W387=0,Z387=""),0,MAX(0,'Example Outstanding'!$E$5-Z387))</f>
        <v/>
      </c>
      <c r="AB387">
        <f>IF(AND(X387=1,AA387&gt;0),W387*((1+3*N('Example Parties'!$E$10)/12)^(AA387*12/365)-1),0)</f>
        <v/>
      </c>
      <c r="AC387">
        <f>IF(W387=0,"",'Example Outstanding'!$E$5-B387)</f>
        <v/>
      </c>
      <c r="AD387">
        <f>IF(S387=0,0,IFERROR(VLOOKUP(C387,'Example Parties'!$B$13:$Q$112,14,FALSE),0)+SUMIFS($T$7:$T$506,$C$7:$C$506,C387,$B$7:$B$506,"&lt;="&amp;'Example Parties'!$E$8))</f>
        <v/>
      </c>
      <c r="AE387">
        <f>IF(OR('Example Parties'!$E$8="",S387=0,B387="",B387&gt;'Example Parties'!$E$8),0,MAX(0,MIN(S387,U387-AD387)))</f>
        <v/>
      </c>
      <c r="AF387">
        <f>IF(AND(P387="Creditor",X387=1,AE387&gt;0,Z387&lt;&gt;""),IF(Z387&lt;='Example Parties'!$E$8,AE387,0),0)</f>
        <v/>
      </c>
      <c r="AG387">
        <f>IF(OR(AE387=0,Z387=""),0,MAX(0,'Example Parties'!$E$8-Z387))</f>
        <v/>
      </c>
      <c r="AH387">
        <f>IF(AND(P387="Creditor",X387=1,AG387&gt;0),AE387*((1+3*N('Example Parties'!$E$10)/12)^(AG387*12/365)-1),0)</f>
        <v/>
      </c>
      <c r="AI387">
        <f>IF(AND(C387&lt;&gt;"",C387='Example Ledger'!$D$4,B387&lt;&gt;"",B387&gt;='Example Ledger'!$D$5,B387&lt;='Example Ledger'!$D$6),1,0)</f>
        <v/>
      </c>
      <c r="AJ387">
        <f>IF(AI387=1,SUM(AI$7:AI387),"")</f>
        <v/>
      </c>
      <c r="AK387">
        <f>IF(OR(N387="",N387="OK"),0,1)</f>
        <v/>
      </c>
    </row>
    <row r="388">
      <c r="B388" s="24" t="n"/>
      <c r="C388" s="14" t="n"/>
      <c r="D388" s="14" t="n"/>
      <c r="E388" s="20" t="n"/>
      <c r="F388" s="24" t="n"/>
      <c r="G388" s="14" t="n"/>
      <c r="H388" s="22" t="n"/>
      <c r="I388" s="25">
        <f>IF(Q388="D",N(H388),0)</f>
        <v/>
      </c>
      <c r="J388" s="25">
        <f>IF(Q388="C",N(H388),0)</f>
        <v/>
      </c>
      <c r="K388" s="26">
        <f>IF(Z388="","",Z388)</f>
        <v/>
      </c>
      <c r="L388" s="27">
        <f>W388</f>
        <v/>
      </c>
      <c r="M388" s="28">
        <f>AA388</f>
        <v/>
      </c>
      <c r="N388" s="23">
        <f>IF(AND(B388="",C388="",D388="",N(H388)=0),"",IF(B388="","Enter the date",IF(C388="","Pick the party",IF(P388="?","Add this party on the Parties sheet first",IF(D388="","Pick the entry type",IF(Q388="?","Pick the entry type from the list",IF(N(H388)=0,"Enter the amount",IF(AND(R388&lt;&gt;"Any",R388&lt;&gt;P388),"Sales, receipts and credit notes are for debtors; purchases, payments and debit notes for creditors",IF(AND(F388&lt;&gt;"",D388&lt;&gt;"Purchase bill"),"The received-on date is only for purchase bills",IF(AND(P388="Creditor",X388=1,AA388&gt;0),"Past due to a micro or small supplier: interest runs under MSMED s.16, and if unpaid at year end it is not deductible that year, s.37(2)(g)",IF(AND(P388="Debtor",X388=1,AA388&gt;0),"Past due to you: as a micro or small supplier you can claim interest under MSMED s.16","OK")))))))))))</f>
        <v/>
      </c>
      <c r="P388">
        <f>IF(C388="","",IFERROR(VLOOKUP(C388,'Example Parties'!$B$13:$Q$112,2,FALSE),"?"))</f>
        <v/>
      </c>
      <c r="Q388">
        <f>IF(D388="","",IFERROR(VLOOKUP(D388,Lists!$A$2:$D$9,3,FALSE),"?"))</f>
        <v/>
      </c>
      <c r="R388">
        <f>IF(D388="","",IFERROR(VLOOKUP(D388,Lists!$A$2:$D$9,4,FALSE),"?"))</f>
        <v/>
      </c>
      <c r="S388">
        <f>IF(P388="Debtor",I388,IF(P388="Creditor",J388,0))</f>
        <v/>
      </c>
      <c r="T388">
        <f>IF(P388="Debtor",J388,IF(P388="Creditor",I388,0))</f>
        <v/>
      </c>
      <c r="U388">
        <f>IF(OR(S388=0,B388=""),0,IFERROR(VLOOKUP(C388,'Example Parties'!$B$13:$Q$112,13,FALSE),0)+SUMIFS($S$7:$S$506,$C$7:$C$506,C388,$B$7:$B$506,"&lt;"&amp;B388)+SUMIFS(S$7:S388,C$7:C388,C388,B$7:B388,B388))</f>
        <v/>
      </c>
      <c r="V388">
        <f>IF(S388=0,0,IFERROR(VLOOKUP(C388,'Example Parties'!$B$13:$Q$112,14,FALSE),0)+SUMIFS($T$7:$T$506,$C$7:$C$506,C388,$B$7:$B$506,"&lt;="&amp;'Example Outstanding'!$E$5))</f>
        <v/>
      </c>
      <c r="W388">
        <f>IF(OR('Example Outstanding'!$E$5="",S388=0,B388="",B388&gt;'Example Outstanding'!$E$5),0,MAX(0,MIN(S388,U388-V388)))</f>
        <v/>
      </c>
      <c r="X388">
        <f>IF(C388="",0,IFERROR(VLOOKUP(C388,'Example Parties'!$B$13:$Q$112,15,FALSE),0))</f>
        <v/>
      </c>
      <c r="Y388">
        <f>IF(C388="","",IFERROR(VLOOKUP(C388,'Example Parties'!$B$13:$Q$112,16,FALSE),0))</f>
        <v/>
      </c>
      <c r="Z388">
        <f>IF(OR(S388=0,B388="",Y388=""),"",IF(AND(F388&lt;&gt;"",D388="Purchase bill"),F388,B388)+Y388)</f>
        <v/>
      </c>
      <c r="AA388">
        <f>IF(OR(W388=0,Z388=""),0,MAX(0,'Example Outstanding'!$E$5-Z388))</f>
        <v/>
      </c>
      <c r="AB388">
        <f>IF(AND(X388=1,AA388&gt;0),W388*((1+3*N('Example Parties'!$E$10)/12)^(AA388*12/365)-1),0)</f>
        <v/>
      </c>
      <c r="AC388">
        <f>IF(W388=0,"",'Example Outstanding'!$E$5-B388)</f>
        <v/>
      </c>
      <c r="AD388">
        <f>IF(S388=0,0,IFERROR(VLOOKUP(C388,'Example Parties'!$B$13:$Q$112,14,FALSE),0)+SUMIFS($T$7:$T$506,$C$7:$C$506,C388,$B$7:$B$506,"&lt;="&amp;'Example Parties'!$E$8))</f>
        <v/>
      </c>
      <c r="AE388">
        <f>IF(OR('Example Parties'!$E$8="",S388=0,B388="",B388&gt;'Example Parties'!$E$8),0,MAX(0,MIN(S388,U388-AD388)))</f>
        <v/>
      </c>
      <c r="AF388">
        <f>IF(AND(P388="Creditor",X388=1,AE388&gt;0,Z388&lt;&gt;""),IF(Z388&lt;='Example Parties'!$E$8,AE388,0),0)</f>
        <v/>
      </c>
      <c r="AG388">
        <f>IF(OR(AE388=0,Z388=""),0,MAX(0,'Example Parties'!$E$8-Z388))</f>
        <v/>
      </c>
      <c r="AH388">
        <f>IF(AND(P388="Creditor",X388=1,AG388&gt;0),AE388*((1+3*N('Example Parties'!$E$10)/12)^(AG388*12/365)-1),0)</f>
        <v/>
      </c>
      <c r="AI388">
        <f>IF(AND(C388&lt;&gt;"",C388='Example Ledger'!$D$4,B388&lt;&gt;"",B388&gt;='Example Ledger'!$D$5,B388&lt;='Example Ledger'!$D$6),1,0)</f>
        <v/>
      </c>
      <c r="AJ388">
        <f>IF(AI388=1,SUM(AI$7:AI388),"")</f>
        <v/>
      </c>
      <c r="AK388">
        <f>IF(OR(N388="",N388="OK"),0,1)</f>
        <v/>
      </c>
    </row>
    <row r="389">
      <c r="B389" s="24" t="n"/>
      <c r="C389" s="14" t="n"/>
      <c r="D389" s="14" t="n"/>
      <c r="E389" s="20" t="n"/>
      <c r="F389" s="24" t="n"/>
      <c r="G389" s="14" t="n"/>
      <c r="H389" s="22" t="n"/>
      <c r="I389" s="25">
        <f>IF(Q389="D",N(H389),0)</f>
        <v/>
      </c>
      <c r="J389" s="25">
        <f>IF(Q389="C",N(H389),0)</f>
        <v/>
      </c>
      <c r="K389" s="26">
        <f>IF(Z389="","",Z389)</f>
        <v/>
      </c>
      <c r="L389" s="27">
        <f>W389</f>
        <v/>
      </c>
      <c r="M389" s="28">
        <f>AA389</f>
        <v/>
      </c>
      <c r="N389" s="23">
        <f>IF(AND(B389="",C389="",D389="",N(H389)=0),"",IF(B389="","Enter the date",IF(C389="","Pick the party",IF(P389="?","Add this party on the Parties sheet first",IF(D389="","Pick the entry type",IF(Q389="?","Pick the entry type from the list",IF(N(H389)=0,"Enter the amount",IF(AND(R389&lt;&gt;"Any",R389&lt;&gt;P389),"Sales, receipts and credit notes are for debtors; purchases, payments and debit notes for creditors",IF(AND(F389&lt;&gt;"",D389&lt;&gt;"Purchase bill"),"The received-on date is only for purchase bills",IF(AND(P389="Creditor",X389=1,AA389&gt;0),"Past due to a micro or small supplier: interest runs under MSMED s.16, and if unpaid at year end it is not deductible that year, s.37(2)(g)",IF(AND(P389="Debtor",X389=1,AA389&gt;0),"Past due to you: as a micro or small supplier you can claim interest under MSMED s.16","OK")))))))))))</f>
        <v/>
      </c>
      <c r="P389">
        <f>IF(C389="","",IFERROR(VLOOKUP(C389,'Example Parties'!$B$13:$Q$112,2,FALSE),"?"))</f>
        <v/>
      </c>
      <c r="Q389">
        <f>IF(D389="","",IFERROR(VLOOKUP(D389,Lists!$A$2:$D$9,3,FALSE),"?"))</f>
        <v/>
      </c>
      <c r="R389">
        <f>IF(D389="","",IFERROR(VLOOKUP(D389,Lists!$A$2:$D$9,4,FALSE),"?"))</f>
        <v/>
      </c>
      <c r="S389">
        <f>IF(P389="Debtor",I389,IF(P389="Creditor",J389,0))</f>
        <v/>
      </c>
      <c r="T389">
        <f>IF(P389="Debtor",J389,IF(P389="Creditor",I389,0))</f>
        <v/>
      </c>
      <c r="U389">
        <f>IF(OR(S389=0,B389=""),0,IFERROR(VLOOKUP(C389,'Example Parties'!$B$13:$Q$112,13,FALSE),0)+SUMIFS($S$7:$S$506,$C$7:$C$506,C389,$B$7:$B$506,"&lt;"&amp;B389)+SUMIFS(S$7:S389,C$7:C389,C389,B$7:B389,B389))</f>
        <v/>
      </c>
      <c r="V389">
        <f>IF(S389=0,0,IFERROR(VLOOKUP(C389,'Example Parties'!$B$13:$Q$112,14,FALSE),0)+SUMIFS($T$7:$T$506,$C$7:$C$506,C389,$B$7:$B$506,"&lt;="&amp;'Example Outstanding'!$E$5))</f>
        <v/>
      </c>
      <c r="W389">
        <f>IF(OR('Example Outstanding'!$E$5="",S389=0,B389="",B389&gt;'Example Outstanding'!$E$5),0,MAX(0,MIN(S389,U389-V389)))</f>
        <v/>
      </c>
      <c r="X389">
        <f>IF(C389="",0,IFERROR(VLOOKUP(C389,'Example Parties'!$B$13:$Q$112,15,FALSE),0))</f>
        <v/>
      </c>
      <c r="Y389">
        <f>IF(C389="","",IFERROR(VLOOKUP(C389,'Example Parties'!$B$13:$Q$112,16,FALSE),0))</f>
        <v/>
      </c>
      <c r="Z389">
        <f>IF(OR(S389=0,B389="",Y389=""),"",IF(AND(F389&lt;&gt;"",D389="Purchase bill"),F389,B389)+Y389)</f>
        <v/>
      </c>
      <c r="AA389">
        <f>IF(OR(W389=0,Z389=""),0,MAX(0,'Example Outstanding'!$E$5-Z389))</f>
        <v/>
      </c>
      <c r="AB389">
        <f>IF(AND(X389=1,AA389&gt;0),W389*((1+3*N('Example Parties'!$E$10)/12)^(AA389*12/365)-1),0)</f>
        <v/>
      </c>
      <c r="AC389">
        <f>IF(W389=0,"",'Example Outstanding'!$E$5-B389)</f>
        <v/>
      </c>
      <c r="AD389">
        <f>IF(S389=0,0,IFERROR(VLOOKUP(C389,'Example Parties'!$B$13:$Q$112,14,FALSE),0)+SUMIFS($T$7:$T$506,$C$7:$C$506,C389,$B$7:$B$506,"&lt;="&amp;'Example Parties'!$E$8))</f>
        <v/>
      </c>
      <c r="AE389">
        <f>IF(OR('Example Parties'!$E$8="",S389=0,B389="",B389&gt;'Example Parties'!$E$8),0,MAX(0,MIN(S389,U389-AD389)))</f>
        <v/>
      </c>
      <c r="AF389">
        <f>IF(AND(P389="Creditor",X389=1,AE389&gt;0,Z389&lt;&gt;""),IF(Z389&lt;='Example Parties'!$E$8,AE389,0),0)</f>
        <v/>
      </c>
      <c r="AG389">
        <f>IF(OR(AE389=0,Z389=""),0,MAX(0,'Example Parties'!$E$8-Z389))</f>
        <v/>
      </c>
      <c r="AH389">
        <f>IF(AND(P389="Creditor",X389=1,AG389&gt;0),AE389*((1+3*N('Example Parties'!$E$10)/12)^(AG389*12/365)-1),0)</f>
        <v/>
      </c>
      <c r="AI389">
        <f>IF(AND(C389&lt;&gt;"",C389='Example Ledger'!$D$4,B389&lt;&gt;"",B389&gt;='Example Ledger'!$D$5,B389&lt;='Example Ledger'!$D$6),1,0)</f>
        <v/>
      </c>
      <c r="AJ389">
        <f>IF(AI389=1,SUM(AI$7:AI389),"")</f>
        <v/>
      </c>
      <c r="AK389">
        <f>IF(OR(N389="",N389="OK"),0,1)</f>
        <v/>
      </c>
    </row>
    <row r="390">
      <c r="B390" s="24" t="n"/>
      <c r="C390" s="14" t="n"/>
      <c r="D390" s="14" t="n"/>
      <c r="E390" s="20" t="n"/>
      <c r="F390" s="24" t="n"/>
      <c r="G390" s="14" t="n"/>
      <c r="H390" s="22" t="n"/>
      <c r="I390" s="25">
        <f>IF(Q390="D",N(H390),0)</f>
        <v/>
      </c>
      <c r="J390" s="25">
        <f>IF(Q390="C",N(H390),0)</f>
        <v/>
      </c>
      <c r="K390" s="26">
        <f>IF(Z390="","",Z390)</f>
        <v/>
      </c>
      <c r="L390" s="27">
        <f>W390</f>
        <v/>
      </c>
      <c r="M390" s="28">
        <f>AA390</f>
        <v/>
      </c>
      <c r="N390" s="23">
        <f>IF(AND(B390="",C390="",D390="",N(H390)=0),"",IF(B390="","Enter the date",IF(C390="","Pick the party",IF(P390="?","Add this party on the Parties sheet first",IF(D390="","Pick the entry type",IF(Q390="?","Pick the entry type from the list",IF(N(H390)=0,"Enter the amount",IF(AND(R390&lt;&gt;"Any",R390&lt;&gt;P390),"Sales, receipts and credit notes are for debtors; purchases, payments and debit notes for creditors",IF(AND(F390&lt;&gt;"",D390&lt;&gt;"Purchase bill"),"The received-on date is only for purchase bills",IF(AND(P390="Creditor",X390=1,AA390&gt;0),"Past due to a micro or small supplier: interest runs under MSMED s.16, and if unpaid at year end it is not deductible that year, s.37(2)(g)",IF(AND(P390="Debtor",X390=1,AA390&gt;0),"Past due to you: as a micro or small supplier you can claim interest under MSMED s.16","OK")))))))))))</f>
        <v/>
      </c>
      <c r="P390">
        <f>IF(C390="","",IFERROR(VLOOKUP(C390,'Example Parties'!$B$13:$Q$112,2,FALSE),"?"))</f>
        <v/>
      </c>
      <c r="Q390">
        <f>IF(D390="","",IFERROR(VLOOKUP(D390,Lists!$A$2:$D$9,3,FALSE),"?"))</f>
        <v/>
      </c>
      <c r="R390">
        <f>IF(D390="","",IFERROR(VLOOKUP(D390,Lists!$A$2:$D$9,4,FALSE),"?"))</f>
        <v/>
      </c>
      <c r="S390">
        <f>IF(P390="Debtor",I390,IF(P390="Creditor",J390,0))</f>
        <v/>
      </c>
      <c r="T390">
        <f>IF(P390="Debtor",J390,IF(P390="Creditor",I390,0))</f>
        <v/>
      </c>
      <c r="U390">
        <f>IF(OR(S390=0,B390=""),0,IFERROR(VLOOKUP(C390,'Example Parties'!$B$13:$Q$112,13,FALSE),0)+SUMIFS($S$7:$S$506,$C$7:$C$506,C390,$B$7:$B$506,"&lt;"&amp;B390)+SUMIFS(S$7:S390,C$7:C390,C390,B$7:B390,B390))</f>
        <v/>
      </c>
      <c r="V390">
        <f>IF(S390=0,0,IFERROR(VLOOKUP(C390,'Example Parties'!$B$13:$Q$112,14,FALSE),0)+SUMIFS($T$7:$T$506,$C$7:$C$506,C390,$B$7:$B$506,"&lt;="&amp;'Example Outstanding'!$E$5))</f>
        <v/>
      </c>
      <c r="W390">
        <f>IF(OR('Example Outstanding'!$E$5="",S390=0,B390="",B390&gt;'Example Outstanding'!$E$5),0,MAX(0,MIN(S390,U390-V390)))</f>
        <v/>
      </c>
      <c r="X390">
        <f>IF(C390="",0,IFERROR(VLOOKUP(C390,'Example Parties'!$B$13:$Q$112,15,FALSE),0))</f>
        <v/>
      </c>
      <c r="Y390">
        <f>IF(C390="","",IFERROR(VLOOKUP(C390,'Example Parties'!$B$13:$Q$112,16,FALSE),0))</f>
        <v/>
      </c>
      <c r="Z390">
        <f>IF(OR(S390=0,B390="",Y390=""),"",IF(AND(F390&lt;&gt;"",D390="Purchase bill"),F390,B390)+Y390)</f>
        <v/>
      </c>
      <c r="AA390">
        <f>IF(OR(W390=0,Z390=""),0,MAX(0,'Example Outstanding'!$E$5-Z390))</f>
        <v/>
      </c>
      <c r="AB390">
        <f>IF(AND(X390=1,AA390&gt;0),W390*((1+3*N('Example Parties'!$E$10)/12)^(AA390*12/365)-1),0)</f>
        <v/>
      </c>
      <c r="AC390">
        <f>IF(W390=0,"",'Example Outstanding'!$E$5-B390)</f>
        <v/>
      </c>
      <c r="AD390">
        <f>IF(S390=0,0,IFERROR(VLOOKUP(C390,'Example Parties'!$B$13:$Q$112,14,FALSE),0)+SUMIFS($T$7:$T$506,$C$7:$C$506,C390,$B$7:$B$506,"&lt;="&amp;'Example Parties'!$E$8))</f>
        <v/>
      </c>
      <c r="AE390">
        <f>IF(OR('Example Parties'!$E$8="",S390=0,B390="",B390&gt;'Example Parties'!$E$8),0,MAX(0,MIN(S390,U390-AD390)))</f>
        <v/>
      </c>
      <c r="AF390">
        <f>IF(AND(P390="Creditor",X390=1,AE390&gt;0,Z390&lt;&gt;""),IF(Z390&lt;='Example Parties'!$E$8,AE390,0),0)</f>
        <v/>
      </c>
      <c r="AG390">
        <f>IF(OR(AE390=0,Z390=""),0,MAX(0,'Example Parties'!$E$8-Z390))</f>
        <v/>
      </c>
      <c r="AH390">
        <f>IF(AND(P390="Creditor",X390=1,AG390&gt;0),AE390*((1+3*N('Example Parties'!$E$10)/12)^(AG390*12/365)-1),0)</f>
        <v/>
      </c>
      <c r="AI390">
        <f>IF(AND(C390&lt;&gt;"",C390='Example Ledger'!$D$4,B390&lt;&gt;"",B390&gt;='Example Ledger'!$D$5,B390&lt;='Example Ledger'!$D$6),1,0)</f>
        <v/>
      </c>
      <c r="AJ390">
        <f>IF(AI390=1,SUM(AI$7:AI390),"")</f>
        <v/>
      </c>
      <c r="AK390">
        <f>IF(OR(N390="",N390="OK"),0,1)</f>
        <v/>
      </c>
    </row>
    <row r="391">
      <c r="B391" s="24" t="n"/>
      <c r="C391" s="14" t="n"/>
      <c r="D391" s="14" t="n"/>
      <c r="E391" s="20" t="n"/>
      <c r="F391" s="24" t="n"/>
      <c r="G391" s="14" t="n"/>
      <c r="H391" s="22" t="n"/>
      <c r="I391" s="25">
        <f>IF(Q391="D",N(H391),0)</f>
        <v/>
      </c>
      <c r="J391" s="25">
        <f>IF(Q391="C",N(H391),0)</f>
        <v/>
      </c>
      <c r="K391" s="26">
        <f>IF(Z391="","",Z391)</f>
        <v/>
      </c>
      <c r="L391" s="27">
        <f>W391</f>
        <v/>
      </c>
      <c r="M391" s="28">
        <f>AA391</f>
        <v/>
      </c>
      <c r="N391" s="23">
        <f>IF(AND(B391="",C391="",D391="",N(H391)=0),"",IF(B391="","Enter the date",IF(C391="","Pick the party",IF(P391="?","Add this party on the Parties sheet first",IF(D391="","Pick the entry type",IF(Q391="?","Pick the entry type from the list",IF(N(H391)=0,"Enter the amount",IF(AND(R391&lt;&gt;"Any",R391&lt;&gt;P391),"Sales, receipts and credit notes are for debtors; purchases, payments and debit notes for creditors",IF(AND(F391&lt;&gt;"",D391&lt;&gt;"Purchase bill"),"The received-on date is only for purchase bills",IF(AND(P391="Creditor",X391=1,AA391&gt;0),"Past due to a micro or small supplier: interest runs under MSMED s.16, and if unpaid at year end it is not deductible that year, s.37(2)(g)",IF(AND(P391="Debtor",X391=1,AA391&gt;0),"Past due to you: as a micro or small supplier you can claim interest under MSMED s.16","OK")))))))))))</f>
        <v/>
      </c>
      <c r="P391">
        <f>IF(C391="","",IFERROR(VLOOKUP(C391,'Example Parties'!$B$13:$Q$112,2,FALSE),"?"))</f>
        <v/>
      </c>
      <c r="Q391">
        <f>IF(D391="","",IFERROR(VLOOKUP(D391,Lists!$A$2:$D$9,3,FALSE),"?"))</f>
        <v/>
      </c>
      <c r="R391">
        <f>IF(D391="","",IFERROR(VLOOKUP(D391,Lists!$A$2:$D$9,4,FALSE),"?"))</f>
        <v/>
      </c>
      <c r="S391">
        <f>IF(P391="Debtor",I391,IF(P391="Creditor",J391,0))</f>
        <v/>
      </c>
      <c r="T391">
        <f>IF(P391="Debtor",J391,IF(P391="Creditor",I391,0))</f>
        <v/>
      </c>
      <c r="U391">
        <f>IF(OR(S391=0,B391=""),0,IFERROR(VLOOKUP(C391,'Example Parties'!$B$13:$Q$112,13,FALSE),0)+SUMIFS($S$7:$S$506,$C$7:$C$506,C391,$B$7:$B$506,"&lt;"&amp;B391)+SUMIFS(S$7:S391,C$7:C391,C391,B$7:B391,B391))</f>
        <v/>
      </c>
      <c r="V391">
        <f>IF(S391=0,0,IFERROR(VLOOKUP(C391,'Example Parties'!$B$13:$Q$112,14,FALSE),0)+SUMIFS($T$7:$T$506,$C$7:$C$506,C391,$B$7:$B$506,"&lt;="&amp;'Example Outstanding'!$E$5))</f>
        <v/>
      </c>
      <c r="W391">
        <f>IF(OR('Example Outstanding'!$E$5="",S391=0,B391="",B391&gt;'Example Outstanding'!$E$5),0,MAX(0,MIN(S391,U391-V391)))</f>
        <v/>
      </c>
      <c r="X391">
        <f>IF(C391="",0,IFERROR(VLOOKUP(C391,'Example Parties'!$B$13:$Q$112,15,FALSE),0))</f>
        <v/>
      </c>
      <c r="Y391">
        <f>IF(C391="","",IFERROR(VLOOKUP(C391,'Example Parties'!$B$13:$Q$112,16,FALSE),0))</f>
        <v/>
      </c>
      <c r="Z391">
        <f>IF(OR(S391=0,B391="",Y391=""),"",IF(AND(F391&lt;&gt;"",D391="Purchase bill"),F391,B391)+Y391)</f>
        <v/>
      </c>
      <c r="AA391">
        <f>IF(OR(W391=0,Z391=""),0,MAX(0,'Example Outstanding'!$E$5-Z391))</f>
        <v/>
      </c>
      <c r="AB391">
        <f>IF(AND(X391=1,AA391&gt;0),W391*((1+3*N('Example Parties'!$E$10)/12)^(AA391*12/365)-1),0)</f>
        <v/>
      </c>
      <c r="AC391">
        <f>IF(W391=0,"",'Example Outstanding'!$E$5-B391)</f>
        <v/>
      </c>
      <c r="AD391">
        <f>IF(S391=0,0,IFERROR(VLOOKUP(C391,'Example Parties'!$B$13:$Q$112,14,FALSE),0)+SUMIFS($T$7:$T$506,$C$7:$C$506,C391,$B$7:$B$506,"&lt;="&amp;'Example Parties'!$E$8))</f>
        <v/>
      </c>
      <c r="AE391">
        <f>IF(OR('Example Parties'!$E$8="",S391=0,B391="",B391&gt;'Example Parties'!$E$8),0,MAX(0,MIN(S391,U391-AD391)))</f>
        <v/>
      </c>
      <c r="AF391">
        <f>IF(AND(P391="Creditor",X391=1,AE391&gt;0,Z391&lt;&gt;""),IF(Z391&lt;='Example Parties'!$E$8,AE391,0),0)</f>
        <v/>
      </c>
      <c r="AG391">
        <f>IF(OR(AE391=0,Z391=""),0,MAX(0,'Example Parties'!$E$8-Z391))</f>
        <v/>
      </c>
      <c r="AH391">
        <f>IF(AND(P391="Creditor",X391=1,AG391&gt;0),AE391*((1+3*N('Example Parties'!$E$10)/12)^(AG391*12/365)-1),0)</f>
        <v/>
      </c>
      <c r="AI391">
        <f>IF(AND(C391&lt;&gt;"",C391='Example Ledger'!$D$4,B391&lt;&gt;"",B391&gt;='Example Ledger'!$D$5,B391&lt;='Example Ledger'!$D$6),1,0)</f>
        <v/>
      </c>
      <c r="AJ391">
        <f>IF(AI391=1,SUM(AI$7:AI391),"")</f>
        <v/>
      </c>
      <c r="AK391">
        <f>IF(OR(N391="",N391="OK"),0,1)</f>
        <v/>
      </c>
    </row>
    <row r="392">
      <c r="B392" s="24" t="n"/>
      <c r="C392" s="14" t="n"/>
      <c r="D392" s="14" t="n"/>
      <c r="E392" s="20" t="n"/>
      <c r="F392" s="24" t="n"/>
      <c r="G392" s="14" t="n"/>
      <c r="H392" s="22" t="n"/>
      <c r="I392" s="25">
        <f>IF(Q392="D",N(H392),0)</f>
        <v/>
      </c>
      <c r="J392" s="25">
        <f>IF(Q392="C",N(H392),0)</f>
        <v/>
      </c>
      <c r="K392" s="26">
        <f>IF(Z392="","",Z392)</f>
        <v/>
      </c>
      <c r="L392" s="27">
        <f>W392</f>
        <v/>
      </c>
      <c r="M392" s="28">
        <f>AA392</f>
        <v/>
      </c>
      <c r="N392" s="23">
        <f>IF(AND(B392="",C392="",D392="",N(H392)=0),"",IF(B392="","Enter the date",IF(C392="","Pick the party",IF(P392="?","Add this party on the Parties sheet first",IF(D392="","Pick the entry type",IF(Q392="?","Pick the entry type from the list",IF(N(H392)=0,"Enter the amount",IF(AND(R392&lt;&gt;"Any",R392&lt;&gt;P392),"Sales, receipts and credit notes are for debtors; purchases, payments and debit notes for creditors",IF(AND(F392&lt;&gt;"",D392&lt;&gt;"Purchase bill"),"The received-on date is only for purchase bills",IF(AND(P392="Creditor",X392=1,AA392&gt;0),"Past due to a micro or small supplier: interest runs under MSMED s.16, and if unpaid at year end it is not deductible that year, s.37(2)(g)",IF(AND(P392="Debtor",X392=1,AA392&gt;0),"Past due to you: as a micro or small supplier you can claim interest under MSMED s.16","OK")))))))))))</f>
        <v/>
      </c>
      <c r="P392">
        <f>IF(C392="","",IFERROR(VLOOKUP(C392,'Example Parties'!$B$13:$Q$112,2,FALSE),"?"))</f>
        <v/>
      </c>
      <c r="Q392">
        <f>IF(D392="","",IFERROR(VLOOKUP(D392,Lists!$A$2:$D$9,3,FALSE),"?"))</f>
        <v/>
      </c>
      <c r="R392">
        <f>IF(D392="","",IFERROR(VLOOKUP(D392,Lists!$A$2:$D$9,4,FALSE),"?"))</f>
        <v/>
      </c>
      <c r="S392">
        <f>IF(P392="Debtor",I392,IF(P392="Creditor",J392,0))</f>
        <v/>
      </c>
      <c r="T392">
        <f>IF(P392="Debtor",J392,IF(P392="Creditor",I392,0))</f>
        <v/>
      </c>
      <c r="U392">
        <f>IF(OR(S392=0,B392=""),0,IFERROR(VLOOKUP(C392,'Example Parties'!$B$13:$Q$112,13,FALSE),0)+SUMIFS($S$7:$S$506,$C$7:$C$506,C392,$B$7:$B$506,"&lt;"&amp;B392)+SUMIFS(S$7:S392,C$7:C392,C392,B$7:B392,B392))</f>
        <v/>
      </c>
      <c r="V392">
        <f>IF(S392=0,0,IFERROR(VLOOKUP(C392,'Example Parties'!$B$13:$Q$112,14,FALSE),0)+SUMIFS($T$7:$T$506,$C$7:$C$506,C392,$B$7:$B$506,"&lt;="&amp;'Example Outstanding'!$E$5))</f>
        <v/>
      </c>
      <c r="W392">
        <f>IF(OR('Example Outstanding'!$E$5="",S392=0,B392="",B392&gt;'Example Outstanding'!$E$5),0,MAX(0,MIN(S392,U392-V392)))</f>
        <v/>
      </c>
      <c r="X392">
        <f>IF(C392="",0,IFERROR(VLOOKUP(C392,'Example Parties'!$B$13:$Q$112,15,FALSE),0))</f>
        <v/>
      </c>
      <c r="Y392">
        <f>IF(C392="","",IFERROR(VLOOKUP(C392,'Example Parties'!$B$13:$Q$112,16,FALSE),0))</f>
        <v/>
      </c>
      <c r="Z392">
        <f>IF(OR(S392=0,B392="",Y392=""),"",IF(AND(F392&lt;&gt;"",D392="Purchase bill"),F392,B392)+Y392)</f>
        <v/>
      </c>
      <c r="AA392">
        <f>IF(OR(W392=0,Z392=""),0,MAX(0,'Example Outstanding'!$E$5-Z392))</f>
        <v/>
      </c>
      <c r="AB392">
        <f>IF(AND(X392=1,AA392&gt;0),W392*((1+3*N('Example Parties'!$E$10)/12)^(AA392*12/365)-1),0)</f>
        <v/>
      </c>
      <c r="AC392">
        <f>IF(W392=0,"",'Example Outstanding'!$E$5-B392)</f>
        <v/>
      </c>
      <c r="AD392">
        <f>IF(S392=0,0,IFERROR(VLOOKUP(C392,'Example Parties'!$B$13:$Q$112,14,FALSE),0)+SUMIFS($T$7:$T$506,$C$7:$C$506,C392,$B$7:$B$506,"&lt;="&amp;'Example Parties'!$E$8))</f>
        <v/>
      </c>
      <c r="AE392">
        <f>IF(OR('Example Parties'!$E$8="",S392=0,B392="",B392&gt;'Example Parties'!$E$8),0,MAX(0,MIN(S392,U392-AD392)))</f>
        <v/>
      </c>
      <c r="AF392">
        <f>IF(AND(P392="Creditor",X392=1,AE392&gt;0,Z392&lt;&gt;""),IF(Z392&lt;='Example Parties'!$E$8,AE392,0),0)</f>
        <v/>
      </c>
      <c r="AG392">
        <f>IF(OR(AE392=0,Z392=""),0,MAX(0,'Example Parties'!$E$8-Z392))</f>
        <v/>
      </c>
      <c r="AH392">
        <f>IF(AND(P392="Creditor",X392=1,AG392&gt;0),AE392*((1+3*N('Example Parties'!$E$10)/12)^(AG392*12/365)-1),0)</f>
        <v/>
      </c>
      <c r="AI392">
        <f>IF(AND(C392&lt;&gt;"",C392='Example Ledger'!$D$4,B392&lt;&gt;"",B392&gt;='Example Ledger'!$D$5,B392&lt;='Example Ledger'!$D$6),1,0)</f>
        <v/>
      </c>
      <c r="AJ392">
        <f>IF(AI392=1,SUM(AI$7:AI392),"")</f>
        <v/>
      </c>
      <c r="AK392">
        <f>IF(OR(N392="",N392="OK"),0,1)</f>
        <v/>
      </c>
    </row>
    <row r="393">
      <c r="B393" s="24" t="n"/>
      <c r="C393" s="14" t="n"/>
      <c r="D393" s="14" t="n"/>
      <c r="E393" s="20" t="n"/>
      <c r="F393" s="24" t="n"/>
      <c r="G393" s="14" t="n"/>
      <c r="H393" s="22" t="n"/>
      <c r="I393" s="25">
        <f>IF(Q393="D",N(H393),0)</f>
        <v/>
      </c>
      <c r="J393" s="25">
        <f>IF(Q393="C",N(H393),0)</f>
        <v/>
      </c>
      <c r="K393" s="26">
        <f>IF(Z393="","",Z393)</f>
        <v/>
      </c>
      <c r="L393" s="27">
        <f>W393</f>
        <v/>
      </c>
      <c r="M393" s="28">
        <f>AA393</f>
        <v/>
      </c>
      <c r="N393" s="23">
        <f>IF(AND(B393="",C393="",D393="",N(H393)=0),"",IF(B393="","Enter the date",IF(C393="","Pick the party",IF(P393="?","Add this party on the Parties sheet first",IF(D393="","Pick the entry type",IF(Q393="?","Pick the entry type from the list",IF(N(H393)=0,"Enter the amount",IF(AND(R393&lt;&gt;"Any",R393&lt;&gt;P393),"Sales, receipts and credit notes are for debtors; purchases, payments and debit notes for creditors",IF(AND(F393&lt;&gt;"",D393&lt;&gt;"Purchase bill"),"The received-on date is only for purchase bills",IF(AND(P393="Creditor",X393=1,AA393&gt;0),"Past due to a micro or small supplier: interest runs under MSMED s.16, and if unpaid at year end it is not deductible that year, s.37(2)(g)",IF(AND(P393="Debtor",X393=1,AA393&gt;0),"Past due to you: as a micro or small supplier you can claim interest under MSMED s.16","OK")))))))))))</f>
        <v/>
      </c>
      <c r="P393">
        <f>IF(C393="","",IFERROR(VLOOKUP(C393,'Example Parties'!$B$13:$Q$112,2,FALSE),"?"))</f>
        <v/>
      </c>
      <c r="Q393">
        <f>IF(D393="","",IFERROR(VLOOKUP(D393,Lists!$A$2:$D$9,3,FALSE),"?"))</f>
        <v/>
      </c>
      <c r="R393">
        <f>IF(D393="","",IFERROR(VLOOKUP(D393,Lists!$A$2:$D$9,4,FALSE),"?"))</f>
        <v/>
      </c>
      <c r="S393">
        <f>IF(P393="Debtor",I393,IF(P393="Creditor",J393,0))</f>
        <v/>
      </c>
      <c r="T393">
        <f>IF(P393="Debtor",J393,IF(P393="Creditor",I393,0))</f>
        <v/>
      </c>
      <c r="U393">
        <f>IF(OR(S393=0,B393=""),0,IFERROR(VLOOKUP(C393,'Example Parties'!$B$13:$Q$112,13,FALSE),0)+SUMIFS($S$7:$S$506,$C$7:$C$506,C393,$B$7:$B$506,"&lt;"&amp;B393)+SUMIFS(S$7:S393,C$7:C393,C393,B$7:B393,B393))</f>
        <v/>
      </c>
      <c r="V393">
        <f>IF(S393=0,0,IFERROR(VLOOKUP(C393,'Example Parties'!$B$13:$Q$112,14,FALSE),0)+SUMIFS($T$7:$T$506,$C$7:$C$506,C393,$B$7:$B$506,"&lt;="&amp;'Example Outstanding'!$E$5))</f>
        <v/>
      </c>
      <c r="W393">
        <f>IF(OR('Example Outstanding'!$E$5="",S393=0,B393="",B393&gt;'Example Outstanding'!$E$5),0,MAX(0,MIN(S393,U393-V393)))</f>
        <v/>
      </c>
      <c r="X393">
        <f>IF(C393="",0,IFERROR(VLOOKUP(C393,'Example Parties'!$B$13:$Q$112,15,FALSE),0))</f>
        <v/>
      </c>
      <c r="Y393">
        <f>IF(C393="","",IFERROR(VLOOKUP(C393,'Example Parties'!$B$13:$Q$112,16,FALSE),0))</f>
        <v/>
      </c>
      <c r="Z393">
        <f>IF(OR(S393=0,B393="",Y393=""),"",IF(AND(F393&lt;&gt;"",D393="Purchase bill"),F393,B393)+Y393)</f>
        <v/>
      </c>
      <c r="AA393">
        <f>IF(OR(W393=0,Z393=""),0,MAX(0,'Example Outstanding'!$E$5-Z393))</f>
        <v/>
      </c>
      <c r="AB393">
        <f>IF(AND(X393=1,AA393&gt;0),W393*((1+3*N('Example Parties'!$E$10)/12)^(AA393*12/365)-1),0)</f>
        <v/>
      </c>
      <c r="AC393">
        <f>IF(W393=0,"",'Example Outstanding'!$E$5-B393)</f>
        <v/>
      </c>
      <c r="AD393">
        <f>IF(S393=0,0,IFERROR(VLOOKUP(C393,'Example Parties'!$B$13:$Q$112,14,FALSE),0)+SUMIFS($T$7:$T$506,$C$7:$C$506,C393,$B$7:$B$506,"&lt;="&amp;'Example Parties'!$E$8))</f>
        <v/>
      </c>
      <c r="AE393">
        <f>IF(OR('Example Parties'!$E$8="",S393=0,B393="",B393&gt;'Example Parties'!$E$8),0,MAX(0,MIN(S393,U393-AD393)))</f>
        <v/>
      </c>
      <c r="AF393">
        <f>IF(AND(P393="Creditor",X393=1,AE393&gt;0,Z393&lt;&gt;""),IF(Z393&lt;='Example Parties'!$E$8,AE393,0),0)</f>
        <v/>
      </c>
      <c r="AG393">
        <f>IF(OR(AE393=0,Z393=""),0,MAX(0,'Example Parties'!$E$8-Z393))</f>
        <v/>
      </c>
      <c r="AH393">
        <f>IF(AND(P393="Creditor",X393=1,AG393&gt;0),AE393*((1+3*N('Example Parties'!$E$10)/12)^(AG393*12/365)-1),0)</f>
        <v/>
      </c>
      <c r="AI393">
        <f>IF(AND(C393&lt;&gt;"",C393='Example Ledger'!$D$4,B393&lt;&gt;"",B393&gt;='Example Ledger'!$D$5,B393&lt;='Example Ledger'!$D$6),1,0)</f>
        <v/>
      </c>
      <c r="AJ393">
        <f>IF(AI393=1,SUM(AI$7:AI393),"")</f>
        <v/>
      </c>
      <c r="AK393">
        <f>IF(OR(N393="",N393="OK"),0,1)</f>
        <v/>
      </c>
    </row>
    <row r="394">
      <c r="B394" s="24" t="n"/>
      <c r="C394" s="14" t="n"/>
      <c r="D394" s="14" t="n"/>
      <c r="E394" s="20" t="n"/>
      <c r="F394" s="24" t="n"/>
      <c r="G394" s="14" t="n"/>
      <c r="H394" s="22" t="n"/>
      <c r="I394" s="25">
        <f>IF(Q394="D",N(H394),0)</f>
        <v/>
      </c>
      <c r="J394" s="25">
        <f>IF(Q394="C",N(H394),0)</f>
        <v/>
      </c>
      <c r="K394" s="26">
        <f>IF(Z394="","",Z394)</f>
        <v/>
      </c>
      <c r="L394" s="27">
        <f>W394</f>
        <v/>
      </c>
      <c r="M394" s="28">
        <f>AA394</f>
        <v/>
      </c>
      <c r="N394" s="23">
        <f>IF(AND(B394="",C394="",D394="",N(H394)=0),"",IF(B394="","Enter the date",IF(C394="","Pick the party",IF(P394="?","Add this party on the Parties sheet first",IF(D394="","Pick the entry type",IF(Q394="?","Pick the entry type from the list",IF(N(H394)=0,"Enter the amount",IF(AND(R394&lt;&gt;"Any",R394&lt;&gt;P394),"Sales, receipts and credit notes are for debtors; purchases, payments and debit notes for creditors",IF(AND(F394&lt;&gt;"",D394&lt;&gt;"Purchase bill"),"The received-on date is only for purchase bills",IF(AND(P394="Creditor",X394=1,AA394&gt;0),"Past due to a micro or small supplier: interest runs under MSMED s.16, and if unpaid at year end it is not deductible that year, s.37(2)(g)",IF(AND(P394="Debtor",X394=1,AA394&gt;0),"Past due to you: as a micro or small supplier you can claim interest under MSMED s.16","OK")))))))))))</f>
        <v/>
      </c>
      <c r="P394">
        <f>IF(C394="","",IFERROR(VLOOKUP(C394,'Example Parties'!$B$13:$Q$112,2,FALSE),"?"))</f>
        <v/>
      </c>
      <c r="Q394">
        <f>IF(D394="","",IFERROR(VLOOKUP(D394,Lists!$A$2:$D$9,3,FALSE),"?"))</f>
        <v/>
      </c>
      <c r="R394">
        <f>IF(D394="","",IFERROR(VLOOKUP(D394,Lists!$A$2:$D$9,4,FALSE),"?"))</f>
        <v/>
      </c>
      <c r="S394">
        <f>IF(P394="Debtor",I394,IF(P394="Creditor",J394,0))</f>
        <v/>
      </c>
      <c r="T394">
        <f>IF(P394="Debtor",J394,IF(P394="Creditor",I394,0))</f>
        <v/>
      </c>
      <c r="U394">
        <f>IF(OR(S394=0,B394=""),0,IFERROR(VLOOKUP(C394,'Example Parties'!$B$13:$Q$112,13,FALSE),0)+SUMIFS($S$7:$S$506,$C$7:$C$506,C394,$B$7:$B$506,"&lt;"&amp;B394)+SUMIFS(S$7:S394,C$7:C394,C394,B$7:B394,B394))</f>
        <v/>
      </c>
      <c r="V394">
        <f>IF(S394=0,0,IFERROR(VLOOKUP(C394,'Example Parties'!$B$13:$Q$112,14,FALSE),0)+SUMIFS($T$7:$T$506,$C$7:$C$506,C394,$B$7:$B$506,"&lt;="&amp;'Example Outstanding'!$E$5))</f>
        <v/>
      </c>
      <c r="W394">
        <f>IF(OR('Example Outstanding'!$E$5="",S394=0,B394="",B394&gt;'Example Outstanding'!$E$5),0,MAX(0,MIN(S394,U394-V394)))</f>
        <v/>
      </c>
      <c r="X394">
        <f>IF(C394="",0,IFERROR(VLOOKUP(C394,'Example Parties'!$B$13:$Q$112,15,FALSE),0))</f>
        <v/>
      </c>
      <c r="Y394">
        <f>IF(C394="","",IFERROR(VLOOKUP(C394,'Example Parties'!$B$13:$Q$112,16,FALSE),0))</f>
        <v/>
      </c>
      <c r="Z394">
        <f>IF(OR(S394=0,B394="",Y394=""),"",IF(AND(F394&lt;&gt;"",D394="Purchase bill"),F394,B394)+Y394)</f>
        <v/>
      </c>
      <c r="AA394">
        <f>IF(OR(W394=0,Z394=""),0,MAX(0,'Example Outstanding'!$E$5-Z394))</f>
        <v/>
      </c>
      <c r="AB394">
        <f>IF(AND(X394=1,AA394&gt;0),W394*((1+3*N('Example Parties'!$E$10)/12)^(AA394*12/365)-1),0)</f>
        <v/>
      </c>
      <c r="AC394">
        <f>IF(W394=0,"",'Example Outstanding'!$E$5-B394)</f>
        <v/>
      </c>
      <c r="AD394">
        <f>IF(S394=0,0,IFERROR(VLOOKUP(C394,'Example Parties'!$B$13:$Q$112,14,FALSE),0)+SUMIFS($T$7:$T$506,$C$7:$C$506,C394,$B$7:$B$506,"&lt;="&amp;'Example Parties'!$E$8))</f>
        <v/>
      </c>
      <c r="AE394">
        <f>IF(OR('Example Parties'!$E$8="",S394=0,B394="",B394&gt;'Example Parties'!$E$8),0,MAX(0,MIN(S394,U394-AD394)))</f>
        <v/>
      </c>
      <c r="AF394">
        <f>IF(AND(P394="Creditor",X394=1,AE394&gt;0,Z394&lt;&gt;""),IF(Z394&lt;='Example Parties'!$E$8,AE394,0),0)</f>
        <v/>
      </c>
      <c r="AG394">
        <f>IF(OR(AE394=0,Z394=""),0,MAX(0,'Example Parties'!$E$8-Z394))</f>
        <v/>
      </c>
      <c r="AH394">
        <f>IF(AND(P394="Creditor",X394=1,AG394&gt;0),AE394*((1+3*N('Example Parties'!$E$10)/12)^(AG394*12/365)-1),0)</f>
        <v/>
      </c>
      <c r="AI394">
        <f>IF(AND(C394&lt;&gt;"",C394='Example Ledger'!$D$4,B394&lt;&gt;"",B394&gt;='Example Ledger'!$D$5,B394&lt;='Example Ledger'!$D$6),1,0)</f>
        <v/>
      </c>
      <c r="AJ394">
        <f>IF(AI394=1,SUM(AI$7:AI394),"")</f>
        <v/>
      </c>
      <c r="AK394">
        <f>IF(OR(N394="",N394="OK"),0,1)</f>
        <v/>
      </c>
    </row>
    <row r="395">
      <c r="B395" s="24" t="n"/>
      <c r="C395" s="14" t="n"/>
      <c r="D395" s="14" t="n"/>
      <c r="E395" s="20" t="n"/>
      <c r="F395" s="24" t="n"/>
      <c r="G395" s="14" t="n"/>
      <c r="H395" s="22" t="n"/>
      <c r="I395" s="25">
        <f>IF(Q395="D",N(H395),0)</f>
        <v/>
      </c>
      <c r="J395" s="25">
        <f>IF(Q395="C",N(H395),0)</f>
        <v/>
      </c>
      <c r="K395" s="26">
        <f>IF(Z395="","",Z395)</f>
        <v/>
      </c>
      <c r="L395" s="27">
        <f>W395</f>
        <v/>
      </c>
      <c r="M395" s="28">
        <f>AA395</f>
        <v/>
      </c>
      <c r="N395" s="23">
        <f>IF(AND(B395="",C395="",D395="",N(H395)=0),"",IF(B395="","Enter the date",IF(C395="","Pick the party",IF(P395="?","Add this party on the Parties sheet first",IF(D395="","Pick the entry type",IF(Q395="?","Pick the entry type from the list",IF(N(H395)=0,"Enter the amount",IF(AND(R395&lt;&gt;"Any",R395&lt;&gt;P395),"Sales, receipts and credit notes are for debtors; purchases, payments and debit notes for creditors",IF(AND(F395&lt;&gt;"",D395&lt;&gt;"Purchase bill"),"The received-on date is only for purchase bills",IF(AND(P395="Creditor",X395=1,AA395&gt;0),"Past due to a micro or small supplier: interest runs under MSMED s.16, and if unpaid at year end it is not deductible that year, s.37(2)(g)",IF(AND(P395="Debtor",X395=1,AA395&gt;0),"Past due to you: as a micro or small supplier you can claim interest under MSMED s.16","OK")))))))))))</f>
        <v/>
      </c>
      <c r="P395">
        <f>IF(C395="","",IFERROR(VLOOKUP(C395,'Example Parties'!$B$13:$Q$112,2,FALSE),"?"))</f>
        <v/>
      </c>
      <c r="Q395">
        <f>IF(D395="","",IFERROR(VLOOKUP(D395,Lists!$A$2:$D$9,3,FALSE),"?"))</f>
        <v/>
      </c>
      <c r="R395">
        <f>IF(D395="","",IFERROR(VLOOKUP(D395,Lists!$A$2:$D$9,4,FALSE),"?"))</f>
        <v/>
      </c>
      <c r="S395">
        <f>IF(P395="Debtor",I395,IF(P395="Creditor",J395,0))</f>
        <v/>
      </c>
      <c r="T395">
        <f>IF(P395="Debtor",J395,IF(P395="Creditor",I395,0))</f>
        <v/>
      </c>
      <c r="U395">
        <f>IF(OR(S395=0,B395=""),0,IFERROR(VLOOKUP(C395,'Example Parties'!$B$13:$Q$112,13,FALSE),0)+SUMIFS($S$7:$S$506,$C$7:$C$506,C395,$B$7:$B$506,"&lt;"&amp;B395)+SUMIFS(S$7:S395,C$7:C395,C395,B$7:B395,B395))</f>
        <v/>
      </c>
      <c r="V395">
        <f>IF(S395=0,0,IFERROR(VLOOKUP(C395,'Example Parties'!$B$13:$Q$112,14,FALSE),0)+SUMIFS($T$7:$T$506,$C$7:$C$506,C395,$B$7:$B$506,"&lt;="&amp;'Example Outstanding'!$E$5))</f>
        <v/>
      </c>
      <c r="W395">
        <f>IF(OR('Example Outstanding'!$E$5="",S395=0,B395="",B395&gt;'Example Outstanding'!$E$5),0,MAX(0,MIN(S395,U395-V395)))</f>
        <v/>
      </c>
      <c r="X395">
        <f>IF(C395="",0,IFERROR(VLOOKUP(C395,'Example Parties'!$B$13:$Q$112,15,FALSE),0))</f>
        <v/>
      </c>
      <c r="Y395">
        <f>IF(C395="","",IFERROR(VLOOKUP(C395,'Example Parties'!$B$13:$Q$112,16,FALSE),0))</f>
        <v/>
      </c>
      <c r="Z395">
        <f>IF(OR(S395=0,B395="",Y395=""),"",IF(AND(F395&lt;&gt;"",D395="Purchase bill"),F395,B395)+Y395)</f>
        <v/>
      </c>
      <c r="AA395">
        <f>IF(OR(W395=0,Z395=""),0,MAX(0,'Example Outstanding'!$E$5-Z395))</f>
        <v/>
      </c>
      <c r="AB395">
        <f>IF(AND(X395=1,AA395&gt;0),W395*((1+3*N('Example Parties'!$E$10)/12)^(AA395*12/365)-1),0)</f>
        <v/>
      </c>
      <c r="AC395">
        <f>IF(W395=0,"",'Example Outstanding'!$E$5-B395)</f>
        <v/>
      </c>
      <c r="AD395">
        <f>IF(S395=0,0,IFERROR(VLOOKUP(C395,'Example Parties'!$B$13:$Q$112,14,FALSE),0)+SUMIFS($T$7:$T$506,$C$7:$C$506,C395,$B$7:$B$506,"&lt;="&amp;'Example Parties'!$E$8))</f>
        <v/>
      </c>
      <c r="AE395">
        <f>IF(OR('Example Parties'!$E$8="",S395=0,B395="",B395&gt;'Example Parties'!$E$8),0,MAX(0,MIN(S395,U395-AD395)))</f>
        <v/>
      </c>
      <c r="AF395">
        <f>IF(AND(P395="Creditor",X395=1,AE395&gt;0,Z395&lt;&gt;""),IF(Z395&lt;='Example Parties'!$E$8,AE395,0),0)</f>
        <v/>
      </c>
      <c r="AG395">
        <f>IF(OR(AE395=0,Z395=""),0,MAX(0,'Example Parties'!$E$8-Z395))</f>
        <v/>
      </c>
      <c r="AH395">
        <f>IF(AND(P395="Creditor",X395=1,AG395&gt;0),AE395*((1+3*N('Example Parties'!$E$10)/12)^(AG395*12/365)-1),0)</f>
        <v/>
      </c>
      <c r="AI395">
        <f>IF(AND(C395&lt;&gt;"",C395='Example Ledger'!$D$4,B395&lt;&gt;"",B395&gt;='Example Ledger'!$D$5,B395&lt;='Example Ledger'!$D$6),1,0)</f>
        <v/>
      </c>
      <c r="AJ395">
        <f>IF(AI395=1,SUM(AI$7:AI395),"")</f>
        <v/>
      </c>
      <c r="AK395">
        <f>IF(OR(N395="",N395="OK"),0,1)</f>
        <v/>
      </c>
    </row>
    <row r="396">
      <c r="B396" s="24" t="n"/>
      <c r="C396" s="14" t="n"/>
      <c r="D396" s="14" t="n"/>
      <c r="E396" s="20" t="n"/>
      <c r="F396" s="24" t="n"/>
      <c r="G396" s="14" t="n"/>
      <c r="H396" s="22" t="n"/>
      <c r="I396" s="25">
        <f>IF(Q396="D",N(H396),0)</f>
        <v/>
      </c>
      <c r="J396" s="25">
        <f>IF(Q396="C",N(H396),0)</f>
        <v/>
      </c>
      <c r="K396" s="26">
        <f>IF(Z396="","",Z396)</f>
        <v/>
      </c>
      <c r="L396" s="27">
        <f>W396</f>
        <v/>
      </c>
      <c r="M396" s="28">
        <f>AA396</f>
        <v/>
      </c>
      <c r="N396" s="23">
        <f>IF(AND(B396="",C396="",D396="",N(H396)=0),"",IF(B396="","Enter the date",IF(C396="","Pick the party",IF(P396="?","Add this party on the Parties sheet first",IF(D396="","Pick the entry type",IF(Q396="?","Pick the entry type from the list",IF(N(H396)=0,"Enter the amount",IF(AND(R396&lt;&gt;"Any",R396&lt;&gt;P396),"Sales, receipts and credit notes are for debtors; purchases, payments and debit notes for creditors",IF(AND(F396&lt;&gt;"",D396&lt;&gt;"Purchase bill"),"The received-on date is only for purchase bills",IF(AND(P396="Creditor",X396=1,AA396&gt;0),"Past due to a micro or small supplier: interest runs under MSMED s.16, and if unpaid at year end it is not deductible that year, s.37(2)(g)",IF(AND(P396="Debtor",X396=1,AA396&gt;0),"Past due to you: as a micro or small supplier you can claim interest under MSMED s.16","OK")))))))))))</f>
        <v/>
      </c>
      <c r="P396">
        <f>IF(C396="","",IFERROR(VLOOKUP(C396,'Example Parties'!$B$13:$Q$112,2,FALSE),"?"))</f>
        <v/>
      </c>
      <c r="Q396">
        <f>IF(D396="","",IFERROR(VLOOKUP(D396,Lists!$A$2:$D$9,3,FALSE),"?"))</f>
        <v/>
      </c>
      <c r="R396">
        <f>IF(D396="","",IFERROR(VLOOKUP(D396,Lists!$A$2:$D$9,4,FALSE),"?"))</f>
        <v/>
      </c>
      <c r="S396">
        <f>IF(P396="Debtor",I396,IF(P396="Creditor",J396,0))</f>
        <v/>
      </c>
      <c r="T396">
        <f>IF(P396="Debtor",J396,IF(P396="Creditor",I396,0))</f>
        <v/>
      </c>
      <c r="U396">
        <f>IF(OR(S396=0,B396=""),0,IFERROR(VLOOKUP(C396,'Example Parties'!$B$13:$Q$112,13,FALSE),0)+SUMIFS($S$7:$S$506,$C$7:$C$506,C396,$B$7:$B$506,"&lt;"&amp;B396)+SUMIFS(S$7:S396,C$7:C396,C396,B$7:B396,B396))</f>
        <v/>
      </c>
      <c r="V396">
        <f>IF(S396=0,0,IFERROR(VLOOKUP(C396,'Example Parties'!$B$13:$Q$112,14,FALSE),0)+SUMIFS($T$7:$T$506,$C$7:$C$506,C396,$B$7:$B$506,"&lt;="&amp;'Example Outstanding'!$E$5))</f>
        <v/>
      </c>
      <c r="W396">
        <f>IF(OR('Example Outstanding'!$E$5="",S396=0,B396="",B396&gt;'Example Outstanding'!$E$5),0,MAX(0,MIN(S396,U396-V396)))</f>
        <v/>
      </c>
      <c r="X396">
        <f>IF(C396="",0,IFERROR(VLOOKUP(C396,'Example Parties'!$B$13:$Q$112,15,FALSE),0))</f>
        <v/>
      </c>
      <c r="Y396">
        <f>IF(C396="","",IFERROR(VLOOKUP(C396,'Example Parties'!$B$13:$Q$112,16,FALSE),0))</f>
        <v/>
      </c>
      <c r="Z396">
        <f>IF(OR(S396=0,B396="",Y396=""),"",IF(AND(F396&lt;&gt;"",D396="Purchase bill"),F396,B396)+Y396)</f>
        <v/>
      </c>
      <c r="AA396">
        <f>IF(OR(W396=0,Z396=""),0,MAX(0,'Example Outstanding'!$E$5-Z396))</f>
        <v/>
      </c>
      <c r="AB396">
        <f>IF(AND(X396=1,AA396&gt;0),W396*((1+3*N('Example Parties'!$E$10)/12)^(AA396*12/365)-1),0)</f>
        <v/>
      </c>
      <c r="AC396">
        <f>IF(W396=0,"",'Example Outstanding'!$E$5-B396)</f>
        <v/>
      </c>
      <c r="AD396">
        <f>IF(S396=0,0,IFERROR(VLOOKUP(C396,'Example Parties'!$B$13:$Q$112,14,FALSE),0)+SUMIFS($T$7:$T$506,$C$7:$C$506,C396,$B$7:$B$506,"&lt;="&amp;'Example Parties'!$E$8))</f>
        <v/>
      </c>
      <c r="AE396">
        <f>IF(OR('Example Parties'!$E$8="",S396=0,B396="",B396&gt;'Example Parties'!$E$8),0,MAX(0,MIN(S396,U396-AD396)))</f>
        <v/>
      </c>
      <c r="AF396">
        <f>IF(AND(P396="Creditor",X396=1,AE396&gt;0,Z396&lt;&gt;""),IF(Z396&lt;='Example Parties'!$E$8,AE396,0),0)</f>
        <v/>
      </c>
      <c r="AG396">
        <f>IF(OR(AE396=0,Z396=""),0,MAX(0,'Example Parties'!$E$8-Z396))</f>
        <v/>
      </c>
      <c r="AH396">
        <f>IF(AND(P396="Creditor",X396=1,AG396&gt;0),AE396*((1+3*N('Example Parties'!$E$10)/12)^(AG396*12/365)-1),0)</f>
        <v/>
      </c>
      <c r="AI396">
        <f>IF(AND(C396&lt;&gt;"",C396='Example Ledger'!$D$4,B396&lt;&gt;"",B396&gt;='Example Ledger'!$D$5,B396&lt;='Example Ledger'!$D$6),1,0)</f>
        <v/>
      </c>
      <c r="AJ396">
        <f>IF(AI396=1,SUM(AI$7:AI396),"")</f>
        <v/>
      </c>
      <c r="AK396">
        <f>IF(OR(N396="",N396="OK"),0,1)</f>
        <v/>
      </c>
    </row>
    <row r="397">
      <c r="B397" s="24" t="n"/>
      <c r="C397" s="14" t="n"/>
      <c r="D397" s="14" t="n"/>
      <c r="E397" s="20" t="n"/>
      <c r="F397" s="24" t="n"/>
      <c r="G397" s="14" t="n"/>
      <c r="H397" s="22" t="n"/>
      <c r="I397" s="25">
        <f>IF(Q397="D",N(H397),0)</f>
        <v/>
      </c>
      <c r="J397" s="25">
        <f>IF(Q397="C",N(H397),0)</f>
        <v/>
      </c>
      <c r="K397" s="26">
        <f>IF(Z397="","",Z397)</f>
        <v/>
      </c>
      <c r="L397" s="27">
        <f>W397</f>
        <v/>
      </c>
      <c r="M397" s="28">
        <f>AA397</f>
        <v/>
      </c>
      <c r="N397" s="23">
        <f>IF(AND(B397="",C397="",D397="",N(H397)=0),"",IF(B397="","Enter the date",IF(C397="","Pick the party",IF(P397="?","Add this party on the Parties sheet first",IF(D397="","Pick the entry type",IF(Q397="?","Pick the entry type from the list",IF(N(H397)=0,"Enter the amount",IF(AND(R397&lt;&gt;"Any",R397&lt;&gt;P397),"Sales, receipts and credit notes are for debtors; purchases, payments and debit notes for creditors",IF(AND(F397&lt;&gt;"",D397&lt;&gt;"Purchase bill"),"The received-on date is only for purchase bills",IF(AND(P397="Creditor",X397=1,AA397&gt;0),"Past due to a micro or small supplier: interest runs under MSMED s.16, and if unpaid at year end it is not deductible that year, s.37(2)(g)",IF(AND(P397="Debtor",X397=1,AA397&gt;0),"Past due to you: as a micro or small supplier you can claim interest under MSMED s.16","OK")))))))))))</f>
        <v/>
      </c>
      <c r="P397">
        <f>IF(C397="","",IFERROR(VLOOKUP(C397,'Example Parties'!$B$13:$Q$112,2,FALSE),"?"))</f>
        <v/>
      </c>
      <c r="Q397">
        <f>IF(D397="","",IFERROR(VLOOKUP(D397,Lists!$A$2:$D$9,3,FALSE),"?"))</f>
        <v/>
      </c>
      <c r="R397">
        <f>IF(D397="","",IFERROR(VLOOKUP(D397,Lists!$A$2:$D$9,4,FALSE),"?"))</f>
        <v/>
      </c>
      <c r="S397">
        <f>IF(P397="Debtor",I397,IF(P397="Creditor",J397,0))</f>
        <v/>
      </c>
      <c r="T397">
        <f>IF(P397="Debtor",J397,IF(P397="Creditor",I397,0))</f>
        <v/>
      </c>
      <c r="U397">
        <f>IF(OR(S397=0,B397=""),0,IFERROR(VLOOKUP(C397,'Example Parties'!$B$13:$Q$112,13,FALSE),0)+SUMIFS($S$7:$S$506,$C$7:$C$506,C397,$B$7:$B$506,"&lt;"&amp;B397)+SUMIFS(S$7:S397,C$7:C397,C397,B$7:B397,B397))</f>
        <v/>
      </c>
      <c r="V397">
        <f>IF(S397=0,0,IFERROR(VLOOKUP(C397,'Example Parties'!$B$13:$Q$112,14,FALSE),0)+SUMIFS($T$7:$T$506,$C$7:$C$506,C397,$B$7:$B$506,"&lt;="&amp;'Example Outstanding'!$E$5))</f>
        <v/>
      </c>
      <c r="W397">
        <f>IF(OR('Example Outstanding'!$E$5="",S397=0,B397="",B397&gt;'Example Outstanding'!$E$5),0,MAX(0,MIN(S397,U397-V397)))</f>
        <v/>
      </c>
      <c r="X397">
        <f>IF(C397="",0,IFERROR(VLOOKUP(C397,'Example Parties'!$B$13:$Q$112,15,FALSE),0))</f>
        <v/>
      </c>
      <c r="Y397">
        <f>IF(C397="","",IFERROR(VLOOKUP(C397,'Example Parties'!$B$13:$Q$112,16,FALSE),0))</f>
        <v/>
      </c>
      <c r="Z397">
        <f>IF(OR(S397=0,B397="",Y397=""),"",IF(AND(F397&lt;&gt;"",D397="Purchase bill"),F397,B397)+Y397)</f>
        <v/>
      </c>
      <c r="AA397">
        <f>IF(OR(W397=0,Z397=""),0,MAX(0,'Example Outstanding'!$E$5-Z397))</f>
        <v/>
      </c>
      <c r="AB397">
        <f>IF(AND(X397=1,AA397&gt;0),W397*((1+3*N('Example Parties'!$E$10)/12)^(AA397*12/365)-1),0)</f>
        <v/>
      </c>
      <c r="AC397">
        <f>IF(W397=0,"",'Example Outstanding'!$E$5-B397)</f>
        <v/>
      </c>
      <c r="AD397">
        <f>IF(S397=0,0,IFERROR(VLOOKUP(C397,'Example Parties'!$B$13:$Q$112,14,FALSE),0)+SUMIFS($T$7:$T$506,$C$7:$C$506,C397,$B$7:$B$506,"&lt;="&amp;'Example Parties'!$E$8))</f>
        <v/>
      </c>
      <c r="AE397">
        <f>IF(OR('Example Parties'!$E$8="",S397=0,B397="",B397&gt;'Example Parties'!$E$8),0,MAX(0,MIN(S397,U397-AD397)))</f>
        <v/>
      </c>
      <c r="AF397">
        <f>IF(AND(P397="Creditor",X397=1,AE397&gt;0,Z397&lt;&gt;""),IF(Z397&lt;='Example Parties'!$E$8,AE397,0),0)</f>
        <v/>
      </c>
      <c r="AG397">
        <f>IF(OR(AE397=0,Z397=""),0,MAX(0,'Example Parties'!$E$8-Z397))</f>
        <v/>
      </c>
      <c r="AH397">
        <f>IF(AND(P397="Creditor",X397=1,AG397&gt;0),AE397*((1+3*N('Example Parties'!$E$10)/12)^(AG397*12/365)-1),0)</f>
        <v/>
      </c>
      <c r="AI397">
        <f>IF(AND(C397&lt;&gt;"",C397='Example Ledger'!$D$4,B397&lt;&gt;"",B397&gt;='Example Ledger'!$D$5,B397&lt;='Example Ledger'!$D$6),1,0)</f>
        <v/>
      </c>
      <c r="AJ397">
        <f>IF(AI397=1,SUM(AI$7:AI397),"")</f>
        <v/>
      </c>
      <c r="AK397">
        <f>IF(OR(N397="",N397="OK"),0,1)</f>
        <v/>
      </c>
    </row>
    <row r="398">
      <c r="B398" s="24" t="n"/>
      <c r="C398" s="14" t="n"/>
      <c r="D398" s="14" t="n"/>
      <c r="E398" s="20" t="n"/>
      <c r="F398" s="24" t="n"/>
      <c r="G398" s="14" t="n"/>
      <c r="H398" s="22" t="n"/>
      <c r="I398" s="25">
        <f>IF(Q398="D",N(H398),0)</f>
        <v/>
      </c>
      <c r="J398" s="25">
        <f>IF(Q398="C",N(H398),0)</f>
        <v/>
      </c>
      <c r="K398" s="26">
        <f>IF(Z398="","",Z398)</f>
        <v/>
      </c>
      <c r="L398" s="27">
        <f>W398</f>
        <v/>
      </c>
      <c r="M398" s="28">
        <f>AA398</f>
        <v/>
      </c>
      <c r="N398" s="23">
        <f>IF(AND(B398="",C398="",D398="",N(H398)=0),"",IF(B398="","Enter the date",IF(C398="","Pick the party",IF(P398="?","Add this party on the Parties sheet first",IF(D398="","Pick the entry type",IF(Q398="?","Pick the entry type from the list",IF(N(H398)=0,"Enter the amount",IF(AND(R398&lt;&gt;"Any",R398&lt;&gt;P398),"Sales, receipts and credit notes are for debtors; purchases, payments and debit notes for creditors",IF(AND(F398&lt;&gt;"",D398&lt;&gt;"Purchase bill"),"The received-on date is only for purchase bills",IF(AND(P398="Creditor",X398=1,AA398&gt;0),"Past due to a micro or small supplier: interest runs under MSMED s.16, and if unpaid at year end it is not deductible that year, s.37(2)(g)",IF(AND(P398="Debtor",X398=1,AA398&gt;0),"Past due to you: as a micro or small supplier you can claim interest under MSMED s.16","OK")))))))))))</f>
        <v/>
      </c>
      <c r="P398">
        <f>IF(C398="","",IFERROR(VLOOKUP(C398,'Example Parties'!$B$13:$Q$112,2,FALSE),"?"))</f>
        <v/>
      </c>
      <c r="Q398">
        <f>IF(D398="","",IFERROR(VLOOKUP(D398,Lists!$A$2:$D$9,3,FALSE),"?"))</f>
        <v/>
      </c>
      <c r="R398">
        <f>IF(D398="","",IFERROR(VLOOKUP(D398,Lists!$A$2:$D$9,4,FALSE),"?"))</f>
        <v/>
      </c>
      <c r="S398">
        <f>IF(P398="Debtor",I398,IF(P398="Creditor",J398,0))</f>
        <v/>
      </c>
      <c r="T398">
        <f>IF(P398="Debtor",J398,IF(P398="Creditor",I398,0))</f>
        <v/>
      </c>
      <c r="U398">
        <f>IF(OR(S398=0,B398=""),0,IFERROR(VLOOKUP(C398,'Example Parties'!$B$13:$Q$112,13,FALSE),0)+SUMIFS($S$7:$S$506,$C$7:$C$506,C398,$B$7:$B$506,"&lt;"&amp;B398)+SUMIFS(S$7:S398,C$7:C398,C398,B$7:B398,B398))</f>
        <v/>
      </c>
      <c r="V398">
        <f>IF(S398=0,0,IFERROR(VLOOKUP(C398,'Example Parties'!$B$13:$Q$112,14,FALSE),0)+SUMIFS($T$7:$T$506,$C$7:$C$506,C398,$B$7:$B$506,"&lt;="&amp;'Example Outstanding'!$E$5))</f>
        <v/>
      </c>
      <c r="W398">
        <f>IF(OR('Example Outstanding'!$E$5="",S398=0,B398="",B398&gt;'Example Outstanding'!$E$5),0,MAX(0,MIN(S398,U398-V398)))</f>
        <v/>
      </c>
      <c r="X398">
        <f>IF(C398="",0,IFERROR(VLOOKUP(C398,'Example Parties'!$B$13:$Q$112,15,FALSE),0))</f>
        <v/>
      </c>
      <c r="Y398">
        <f>IF(C398="","",IFERROR(VLOOKUP(C398,'Example Parties'!$B$13:$Q$112,16,FALSE),0))</f>
        <v/>
      </c>
      <c r="Z398">
        <f>IF(OR(S398=0,B398="",Y398=""),"",IF(AND(F398&lt;&gt;"",D398="Purchase bill"),F398,B398)+Y398)</f>
        <v/>
      </c>
      <c r="AA398">
        <f>IF(OR(W398=0,Z398=""),0,MAX(0,'Example Outstanding'!$E$5-Z398))</f>
        <v/>
      </c>
      <c r="AB398">
        <f>IF(AND(X398=1,AA398&gt;0),W398*((1+3*N('Example Parties'!$E$10)/12)^(AA398*12/365)-1),0)</f>
        <v/>
      </c>
      <c r="AC398">
        <f>IF(W398=0,"",'Example Outstanding'!$E$5-B398)</f>
        <v/>
      </c>
      <c r="AD398">
        <f>IF(S398=0,0,IFERROR(VLOOKUP(C398,'Example Parties'!$B$13:$Q$112,14,FALSE),0)+SUMIFS($T$7:$T$506,$C$7:$C$506,C398,$B$7:$B$506,"&lt;="&amp;'Example Parties'!$E$8))</f>
        <v/>
      </c>
      <c r="AE398">
        <f>IF(OR('Example Parties'!$E$8="",S398=0,B398="",B398&gt;'Example Parties'!$E$8),0,MAX(0,MIN(S398,U398-AD398)))</f>
        <v/>
      </c>
      <c r="AF398">
        <f>IF(AND(P398="Creditor",X398=1,AE398&gt;0,Z398&lt;&gt;""),IF(Z398&lt;='Example Parties'!$E$8,AE398,0),0)</f>
        <v/>
      </c>
      <c r="AG398">
        <f>IF(OR(AE398=0,Z398=""),0,MAX(0,'Example Parties'!$E$8-Z398))</f>
        <v/>
      </c>
      <c r="AH398">
        <f>IF(AND(P398="Creditor",X398=1,AG398&gt;0),AE398*((1+3*N('Example Parties'!$E$10)/12)^(AG398*12/365)-1),0)</f>
        <v/>
      </c>
      <c r="AI398">
        <f>IF(AND(C398&lt;&gt;"",C398='Example Ledger'!$D$4,B398&lt;&gt;"",B398&gt;='Example Ledger'!$D$5,B398&lt;='Example Ledger'!$D$6),1,0)</f>
        <v/>
      </c>
      <c r="AJ398">
        <f>IF(AI398=1,SUM(AI$7:AI398),"")</f>
        <v/>
      </c>
      <c r="AK398">
        <f>IF(OR(N398="",N398="OK"),0,1)</f>
        <v/>
      </c>
    </row>
    <row r="399">
      <c r="B399" s="24" t="n"/>
      <c r="C399" s="14" t="n"/>
      <c r="D399" s="14" t="n"/>
      <c r="E399" s="20" t="n"/>
      <c r="F399" s="24" t="n"/>
      <c r="G399" s="14" t="n"/>
      <c r="H399" s="22" t="n"/>
      <c r="I399" s="25">
        <f>IF(Q399="D",N(H399),0)</f>
        <v/>
      </c>
      <c r="J399" s="25">
        <f>IF(Q399="C",N(H399),0)</f>
        <v/>
      </c>
      <c r="K399" s="26">
        <f>IF(Z399="","",Z399)</f>
        <v/>
      </c>
      <c r="L399" s="27">
        <f>W399</f>
        <v/>
      </c>
      <c r="M399" s="28">
        <f>AA399</f>
        <v/>
      </c>
      <c r="N399" s="23">
        <f>IF(AND(B399="",C399="",D399="",N(H399)=0),"",IF(B399="","Enter the date",IF(C399="","Pick the party",IF(P399="?","Add this party on the Parties sheet first",IF(D399="","Pick the entry type",IF(Q399="?","Pick the entry type from the list",IF(N(H399)=0,"Enter the amount",IF(AND(R399&lt;&gt;"Any",R399&lt;&gt;P399),"Sales, receipts and credit notes are for debtors; purchases, payments and debit notes for creditors",IF(AND(F399&lt;&gt;"",D399&lt;&gt;"Purchase bill"),"The received-on date is only for purchase bills",IF(AND(P399="Creditor",X399=1,AA399&gt;0),"Past due to a micro or small supplier: interest runs under MSMED s.16, and if unpaid at year end it is not deductible that year, s.37(2)(g)",IF(AND(P399="Debtor",X399=1,AA399&gt;0),"Past due to you: as a micro or small supplier you can claim interest under MSMED s.16","OK")))))))))))</f>
        <v/>
      </c>
      <c r="P399">
        <f>IF(C399="","",IFERROR(VLOOKUP(C399,'Example Parties'!$B$13:$Q$112,2,FALSE),"?"))</f>
        <v/>
      </c>
      <c r="Q399">
        <f>IF(D399="","",IFERROR(VLOOKUP(D399,Lists!$A$2:$D$9,3,FALSE),"?"))</f>
        <v/>
      </c>
      <c r="R399">
        <f>IF(D399="","",IFERROR(VLOOKUP(D399,Lists!$A$2:$D$9,4,FALSE),"?"))</f>
        <v/>
      </c>
      <c r="S399">
        <f>IF(P399="Debtor",I399,IF(P399="Creditor",J399,0))</f>
        <v/>
      </c>
      <c r="T399">
        <f>IF(P399="Debtor",J399,IF(P399="Creditor",I399,0))</f>
        <v/>
      </c>
      <c r="U399">
        <f>IF(OR(S399=0,B399=""),0,IFERROR(VLOOKUP(C399,'Example Parties'!$B$13:$Q$112,13,FALSE),0)+SUMIFS($S$7:$S$506,$C$7:$C$506,C399,$B$7:$B$506,"&lt;"&amp;B399)+SUMIFS(S$7:S399,C$7:C399,C399,B$7:B399,B399))</f>
        <v/>
      </c>
      <c r="V399">
        <f>IF(S399=0,0,IFERROR(VLOOKUP(C399,'Example Parties'!$B$13:$Q$112,14,FALSE),0)+SUMIFS($T$7:$T$506,$C$7:$C$506,C399,$B$7:$B$506,"&lt;="&amp;'Example Outstanding'!$E$5))</f>
        <v/>
      </c>
      <c r="W399">
        <f>IF(OR('Example Outstanding'!$E$5="",S399=0,B399="",B399&gt;'Example Outstanding'!$E$5),0,MAX(0,MIN(S399,U399-V399)))</f>
        <v/>
      </c>
      <c r="X399">
        <f>IF(C399="",0,IFERROR(VLOOKUP(C399,'Example Parties'!$B$13:$Q$112,15,FALSE),0))</f>
        <v/>
      </c>
      <c r="Y399">
        <f>IF(C399="","",IFERROR(VLOOKUP(C399,'Example Parties'!$B$13:$Q$112,16,FALSE),0))</f>
        <v/>
      </c>
      <c r="Z399">
        <f>IF(OR(S399=0,B399="",Y399=""),"",IF(AND(F399&lt;&gt;"",D399="Purchase bill"),F399,B399)+Y399)</f>
        <v/>
      </c>
      <c r="AA399">
        <f>IF(OR(W399=0,Z399=""),0,MAX(0,'Example Outstanding'!$E$5-Z399))</f>
        <v/>
      </c>
      <c r="AB399">
        <f>IF(AND(X399=1,AA399&gt;0),W399*((1+3*N('Example Parties'!$E$10)/12)^(AA399*12/365)-1),0)</f>
        <v/>
      </c>
      <c r="AC399">
        <f>IF(W399=0,"",'Example Outstanding'!$E$5-B399)</f>
        <v/>
      </c>
      <c r="AD399">
        <f>IF(S399=0,0,IFERROR(VLOOKUP(C399,'Example Parties'!$B$13:$Q$112,14,FALSE),0)+SUMIFS($T$7:$T$506,$C$7:$C$506,C399,$B$7:$B$506,"&lt;="&amp;'Example Parties'!$E$8))</f>
        <v/>
      </c>
      <c r="AE399">
        <f>IF(OR('Example Parties'!$E$8="",S399=0,B399="",B399&gt;'Example Parties'!$E$8),0,MAX(0,MIN(S399,U399-AD399)))</f>
        <v/>
      </c>
      <c r="AF399">
        <f>IF(AND(P399="Creditor",X399=1,AE399&gt;0,Z399&lt;&gt;""),IF(Z399&lt;='Example Parties'!$E$8,AE399,0),0)</f>
        <v/>
      </c>
      <c r="AG399">
        <f>IF(OR(AE399=0,Z399=""),0,MAX(0,'Example Parties'!$E$8-Z399))</f>
        <v/>
      </c>
      <c r="AH399">
        <f>IF(AND(P399="Creditor",X399=1,AG399&gt;0),AE399*((1+3*N('Example Parties'!$E$10)/12)^(AG399*12/365)-1),0)</f>
        <v/>
      </c>
      <c r="AI399">
        <f>IF(AND(C399&lt;&gt;"",C399='Example Ledger'!$D$4,B399&lt;&gt;"",B399&gt;='Example Ledger'!$D$5,B399&lt;='Example Ledger'!$D$6),1,0)</f>
        <v/>
      </c>
      <c r="AJ399">
        <f>IF(AI399=1,SUM(AI$7:AI399),"")</f>
        <v/>
      </c>
      <c r="AK399">
        <f>IF(OR(N399="",N399="OK"),0,1)</f>
        <v/>
      </c>
    </row>
    <row r="400">
      <c r="B400" s="24" t="n"/>
      <c r="C400" s="14" t="n"/>
      <c r="D400" s="14" t="n"/>
      <c r="E400" s="20" t="n"/>
      <c r="F400" s="24" t="n"/>
      <c r="G400" s="14" t="n"/>
      <c r="H400" s="22" t="n"/>
      <c r="I400" s="25">
        <f>IF(Q400="D",N(H400),0)</f>
        <v/>
      </c>
      <c r="J400" s="25">
        <f>IF(Q400="C",N(H400),0)</f>
        <v/>
      </c>
      <c r="K400" s="26">
        <f>IF(Z400="","",Z400)</f>
        <v/>
      </c>
      <c r="L400" s="27">
        <f>W400</f>
        <v/>
      </c>
      <c r="M400" s="28">
        <f>AA400</f>
        <v/>
      </c>
      <c r="N400" s="23">
        <f>IF(AND(B400="",C400="",D400="",N(H400)=0),"",IF(B400="","Enter the date",IF(C400="","Pick the party",IF(P400="?","Add this party on the Parties sheet first",IF(D400="","Pick the entry type",IF(Q400="?","Pick the entry type from the list",IF(N(H400)=0,"Enter the amount",IF(AND(R400&lt;&gt;"Any",R400&lt;&gt;P400),"Sales, receipts and credit notes are for debtors; purchases, payments and debit notes for creditors",IF(AND(F400&lt;&gt;"",D400&lt;&gt;"Purchase bill"),"The received-on date is only for purchase bills",IF(AND(P400="Creditor",X400=1,AA400&gt;0),"Past due to a micro or small supplier: interest runs under MSMED s.16, and if unpaid at year end it is not deductible that year, s.37(2)(g)",IF(AND(P400="Debtor",X400=1,AA400&gt;0),"Past due to you: as a micro or small supplier you can claim interest under MSMED s.16","OK")))))))))))</f>
        <v/>
      </c>
      <c r="P400">
        <f>IF(C400="","",IFERROR(VLOOKUP(C400,'Example Parties'!$B$13:$Q$112,2,FALSE),"?"))</f>
        <v/>
      </c>
      <c r="Q400">
        <f>IF(D400="","",IFERROR(VLOOKUP(D400,Lists!$A$2:$D$9,3,FALSE),"?"))</f>
        <v/>
      </c>
      <c r="R400">
        <f>IF(D400="","",IFERROR(VLOOKUP(D400,Lists!$A$2:$D$9,4,FALSE),"?"))</f>
        <v/>
      </c>
      <c r="S400">
        <f>IF(P400="Debtor",I400,IF(P400="Creditor",J400,0))</f>
        <v/>
      </c>
      <c r="T400">
        <f>IF(P400="Debtor",J400,IF(P400="Creditor",I400,0))</f>
        <v/>
      </c>
      <c r="U400">
        <f>IF(OR(S400=0,B400=""),0,IFERROR(VLOOKUP(C400,'Example Parties'!$B$13:$Q$112,13,FALSE),0)+SUMIFS($S$7:$S$506,$C$7:$C$506,C400,$B$7:$B$506,"&lt;"&amp;B400)+SUMIFS(S$7:S400,C$7:C400,C400,B$7:B400,B400))</f>
        <v/>
      </c>
      <c r="V400">
        <f>IF(S400=0,0,IFERROR(VLOOKUP(C400,'Example Parties'!$B$13:$Q$112,14,FALSE),0)+SUMIFS($T$7:$T$506,$C$7:$C$506,C400,$B$7:$B$506,"&lt;="&amp;'Example Outstanding'!$E$5))</f>
        <v/>
      </c>
      <c r="W400">
        <f>IF(OR('Example Outstanding'!$E$5="",S400=0,B400="",B400&gt;'Example Outstanding'!$E$5),0,MAX(0,MIN(S400,U400-V400)))</f>
        <v/>
      </c>
      <c r="X400">
        <f>IF(C400="",0,IFERROR(VLOOKUP(C400,'Example Parties'!$B$13:$Q$112,15,FALSE),0))</f>
        <v/>
      </c>
      <c r="Y400">
        <f>IF(C400="","",IFERROR(VLOOKUP(C400,'Example Parties'!$B$13:$Q$112,16,FALSE),0))</f>
        <v/>
      </c>
      <c r="Z400">
        <f>IF(OR(S400=0,B400="",Y400=""),"",IF(AND(F400&lt;&gt;"",D400="Purchase bill"),F400,B400)+Y400)</f>
        <v/>
      </c>
      <c r="AA400">
        <f>IF(OR(W400=0,Z400=""),0,MAX(0,'Example Outstanding'!$E$5-Z400))</f>
        <v/>
      </c>
      <c r="AB400">
        <f>IF(AND(X400=1,AA400&gt;0),W400*((1+3*N('Example Parties'!$E$10)/12)^(AA400*12/365)-1),0)</f>
        <v/>
      </c>
      <c r="AC400">
        <f>IF(W400=0,"",'Example Outstanding'!$E$5-B400)</f>
        <v/>
      </c>
      <c r="AD400">
        <f>IF(S400=0,0,IFERROR(VLOOKUP(C400,'Example Parties'!$B$13:$Q$112,14,FALSE),0)+SUMIFS($T$7:$T$506,$C$7:$C$506,C400,$B$7:$B$506,"&lt;="&amp;'Example Parties'!$E$8))</f>
        <v/>
      </c>
      <c r="AE400">
        <f>IF(OR('Example Parties'!$E$8="",S400=0,B400="",B400&gt;'Example Parties'!$E$8),0,MAX(0,MIN(S400,U400-AD400)))</f>
        <v/>
      </c>
      <c r="AF400">
        <f>IF(AND(P400="Creditor",X400=1,AE400&gt;0,Z400&lt;&gt;""),IF(Z400&lt;='Example Parties'!$E$8,AE400,0),0)</f>
        <v/>
      </c>
      <c r="AG400">
        <f>IF(OR(AE400=0,Z400=""),0,MAX(0,'Example Parties'!$E$8-Z400))</f>
        <v/>
      </c>
      <c r="AH400">
        <f>IF(AND(P400="Creditor",X400=1,AG400&gt;0),AE400*((1+3*N('Example Parties'!$E$10)/12)^(AG400*12/365)-1),0)</f>
        <v/>
      </c>
      <c r="AI400">
        <f>IF(AND(C400&lt;&gt;"",C400='Example Ledger'!$D$4,B400&lt;&gt;"",B400&gt;='Example Ledger'!$D$5,B400&lt;='Example Ledger'!$D$6),1,0)</f>
        <v/>
      </c>
      <c r="AJ400">
        <f>IF(AI400=1,SUM(AI$7:AI400),"")</f>
        <v/>
      </c>
      <c r="AK400">
        <f>IF(OR(N400="",N400="OK"),0,1)</f>
        <v/>
      </c>
    </row>
    <row r="401">
      <c r="B401" s="24" t="n"/>
      <c r="C401" s="14" t="n"/>
      <c r="D401" s="14" t="n"/>
      <c r="E401" s="20" t="n"/>
      <c r="F401" s="24" t="n"/>
      <c r="G401" s="14" t="n"/>
      <c r="H401" s="22" t="n"/>
      <c r="I401" s="25">
        <f>IF(Q401="D",N(H401),0)</f>
        <v/>
      </c>
      <c r="J401" s="25">
        <f>IF(Q401="C",N(H401),0)</f>
        <v/>
      </c>
      <c r="K401" s="26">
        <f>IF(Z401="","",Z401)</f>
        <v/>
      </c>
      <c r="L401" s="27">
        <f>W401</f>
        <v/>
      </c>
      <c r="M401" s="28">
        <f>AA401</f>
        <v/>
      </c>
      <c r="N401" s="23">
        <f>IF(AND(B401="",C401="",D401="",N(H401)=0),"",IF(B401="","Enter the date",IF(C401="","Pick the party",IF(P401="?","Add this party on the Parties sheet first",IF(D401="","Pick the entry type",IF(Q401="?","Pick the entry type from the list",IF(N(H401)=0,"Enter the amount",IF(AND(R401&lt;&gt;"Any",R401&lt;&gt;P401),"Sales, receipts and credit notes are for debtors; purchases, payments and debit notes for creditors",IF(AND(F401&lt;&gt;"",D401&lt;&gt;"Purchase bill"),"The received-on date is only for purchase bills",IF(AND(P401="Creditor",X401=1,AA401&gt;0),"Past due to a micro or small supplier: interest runs under MSMED s.16, and if unpaid at year end it is not deductible that year, s.37(2)(g)",IF(AND(P401="Debtor",X401=1,AA401&gt;0),"Past due to you: as a micro or small supplier you can claim interest under MSMED s.16","OK")))))))))))</f>
        <v/>
      </c>
      <c r="P401">
        <f>IF(C401="","",IFERROR(VLOOKUP(C401,'Example Parties'!$B$13:$Q$112,2,FALSE),"?"))</f>
        <v/>
      </c>
      <c r="Q401">
        <f>IF(D401="","",IFERROR(VLOOKUP(D401,Lists!$A$2:$D$9,3,FALSE),"?"))</f>
        <v/>
      </c>
      <c r="R401">
        <f>IF(D401="","",IFERROR(VLOOKUP(D401,Lists!$A$2:$D$9,4,FALSE),"?"))</f>
        <v/>
      </c>
      <c r="S401">
        <f>IF(P401="Debtor",I401,IF(P401="Creditor",J401,0))</f>
        <v/>
      </c>
      <c r="T401">
        <f>IF(P401="Debtor",J401,IF(P401="Creditor",I401,0))</f>
        <v/>
      </c>
      <c r="U401">
        <f>IF(OR(S401=0,B401=""),0,IFERROR(VLOOKUP(C401,'Example Parties'!$B$13:$Q$112,13,FALSE),0)+SUMIFS($S$7:$S$506,$C$7:$C$506,C401,$B$7:$B$506,"&lt;"&amp;B401)+SUMIFS(S$7:S401,C$7:C401,C401,B$7:B401,B401))</f>
        <v/>
      </c>
      <c r="V401">
        <f>IF(S401=0,0,IFERROR(VLOOKUP(C401,'Example Parties'!$B$13:$Q$112,14,FALSE),0)+SUMIFS($T$7:$T$506,$C$7:$C$506,C401,$B$7:$B$506,"&lt;="&amp;'Example Outstanding'!$E$5))</f>
        <v/>
      </c>
      <c r="W401">
        <f>IF(OR('Example Outstanding'!$E$5="",S401=0,B401="",B401&gt;'Example Outstanding'!$E$5),0,MAX(0,MIN(S401,U401-V401)))</f>
        <v/>
      </c>
      <c r="X401">
        <f>IF(C401="",0,IFERROR(VLOOKUP(C401,'Example Parties'!$B$13:$Q$112,15,FALSE),0))</f>
        <v/>
      </c>
      <c r="Y401">
        <f>IF(C401="","",IFERROR(VLOOKUP(C401,'Example Parties'!$B$13:$Q$112,16,FALSE),0))</f>
        <v/>
      </c>
      <c r="Z401">
        <f>IF(OR(S401=0,B401="",Y401=""),"",IF(AND(F401&lt;&gt;"",D401="Purchase bill"),F401,B401)+Y401)</f>
        <v/>
      </c>
      <c r="AA401">
        <f>IF(OR(W401=0,Z401=""),0,MAX(0,'Example Outstanding'!$E$5-Z401))</f>
        <v/>
      </c>
      <c r="AB401">
        <f>IF(AND(X401=1,AA401&gt;0),W401*((1+3*N('Example Parties'!$E$10)/12)^(AA401*12/365)-1),0)</f>
        <v/>
      </c>
      <c r="AC401">
        <f>IF(W401=0,"",'Example Outstanding'!$E$5-B401)</f>
        <v/>
      </c>
      <c r="AD401">
        <f>IF(S401=0,0,IFERROR(VLOOKUP(C401,'Example Parties'!$B$13:$Q$112,14,FALSE),0)+SUMIFS($T$7:$T$506,$C$7:$C$506,C401,$B$7:$B$506,"&lt;="&amp;'Example Parties'!$E$8))</f>
        <v/>
      </c>
      <c r="AE401">
        <f>IF(OR('Example Parties'!$E$8="",S401=0,B401="",B401&gt;'Example Parties'!$E$8),0,MAX(0,MIN(S401,U401-AD401)))</f>
        <v/>
      </c>
      <c r="AF401">
        <f>IF(AND(P401="Creditor",X401=1,AE401&gt;0,Z401&lt;&gt;""),IF(Z401&lt;='Example Parties'!$E$8,AE401,0),0)</f>
        <v/>
      </c>
      <c r="AG401">
        <f>IF(OR(AE401=0,Z401=""),0,MAX(0,'Example Parties'!$E$8-Z401))</f>
        <v/>
      </c>
      <c r="AH401">
        <f>IF(AND(P401="Creditor",X401=1,AG401&gt;0),AE401*((1+3*N('Example Parties'!$E$10)/12)^(AG401*12/365)-1),0)</f>
        <v/>
      </c>
      <c r="AI401">
        <f>IF(AND(C401&lt;&gt;"",C401='Example Ledger'!$D$4,B401&lt;&gt;"",B401&gt;='Example Ledger'!$D$5,B401&lt;='Example Ledger'!$D$6),1,0)</f>
        <v/>
      </c>
      <c r="AJ401">
        <f>IF(AI401=1,SUM(AI$7:AI401),"")</f>
        <v/>
      </c>
      <c r="AK401">
        <f>IF(OR(N401="",N401="OK"),0,1)</f>
        <v/>
      </c>
    </row>
    <row r="402">
      <c r="B402" s="24" t="n"/>
      <c r="C402" s="14" t="n"/>
      <c r="D402" s="14" t="n"/>
      <c r="E402" s="20" t="n"/>
      <c r="F402" s="24" t="n"/>
      <c r="G402" s="14" t="n"/>
      <c r="H402" s="22" t="n"/>
      <c r="I402" s="25">
        <f>IF(Q402="D",N(H402),0)</f>
        <v/>
      </c>
      <c r="J402" s="25">
        <f>IF(Q402="C",N(H402),0)</f>
        <v/>
      </c>
      <c r="K402" s="26">
        <f>IF(Z402="","",Z402)</f>
        <v/>
      </c>
      <c r="L402" s="27">
        <f>W402</f>
        <v/>
      </c>
      <c r="M402" s="28">
        <f>AA402</f>
        <v/>
      </c>
      <c r="N402" s="23">
        <f>IF(AND(B402="",C402="",D402="",N(H402)=0),"",IF(B402="","Enter the date",IF(C402="","Pick the party",IF(P402="?","Add this party on the Parties sheet first",IF(D402="","Pick the entry type",IF(Q402="?","Pick the entry type from the list",IF(N(H402)=0,"Enter the amount",IF(AND(R402&lt;&gt;"Any",R402&lt;&gt;P402),"Sales, receipts and credit notes are for debtors; purchases, payments and debit notes for creditors",IF(AND(F402&lt;&gt;"",D402&lt;&gt;"Purchase bill"),"The received-on date is only for purchase bills",IF(AND(P402="Creditor",X402=1,AA402&gt;0),"Past due to a micro or small supplier: interest runs under MSMED s.16, and if unpaid at year end it is not deductible that year, s.37(2)(g)",IF(AND(P402="Debtor",X402=1,AA402&gt;0),"Past due to you: as a micro or small supplier you can claim interest under MSMED s.16","OK")))))))))))</f>
        <v/>
      </c>
      <c r="P402">
        <f>IF(C402="","",IFERROR(VLOOKUP(C402,'Example Parties'!$B$13:$Q$112,2,FALSE),"?"))</f>
        <v/>
      </c>
      <c r="Q402">
        <f>IF(D402="","",IFERROR(VLOOKUP(D402,Lists!$A$2:$D$9,3,FALSE),"?"))</f>
        <v/>
      </c>
      <c r="R402">
        <f>IF(D402="","",IFERROR(VLOOKUP(D402,Lists!$A$2:$D$9,4,FALSE),"?"))</f>
        <v/>
      </c>
      <c r="S402">
        <f>IF(P402="Debtor",I402,IF(P402="Creditor",J402,0))</f>
        <v/>
      </c>
      <c r="T402">
        <f>IF(P402="Debtor",J402,IF(P402="Creditor",I402,0))</f>
        <v/>
      </c>
      <c r="U402">
        <f>IF(OR(S402=0,B402=""),0,IFERROR(VLOOKUP(C402,'Example Parties'!$B$13:$Q$112,13,FALSE),0)+SUMIFS($S$7:$S$506,$C$7:$C$506,C402,$B$7:$B$506,"&lt;"&amp;B402)+SUMIFS(S$7:S402,C$7:C402,C402,B$7:B402,B402))</f>
        <v/>
      </c>
      <c r="V402">
        <f>IF(S402=0,0,IFERROR(VLOOKUP(C402,'Example Parties'!$B$13:$Q$112,14,FALSE),0)+SUMIFS($T$7:$T$506,$C$7:$C$506,C402,$B$7:$B$506,"&lt;="&amp;'Example Outstanding'!$E$5))</f>
        <v/>
      </c>
      <c r="W402">
        <f>IF(OR('Example Outstanding'!$E$5="",S402=0,B402="",B402&gt;'Example Outstanding'!$E$5),0,MAX(0,MIN(S402,U402-V402)))</f>
        <v/>
      </c>
      <c r="X402">
        <f>IF(C402="",0,IFERROR(VLOOKUP(C402,'Example Parties'!$B$13:$Q$112,15,FALSE),0))</f>
        <v/>
      </c>
      <c r="Y402">
        <f>IF(C402="","",IFERROR(VLOOKUP(C402,'Example Parties'!$B$13:$Q$112,16,FALSE),0))</f>
        <v/>
      </c>
      <c r="Z402">
        <f>IF(OR(S402=0,B402="",Y402=""),"",IF(AND(F402&lt;&gt;"",D402="Purchase bill"),F402,B402)+Y402)</f>
        <v/>
      </c>
      <c r="AA402">
        <f>IF(OR(W402=0,Z402=""),0,MAX(0,'Example Outstanding'!$E$5-Z402))</f>
        <v/>
      </c>
      <c r="AB402">
        <f>IF(AND(X402=1,AA402&gt;0),W402*((1+3*N('Example Parties'!$E$10)/12)^(AA402*12/365)-1),0)</f>
        <v/>
      </c>
      <c r="AC402">
        <f>IF(W402=0,"",'Example Outstanding'!$E$5-B402)</f>
        <v/>
      </c>
      <c r="AD402">
        <f>IF(S402=0,0,IFERROR(VLOOKUP(C402,'Example Parties'!$B$13:$Q$112,14,FALSE),0)+SUMIFS($T$7:$T$506,$C$7:$C$506,C402,$B$7:$B$506,"&lt;="&amp;'Example Parties'!$E$8))</f>
        <v/>
      </c>
      <c r="AE402">
        <f>IF(OR('Example Parties'!$E$8="",S402=0,B402="",B402&gt;'Example Parties'!$E$8),0,MAX(0,MIN(S402,U402-AD402)))</f>
        <v/>
      </c>
      <c r="AF402">
        <f>IF(AND(P402="Creditor",X402=1,AE402&gt;0,Z402&lt;&gt;""),IF(Z402&lt;='Example Parties'!$E$8,AE402,0),0)</f>
        <v/>
      </c>
      <c r="AG402">
        <f>IF(OR(AE402=0,Z402=""),0,MAX(0,'Example Parties'!$E$8-Z402))</f>
        <v/>
      </c>
      <c r="AH402">
        <f>IF(AND(P402="Creditor",X402=1,AG402&gt;0),AE402*((1+3*N('Example Parties'!$E$10)/12)^(AG402*12/365)-1),0)</f>
        <v/>
      </c>
      <c r="AI402">
        <f>IF(AND(C402&lt;&gt;"",C402='Example Ledger'!$D$4,B402&lt;&gt;"",B402&gt;='Example Ledger'!$D$5,B402&lt;='Example Ledger'!$D$6),1,0)</f>
        <v/>
      </c>
      <c r="AJ402">
        <f>IF(AI402=1,SUM(AI$7:AI402),"")</f>
        <v/>
      </c>
      <c r="AK402">
        <f>IF(OR(N402="",N402="OK"),0,1)</f>
        <v/>
      </c>
    </row>
    <row r="403">
      <c r="B403" s="24" t="n"/>
      <c r="C403" s="14" t="n"/>
      <c r="D403" s="14" t="n"/>
      <c r="E403" s="20" t="n"/>
      <c r="F403" s="24" t="n"/>
      <c r="G403" s="14" t="n"/>
      <c r="H403" s="22" t="n"/>
      <c r="I403" s="25">
        <f>IF(Q403="D",N(H403),0)</f>
        <v/>
      </c>
      <c r="J403" s="25">
        <f>IF(Q403="C",N(H403),0)</f>
        <v/>
      </c>
      <c r="K403" s="26">
        <f>IF(Z403="","",Z403)</f>
        <v/>
      </c>
      <c r="L403" s="27">
        <f>W403</f>
        <v/>
      </c>
      <c r="M403" s="28">
        <f>AA403</f>
        <v/>
      </c>
      <c r="N403" s="23">
        <f>IF(AND(B403="",C403="",D403="",N(H403)=0),"",IF(B403="","Enter the date",IF(C403="","Pick the party",IF(P403="?","Add this party on the Parties sheet first",IF(D403="","Pick the entry type",IF(Q403="?","Pick the entry type from the list",IF(N(H403)=0,"Enter the amount",IF(AND(R403&lt;&gt;"Any",R403&lt;&gt;P403),"Sales, receipts and credit notes are for debtors; purchases, payments and debit notes for creditors",IF(AND(F403&lt;&gt;"",D403&lt;&gt;"Purchase bill"),"The received-on date is only for purchase bills",IF(AND(P403="Creditor",X403=1,AA403&gt;0),"Past due to a micro or small supplier: interest runs under MSMED s.16, and if unpaid at year end it is not deductible that year, s.37(2)(g)",IF(AND(P403="Debtor",X403=1,AA403&gt;0),"Past due to you: as a micro or small supplier you can claim interest under MSMED s.16","OK")))))))))))</f>
        <v/>
      </c>
      <c r="P403">
        <f>IF(C403="","",IFERROR(VLOOKUP(C403,'Example Parties'!$B$13:$Q$112,2,FALSE),"?"))</f>
        <v/>
      </c>
      <c r="Q403">
        <f>IF(D403="","",IFERROR(VLOOKUP(D403,Lists!$A$2:$D$9,3,FALSE),"?"))</f>
        <v/>
      </c>
      <c r="R403">
        <f>IF(D403="","",IFERROR(VLOOKUP(D403,Lists!$A$2:$D$9,4,FALSE),"?"))</f>
        <v/>
      </c>
      <c r="S403">
        <f>IF(P403="Debtor",I403,IF(P403="Creditor",J403,0))</f>
        <v/>
      </c>
      <c r="T403">
        <f>IF(P403="Debtor",J403,IF(P403="Creditor",I403,0))</f>
        <v/>
      </c>
      <c r="U403">
        <f>IF(OR(S403=0,B403=""),0,IFERROR(VLOOKUP(C403,'Example Parties'!$B$13:$Q$112,13,FALSE),0)+SUMIFS($S$7:$S$506,$C$7:$C$506,C403,$B$7:$B$506,"&lt;"&amp;B403)+SUMIFS(S$7:S403,C$7:C403,C403,B$7:B403,B403))</f>
        <v/>
      </c>
      <c r="V403">
        <f>IF(S403=0,0,IFERROR(VLOOKUP(C403,'Example Parties'!$B$13:$Q$112,14,FALSE),0)+SUMIFS($T$7:$T$506,$C$7:$C$506,C403,$B$7:$B$506,"&lt;="&amp;'Example Outstanding'!$E$5))</f>
        <v/>
      </c>
      <c r="W403">
        <f>IF(OR('Example Outstanding'!$E$5="",S403=0,B403="",B403&gt;'Example Outstanding'!$E$5),0,MAX(0,MIN(S403,U403-V403)))</f>
        <v/>
      </c>
      <c r="X403">
        <f>IF(C403="",0,IFERROR(VLOOKUP(C403,'Example Parties'!$B$13:$Q$112,15,FALSE),0))</f>
        <v/>
      </c>
      <c r="Y403">
        <f>IF(C403="","",IFERROR(VLOOKUP(C403,'Example Parties'!$B$13:$Q$112,16,FALSE),0))</f>
        <v/>
      </c>
      <c r="Z403">
        <f>IF(OR(S403=0,B403="",Y403=""),"",IF(AND(F403&lt;&gt;"",D403="Purchase bill"),F403,B403)+Y403)</f>
        <v/>
      </c>
      <c r="AA403">
        <f>IF(OR(W403=0,Z403=""),0,MAX(0,'Example Outstanding'!$E$5-Z403))</f>
        <v/>
      </c>
      <c r="AB403">
        <f>IF(AND(X403=1,AA403&gt;0),W403*((1+3*N('Example Parties'!$E$10)/12)^(AA403*12/365)-1),0)</f>
        <v/>
      </c>
      <c r="AC403">
        <f>IF(W403=0,"",'Example Outstanding'!$E$5-B403)</f>
        <v/>
      </c>
      <c r="AD403">
        <f>IF(S403=0,0,IFERROR(VLOOKUP(C403,'Example Parties'!$B$13:$Q$112,14,FALSE),0)+SUMIFS($T$7:$T$506,$C$7:$C$506,C403,$B$7:$B$506,"&lt;="&amp;'Example Parties'!$E$8))</f>
        <v/>
      </c>
      <c r="AE403">
        <f>IF(OR('Example Parties'!$E$8="",S403=0,B403="",B403&gt;'Example Parties'!$E$8),0,MAX(0,MIN(S403,U403-AD403)))</f>
        <v/>
      </c>
      <c r="AF403">
        <f>IF(AND(P403="Creditor",X403=1,AE403&gt;0,Z403&lt;&gt;""),IF(Z403&lt;='Example Parties'!$E$8,AE403,0),0)</f>
        <v/>
      </c>
      <c r="AG403">
        <f>IF(OR(AE403=0,Z403=""),0,MAX(0,'Example Parties'!$E$8-Z403))</f>
        <v/>
      </c>
      <c r="AH403">
        <f>IF(AND(P403="Creditor",X403=1,AG403&gt;0),AE403*((1+3*N('Example Parties'!$E$10)/12)^(AG403*12/365)-1),0)</f>
        <v/>
      </c>
      <c r="AI403">
        <f>IF(AND(C403&lt;&gt;"",C403='Example Ledger'!$D$4,B403&lt;&gt;"",B403&gt;='Example Ledger'!$D$5,B403&lt;='Example Ledger'!$D$6),1,0)</f>
        <v/>
      </c>
      <c r="AJ403">
        <f>IF(AI403=1,SUM(AI$7:AI403),"")</f>
        <v/>
      </c>
      <c r="AK403">
        <f>IF(OR(N403="",N403="OK"),0,1)</f>
        <v/>
      </c>
    </row>
    <row r="404">
      <c r="B404" s="24" t="n"/>
      <c r="C404" s="14" t="n"/>
      <c r="D404" s="14" t="n"/>
      <c r="E404" s="20" t="n"/>
      <c r="F404" s="24" t="n"/>
      <c r="G404" s="14" t="n"/>
      <c r="H404" s="22" t="n"/>
      <c r="I404" s="25">
        <f>IF(Q404="D",N(H404),0)</f>
        <v/>
      </c>
      <c r="J404" s="25">
        <f>IF(Q404="C",N(H404),0)</f>
        <v/>
      </c>
      <c r="K404" s="26">
        <f>IF(Z404="","",Z404)</f>
        <v/>
      </c>
      <c r="L404" s="27">
        <f>W404</f>
        <v/>
      </c>
      <c r="M404" s="28">
        <f>AA404</f>
        <v/>
      </c>
      <c r="N404" s="23">
        <f>IF(AND(B404="",C404="",D404="",N(H404)=0),"",IF(B404="","Enter the date",IF(C404="","Pick the party",IF(P404="?","Add this party on the Parties sheet first",IF(D404="","Pick the entry type",IF(Q404="?","Pick the entry type from the list",IF(N(H404)=0,"Enter the amount",IF(AND(R404&lt;&gt;"Any",R404&lt;&gt;P404),"Sales, receipts and credit notes are for debtors; purchases, payments and debit notes for creditors",IF(AND(F404&lt;&gt;"",D404&lt;&gt;"Purchase bill"),"The received-on date is only for purchase bills",IF(AND(P404="Creditor",X404=1,AA404&gt;0),"Past due to a micro or small supplier: interest runs under MSMED s.16, and if unpaid at year end it is not deductible that year, s.37(2)(g)",IF(AND(P404="Debtor",X404=1,AA404&gt;0),"Past due to you: as a micro or small supplier you can claim interest under MSMED s.16","OK")))))))))))</f>
        <v/>
      </c>
      <c r="P404">
        <f>IF(C404="","",IFERROR(VLOOKUP(C404,'Example Parties'!$B$13:$Q$112,2,FALSE),"?"))</f>
        <v/>
      </c>
      <c r="Q404">
        <f>IF(D404="","",IFERROR(VLOOKUP(D404,Lists!$A$2:$D$9,3,FALSE),"?"))</f>
        <v/>
      </c>
      <c r="R404">
        <f>IF(D404="","",IFERROR(VLOOKUP(D404,Lists!$A$2:$D$9,4,FALSE),"?"))</f>
        <v/>
      </c>
      <c r="S404">
        <f>IF(P404="Debtor",I404,IF(P404="Creditor",J404,0))</f>
        <v/>
      </c>
      <c r="T404">
        <f>IF(P404="Debtor",J404,IF(P404="Creditor",I404,0))</f>
        <v/>
      </c>
      <c r="U404">
        <f>IF(OR(S404=0,B404=""),0,IFERROR(VLOOKUP(C404,'Example Parties'!$B$13:$Q$112,13,FALSE),0)+SUMIFS($S$7:$S$506,$C$7:$C$506,C404,$B$7:$B$506,"&lt;"&amp;B404)+SUMIFS(S$7:S404,C$7:C404,C404,B$7:B404,B404))</f>
        <v/>
      </c>
      <c r="V404">
        <f>IF(S404=0,0,IFERROR(VLOOKUP(C404,'Example Parties'!$B$13:$Q$112,14,FALSE),0)+SUMIFS($T$7:$T$506,$C$7:$C$506,C404,$B$7:$B$506,"&lt;="&amp;'Example Outstanding'!$E$5))</f>
        <v/>
      </c>
      <c r="W404">
        <f>IF(OR('Example Outstanding'!$E$5="",S404=0,B404="",B404&gt;'Example Outstanding'!$E$5),0,MAX(0,MIN(S404,U404-V404)))</f>
        <v/>
      </c>
      <c r="X404">
        <f>IF(C404="",0,IFERROR(VLOOKUP(C404,'Example Parties'!$B$13:$Q$112,15,FALSE),0))</f>
        <v/>
      </c>
      <c r="Y404">
        <f>IF(C404="","",IFERROR(VLOOKUP(C404,'Example Parties'!$B$13:$Q$112,16,FALSE),0))</f>
        <v/>
      </c>
      <c r="Z404">
        <f>IF(OR(S404=0,B404="",Y404=""),"",IF(AND(F404&lt;&gt;"",D404="Purchase bill"),F404,B404)+Y404)</f>
        <v/>
      </c>
      <c r="AA404">
        <f>IF(OR(W404=0,Z404=""),0,MAX(0,'Example Outstanding'!$E$5-Z404))</f>
        <v/>
      </c>
      <c r="AB404">
        <f>IF(AND(X404=1,AA404&gt;0),W404*((1+3*N('Example Parties'!$E$10)/12)^(AA404*12/365)-1),0)</f>
        <v/>
      </c>
      <c r="AC404">
        <f>IF(W404=0,"",'Example Outstanding'!$E$5-B404)</f>
        <v/>
      </c>
      <c r="AD404">
        <f>IF(S404=0,0,IFERROR(VLOOKUP(C404,'Example Parties'!$B$13:$Q$112,14,FALSE),0)+SUMIFS($T$7:$T$506,$C$7:$C$506,C404,$B$7:$B$506,"&lt;="&amp;'Example Parties'!$E$8))</f>
        <v/>
      </c>
      <c r="AE404">
        <f>IF(OR('Example Parties'!$E$8="",S404=0,B404="",B404&gt;'Example Parties'!$E$8),0,MAX(0,MIN(S404,U404-AD404)))</f>
        <v/>
      </c>
      <c r="AF404">
        <f>IF(AND(P404="Creditor",X404=1,AE404&gt;0,Z404&lt;&gt;""),IF(Z404&lt;='Example Parties'!$E$8,AE404,0),0)</f>
        <v/>
      </c>
      <c r="AG404">
        <f>IF(OR(AE404=0,Z404=""),0,MAX(0,'Example Parties'!$E$8-Z404))</f>
        <v/>
      </c>
      <c r="AH404">
        <f>IF(AND(P404="Creditor",X404=1,AG404&gt;0),AE404*((1+3*N('Example Parties'!$E$10)/12)^(AG404*12/365)-1),0)</f>
        <v/>
      </c>
      <c r="AI404">
        <f>IF(AND(C404&lt;&gt;"",C404='Example Ledger'!$D$4,B404&lt;&gt;"",B404&gt;='Example Ledger'!$D$5,B404&lt;='Example Ledger'!$D$6),1,0)</f>
        <v/>
      </c>
      <c r="AJ404">
        <f>IF(AI404=1,SUM(AI$7:AI404),"")</f>
        <v/>
      </c>
      <c r="AK404">
        <f>IF(OR(N404="",N404="OK"),0,1)</f>
        <v/>
      </c>
    </row>
    <row r="405">
      <c r="B405" s="24" t="n"/>
      <c r="C405" s="14" t="n"/>
      <c r="D405" s="14" t="n"/>
      <c r="E405" s="20" t="n"/>
      <c r="F405" s="24" t="n"/>
      <c r="G405" s="14" t="n"/>
      <c r="H405" s="22" t="n"/>
      <c r="I405" s="25">
        <f>IF(Q405="D",N(H405),0)</f>
        <v/>
      </c>
      <c r="J405" s="25">
        <f>IF(Q405="C",N(H405),0)</f>
        <v/>
      </c>
      <c r="K405" s="26">
        <f>IF(Z405="","",Z405)</f>
        <v/>
      </c>
      <c r="L405" s="27">
        <f>W405</f>
        <v/>
      </c>
      <c r="M405" s="28">
        <f>AA405</f>
        <v/>
      </c>
      <c r="N405" s="23">
        <f>IF(AND(B405="",C405="",D405="",N(H405)=0),"",IF(B405="","Enter the date",IF(C405="","Pick the party",IF(P405="?","Add this party on the Parties sheet first",IF(D405="","Pick the entry type",IF(Q405="?","Pick the entry type from the list",IF(N(H405)=0,"Enter the amount",IF(AND(R405&lt;&gt;"Any",R405&lt;&gt;P405),"Sales, receipts and credit notes are for debtors; purchases, payments and debit notes for creditors",IF(AND(F405&lt;&gt;"",D405&lt;&gt;"Purchase bill"),"The received-on date is only for purchase bills",IF(AND(P405="Creditor",X405=1,AA405&gt;0),"Past due to a micro or small supplier: interest runs under MSMED s.16, and if unpaid at year end it is not deductible that year, s.37(2)(g)",IF(AND(P405="Debtor",X405=1,AA405&gt;0),"Past due to you: as a micro or small supplier you can claim interest under MSMED s.16","OK")))))))))))</f>
        <v/>
      </c>
      <c r="P405">
        <f>IF(C405="","",IFERROR(VLOOKUP(C405,'Example Parties'!$B$13:$Q$112,2,FALSE),"?"))</f>
        <v/>
      </c>
      <c r="Q405">
        <f>IF(D405="","",IFERROR(VLOOKUP(D405,Lists!$A$2:$D$9,3,FALSE),"?"))</f>
        <v/>
      </c>
      <c r="R405">
        <f>IF(D405="","",IFERROR(VLOOKUP(D405,Lists!$A$2:$D$9,4,FALSE),"?"))</f>
        <v/>
      </c>
      <c r="S405">
        <f>IF(P405="Debtor",I405,IF(P405="Creditor",J405,0))</f>
        <v/>
      </c>
      <c r="T405">
        <f>IF(P405="Debtor",J405,IF(P405="Creditor",I405,0))</f>
        <v/>
      </c>
      <c r="U405">
        <f>IF(OR(S405=0,B405=""),0,IFERROR(VLOOKUP(C405,'Example Parties'!$B$13:$Q$112,13,FALSE),0)+SUMIFS($S$7:$S$506,$C$7:$C$506,C405,$B$7:$B$506,"&lt;"&amp;B405)+SUMIFS(S$7:S405,C$7:C405,C405,B$7:B405,B405))</f>
        <v/>
      </c>
      <c r="V405">
        <f>IF(S405=0,0,IFERROR(VLOOKUP(C405,'Example Parties'!$B$13:$Q$112,14,FALSE),0)+SUMIFS($T$7:$T$506,$C$7:$C$506,C405,$B$7:$B$506,"&lt;="&amp;'Example Outstanding'!$E$5))</f>
        <v/>
      </c>
      <c r="W405">
        <f>IF(OR('Example Outstanding'!$E$5="",S405=0,B405="",B405&gt;'Example Outstanding'!$E$5),0,MAX(0,MIN(S405,U405-V405)))</f>
        <v/>
      </c>
      <c r="X405">
        <f>IF(C405="",0,IFERROR(VLOOKUP(C405,'Example Parties'!$B$13:$Q$112,15,FALSE),0))</f>
        <v/>
      </c>
      <c r="Y405">
        <f>IF(C405="","",IFERROR(VLOOKUP(C405,'Example Parties'!$B$13:$Q$112,16,FALSE),0))</f>
        <v/>
      </c>
      <c r="Z405">
        <f>IF(OR(S405=0,B405="",Y405=""),"",IF(AND(F405&lt;&gt;"",D405="Purchase bill"),F405,B405)+Y405)</f>
        <v/>
      </c>
      <c r="AA405">
        <f>IF(OR(W405=0,Z405=""),0,MAX(0,'Example Outstanding'!$E$5-Z405))</f>
        <v/>
      </c>
      <c r="AB405">
        <f>IF(AND(X405=1,AA405&gt;0),W405*((1+3*N('Example Parties'!$E$10)/12)^(AA405*12/365)-1),0)</f>
        <v/>
      </c>
      <c r="AC405">
        <f>IF(W405=0,"",'Example Outstanding'!$E$5-B405)</f>
        <v/>
      </c>
      <c r="AD405">
        <f>IF(S405=0,0,IFERROR(VLOOKUP(C405,'Example Parties'!$B$13:$Q$112,14,FALSE),0)+SUMIFS($T$7:$T$506,$C$7:$C$506,C405,$B$7:$B$506,"&lt;="&amp;'Example Parties'!$E$8))</f>
        <v/>
      </c>
      <c r="AE405">
        <f>IF(OR('Example Parties'!$E$8="",S405=0,B405="",B405&gt;'Example Parties'!$E$8),0,MAX(0,MIN(S405,U405-AD405)))</f>
        <v/>
      </c>
      <c r="AF405">
        <f>IF(AND(P405="Creditor",X405=1,AE405&gt;0,Z405&lt;&gt;""),IF(Z405&lt;='Example Parties'!$E$8,AE405,0),0)</f>
        <v/>
      </c>
      <c r="AG405">
        <f>IF(OR(AE405=0,Z405=""),0,MAX(0,'Example Parties'!$E$8-Z405))</f>
        <v/>
      </c>
      <c r="AH405">
        <f>IF(AND(P405="Creditor",X405=1,AG405&gt;0),AE405*((1+3*N('Example Parties'!$E$10)/12)^(AG405*12/365)-1),0)</f>
        <v/>
      </c>
      <c r="AI405">
        <f>IF(AND(C405&lt;&gt;"",C405='Example Ledger'!$D$4,B405&lt;&gt;"",B405&gt;='Example Ledger'!$D$5,B405&lt;='Example Ledger'!$D$6),1,0)</f>
        <v/>
      </c>
      <c r="AJ405">
        <f>IF(AI405=1,SUM(AI$7:AI405),"")</f>
        <v/>
      </c>
      <c r="AK405">
        <f>IF(OR(N405="",N405="OK"),0,1)</f>
        <v/>
      </c>
    </row>
    <row r="406">
      <c r="B406" s="24" t="n"/>
      <c r="C406" s="14" t="n"/>
      <c r="D406" s="14" t="n"/>
      <c r="E406" s="20" t="n"/>
      <c r="F406" s="24" t="n"/>
      <c r="G406" s="14" t="n"/>
      <c r="H406" s="22" t="n"/>
      <c r="I406" s="25">
        <f>IF(Q406="D",N(H406),0)</f>
        <v/>
      </c>
      <c r="J406" s="25">
        <f>IF(Q406="C",N(H406),0)</f>
        <v/>
      </c>
      <c r="K406" s="26">
        <f>IF(Z406="","",Z406)</f>
        <v/>
      </c>
      <c r="L406" s="27">
        <f>W406</f>
        <v/>
      </c>
      <c r="M406" s="28">
        <f>AA406</f>
        <v/>
      </c>
      <c r="N406" s="23">
        <f>IF(AND(B406="",C406="",D406="",N(H406)=0),"",IF(B406="","Enter the date",IF(C406="","Pick the party",IF(P406="?","Add this party on the Parties sheet first",IF(D406="","Pick the entry type",IF(Q406="?","Pick the entry type from the list",IF(N(H406)=0,"Enter the amount",IF(AND(R406&lt;&gt;"Any",R406&lt;&gt;P406),"Sales, receipts and credit notes are for debtors; purchases, payments and debit notes for creditors",IF(AND(F406&lt;&gt;"",D406&lt;&gt;"Purchase bill"),"The received-on date is only for purchase bills",IF(AND(P406="Creditor",X406=1,AA406&gt;0),"Past due to a micro or small supplier: interest runs under MSMED s.16, and if unpaid at year end it is not deductible that year, s.37(2)(g)",IF(AND(P406="Debtor",X406=1,AA406&gt;0),"Past due to you: as a micro or small supplier you can claim interest under MSMED s.16","OK")))))))))))</f>
        <v/>
      </c>
      <c r="P406">
        <f>IF(C406="","",IFERROR(VLOOKUP(C406,'Example Parties'!$B$13:$Q$112,2,FALSE),"?"))</f>
        <v/>
      </c>
      <c r="Q406">
        <f>IF(D406="","",IFERROR(VLOOKUP(D406,Lists!$A$2:$D$9,3,FALSE),"?"))</f>
        <v/>
      </c>
      <c r="R406">
        <f>IF(D406="","",IFERROR(VLOOKUP(D406,Lists!$A$2:$D$9,4,FALSE),"?"))</f>
        <v/>
      </c>
      <c r="S406">
        <f>IF(P406="Debtor",I406,IF(P406="Creditor",J406,0))</f>
        <v/>
      </c>
      <c r="T406">
        <f>IF(P406="Debtor",J406,IF(P406="Creditor",I406,0))</f>
        <v/>
      </c>
      <c r="U406">
        <f>IF(OR(S406=0,B406=""),0,IFERROR(VLOOKUP(C406,'Example Parties'!$B$13:$Q$112,13,FALSE),0)+SUMIFS($S$7:$S$506,$C$7:$C$506,C406,$B$7:$B$506,"&lt;"&amp;B406)+SUMIFS(S$7:S406,C$7:C406,C406,B$7:B406,B406))</f>
        <v/>
      </c>
      <c r="V406">
        <f>IF(S406=0,0,IFERROR(VLOOKUP(C406,'Example Parties'!$B$13:$Q$112,14,FALSE),0)+SUMIFS($T$7:$T$506,$C$7:$C$506,C406,$B$7:$B$506,"&lt;="&amp;'Example Outstanding'!$E$5))</f>
        <v/>
      </c>
      <c r="W406">
        <f>IF(OR('Example Outstanding'!$E$5="",S406=0,B406="",B406&gt;'Example Outstanding'!$E$5),0,MAX(0,MIN(S406,U406-V406)))</f>
        <v/>
      </c>
      <c r="X406">
        <f>IF(C406="",0,IFERROR(VLOOKUP(C406,'Example Parties'!$B$13:$Q$112,15,FALSE),0))</f>
        <v/>
      </c>
      <c r="Y406">
        <f>IF(C406="","",IFERROR(VLOOKUP(C406,'Example Parties'!$B$13:$Q$112,16,FALSE),0))</f>
        <v/>
      </c>
      <c r="Z406">
        <f>IF(OR(S406=0,B406="",Y406=""),"",IF(AND(F406&lt;&gt;"",D406="Purchase bill"),F406,B406)+Y406)</f>
        <v/>
      </c>
      <c r="AA406">
        <f>IF(OR(W406=0,Z406=""),0,MAX(0,'Example Outstanding'!$E$5-Z406))</f>
        <v/>
      </c>
      <c r="AB406">
        <f>IF(AND(X406=1,AA406&gt;0),W406*((1+3*N('Example Parties'!$E$10)/12)^(AA406*12/365)-1),0)</f>
        <v/>
      </c>
      <c r="AC406">
        <f>IF(W406=0,"",'Example Outstanding'!$E$5-B406)</f>
        <v/>
      </c>
      <c r="AD406">
        <f>IF(S406=0,0,IFERROR(VLOOKUP(C406,'Example Parties'!$B$13:$Q$112,14,FALSE),0)+SUMIFS($T$7:$T$506,$C$7:$C$506,C406,$B$7:$B$506,"&lt;="&amp;'Example Parties'!$E$8))</f>
        <v/>
      </c>
      <c r="AE406">
        <f>IF(OR('Example Parties'!$E$8="",S406=0,B406="",B406&gt;'Example Parties'!$E$8),0,MAX(0,MIN(S406,U406-AD406)))</f>
        <v/>
      </c>
      <c r="AF406">
        <f>IF(AND(P406="Creditor",X406=1,AE406&gt;0,Z406&lt;&gt;""),IF(Z406&lt;='Example Parties'!$E$8,AE406,0),0)</f>
        <v/>
      </c>
      <c r="AG406">
        <f>IF(OR(AE406=0,Z406=""),0,MAX(0,'Example Parties'!$E$8-Z406))</f>
        <v/>
      </c>
      <c r="AH406">
        <f>IF(AND(P406="Creditor",X406=1,AG406&gt;0),AE406*((1+3*N('Example Parties'!$E$10)/12)^(AG406*12/365)-1),0)</f>
        <v/>
      </c>
      <c r="AI406">
        <f>IF(AND(C406&lt;&gt;"",C406='Example Ledger'!$D$4,B406&lt;&gt;"",B406&gt;='Example Ledger'!$D$5,B406&lt;='Example Ledger'!$D$6),1,0)</f>
        <v/>
      </c>
      <c r="AJ406">
        <f>IF(AI406=1,SUM(AI$7:AI406),"")</f>
        <v/>
      </c>
      <c r="AK406">
        <f>IF(OR(N406="",N406="OK"),0,1)</f>
        <v/>
      </c>
    </row>
    <row r="407">
      <c r="B407" s="24" t="n"/>
      <c r="C407" s="14" t="n"/>
      <c r="D407" s="14" t="n"/>
      <c r="E407" s="20" t="n"/>
      <c r="F407" s="24" t="n"/>
      <c r="G407" s="14" t="n"/>
      <c r="H407" s="22" t="n"/>
      <c r="I407" s="25">
        <f>IF(Q407="D",N(H407),0)</f>
        <v/>
      </c>
      <c r="J407" s="25">
        <f>IF(Q407="C",N(H407),0)</f>
        <v/>
      </c>
      <c r="K407" s="26">
        <f>IF(Z407="","",Z407)</f>
        <v/>
      </c>
      <c r="L407" s="27">
        <f>W407</f>
        <v/>
      </c>
      <c r="M407" s="28">
        <f>AA407</f>
        <v/>
      </c>
      <c r="N407" s="23">
        <f>IF(AND(B407="",C407="",D407="",N(H407)=0),"",IF(B407="","Enter the date",IF(C407="","Pick the party",IF(P407="?","Add this party on the Parties sheet first",IF(D407="","Pick the entry type",IF(Q407="?","Pick the entry type from the list",IF(N(H407)=0,"Enter the amount",IF(AND(R407&lt;&gt;"Any",R407&lt;&gt;P407),"Sales, receipts and credit notes are for debtors; purchases, payments and debit notes for creditors",IF(AND(F407&lt;&gt;"",D407&lt;&gt;"Purchase bill"),"The received-on date is only for purchase bills",IF(AND(P407="Creditor",X407=1,AA407&gt;0),"Past due to a micro or small supplier: interest runs under MSMED s.16, and if unpaid at year end it is not deductible that year, s.37(2)(g)",IF(AND(P407="Debtor",X407=1,AA407&gt;0),"Past due to you: as a micro or small supplier you can claim interest under MSMED s.16","OK")))))))))))</f>
        <v/>
      </c>
      <c r="P407">
        <f>IF(C407="","",IFERROR(VLOOKUP(C407,'Example Parties'!$B$13:$Q$112,2,FALSE),"?"))</f>
        <v/>
      </c>
      <c r="Q407">
        <f>IF(D407="","",IFERROR(VLOOKUP(D407,Lists!$A$2:$D$9,3,FALSE),"?"))</f>
        <v/>
      </c>
      <c r="R407">
        <f>IF(D407="","",IFERROR(VLOOKUP(D407,Lists!$A$2:$D$9,4,FALSE),"?"))</f>
        <v/>
      </c>
      <c r="S407">
        <f>IF(P407="Debtor",I407,IF(P407="Creditor",J407,0))</f>
        <v/>
      </c>
      <c r="T407">
        <f>IF(P407="Debtor",J407,IF(P407="Creditor",I407,0))</f>
        <v/>
      </c>
      <c r="U407">
        <f>IF(OR(S407=0,B407=""),0,IFERROR(VLOOKUP(C407,'Example Parties'!$B$13:$Q$112,13,FALSE),0)+SUMIFS($S$7:$S$506,$C$7:$C$506,C407,$B$7:$B$506,"&lt;"&amp;B407)+SUMIFS(S$7:S407,C$7:C407,C407,B$7:B407,B407))</f>
        <v/>
      </c>
      <c r="V407">
        <f>IF(S407=0,0,IFERROR(VLOOKUP(C407,'Example Parties'!$B$13:$Q$112,14,FALSE),0)+SUMIFS($T$7:$T$506,$C$7:$C$506,C407,$B$7:$B$506,"&lt;="&amp;'Example Outstanding'!$E$5))</f>
        <v/>
      </c>
      <c r="W407">
        <f>IF(OR('Example Outstanding'!$E$5="",S407=0,B407="",B407&gt;'Example Outstanding'!$E$5),0,MAX(0,MIN(S407,U407-V407)))</f>
        <v/>
      </c>
      <c r="X407">
        <f>IF(C407="",0,IFERROR(VLOOKUP(C407,'Example Parties'!$B$13:$Q$112,15,FALSE),0))</f>
        <v/>
      </c>
      <c r="Y407">
        <f>IF(C407="","",IFERROR(VLOOKUP(C407,'Example Parties'!$B$13:$Q$112,16,FALSE),0))</f>
        <v/>
      </c>
      <c r="Z407">
        <f>IF(OR(S407=0,B407="",Y407=""),"",IF(AND(F407&lt;&gt;"",D407="Purchase bill"),F407,B407)+Y407)</f>
        <v/>
      </c>
      <c r="AA407">
        <f>IF(OR(W407=0,Z407=""),0,MAX(0,'Example Outstanding'!$E$5-Z407))</f>
        <v/>
      </c>
      <c r="AB407">
        <f>IF(AND(X407=1,AA407&gt;0),W407*((1+3*N('Example Parties'!$E$10)/12)^(AA407*12/365)-1),0)</f>
        <v/>
      </c>
      <c r="AC407">
        <f>IF(W407=0,"",'Example Outstanding'!$E$5-B407)</f>
        <v/>
      </c>
      <c r="AD407">
        <f>IF(S407=0,0,IFERROR(VLOOKUP(C407,'Example Parties'!$B$13:$Q$112,14,FALSE),0)+SUMIFS($T$7:$T$506,$C$7:$C$506,C407,$B$7:$B$506,"&lt;="&amp;'Example Parties'!$E$8))</f>
        <v/>
      </c>
      <c r="AE407">
        <f>IF(OR('Example Parties'!$E$8="",S407=0,B407="",B407&gt;'Example Parties'!$E$8),0,MAX(0,MIN(S407,U407-AD407)))</f>
        <v/>
      </c>
      <c r="AF407">
        <f>IF(AND(P407="Creditor",X407=1,AE407&gt;0,Z407&lt;&gt;""),IF(Z407&lt;='Example Parties'!$E$8,AE407,0),0)</f>
        <v/>
      </c>
      <c r="AG407">
        <f>IF(OR(AE407=0,Z407=""),0,MAX(0,'Example Parties'!$E$8-Z407))</f>
        <v/>
      </c>
      <c r="AH407">
        <f>IF(AND(P407="Creditor",X407=1,AG407&gt;0),AE407*((1+3*N('Example Parties'!$E$10)/12)^(AG407*12/365)-1),0)</f>
        <v/>
      </c>
      <c r="AI407">
        <f>IF(AND(C407&lt;&gt;"",C407='Example Ledger'!$D$4,B407&lt;&gt;"",B407&gt;='Example Ledger'!$D$5,B407&lt;='Example Ledger'!$D$6),1,0)</f>
        <v/>
      </c>
      <c r="AJ407">
        <f>IF(AI407=1,SUM(AI$7:AI407),"")</f>
        <v/>
      </c>
      <c r="AK407">
        <f>IF(OR(N407="",N407="OK"),0,1)</f>
        <v/>
      </c>
    </row>
    <row r="408">
      <c r="B408" s="24" t="n"/>
      <c r="C408" s="14" t="n"/>
      <c r="D408" s="14" t="n"/>
      <c r="E408" s="20" t="n"/>
      <c r="F408" s="24" t="n"/>
      <c r="G408" s="14" t="n"/>
      <c r="H408" s="22" t="n"/>
      <c r="I408" s="25">
        <f>IF(Q408="D",N(H408),0)</f>
        <v/>
      </c>
      <c r="J408" s="25">
        <f>IF(Q408="C",N(H408),0)</f>
        <v/>
      </c>
      <c r="K408" s="26">
        <f>IF(Z408="","",Z408)</f>
        <v/>
      </c>
      <c r="L408" s="27">
        <f>W408</f>
        <v/>
      </c>
      <c r="M408" s="28">
        <f>AA408</f>
        <v/>
      </c>
      <c r="N408" s="23">
        <f>IF(AND(B408="",C408="",D408="",N(H408)=0),"",IF(B408="","Enter the date",IF(C408="","Pick the party",IF(P408="?","Add this party on the Parties sheet first",IF(D408="","Pick the entry type",IF(Q408="?","Pick the entry type from the list",IF(N(H408)=0,"Enter the amount",IF(AND(R408&lt;&gt;"Any",R408&lt;&gt;P408),"Sales, receipts and credit notes are for debtors; purchases, payments and debit notes for creditors",IF(AND(F408&lt;&gt;"",D408&lt;&gt;"Purchase bill"),"The received-on date is only for purchase bills",IF(AND(P408="Creditor",X408=1,AA408&gt;0),"Past due to a micro or small supplier: interest runs under MSMED s.16, and if unpaid at year end it is not deductible that year, s.37(2)(g)",IF(AND(P408="Debtor",X408=1,AA408&gt;0),"Past due to you: as a micro or small supplier you can claim interest under MSMED s.16","OK")))))))))))</f>
        <v/>
      </c>
      <c r="P408">
        <f>IF(C408="","",IFERROR(VLOOKUP(C408,'Example Parties'!$B$13:$Q$112,2,FALSE),"?"))</f>
        <v/>
      </c>
      <c r="Q408">
        <f>IF(D408="","",IFERROR(VLOOKUP(D408,Lists!$A$2:$D$9,3,FALSE),"?"))</f>
        <v/>
      </c>
      <c r="R408">
        <f>IF(D408="","",IFERROR(VLOOKUP(D408,Lists!$A$2:$D$9,4,FALSE),"?"))</f>
        <v/>
      </c>
      <c r="S408">
        <f>IF(P408="Debtor",I408,IF(P408="Creditor",J408,0))</f>
        <v/>
      </c>
      <c r="T408">
        <f>IF(P408="Debtor",J408,IF(P408="Creditor",I408,0))</f>
        <v/>
      </c>
      <c r="U408">
        <f>IF(OR(S408=0,B408=""),0,IFERROR(VLOOKUP(C408,'Example Parties'!$B$13:$Q$112,13,FALSE),0)+SUMIFS($S$7:$S$506,$C$7:$C$506,C408,$B$7:$B$506,"&lt;"&amp;B408)+SUMIFS(S$7:S408,C$7:C408,C408,B$7:B408,B408))</f>
        <v/>
      </c>
      <c r="V408">
        <f>IF(S408=0,0,IFERROR(VLOOKUP(C408,'Example Parties'!$B$13:$Q$112,14,FALSE),0)+SUMIFS($T$7:$T$506,$C$7:$C$506,C408,$B$7:$B$506,"&lt;="&amp;'Example Outstanding'!$E$5))</f>
        <v/>
      </c>
      <c r="W408">
        <f>IF(OR('Example Outstanding'!$E$5="",S408=0,B408="",B408&gt;'Example Outstanding'!$E$5),0,MAX(0,MIN(S408,U408-V408)))</f>
        <v/>
      </c>
      <c r="X408">
        <f>IF(C408="",0,IFERROR(VLOOKUP(C408,'Example Parties'!$B$13:$Q$112,15,FALSE),0))</f>
        <v/>
      </c>
      <c r="Y408">
        <f>IF(C408="","",IFERROR(VLOOKUP(C408,'Example Parties'!$B$13:$Q$112,16,FALSE),0))</f>
        <v/>
      </c>
      <c r="Z408">
        <f>IF(OR(S408=0,B408="",Y408=""),"",IF(AND(F408&lt;&gt;"",D408="Purchase bill"),F408,B408)+Y408)</f>
        <v/>
      </c>
      <c r="AA408">
        <f>IF(OR(W408=0,Z408=""),0,MAX(0,'Example Outstanding'!$E$5-Z408))</f>
        <v/>
      </c>
      <c r="AB408">
        <f>IF(AND(X408=1,AA408&gt;0),W408*((1+3*N('Example Parties'!$E$10)/12)^(AA408*12/365)-1),0)</f>
        <v/>
      </c>
      <c r="AC408">
        <f>IF(W408=0,"",'Example Outstanding'!$E$5-B408)</f>
        <v/>
      </c>
      <c r="AD408">
        <f>IF(S408=0,0,IFERROR(VLOOKUP(C408,'Example Parties'!$B$13:$Q$112,14,FALSE),0)+SUMIFS($T$7:$T$506,$C$7:$C$506,C408,$B$7:$B$506,"&lt;="&amp;'Example Parties'!$E$8))</f>
        <v/>
      </c>
      <c r="AE408">
        <f>IF(OR('Example Parties'!$E$8="",S408=0,B408="",B408&gt;'Example Parties'!$E$8),0,MAX(0,MIN(S408,U408-AD408)))</f>
        <v/>
      </c>
      <c r="AF408">
        <f>IF(AND(P408="Creditor",X408=1,AE408&gt;0,Z408&lt;&gt;""),IF(Z408&lt;='Example Parties'!$E$8,AE408,0),0)</f>
        <v/>
      </c>
      <c r="AG408">
        <f>IF(OR(AE408=0,Z408=""),0,MAX(0,'Example Parties'!$E$8-Z408))</f>
        <v/>
      </c>
      <c r="AH408">
        <f>IF(AND(P408="Creditor",X408=1,AG408&gt;0),AE408*((1+3*N('Example Parties'!$E$10)/12)^(AG408*12/365)-1),0)</f>
        <v/>
      </c>
      <c r="AI408">
        <f>IF(AND(C408&lt;&gt;"",C408='Example Ledger'!$D$4,B408&lt;&gt;"",B408&gt;='Example Ledger'!$D$5,B408&lt;='Example Ledger'!$D$6),1,0)</f>
        <v/>
      </c>
      <c r="AJ408">
        <f>IF(AI408=1,SUM(AI$7:AI408),"")</f>
        <v/>
      </c>
      <c r="AK408">
        <f>IF(OR(N408="",N408="OK"),0,1)</f>
        <v/>
      </c>
    </row>
    <row r="409">
      <c r="B409" s="24" t="n"/>
      <c r="C409" s="14" t="n"/>
      <c r="D409" s="14" t="n"/>
      <c r="E409" s="20" t="n"/>
      <c r="F409" s="24" t="n"/>
      <c r="G409" s="14" t="n"/>
      <c r="H409" s="22" t="n"/>
      <c r="I409" s="25">
        <f>IF(Q409="D",N(H409),0)</f>
        <v/>
      </c>
      <c r="J409" s="25">
        <f>IF(Q409="C",N(H409),0)</f>
        <v/>
      </c>
      <c r="K409" s="26">
        <f>IF(Z409="","",Z409)</f>
        <v/>
      </c>
      <c r="L409" s="27">
        <f>W409</f>
        <v/>
      </c>
      <c r="M409" s="28">
        <f>AA409</f>
        <v/>
      </c>
      <c r="N409" s="23">
        <f>IF(AND(B409="",C409="",D409="",N(H409)=0),"",IF(B409="","Enter the date",IF(C409="","Pick the party",IF(P409="?","Add this party on the Parties sheet first",IF(D409="","Pick the entry type",IF(Q409="?","Pick the entry type from the list",IF(N(H409)=0,"Enter the amount",IF(AND(R409&lt;&gt;"Any",R409&lt;&gt;P409),"Sales, receipts and credit notes are for debtors; purchases, payments and debit notes for creditors",IF(AND(F409&lt;&gt;"",D409&lt;&gt;"Purchase bill"),"The received-on date is only for purchase bills",IF(AND(P409="Creditor",X409=1,AA409&gt;0),"Past due to a micro or small supplier: interest runs under MSMED s.16, and if unpaid at year end it is not deductible that year, s.37(2)(g)",IF(AND(P409="Debtor",X409=1,AA409&gt;0),"Past due to you: as a micro or small supplier you can claim interest under MSMED s.16","OK")))))))))))</f>
        <v/>
      </c>
      <c r="P409">
        <f>IF(C409="","",IFERROR(VLOOKUP(C409,'Example Parties'!$B$13:$Q$112,2,FALSE),"?"))</f>
        <v/>
      </c>
      <c r="Q409">
        <f>IF(D409="","",IFERROR(VLOOKUP(D409,Lists!$A$2:$D$9,3,FALSE),"?"))</f>
        <v/>
      </c>
      <c r="R409">
        <f>IF(D409="","",IFERROR(VLOOKUP(D409,Lists!$A$2:$D$9,4,FALSE),"?"))</f>
        <v/>
      </c>
      <c r="S409">
        <f>IF(P409="Debtor",I409,IF(P409="Creditor",J409,0))</f>
        <v/>
      </c>
      <c r="T409">
        <f>IF(P409="Debtor",J409,IF(P409="Creditor",I409,0))</f>
        <v/>
      </c>
      <c r="U409">
        <f>IF(OR(S409=0,B409=""),0,IFERROR(VLOOKUP(C409,'Example Parties'!$B$13:$Q$112,13,FALSE),0)+SUMIFS($S$7:$S$506,$C$7:$C$506,C409,$B$7:$B$506,"&lt;"&amp;B409)+SUMIFS(S$7:S409,C$7:C409,C409,B$7:B409,B409))</f>
        <v/>
      </c>
      <c r="V409">
        <f>IF(S409=0,0,IFERROR(VLOOKUP(C409,'Example Parties'!$B$13:$Q$112,14,FALSE),0)+SUMIFS($T$7:$T$506,$C$7:$C$506,C409,$B$7:$B$506,"&lt;="&amp;'Example Outstanding'!$E$5))</f>
        <v/>
      </c>
      <c r="W409">
        <f>IF(OR('Example Outstanding'!$E$5="",S409=0,B409="",B409&gt;'Example Outstanding'!$E$5),0,MAX(0,MIN(S409,U409-V409)))</f>
        <v/>
      </c>
      <c r="X409">
        <f>IF(C409="",0,IFERROR(VLOOKUP(C409,'Example Parties'!$B$13:$Q$112,15,FALSE),0))</f>
        <v/>
      </c>
      <c r="Y409">
        <f>IF(C409="","",IFERROR(VLOOKUP(C409,'Example Parties'!$B$13:$Q$112,16,FALSE),0))</f>
        <v/>
      </c>
      <c r="Z409">
        <f>IF(OR(S409=0,B409="",Y409=""),"",IF(AND(F409&lt;&gt;"",D409="Purchase bill"),F409,B409)+Y409)</f>
        <v/>
      </c>
      <c r="AA409">
        <f>IF(OR(W409=0,Z409=""),0,MAX(0,'Example Outstanding'!$E$5-Z409))</f>
        <v/>
      </c>
      <c r="AB409">
        <f>IF(AND(X409=1,AA409&gt;0),W409*((1+3*N('Example Parties'!$E$10)/12)^(AA409*12/365)-1),0)</f>
        <v/>
      </c>
      <c r="AC409">
        <f>IF(W409=0,"",'Example Outstanding'!$E$5-B409)</f>
        <v/>
      </c>
      <c r="AD409">
        <f>IF(S409=0,0,IFERROR(VLOOKUP(C409,'Example Parties'!$B$13:$Q$112,14,FALSE),0)+SUMIFS($T$7:$T$506,$C$7:$C$506,C409,$B$7:$B$506,"&lt;="&amp;'Example Parties'!$E$8))</f>
        <v/>
      </c>
      <c r="AE409">
        <f>IF(OR('Example Parties'!$E$8="",S409=0,B409="",B409&gt;'Example Parties'!$E$8),0,MAX(0,MIN(S409,U409-AD409)))</f>
        <v/>
      </c>
      <c r="AF409">
        <f>IF(AND(P409="Creditor",X409=1,AE409&gt;0,Z409&lt;&gt;""),IF(Z409&lt;='Example Parties'!$E$8,AE409,0),0)</f>
        <v/>
      </c>
      <c r="AG409">
        <f>IF(OR(AE409=0,Z409=""),0,MAX(0,'Example Parties'!$E$8-Z409))</f>
        <v/>
      </c>
      <c r="AH409">
        <f>IF(AND(P409="Creditor",X409=1,AG409&gt;0),AE409*((1+3*N('Example Parties'!$E$10)/12)^(AG409*12/365)-1),0)</f>
        <v/>
      </c>
      <c r="AI409">
        <f>IF(AND(C409&lt;&gt;"",C409='Example Ledger'!$D$4,B409&lt;&gt;"",B409&gt;='Example Ledger'!$D$5,B409&lt;='Example Ledger'!$D$6),1,0)</f>
        <v/>
      </c>
      <c r="AJ409">
        <f>IF(AI409=1,SUM(AI$7:AI409),"")</f>
        <v/>
      </c>
      <c r="AK409">
        <f>IF(OR(N409="",N409="OK"),0,1)</f>
        <v/>
      </c>
    </row>
    <row r="410">
      <c r="B410" s="24" t="n"/>
      <c r="C410" s="14" t="n"/>
      <c r="D410" s="14" t="n"/>
      <c r="E410" s="20" t="n"/>
      <c r="F410" s="24" t="n"/>
      <c r="G410" s="14" t="n"/>
      <c r="H410" s="22" t="n"/>
      <c r="I410" s="25">
        <f>IF(Q410="D",N(H410),0)</f>
        <v/>
      </c>
      <c r="J410" s="25">
        <f>IF(Q410="C",N(H410),0)</f>
        <v/>
      </c>
      <c r="K410" s="26">
        <f>IF(Z410="","",Z410)</f>
        <v/>
      </c>
      <c r="L410" s="27">
        <f>W410</f>
        <v/>
      </c>
      <c r="M410" s="28">
        <f>AA410</f>
        <v/>
      </c>
      <c r="N410" s="23">
        <f>IF(AND(B410="",C410="",D410="",N(H410)=0),"",IF(B410="","Enter the date",IF(C410="","Pick the party",IF(P410="?","Add this party on the Parties sheet first",IF(D410="","Pick the entry type",IF(Q410="?","Pick the entry type from the list",IF(N(H410)=0,"Enter the amount",IF(AND(R410&lt;&gt;"Any",R410&lt;&gt;P410),"Sales, receipts and credit notes are for debtors; purchases, payments and debit notes for creditors",IF(AND(F410&lt;&gt;"",D410&lt;&gt;"Purchase bill"),"The received-on date is only for purchase bills",IF(AND(P410="Creditor",X410=1,AA410&gt;0),"Past due to a micro or small supplier: interest runs under MSMED s.16, and if unpaid at year end it is not deductible that year, s.37(2)(g)",IF(AND(P410="Debtor",X410=1,AA410&gt;0),"Past due to you: as a micro or small supplier you can claim interest under MSMED s.16","OK")))))))))))</f>
        <v/>
      </c>
      <c r="P410">
        <f>IF(C410="","",IFERROR(VLOOKUP(C410,'Example Parties'!$B$13:$Q$112,2,FALSE),"?"))</f>
        <v/>
      </c>
      <c r="Q410">
        <f>IF(D410="","",IFERROR(VLOOKUP(D410,Lists!$A$2:$D$9,3,FALSE),"?"))</f>
        <v/>
      </c>
      <c r="R410">
        <f>IF(D410="","",IFERROR(VLOOKUP(D410,Lists!$A$2:$D$9,4,FALSE),"?"))</f>
        <v/>
      </c>
      <c r="S410">
        <f>IF(P410="Debtor",I410,IF(P410="Creditor",J410,0))</f>
        <v/>
      </c>
      <c r="T410">
        <f>IF(P410="Debtor",J410,IF(P410="Creditor",I410,0))</f>
        <v/>
      </c>
      <c r="U410">
        <f>IF(OR(S410=0,B410=""),0,IFERROR(VLOOKUP(C410,'Example Parties'!$B$13:$Q$112,13,FALSE),0)+SUMIFS($S$7:$S$506,$C$7:$C$506,C410,$B$7:$B$506,"&lt;"&amp;B410)+SUMIFS(S$7:S410,C$7:C410,C410,B$7:B410,B410))</f>
        <v/>
      </c>
      <c r="V410">
        <f>IF(S410=0,0,IFERROR(VLOOKUP(C410,'Example Parties'!$B$13:$Q$112,14,FALSE),0)+SUMIFS($T$7:$T$506,$C$7:$C$506,C410,$B$7:$B$506,"&lt;="&amp;'Example Outstanding'!$E$5))</f>
        <v/>
      </c>
      <c r="W410">
        <f>IF(OR('Example Outstanding'!$E$5="",S410=0,B410="",B410&gt;'Example Outstanding'!$E$5),0,MAX(0,MIN(S410,U410-V410)))</f>
        <v/>
      </c>
      <c r="X410">
        <f>IF(C410="",0,IFERROR(VLOOKUP(C410,'Example Parties'!$B$13:$Q$112,15,FALSE),0))</f>
        <v/>
      </c>
      <c r="Y410">
        <f>IF(C410="","",IFERROR(VLOOKUP(C410,'Example Parties'!$B$13:$Q$112,16,FALSE),0))</f>
        <v/>
      </c>
      <c r="Z410">
        <f>IF(OR(S410=0,B410="",Y410=""),"",IF(AND(F410&lt;&gt;"",D410="Purchase bill"),F410,B410)+Y410)</f>
        <v/>
      </c>
      <c r="AA410">
        <f>IF(OR(W410=0,Z410=""),0,MAX(0,'Example Outstanding'!$E$5-Z410))</f>
        <v/>
      </c>
      <c r="AB410">
        <f>IF(AND(X410=1,AA410&gt;0),W410*((1+3*N('Example Parties'!$E$10)/12)^(AA410*12/365)-1),0)</f>
        <v/>
      </c>
      <c r="AC410">
        <f>IF(W410=0,"",'Example Outstanding'!$E$5-B410)</f>
        <v/>
      </c>
      <c r="AD410">
        <f>IF(S410=0,0,IFERROR(VLOOKUP(C410,'Example Parties'!$B$13:$Q$112,14,FALSE),0)+SUMIFS($T$7:$T$506,$C$7:$C$506,C410,$B$7:$B$506,"&lt;="&amp;'Example Parties'!$E$8))</f>
        <v/>
      </c>
      <c r="AE410">
        <f>IF(OR('Example Parties'!$E$8="",S410=0,B410="",B410&gt;'Example Parties'!$E$8),0,MAX(0,MIN(S410,U410-AD410)))</f>
        <v/>
      </c>
      <c r="AF410">
        <f>IF(AND(P410="Creditor",X410=1,AE410&gt;0,Z410&lt;&gt;""),IF(Z410&lt;='Example Parties'!$E$8,AE410,0),0)</f>
        <v/>
      </c>
      <c r="AG410">
        <f>IF(OR(AE410=0,Z410=""),0,MAX(0,'Example Parties'!$E$8-Z410))</f>
        <v/>
      </c>
      <c r="AH410">
        <f>IF(AND(P410="Creditor",X410=1,AG410&gt;0),AE410*((1+3*N('Example Parties'!$E$10)/12)^(AG410*12/365)-1),0)</f>
        <v/>
      </c>
      <c r="AI410">
        <f>IF(AND(C410&lt;&gt;"",C410='Example Ledger'!$D$4,B410&lt;&gt;"",B410&gt;='Example Ledger'!$D$5,B410&lt;='Example Ledger'!$D$6),1,0)</f>
        <v/>
      </c>
      <c r="AJ410">
        <f>IF(AI410=1,SUM(AI$7:AI410),"")</f>
        <v/>
      </c>
      <c r="AK410">
        <f>IF(OR(N410="",N410="OK"),0,1)</f>
        <v/>
      </c>
    </row>
    <row r="411">
      <c r="B411" s="24" t="n"/>
      <c r="C411" s="14" t="n"/>
      <c r="D411" s="14" t="n"/>
      <c r="E411" s="20" t="n"/>
      <c r="F411" s="24" t="n"/>
      <c r="G411" s="14" t="n"/>
      <c r="H411" s="22" t="n"/>
      <c r="I411" s="25">
        <f>IF(Q411="D",N(H411),0)</f>
        <v/>
      </c>
      <c r="J411" s="25">
        <f>IF(Q411="C",N(H411),0)</f>
        <v/>
      </c>
      <c r="K411" s="26">
        <f>IF(Z411="","",Z411)</f>
        <v/>
      </c>
      <c r="L411" s="27">
        <f>W411</f>
        <v/>
      </c>
      <c r="M411" s="28">
        <f>AA411</f>
        <v/>
      </c>
      <c r="N411" s="23">
        <f>IF(AND(B411="",C411="",D411="",N(H411)=0),"",IF(B411="","Enter the date",IF(C411="","Pick the party",IF(P411="?","Add this party on the Parties sheet first",IF(D411="","Pick the entry type",IF(Q411="?","Pick the entry type from the list",IF(N(H411)=0,"Enter the amount",IF(AND(R411&lt;&gt;"Any",R411&lt;&gt;P411),"Sales, receipts and credit notes are for debtors; purchases, payments and debit notes for creditors",IF(AND(F411&lt;&gt;"",D411&lt;&gt;"Purchase bill"),"The received-on date is only for purchase bills",IF(AND(P411="Creditor",X411=1,AA411&gt;0),"Past due to a micro or small supplier: interest runs under MSMED s.16, and if unpaid at year end it is not deductible that year, s.37(2)(g)",IF(AND(P411="Debtor",X411=1,AA411&gt;0),"Past due to you: as a micro or small supplier you can claim interest under MSMED s.16","OK")))))))))))</f>
        <v/>
      </c>
      <c r="P411">
        <f>IF(C411="","",IFERROR(VLOOKUP(C411,'Example Parties'!$B$13:$Q$112,2,FALSE),"?"))</f>
        <v/>
      </c>
      <c r="Q411">
        <f>IF(D411="","",IFERROR(VLOOKUP(D411,Lists!$A$2:$D$9,3,FALSE),"?"))</f>
        <v/>
      </c>
      <c r="R411">
        <f>IF(D411="","",IFERROR(VLOOKUP(D411,Lists!$A$2:$D$9,4,FALSE),"?"))</f>
        <v/>
      </c>
      <c r="S411">
        <f>IF(P411="Debtor",I411,IF(P411="Creditor",J411,0))</f>
        <v/>
      </c>
      <c r="T411">
        <f>IF(P411="Debtor",J411,IF(P411="Creditor",I411,0))</f>
        <v/>
      </c>
      <c r="U411">
        <f>IF(OR(S411=0,B411=""),0,IFERROR(VLOOKUP(C411,'Example Parties'!$B$13:$Q$112,13,FALSE),0)+SUMIFS($S$7:$S$506,$C$7:$C$506,C411,$B$7:$B$506,"&lt;"&amp;B411)+SUMIFS(S$7:S411,C$7:C411,C411,B$7:B411,B411))</f>
        <v/>
      </c>
      <c r="V411">
        <f>IF(S411=0,0,IFERROR(VLOOKUP(C411,'Example Parties'!$B$13:$Q$112,14,FALSE),0)+SUMIFS($T$7:$T$506,$C$7:$C$506,C411,$B$7:$B$506,"&lt;="&amp;'Example Outstanding'!$E$5))</f>
        <v/>
      </c>
      <c r="W411">
        <f>IF(OR('Example Outstanding'!$E$5="",S411=0,B411="",B411&gt;'Example Outstanding'!$E$5),0,MAX(0,MIN(S411,U411-V411)))</f>
        <v/>
      </c>
      <c r="X411">
        <f>IF(C411="",0,IFERROR(VLOOKUP(C411,'Example Parties'!$B$13:$Q$112,15,FALSE),0))</f>
        <v/>
      </c>
      <c r="Y411">
        <f>IF(C411="","",IFERROR(VLOOKUP(C411,'Example Parties'!$B$13:$Q$112,16,FALSE),0))</f>
        <v/>
      </c>
      <c r="Z411">
        <f>IF(OR(S411=0,B411="",Y411=""),"",IF(AND(F411&lt;&gt;"",D411="Purchase bill"),F411,B411)+Y411)</f>
        <v/>
      </c>
      <c r="AA411">
        <f>IF(OR(W411=0,Z411=""),0,MAX(0,'Example Outstanding'!$E$5-Z411))</f>
        <v/>
      </c>
      <c r="AB411">
        <f>IF(AND(X411=1,AA411&gt;0),W411*((1+3*N('Example Parties'!$E$10)/12)^(AA411*12/365)-1),0)</f>
        <v/>
      </c>
      <c r="AC411">
        <f>IF(W411=0,"",'Example Outstanding'!$E$5-B411)</f>
        <v/>
      </c>
      <c r="AD411">
        <f>IF(S411=0,0,IFERROR(VLOOKUP(C411,'Example Parties'!$B$13:$Q$112,14,FALSE),0)+SUMIFS($T$7:$T$506,$C$7:$C$506,C411,$B$7:$B$506,"&lt;="&amp;'Example Parties'!$E$8))</f>
        <v/>
      </c>
      <c r="AE411">
        <f>IF(OR('Example Parties'!$E$8="",S411=0,B411="",B411&gt;'Example Parties'!$E$8),0,MAX(0,MIN(S411,U411-AD411)))</f>
        <v/>
      </c>
      <c r="AF411">
        <f>IF(AND(P411="Creditor",X411=1,AE411&gt;0,Z411&lt;&gt;""),IF(Z411&lt;='Example Parties'!$E$8,AE411,0),0)</f>
        <v/>
      </c>
      <c r="AG411">
        <f>IF(OR(AE411=0,Z411=""),0,MAX(0,'Example Parties'!$E$8-Z411))</f>
        <v/>
      </c>
      <c r="AH411">
        <f>IF(AND(P411="Creditor",X411=1,AG411&gt;0),AE411*((1+3*N('Example Parties'!$E$10)/12)^(AG411*12/365)-1),0)</f>
        <v/>
      </c>
      <c r="AI411">
        <f>IF(AND(C411&lt;&gt;"",C411='Example Ledger'!$D$4,B411&lt;&gt;"",B411&gt;='Example Ledger'!$D$5,B411&lt;='Example Ledger'!$D$6),1,0)</f>
        <v/>
      </c>
      <c r="AJ411">
        <f>IF(AI411=1,SUM(AI$7:AI411),"")</f>
        <v/>
      </c>
      <c r="AK411">
        <f>IF(OR(N411="",N411="OK"),0,1)</f>
        <v/>
      </c>
    </row>
    <row r="412">
      <c r="B412" s="24" t="n"/>
      <c r="C412" s="14" t="n"/>
      <c r="D412" s="14" t="n"/>
      <c r="E412" s="20" t="n"/>
      <c r="F412" s="24" t="n"/>
      <c r="G412" s="14" t="n"/>
      <c r="H412" s="22" t="n"/>
      <c r="I412" s="25">
        <f>IF(Q412="D",N(H412),0)</f>
        <v/>
      </c>
      <c r="J412" s="25">
        <f>IF(Q412="C",N(H412),0)</f>
        <v/>
      </c>
      <c r="K412" s="26">
        <f>IF(Z412="","",Z412)</f>
        <v/>
      </c>
      <c r="L412" s="27">
        <f>W412</f>
        <v/>
      </c>
      <c r="M412" s="28">
        <f>AA412</f>
        <v/>
      </c>
      <c r="N412" s="23">
        <f>IF(AND(B412="",C412="",D412="",N(H412)=0),"",IF(B412="","Enter the date",IF(C412="","Pick the party",IF(P412="?","Add this party on the Parties sheet first",IF(D412="","Pick the entry type",IF(Q412="?","Pick the entry type from the list",IF(N(H412)=0,"Enter the amount",IF(AND(R412&lt;&gt;"Any",R412&lt;&gt;P412),"Sales, receipts and credit notes are for debtors; purchases, payments and debit notes for creditors",IF(AND(F412&lt;&gt;"",D412&lt;&gt;"Purchase bill"),"The received-on date is only for purchase bills",IF(AND(P412="Creditor",X412=1,AA412&gt;0),"Past due to a micro or small supplier: interest runs under MSMED s.16, and if unpaid at year end it is not deductible that year, s.37(2)(g)",IF(AND(P412="Debtor",X412=1,AA412&gt;0),"Past due to you: as a micro or small supplier you can claim interest under MSMED s.16","OK")))))))))))</f>
        <v/>
      </c>
      <c r="P412">
        <f>IF(C412="","",IFERROR(VLOOKUP(C412,'Example Parties'!$B$13:$Q$112,2,FALSE),"?"))</f>
        <v/>
      </c>
      <c r="Q412">
        <f>IF(D412="","",IFERROR(VLOOKUP(D412,Lists!$A$2:$D$9,3,FALSE),"?"))</f>
        <v/>
      </c>
      <c r="R412">
        <f>IF(D412="","",IFERROR(VLOOKUP(D412,Lists!$A$2:$D$9,4,FALSE),"?"))</f>
        <v/>
      </c>
      <c r="S412">
        <f>IF(P412="Debtor",I412,IF(P412="Creditor",J412,0))</f>
        <v/>
      </c>
      <c r="T412">
        <f>IF(P412="Debtor",J412,IF(P412="Creditor",I412,0))</f>
        <v/>
      </c>
      <c r="U412">
        <f>IF(OR(S412=0,B412=""),0,IFERROR(VLOOKUP(C412,'Example Parties'!$B$13:$Q$112,13,FALSE),0)+SUMIFS($S$7:$S$506,$C$7:$C$506,C412,$B$7:$B$506,"&lt;"&amp;B412)+SUMIFS(S$7:S412,C$7:C412,C412,B$7:B412,B412))</f>
        <v/>
      </c>
      <c r="V412">
        <f>IF(S412=0,0,IFERROR(VLOOKUP(C412,'Example Parties'!$B$13:$Q$112,14,FALSE),0)+SUMIFS($T$7:$T$506,$C$7:$C$506,C412,$B$7:$B$506,"&lt;="&amp;'Example Outstanding'!$E$5))</f>
        <v/>
      </c>
      <c r="W412">
        <f>IF(OR('Example Outstanding'!$E$5="",S412=0,B412="",B412&gt;'Example Outstanding'!$E$5),0,MAX(0,MIN(S412,U412-V412)))</f>
        <v/>
      </c>
      <c r="X412">
        <f>IF(C412="",0,IFERROR(VLOOKUP(C412,'Example Parties'!$B$13:$Q$112,15,FALSE),0))</f>
        <v/>
      </c>
      <c r="Y412">
        <f>IF(C412="","",IFERROR(VLOOKUP(C412,'Example Parties'!$B$13:$Q$112,16,FALSE),0))</f>
        <v/>
      </c>
      <c r="Z412">
        <f>IF(OR(S412=0,B412="",Y412=""),"",IF(AND(F412&lt;&gt;"",D412="Purchase bill"),F412,B412)+Y412)</f>
        <v/>
      </c>
      <c r="AA412">
        <f>IF(OR(W412=0,Z412=""),0,MAX(0,'Example Outstanding'!$E$5-Z412))</f>
        <v/>
      </c>
      <c r="AB412">
        <f>IF(AND(X412=1,AA412&gt;0),W412*((1+3*N('Example Parties'!$E$10)/12)^(AA412*12/365)-1),0)</f>
        <v/>
      </c>
      <c r="AC412">
        <f>IF(W412=0,"",'Example Outstanding'!$E$5-B412)</f>
        <v/>
      </c>
      <c r="AD412">
        <f>IF(S412=0,0,IFERROR(VLOOKUP(C412,'Example Parties'!$B$13:$Q$112,14,FALSE),0)+SUMIFS($T$7:$T$506,$C$7:$C$506,C412,$B$7:$B$506,"&lt;="&amp;'Example Parties'!$E$8))</f>
        <v/>
      </c>
      <c r="AE412">
        <f>IF(OR('Example Parties'!$E$8="",S412=0,B412="",B412&gt;'Example Parties'!$E$8),0,MAX(0,MIN(S412,U412-AD412)))</f>
        <v/>
      </c>
      <c r="AF412">
        <f>IF(AND(P412="Creditor",X412=1,AE412&gt;0,Z412&lt;&gt;""),IF(Z412&lt;='Example Parties'!$E$8,AE412,0),0)</f>
        <v/>
      </c>
      <c r="AG412">
        <f>IF(OR(AE412=0,Z412=""),0,MAX(0,'Example Parties'!$E$8-Z412))</f>
        <v/>
      </c>
      <c r="AH412">
        <f>IF(AND(P412="Creditor",X412=1,AG412&gt;0),AE412*((1+3*N('Example Parties'!$E$10)/12)^(AG412*12/365)-1),0)</f>
        <v/>
      </c>
      <c r="AI412">
        <f>IF(AND(C412&lt;&gt;"",C412='Example Ledger'!$D$4,B412&lt;&gt;"",B412&gt;='Example Ledger'!$D$5,B412&lt;='Example Ledger'!$D$6),1,0)</f>
        <v/>
      </c>
      <c r="AJ412">
        <f>IF(AI412=1,SUM(AI$7:AI412),"")</f>
        <v/>
      </c>
      <c r="AK412">
        <f>IF(OR(N412="",N412="OK"),0,1)</f>
        <v/>
      </c>
    </row>
    <row r="413">
      <c r="B413" s="24" t="n"/>
      <c r="C413" s="14" t="n"/>
      <c r="D413" s="14" t="n"/>
      <c r="E413" s="20" t="n"/>
      <c r="F413" s="24" t="n"/>
      <c r="G413" s="14" t="n"/>
      <c r="H413" s="22" t="n"/>
      <c r="I413" s="25">
        <f>IF(Q413="D",N(H413),0)</f>
        <v/>
      </c>
      <c r="J413" s="25">
        <f>IF(Q413="C",N(H413),0)</f>
        <v/>
      </c>
      <c r="K413" s="26">
        <f>IF(Z413="","",Z413)</f>
        <v/>
      </c>
      <c r="L413" s="27">
        <f>W413</f>
        <v/>
      </c>
      <c r="M413" s="28">
        <f>AA413</f>
        <v/>
      </c>
      <c r="N413" s="23">
        <f>IF(AND(B413="",C413="",D413="",N(H413)=0),"",IF(B413="","Enter the date",IF(C413="","Pick the party",IF(P413="?","Add this party on the Parties sheet first",IF(D413="","Pick the entry type",IF(Q413="?","Pick the entry type from the list",IF(N(H413)=0,"Enter the amount",IF(AND(R413&lt;&gt;"Any",R413&lt;&gt;P413),"Sales, receipts and credit notes are for debtors; purchases, payments and debit notes for creditors",IF(AND(F413&lt;&gt;"",D413&lt;&gt;"Purchase bill"),"The received-on date is only for purchase bills",IF(AND(P413="Creditor",X413=1,AA413&gt;0),"Past due to a micro or small supplier: interest runs under MSMED s.16, and if unpaid at year end it is not deductible that year, s.37(2)(g)",IF(AND(P413="Debtor",X413=1,AA413&gt;0),"Past due to you: as a micro or small supplier you can claim interest under MSMED s.16","OK")))))))))))</f>
        <v/>
      </c>
      <c r="P413">
        <f>IF(C413="","",IFERROR(VLOOKUP(C413,'Example Parties'!$B$13:$Q$112,2,FALSE),"?"))</f>
        <v/>
      </c>
      <c r="Q413">
        <f>IF(D413="","",IFERROR(VLOOKUP(D413,Lists!$A$2:$D$9,3,FALSE),"?"))</f>
        <v/>
      </c>
      <c r="R413">
        <f>IF(D413="","",IFERROR(VLOOKUP(D413,Lists!$A$2:$D$9,4,FALSE),"?"))</f>
        <v/>
      </c>
      <c r="S413">
        <f>IF(P413="Debtor",I413,IF(P413="Creditor",J413,0))</f>
        <v/>
      </c>
      <c r="T413">
        <f>IF(P413="Debtor",J413,IF(P413="Creditor",I413,0))</f>
        <v/>
      </c>
      <c r="U413">
        <f>IF(OR(S413=0,B413=""),0,IFERROR(VLOOKUP(C413,'Example Parties'!$B$13:$Q$112,13,FALSE),0)+SUMIFS($S$7:$S$506,$C$7:$C$506,C413,$B$7:$B$506,"&lt;"&amp;B413)+SUMIFS(S$7:S413,C$7:C413,C413,B$7:B413,B413))</f>
        <v/>
      </c>
      <c r="V413">
        <f>IF(S413=0,0,IFERROR(VLOOKUP(C413,'Example Parties'!$B$13:$Q$112,14,FALSE),0)+SUMIFS($T$7:$T$506,$C$7:$C$506,C413,$B$7:$B$506,"&lt;="&amp;'Example Outstanding'!$E$5))</f>
        <v/>
      </c>
      <c r="W413">
        <f>IF(OR('Example Outstanding'!$E$5="",S413=0,B413="",B413&gt;'Example Outstanding'!$E$5),0,MAX(0,MIN(S413,U413-V413)))</f>
        <v/>
      </c>
      <c r="X413">
        <f>IF(C413="",0,IFERROR(VLOOKUP(C413,'Example Parties'!$B$13:$Q$112,15,FALSE),0))</f>
        <v/>
      </c>
      <c r="Y413">
        <f>IF(C413="","",IFERROR(VLOOKUP(C413,'Example Parties'!$B$13:$Q$112,16,FALSE),0))</f>
        <v/>
      </c>
      <c r="Z413">
        <f>IF(OR(S413=0,B413="",Y413=""),"",IF(AND(F413&lt;&gt;"",D413="Purchase bill"),F413,B413)+Y413)</f>
        <v/>
      </c>
      <c r="AA413">
        <f>IF(OR(W413=0,Z413=""),0,MAX(0,'Example Outstanding'!$E$5-Z413))</f>
        <v/>
      </c>
      <c r="AB413">
        <f>IF(AND(X413=1,AA413&gt;0),W413*((1+3*N('Example Parties'!$E$10)/12)^(AA413*12/365)-1),0)</f>
        <v/>
      </c>
      <c r="AC413">
        <f>IF(W413=0,"",'Example Outstanding'!$E$5-B413)</f>
        <v/>
      </c>
      <c r="AD413">
        <f>IF(S413=0,0,IFERROR(VLOOKUP(C413,'Example Parties'!$B$13:$Q$112,14,FALSE),0)+SUMIFS($T$7:$T$506,$C$7:$C$506,C413,$B$7:$B$506,"&lt;="&amp;'Example Parties'!$E$8))</f>
        <v/>
      </c>
      <c r="AE413">
        <f>IF(OR('Example Parties'!$E$8="",S413=0,B413="",B413&gt;'Example Parties'!$E$8),0,MAX(0,MIN(S413,U413-AD413)))</f>
        <v/>
      </c>
      <c r="AF413">
        <f>IF(AND(P413="Creditor",X413=1,AE413&gt;0,Z413&lt;&gt;""),IF(Z413&lt;='Example Parties'!$E$8,AE413,0),0)</f>
        <v/>
      </c>
      <c r="AG413">
        <f>IF(OR(AE413=0,Z413=""),0,MAX(0,'Example Parties'!$E$8-Z413))</f>
        <v/>
      </c>
      <c r="AH413">
        <f>IF(AND(P413="Creditor",X413=1,AG413&gt;0),AE413*((1+3*N('Example Parties'!$E$10)/12)^(AG413*12/365)-1),0)</f>
        <v/>
      </c>
      <c r="AI413">
        <f>IF(AND(C413&lt;&gt;"",C413='Example Ledger'!$D$4,B413&lt;&gt;"",B413&gt;='Example Ledger'!$D$5,B413&lt;='Example Ledger'!$D$6),1,0)</f>
        <v/>
      </c>
      <c r="AJ413">
        <f>IF(AI413=1,SUM(AI$7:AI413),"")</f>
        <v/>
      </c>
      <c r="AK413">
        <f>IF(OR(N413="",N413="OK"),0,1)</f>
        <v/>
      </c>
    </row>
    <row r="414">
      <c r="B414" s="24" t="n"/>
      <c r="C414" s="14" t="n"/>
      <c r="D414" s="14" t="n"/>
      <c r="E414" s="20" t="n"/>
      <c r="F414" s="24" t="n"/>
      <c r="G414" s="14" t="n"/>
      <c r="H414" s="22" t="n"/>
      <c r="I414" s="25">
        <f>IF(Q414="D",N(H414),0)</f>
        <v/>
      </c>
      <c r="J414" s="25">
        <f>IF(Q414="C",N(H414),0)</f>
        <v/>
      </c>
      <c r="K414" s="26">
        <f>IF(Z414="","",Z414)</f>
        <v/>
      </c>
      <c r="L414" s="27">
        <f>W414</f>
        <v/>
      </c>
      <c r="M414" s="28">
        <f>AA414</f>
        <v/>
      </c>
      <c r="N414" s="23">
        <f>IF(AND(B414="",C414="",D414="",N(H414)=0),"",IF(B414="","Enter the date",IF(C414="","Pick the party",IF(P414="?","Add this party on the Parties sheet first",IF(D414="","Pick the entry type",IF(Q414="?","Pick the entry type from the list",IF(N(H414)=0,"Enter the amount",IF(AND(R414&lt;&gt;"Any",R414&lt;&gt;P414),"Sales, receipts and credit notes are for debtors; purchases, payments and debit notes for creditors",IF(AND(F414&lt;&gt;"",D414&lt;&gt;"Purchase bill"),"The received-on date is only for purchase bills",IF(AND(P414="Creditor",X414=1,AA414&gt;0),"Past due to a micro or small supplier: interest runs under MSMED s.16, and if unpaid at year end it is not deductible that year, s.37(2)(g)",IF(AND(P414="Debtor",X414=1,AA414&gt;0),"Past due to you: as a micro or small supplier you can claim interest under MSMED s.16","OK")))))))))))</f>
        <v/>
      </c>
      <c r="P414">
        <f>IF(C414="","",IFERROR(VLOOKUP(C414,'Example Parties'!$B$13:$Q$112,2,FALSE),"?"))</f>
        <v/>
      </c>
      <c r="Q414">
        <f>IF(D414="","",IFERROR(VLOOKUP(D414,Lists!$A$2:$D$9,3,FALSE),"?"))</f>
        <v/>
      </c>
      <c r="R414">
        <f>IF(D414="","",IFERROR(VLOOKUP(D414,Lists!$A$2:$D$9,4,FALSE),"?"))</f>
        <v/>
      </c>
      <c r="S414">
        <f>IF(P414="Debtor",I414,IF(P414="Creditor",J414,0))</f>
        <v/>
      </c>
      <c r="T414">
        <f>IF(P414="Debtor",J414,IF(P414="Creditor",I414,0))</f>
        <v/>
      </c>
      <c r="U414">
        <f>IF(OR(S414=0,B414=""),0,IFERROR(VLOOKUP(C414,'Example Parties'!$B$13:$Q$112,13,FALSE),0)+SUMIFS($S$7:$S$506,$C$7:$C$506,C414,$B$7:$B$506,"&lt;"&amp;B414)+SUMIFS(S$7:S414,C$7:C414,C414,B$7:B414,B414))</f>
        <v/>
      </c>
      <c r="V414">
        <f>IF(S414=0,0,IFERROR(VLOOKUP(C414,'Example Parties'!$B$13:$Q$112,14,FALSE),0)+SUMIFS($T$7:$T$506,$C$7:$C$506,C414,$B$7:$B$506,"&lt;="&amp;'Example Outstanding'!$E$5))</f>
        <v/>
      </c>
      <c r="W414">
        <f>IF(OR('Example Outstanding'!$E$5="",S414=0,B414="",B414&gt;'Example Outstanding'!$E$5),0,MAX(0,MIN(S414,U414-V414)))</f>
        <v/>
      </c>
      <c r="X414">
        <f>IF(C414="",0,IFERROR(VLOOKUP(C414,'Example Parties'!$B$13:$Q$112,15,FALSE),0))</f>
        <v/>
      </c>
      <c r="Y414">
        <f>IF(C414="","",IFERROR(VLOOKUP(C414,'Example Parties'!$B$13:$Q$112,16,FALSE),0))</f>
        <v/>
      </c>
      <c r="Z414">
        <f>IF(OR(S414=0,B414="",Y414=""),"",IF(AND(F414&lt;&gt;"",D414="Purchase bill"),F414,B414)+Y414)</f>
        <v/>
      </c>
      <c r="AA414">
        <f>IF(OR(W414=0,Z414=""),0,MAX(0,'Example Outstanding'!$E$5-Z414))</f>
        <v/>
      </c>
      <c r="AB414">
        <f>IF(AND(X414=1,AA414&gt;0),W414*((1+3*N('Example Parties'!$E$10)/12)^(AA414*12/365)-1),0)</f>
        <v/>
      </c>
      <c r="AC414">
        <f>IF(W414=0,"",'Example Outstanding'!$E$5-B414)</f>
        <v/>
      </c>
      <c r="AD414">
        <f>IF(S414=0,0,IFERROR(VLOOKUP(C414,'Example Parties'!$B$13:$Q$112,14,FALSE),0)+SUMIFS($T$7:$T$506,$C$7:$C$506,C414,$B$7:$B$506,"&lt;="&amp;'Example Parties'!$E$8))</f>
        <v/>
      </c>
      <c r="AE414">
        <f>IF(OR('Example Parties'!$E$8="",S414=0,B414="",B414&gt;'Example Parties'!$E$8),0,MAX(0,MIN(S414,U414-AD414)))</f>
        <v/>
      </c>
      <c r="AF414">
        <f>IF(AND(P414="Creditor",X414=1,AE414&gt;0,Z414&lt;&gt;""),IF(Z414&lt;='Example Parties'!$E$8,AE414,0),0)</f>
        <v/>
      </c>
      <c r="AG414">
        <f>IF(OR(AE414=0,Z414=""),0,MAX(0,'Example Parties'!$E$8-Z414))</f>
        <v/>
      </c>
      <c r="AH414">
        <f>IF(AND(P414="Creditor",X414=1,AG414&gt;0),AE414*((1+3*N('Example Parties'!$E$10)/12)^(AG414*12/365)-1),0)</f>
        <v/>
      </c>
      <c r="AI414">
        <f>IF(AND(C414&lt;&gt;"",C414='Example Ledger'!$D$4,B414&lt;&gt;"",B414&gt;='Example Ledger'!$D$5,B414&lt;='Example Ledger'!$D$6),1,0)</f>
        <v/>
      </c>
      <c r="AJ414">
        <f>IF(AI414=1,SUM(AI$7:AI414),"")</f>
        <v/>
      </c>
      <c r="AK414">
        <f>IF(OR(N414="",N414="OK"),0,1)</f>
        <v/>
      </c>
    </row>
    <row r="415">
      <c r="B415" s="24" t="n"/>
      <c r="C415" s="14" t="n"/>
      <c r="D415" s="14" t="n"/>
      <c r="E415" s="20" t="n"/>
      <c r="F415" s="24" t="n"/>
      <c r="G415" s="14" t="n"/>
      <c r="H415" s="22" t="n"/>
      <c r="I415" s="25">
        <f>IF(Q415="D",N(H415),0)</f>
        <v/>
      </c>
      <c r="J415" s="25">
        <f>IF(Q415="C",N(H415),0)</f>
        <v/>
      </c>
      <c r="K415" s="26">
        <f>IF(Z415="","",Z415)</f>
        <v/>
      </c>
      <c r="L415" s="27">
        <f>W415</f>
        <v/>
      </c>
      <c r="M415" s="28">
        <f>AA415</f>
        <v/>
      </c>
      <c r="N415" s="23">
        <f>IF(AND(B415="",C415="",D415="",N(H415)=0),"",IF(B415="","Enter the date",IF(C415="","Pick the party",IF(P415="?","Add this party on the Parties sheet first",IF(D415="","Pick the entry type",IF(Q415="?","Pick the entry type from the list",IF(N(H415)=0,"Enter the amount",IF(AND(R415&lt;&gt;"Any",R415&lt;&gt;P415),"Sales, receipts and credit notes are for debtors; purchases, payments and debit notes for creditors",IF(AND(F415&lt;&gt;"",D415&lt;&gt;"Purchase bill"),"The received-on date is only for purchase bills",IF(AND(P415="Creditor",X415=1,AA415&gt;0),"Past due to a micro or small supplier: interest runs under MSMED s.16, and if unpaid at year end it is not deductible that year, s.37(2)(g)",IF(AND(P415="Debtor",X415=1,AA415&gt;0),"Past due to you: as a micro or small supplier you can claim interest under MSMED s.16","OK")))))))))))</f>
        <v/>
      </c>
      <c r="P415">
        <f>IF(C415="","",IFERROR(VLOOKUP(C415,'Example Parties'!$B$13:$Q$112,2,FALSE),"?"))</f>
        <v/>
      </c>
      <c r="Q415">
        <f>IF(D415="","",IFERROR(VLOOKUP(D415,Lists!$A$2:$D$9,3,FALSE),"?"))</f>
        <v/>
      </c>
      <c r="R415">
        <f>IF(D415="","",IFERROR(VLOOKUP(D415,Lists!$A$2:$D$9,4,FALSE),"?"))</f>
        <v/>
      </c>
      <c r="S415">
        <f>IF(P415="Debtor",I415,IF(P415="Creditor",J415,0))</f>
        <v/>
      </c>
      <c r="T415">
        <f>IF(P415="Debtor",J415,IF(P415="Creditor",I415,0))</f>
        <v/>
      </c>
      <c r="U415">
        <f>IF(OR(S415=0,B415=""),0,IFERROR(VLOOKUP(C415,'Example Parties'!$B$13:$Q$112,13,FALSE),0)+SUMIFS($S$7:$S$506,$C$7:$C$506,C415,$B$7:$B$506,"&lt;"&amp;B415)+SUMIFS(S$7:S415,C$7:C415,C415,B$7:B415,B415))</f>
        <v/>
      </c>
      <c r="V415">
        <f>IF(S415=0,0,IFERROR(VLOOKUP(C415,'Example Parties'!$B$13:$Q$112,14,FALSE),0)+SUMIFS($T$7:$T$506,$C$7:$C$506,C415,$B$7:$B$506,"&lt;="&amp;'Example Outstanding'!$E$5))</f>
        <v/>
      </c>
      <c r="W415">
        <f>IF(OR('Example Outstanding'!$E$5="",S415=0,B415="",B415&gt;'Example Outstanding'!$E$5),0,MAX(0,MIN(S415,U415-V415)))</f>
        <v/>
      </c>
      <c r="X415">
        <f>IF(C415="",0,IFERROR(VLOOKUP(C415,'Example Parties'!$B$13:$Q$112,15,FALSE),0))</f>
        <v/>
      </c>
      <c r="Y415">
        <f>IF(C415="","",IFERROR(VLOOKUP(C415,'Example Parties'!$B$13:$Q$112,16,FALSE),0))</f>
        <v/>
      </c>
      <c r="Z415">
        <f>IF(OR(S415=0,B415="",Y415=""),"",IF(AND(F415&lt;&gt;"",D415="Purchase bill"),F415,B415)+Y415)</f>
        <v/>
      </c>
      <c r="AA415">
        <f>IF(OR(W415=0,Z415=""),0,MAX(0,'Example Outstanding'!$E$5-Z415))</f>
        <v/>
      </c>
      <c r="AB415">
        <f>IF(AND(X415=1,AA415&gt;0),W415*((1+3*N('Example Parties'!$E$10)/12)^(AA415*12/365)-1),0)</f>
        <v/>
      </c>
      <c r="AC415">
        <f>IF(W415=0,"",'Example Outstanding'!$E$5-B415)</f>
        <v/>
      </c>
      <c r="AD415">
        <f>IF(S415=0,0,IFERROR(VLOOKUP(C415,'Example Parties'!$B$13:$Q$112,14,FALSE),0)+SUMIFS($T$7:$T$506,$C$7:$C$506,C415,$B$7:$B$506,"&lt;="&amp;'Example Parties'!$E$8))</f>
        <v/>
      </c>
      <c r="AE415">
        <f>IF(OR('Example Parties'!$E$8="",S415=0,B415="",B415&gt;'Example Parties'!$E$8),0,MAX(0,MIN(S415,U415-AD415)))</f>
        <v/>
      </c>
      <c r="AF415">
        <f>IF(AND(P415="Creditor",X415=1,AE415&gt;0,Z415&lt;&gt;""),IF(Z415&lt;='Example Parties'!$E$8,AE415,0),0)</f>
        <v/>
      </c>
      <c r="AG415">
        <f>IF(OR(AE415=0,Z415=""),0,MAX(0,'Example Parties'!$E$8-Z415))</f>
        <v/>
      </c>
      <c r="AH415">
        <f>IF(AND(P415="Creditor",X415=1,AG415&gt;0),AE415*((1+3*N('Example Parties'!$E$10)/12)^(AG415*12/365)-1),0)</f>
        <v/>
      </c>
      <c r="AI415">
        <f>IF(AND(C415&lt;&gt;"",C415='Example Ledger'!$D$4,B415&lt;&gt;"",B415&gt;='Example Ledger'!$D$5,B415&lt;='Example Ledger'!$D$6),1,0)</f>
        <v/>
      </c>
      <c r="AJ415">
        <f>IF(AI415=1,SUM(AI$7:AI415),"")</f>
        <v/>
      </c>
      <c r="AK415">
        <f>IF(OR(N415="",N415="OK"),0,1)</f>
        <v/>
      </c>
    </row>
    <row r="416">
      <c r="B416" s="24" t="n"/>
      <c r="C416" s="14" t="n"/>
      <c r="D416" s="14" t="n"/>
      <c r="E416" s="20" t="n"/>
      <c r="F416" s="24" t="n"/>
      <c r="G416" s="14" t="n"/>
      <c r="H416" s="22" t="n"/>
      <c r="I416" s="25">
        <f>IF(Q416="D",N(H416),0)</f>
        <v/>
      </c>
      <c r="J416" s="25">
        <f>IF(Q416="C",N(H416),0)</f>
        <v/>
      </c>
      <c r="K416" s="26">
        <f>IF(Z416="","",Z416)</f>
        <v/>
      </c>
      <c r="L416" s="27">
        <f>W416</f>
        <v/>
      </c>
      <c r="M416" s="28">
        <f>AA416</f>
        <v/>
      </c>
      <c r="N416" s="23">
        <f>IF(AND(B416="",C416="",D416="",N(H416)=0),"",IF(B416="","Enter the date",IF(C416="","Pick the party",IF(P416="?","Add this party on the Parties sheet first",IF(D416="","Pick the entry type",IF(Q416="?","Pick the entry type from the list",IF(N(H416)=0,"Enter the amount",IF(AND(R416&lt;&gt;"Any",R416&lt;&gt;P416),"Sales, receipts and credit notes are for debtors; purchases, payments and debit notes for creditors",IF(AND(F416&lt;&gt;"",D416&lt;&gt;"Purchase bill"),"The received-on date is only for purchase bills",IF(AND(P416="Creditor",X416=1,AA416&gt;0),"Past due to a micro or small supplier: interest runs under MSMED s.16, and if unpaid at year end it is not deductible that year, s.37(2)(g)",IF(AND(P416="Debtor",X416=1,AA416&gt;0),"Past due to you: as a micro or small supplier you can claim interest under MSMED s.16","OK")))))))))))</f>
        <v/>
      </c>
      <c r="P416">
        <f>IF(C416="","",IFERROR(VLOOKUP(C416,'Example Parties'!$B$13:$Q$112,2,FALSE),"?"))</f>
        <v/>
      </c>
      <c r="Q416">
        <f>IF(D416="","",IFERROR(VLOOKUP(D416,Lists!$A$2:$D$9,3,FALSE),"?"))</f>
        <v/>
      </c>
      <c r="R416">
        <f>IF(D416="","",IFERROR(VLOOKUP(D416,Lists!$A$2:$D$9,4,FALSE),"?"))</f>
        <v/>
      </c>
      <c r="S416">
        <f>IF(P416="Debtor",I416,IF(P416="Creditor",J416,0))</f>
        <v/>
      </c>
      <c r="T416">
        <f>IF(P416="Debtor",J416,IF(P416="Creditor",I416,0))</f>
        <v/>
      </c>
      <c r="U416">
        <f>IF(OR(S416=0,B416=""),0,IFERROR(VLOOKUP(C416,'Example Parties'!$B$13:$Q$112,13,FALSE),0)+SUMIFS($S$7:$S$506,$C$7:$C$506,C416,$B$7:$B$506,"&lt;"&amp;B416)+SUMIFS(S$7:S416,C$7:C416,C416,B$7:B416,B416))</f>
        <v/>
      </c>
      <c r="V416">
        <f>IF(S416=0,0,IFERROR(VLOOKUP(C416,'Example Parties'!$B$13:$Q$112,14,FALSE),0)+SUMIFS($T$7:$T$506,$C$7:$C$506,C416,$B$7:$B$506,"&lt;="&amp;'Example Outstanding'!$E$5))</f>
        <v/>
      </c>
      <c r="W416">
        <f>IF(OR('Example Outstanding'!$E$5="",S416=0,B416="",B416&gt;'Example Outstanding'!$E$5),0,MAX(0,MIN(S416,U416-V416)))</f>
        <v/>
      </c>
      <c r="X416">
        <f>IF(C416="",0,IFERROR(VLOOKUP(C416,'Example Parties'!$B$13:$Q$112,15,FALSE),0))</f>
        <v/>
      </c>
      <c r="Y416">
        <f>IF(C416="","",IFERROR(VLOOKUP(C416,'Example Parties'!$B$13:$Q$112,16,FALSE),0))</f>
        <v/>
      </c>
      <c r="Z416">
        <f>IF(OR(S416=0,B416="",Y416=""),"",IF(AND(F416&lt;&gt;"",D416="Purchase bill"),F416,B416)+Y416)</f>
        <v/>
      </c>
      <c r="AA416">
        <f>IF(OR(W416=0,Z416=""),0,MAX(0,'Example Outstanding'!$E$5-Z416))</f>
        <v/>
      </c>
      <c r="AB416">
        <f>IF(AND(X416=1,AA416&gt;0),W416*((1+3*N('Example Parties'!$E$10)/12)^(AA416*12/365)-1),0)</f>
        <v/>
      </c>
      <c r="AC416">
        <f>IF(W416=0,"",'Example Outstanding'!$E$5-B416)</f>
        <v/>
      </c>
      <c r="AD416">
        <f>IF(S416=0,0,IFERROR(VLOOKUP(C416,'Example Parties'!$B$13:$Q$112,14,FALSE),0)+SUMIFS($T$7:$T$506,$C$7:$C$506,C416,$B$7:$B$506,"&lt;="&amp;'Example Parties'!$E$8))</f>
        <v/>
      </c>
      <c r="AE416">
        <f>IF(OR('Example Parties'!$E$8="",S416=0,B416="",B416&gt;'Example Parties'!$E$8),0,MAX(0,MIN(S416,U416-AD416)))</f>
        <v/>
      </c>
      <c r="AF416">
        <f>IF(AND(P416="Creditor",X416=1,AE416&gt;0,Z416&lt;&gt;""),IF(Z416&lt;='Example Parties'!$E$8,AE416,0),0)</f>
        <v/>
      </c>
      <c r="AG416">
        <f>IF(OR(AE416=0,Z416=""),0,MAX(0,'Example Parties'!$E$8-Z416))</f>
        <v/>
      </c>
      <c r="AH416">
        <f>IF(AND(P416="Creditor",X416=1,AG416&gt;0),AE416*((1+3*N('Example Parties'!$E$10)/12)^(AG416*12/365)-1),0)</f>
        <v/>
      </c>
      <c r="AI416">
        <f>IF(AND(C416&lt;&gt;"",C416='Example Ledger'!$D$4,B416&lt;&gt;"",B416&gt;='Example Ledger'!$D$5,B416&lt;='Example Ledger'!$D$6),1,0)</f>
        <v/>
      </c>
      <c r="AJ416">
        <f>IF(AI416=1,SUM(AI$7:AI416),"")</f>
        <v/>
      </c>
      <c r="AK416">
        <f>IF(OR(N416="",N416="OK"),0,1)</f>
        <v/>
      </c>
    </row>
    <row r="417">
      <c r="B417" s="24" t="n"/>
      <c r="C417" s="14" t="n"/>
      <c r="D417" s="14" t="n"/>
      <c r="E417" s="20" t="n"/>
      <c r="F417" s="24" t="n"/>
      <c r="G417" s="14" t="n"/>
      <c r="H417" s="22" t="n"/>
      <c r="I417" s="25">
        <f>IF(Q417="D",N(H417),0)</f>
        <v/>
      </c>
      <c r="J417" s="25">
        <f>IF(Q417="C",N(H417),0)</f>
        <v/>
      </c>
      <c r="K417" s="26">
        <f>IF(Z417="","",Z417)</f>
        <v/>
      </c>
      <c r="L417" s="27">
        <f>W417</f>
        <v/>
      </c>
      <c r="M417" s="28">
        <f>AA417</f>
        <v/>
      </c>
      <c r="N417" s="23">
        <f>IF(AND(B417="",C417="",D417="",N(H417)=0),"",IF(B417="","Enter the date",IF(C417="","Pick the party",IF(P417="?","Add this party on the Parties sheet first",IF(D417="","Pick the entry type",IF(Q417="?","Pick the entry type from the list",IF(N(H417)=0,"Enter the amount",IF(AND(R417&lt;&gt;"Any",R417&lt;&gt;P417),"Sales, receipts and credit notes are for debtors; purchases, payments and debit notes for creditors",IF(AND(F417&lt;&gt;"",D417&lt;&gt;"Purchase bill"),"The received-on date is only for purchase bills",IF(AND(P417="Creditor",X417=1,AA417&gt;0),"Past due to a micro or small supplier: interest runs under MSMED s.16, and if unpaid at year end it is not deductible that year, s.37(2)(g)",IF(AND(P417="Debtor",X417=1,AA417&gt;0),"Past due to you: as a micro or small supplier you can claim interest under MSMED s.16","OK")))))))))))</f>
        <v/>
      </c>
      <c r="P417">
        <f>IF(C417="","",IFERROR(VLOOKUP(C417,'Example Parties'!$B$13:$Q$112,2,FALSE),"?"))</f>
        <v/>
      </c>
      <c r="Q417">
        <f>IF(D417="","",IFERROR(VLOOKUP(D417,Lists!$A$2:$D$9,3,FALSE),"?"))</f>
        <v/>
      </c>
      <c r="R417">
        <f>IF(D417="","",IFERROR(VLOOKUP(D417,Lists!$A$2:$D$9,4,FALSE),"?"))</f>
        <v/>
      </c>
      <c r="S417">
        <f>IF(P417="Debtor",I417,IF(P417="Creditor",J417,0))</f>
        <v/>
      </c>
      <c r="T417">
        <f>IF(P417="Debtor",J417,IF(P417="Creditor",I417,0))</f>
        <v/>
      </c>
      <c r="U417">
        <f>IF(OR(S417=0,B417=""),0,IFERROR(VLOOKUP(C417,'Example Parties'!$B$13:$Q$112,13,FALSE),0)+SUMIFS($S$7:$S$506,$C$7:$C$506,C417,$B$7:$B$506,"&lt;"&amp;B417)+SUMIFS(S$7:S417,C$7:C417,C417,B$7:B417,B417))</f>
        <v/>
      </c>
      <c r="V417">
        <f>IF(S417=0,0,IFERROR(VLOOKUP(C417,'Example Parties'!$B$13:$Q$112,14,FALSE),0)+SUMIFS($T$7:$T$506,$C$7:$C$506,C417,$B$7:$B$506,"&lt;="&amp;'Example Outstanding'!$E$5))</f>
        <v/>
      </c>
      <c r="W417">
        <f>IF(OR('Example Outstanding'!$E$5="",S417=0,B417="",B417&gt;'Example Outstanding'!$E$5),0,MAX(0,MIN(S417,U417-V417)))</f>
        <v/>
      </c>
      <c r="X417">
        <f>IF(C417="",0,IFERROR(VLOOKUP(C417,'Example Parties'!$B$13:$Q$112,15,FALSE),0))</f>
        <v/>
      </c>
      <c r="Y417">
        <f>IF(C417="","",IFERROR(VLOOKUP(C417,'Example Parties'!$B$13:$Q$112,16,FALSE),0))</f>
        <v/>
      </c>
      <c r="Z417">
        <f>IF(OR(S417=0,B417="",Y417=""),"",IF(AND(F417&lt;&gt;"",D417="Purchase bill"),F417,B417)+Y417)</f>
        <v/>
      </c>
      <c r="AA417">
        <f>IF(OR(W417=0,Z417=""),0,MAX(0,'Example Outstanding'!$E$5-Z417))</f>
        <v/>
      </c>
      <c r="AB417">
        <f>IF(AND(X417=1,AA417&gt;0),W417*((1+3*N('Example Parties'!$E$10)/12)^(AA417*12/365)-1),0)</f>
        <v/>
      </c>
      <c r="AC417">
        <f>IF(W417=0,"",'Example Outstanding'!$E$5-B417)</f>
        <v/>
      </c>
      <c r="AD417">
        <f>IF(S417=0,0,IFERROR(VLOOKUP(C417,'Example Parties'!$B$13:$Q$112,14,FALSE),0)+SUMIFS($T$7:$T$506,$C$7:$C$506,C417,$B$7:$B$506,"&lt;="&amp;'Example Parties'!$E$8))</f>
        <v/>
      </c>
      <c r="AE417">
        <f>IF(OR('Example Parties'!$E$8="",S417=0,B417="",B417&gt;'Example Parties'!$E$8),0,MAX(0,MIN(S417,U417-AD417)))</f>
        <v/>
      </c>
      <c r="AF417">
        <f>IF(AND(P417="Creditor",X417=1,AE417&gt;0,Z417&lt;&gt;""),IF(Z417&lt;='Example Parties'!$E$8,AE417,0),0)</f>
        <v/>
      </c>
      <c r="AG417">
        <f>IF(OR(AE417=0,Z417=""),0,MAX(0,'Example Parties'!$E$8-Z417))</f>
        <v/>
      </c>
      <c r="AH417">
        <f>IF(AND(P417="Creditor",X417=1,AG417&gt;0),AE417*((1+3*N('Example Parties'!$E$10)/12)^(AG417*12/365)-1),0)</f>
        <v/>
      </c>
      <c r="AI417">
        <f>IF(AND(C417&lt;&gt;"",C417='Example Ledger'!$D$4,B417&lt;&gt;"",B417&gt;='Example Ledger'!$D$5,B417&lt;='Example Ledger'!$D$6),1,0)</f>
        <v/>
      </c>
      <c r="AJ417">
        <f>IF(AI417=1,SUM(AI$7:AI417),"")</f>
        <v/>
      </c>
      <c r="AK417">
        <f>IF(OR(N417="",N417="OK"),0,1)</f>
        <v/>
      </c>
    </row>
    <row r="418">
      <c r="B418" s="24" t="n"/>
      <c r="C418" s="14" t="n"/>
      <c r="D418" s="14" t="n"/>
      <c r="E418" s="20" t="n"/>
      <c r="F418" s="24" t="n"/>
      <c r="G418" s="14" t="n"/>
      <c r="H418" s="22" t="n"/>
      <c r="I418" s="25">
        <f>IF(Q418="D",N(H418),0)</f>
        <v/>
      </c>
      <c r="J418" s="25">
        <f>IF(Q418="C",N(H418),0)</f>
        <v/>
      </c>
      <c r="K418" s="26">
        <f>IF(Z418="","",Z418)</f>
        <v/>
      </c>
      <c r="L418" s="27">
        <f>W418</f>
        <v/>
      </c>
      <c r="M418" s="28">
        <f>AA418</f>
        <v/>
      </c>
      <c r="N418" s="23">
        <f>IF(AND(B418="",C418="",D418="",N(H418)=0),"",IF(B418="","Enter the date",IF(C418="","Pick the party",IF(P418="?","Add this party on the Parties sheet first",IF(D418="","Pick the entry type",IF(Q418="?","Pick the entry type from the list",IF(N(H418)=0,"Enter the amount",IF(AND(R418&lt;&gt;"Any",R418&lt;&gt;P418),"Sales, receipts and credit notes are for debtors; purchases, payments and debit notes for creditors",IF(AND(F418&lt;&gt;"",D418&lt;&gt;"Purchase bill"),"The received-on date is only for purchase bills",IF(AND(P418="Creditor",X418=1,AA418&gt;0),"Past due to a micro or small supplier: interest runs under MSMED s.16, and if unpaid at year end it is not deductible that year, s.37(2)(g)",IF(AND(P418="Debtor",X418=1,AA418&gt;0),"Past due to you: as a micro or small supplier you can claim interest under MSMED s.16","OK")))))))))))</f>
        <v/>
      </c>
      <c r="P418">
        <f>IF(C418="","",IFERROR(VLOOKUP(C418,'Example Parties'!$B$13:$Q$112,2,FALSE),"?"))</f>
        <v/>
      </c>
      <c r="Q418">
        <f>IF(D418="","",IFERROR(VLOOKUP(D418,Lists!$A$2:$D$9,3,FALSE),"?"))</f>
        <v/>
      </c>
      <c r="R418">
        <f>IF(D418="","",IFERROR(VLOOKUP(D418,Lists!$A$2:$D$9,4,FALSE),"?"))</f>
        <v/>
      </c>
      <c r="S418">
        <f>IF(P418="Debtor",I418,IF(P418="Creditor",J418,0))</f>
        <v/>
      </c>
      <c r="T418">
        <f>IF(P418="Debtor",J418,IF(P418="Creditor",I418,0))</f>
        <v/>
      </c>
      <c r="U418">
        <f>IF(OR(S418=0,B418=""),0,IFERROR(VLOOKUP(C418,'Example Parties'!$B$13:$Q$112,13,FALSE),0)+SUMIFS($S$7:$S$506,$C$7:$C$506,C418,$B$7:$B$506,"&lt;"&amp;B418)+SUMIFS(S$7:S418,C$7:C418,C418,B$7:B418,B418))</f>
        <v/>
      </c>
      <c r="V418">
        <f>IF(S418=0,0,IFERROR(VLOOKUP(C418,'Example Parties'!$B$13:$Q$112,14,FALSE),0)+SUMIFS($T$7:$T$506,$C$7:$C$506,C418,$B$7:$B$506,"&lt;="&amp;'Example Outstanding'!$E$5))</f>
        <v/>
      </c>
      <c r="W418">
        <f>IF(OR('Example Outstanding'!$E$5="",S418=0,B418="",B418&gt;'Example Outstanding'!$E$5),0,MAX(0,MIN(S418,U418-V418)))</f>
        <v/>
      </c>
      <c r="X418">
        <f>IF(C418="",0,IFERROR(VLOOKUP(C418,'Example Parties'!$B$13:$Q$112,15,FALSE),0))</f>
        <v/>
      </c>
      <c r="Y418">
        <f>IF(C418="","",IFERROR(VLOOKUP(C418,'Example Parties'!$B$13:$Q$112,16,FALSE),0))</f>
        <v/>
      </c>
      <c r="Z418">
        <f>IF(OR(S418=0,B418="",Y418=""),"",IF(AND(F418&lt;&gt;"",D418="Purchase bill"),F418,B418)+Y418)</f>
        <v/>
      </c>
      <c r="AA418">
        <f>IF(OR(W418=0,Z418=""),0,MAX(0,'Example Outstanding'!$E$5-Z418))</f>
        <v/>
      </c>
      <c r="AB418">
        <f>IF(AND(X418=1,AA418&gt;0),W418*((1+3*N('Example Parties'!$E$10)/12)^(AA418*12/365)-1),0)</f>
        <v/>
      </c>
      <c r="AC418">
        <f>IF(W418=0,"",'Example Outstanding'!$E$5-B418)</f>
        <v/>
      </c>
      <c r="AD418">
        <f>IF(S418=0,0,IFERROR(VLOOKUP(C418,'Example Parties'!$B$13:$Q$112,14,FALSE),0)+SUMIFS($T$7:$T$506,$C$7:$C$506,C418,$B$7:$B$506,"&lt;="&amp;'Example Parties'!$E$8))</f>
        <v/>
      </c>
      <c r="AE418">
        <f>IF(OR('Example Parties'!$E$8="",S418=0,B418="",B418&gt;'Example Parties'!$E$8),0,MAX(0,MIN(S418,U418-AD418)))</f>
        <v/>
      </c>
      <c r="AF418">
        <f>IF(AND(P418="Creditor",X418=1,AE418&gt;0,Z418&lt;&gt;""),IF(Z418&lt;='Example Parties'!$E$8,AE418,0),0)</f>
        <v/>
      </c>
      <c r="AG418">
        <f>IF(OR(AE418=0,Z418=""),0,MAX(0,'Example Parties'!$E$8-Z418))</f>
        <v/>
      </c>
      <c r="AH418">
        <f>IF(AND(P418="Creditor",X418=1,AG418&gt;0),AE418*((1+3*N('Example Parties'!$E$10)/12)^(AG418*12/365)-1),0)</f>
        <v/>
      </c>
      <c r="AI418">
        <f>IF(AND(C418&lt;&gt;"",C418='Example Ledger'!$D$4,B418&lt;&gt;"",B418&gt;='Example Ledger'!$D$5,B418&lt;='Example Ledger'!$D$6),1,0)</f>
        <v/>
      </c>
      <c r="AJ418">
        <f>IF(AI418=1,SUM(AI$7:AI418),"")</f>
        <v/>
      </c>
      <c r="AK418">
        <f>IF(OR(N418="",N418="OK"),0,1)</f>
        <v/>
      </c>
    </row>
    <row r="419">
      <c r="B419" s="24" t="n"/>
      <c r="C419" s="14" t="n"/>
      <c r="D419" s="14" t="n"/>
      <c r="E419" s="20" t="n"/>
      <c r="F419" s="24" t="n"/>
      <c r="G419" s="14" t="n"/>
      <c r="H419" s="22" t="n"/>
      <c r="I419" s="25">
        <f>IF(Q419="D",N(H419),0)</f>
        <v/>
      </c>
      <c r="J419" s="25">
        <f>IF(Q419="C",N(H419),0)</f>
        <v/>
      </c>
      <c r="K419" s="26">
        <f>IF(Z419="","",Z419)</f>
        <v/>
      </c>
      <c r="L419" s="27">
        <f>W419</f>
        <v/>
      </c>
      <c r="M419" s="28">
        <f>AA419</f>
        <v/>
      </c>
      <c r="N419" s="23">
        <f>IF(AND(B419="",C419="",D419="",N(H419)=0),"",IF(B419="","Enter the date",IF(C419="","Pick the party",IF(P419="?","Add this party on the Parties sheet first",IF(D419="","Pick the entry type",IF(Q419="?","Pick the entry type from the list",IF(N(H419)=0,"Enter the amount",IF(AND(R419&lt;&gt;"Any",R419&lt;&gt;P419),"Sales, receipts and credit notes are for debtors; purchases, payments and debit notes for creditors",IF(AND(F419&lt;&gt;"",D419&lt;&gt;"Purchase bill"),"The received-on date is only for purchase bills",IF(AND(P419="Creditor",X419=1,AA419&gt;0),"Past due to a micro or small supplier: interest runs under MSMED s.16, and if unpaid at year end it is not deductible that year, s.37(2)(g)",IF(AND(P419="Debtor",X419=1,AA419&gt;0),"Past due to you: as a micro or small supplier you can claim interest under MSMED s.16","OK")))))))))))</f>
        <v/>
      </c>
      <c r="P419">
        <f>IF(C419="","",IFERROR(VLOOKUP(C419,'Example Parties'!$B$13:$Q$112,2,FALSE),"?"))</f>
        <v/>
      </c>
      <c r="Q419">
        <f>IF(D419="","",IFERROR(VLOOKUP(D419,Lists!$A$2:$D$9,3,FALSE),"?"))</f>
        <v/>
      </c>
      <c r="R419">
        <f>IF(D419="","",IFERROR(VLOOKUP(D419,Lists!$A$2:$D$9,4,FALSE),"?"))</f>
        <v/>
      </c>
      <c r="S419">
        <f>IF(P419="Debtor",I419,IF(P419="Creditor",J419,0))</f>
        <v/>
      </c>
      <c r="T419">
        <f>IF(P419="Debtor",J419,IF(P419="Creditor",I419,0))</f>
        <v/>
      </c>
      <c r="U419">
        <f>IF(OR(S419=0,B419=""),0,IFERROR(VLOOKUP(C419,'Example Parties'!$B$13:$Q$112,13,FALSE),0)+SUMIFS($S$7:$S$506,$C$7:$C$506,C419,$B$7:$B$506,"&lt;"&amp;B419)+SUMIFS(S$7:S419,C$7:C419,C419,B$7:B419,B419))</f>
        <v/>
      </c>
      <c r="V419">
        <f>IF(S419=0,0,IFERROR(VLOOKUP(C419,'Example Parties'!$B$13:$Q$112,14,FALSE),0)+SUMIFS($T$7:$T$506,$C$7:$C$506,C419,$B$7:$B$506,"&lt;="&amp;'Example Outstanding'!$E$5))</f>
        <v/>
      </c>
      <c r="W419">
        <f>IF(OR('Example Outstanding'!$E$5="",S419=0,B419="",B419&gt;'Example Outstanding'!$E$5),0,MAX(0,MIN(S419,U419-V419)))</f>
        <v/>
      </c>
      <c r="X419">
        <f>IF(C419="",0,IFERROR(VLOOKUP(C419,'Example Parties'!$B$13:$Q$112,15,FALSE),0))</f>
        <v/>
      </c>
      <c r="Y419">
        <f>IF(C419="","",IFERROR(VLOOKUP(C419,'Example Parties'!$B$13:$Q$112,16,FALSE),0))</f>
        <v/>
      </c>
      <c r="Z419">
        <f>IF(OR(S419=0,B419="",Y419=""),"",IF(AND(F419&lt;&gt;"",D419="Purchase bill"),F419,B419)+Y419)</f>
        <v/>
      </c>
      <c r="AA419">
        <f>IF(OR(W419=0,Z419=""),0,MAX(0,'Example Outstanding'!$E$5-Z419))</f>
        <v/>
      </c>
      <c r="AB419">
        <f>IF(AND(X419=1,AA419&gt;0),W419*((1+3*N('Example Parties'!$E$10)/12)^(AA419*12/365)-1),0)</f>
        <v/>
      </c>
      <c r="AC419">
        <f>IF(W419=0,"",'Example Outstanding'!$E$5-B419)</f>
        <v/>
      </c>
      <c r="AD419">
        <f>IF(S419=0,0,IFERROR(VLOOKUP(C419,'Example Parties'!$B$13:$Q$112,14,FALSE),0)+SUMIFS($T$7:$T$506,$C$7:$C$506,C419,$B$7:$B$506,"&lt;="&amp;'Example Parties'!$E$8))</f>
        <v/>
      </c>
      <c r="AE419">
        <f>IF(OR('Example Parties'!$E$8="",S419=0,B419="",B419&gt;'Example Parties'!$E$8),0,MAX(0,MIN(S419,U419-AD419)))</f>
        <v/>
      </c>
      <c r="AF419">
        <f>IF(AND(P419="Creditor",X419=1,AE419&gt;0,Z419&lt;&gt;""),IF(Z419&lt;='Example Parties'!$E$8,AE419,0),0)</f>
        <v/>
      </c>
      <c r="AG419">
        <f>IF(OR(AE419=0,Z419=""),0,MAX(0,'Example Parties'!$E$8-Z419))</f>
        <v/>
      </c>
      <c r="AH419">
        <f>IF(AND(P419="Creditor",X419=1,AG419&gt;0),AE419*((1+3*N('Example Parties'!$E$10)/12)^(AG419*12/365)-1),0)</f>
        <v/>
      </c>
      <c r="AI419">
        <f>IF(AND(C419&lt;&gt;"",C419='Example Ledger'!$D$4,B419&lt;&gt;"",B419&gt;='Example Ledger'!$D$5,B419&lt;='Example Ledger'!$D$6),1,0)</f>
        <v/>
      </c>
      <c r="AJ419">
        <f>IF(AI419=1,SUM(AI$7:AI419),"")</f>
        <v/>
      </c>
      <c r="AK419">
        <f>IF(OR(N419="",N419="OK"),0,1)</f>
        <v/>
      </c>
    </row>
    <row r="420">
      <c r="B420" s="24" t="n"/>
      <c r="C420" s="14" t="n"/>
      <c r="D420" s="14" t="n"/>
      <c r="E420" s="20" t="n"/>
      <c r="F420" s="24" t="n"/>
      <c r="G420" s="14" t="n"/>
      <c r="H420" s="22" t="n"/>
      <c r="I420" s="25">
        <f>IF(Q420="D",N(H420),0)</f>
        <v/>
      </c>
      <c r="J420" s="25">
        <f>IF(Q420="C",N(H420),0)</f>
        <v/>
      </c>
      <c r="K420" s="26">
        <f>IF(Z420="","",Z420)</f>
        <v/>
      </c>
      <c r="L420" s="27">
        <f>W420</f>
        <v/>
      </c>
      <c r="M420" s="28">
        <f>AA420</f>
        <v/>
      </c>
      <c r="N420" s="23">
        <f>IF(AND(B420="",C420="",D420="",N(H420)=0),"",IF(B420="","Enter the date",IF(C420="","Pick the party",IF(P420="?","Add this party on the Parties sheet first",IF(D420="","Pick the entry type",IF(Q420="?","Pick the entry type from the list",IF(N(H420)=0,"Enter the amount",IF(AND(R420&lt;&gt;"Any",R420&lt;&gt;P420),"Sales, receipts and credit notes are for debtors; purchases, payments and debit notes for creditors",IF(AND(F420&lt;&gt;"",D420&lt;&gt;"Purchase bill"),"The received-on date is only for purchase bills",IF(AND(P420="Creditor",X420=1,AA420&gt;0),"Past due to a micro or small supplier: interest runs under MSMED s.16, and if unpaid at year end it is not deductible that year, s.37(2)(g)",IF(AND(P420="Debtor",X420=1,AA420&gt;0),"Past due to you: as a micro or small supplier you can claim interest under MSMED s.16","OK")))))))))))</f>
        <v/>
      </c>
      <c r="P420">
        <f>IF(C420="","",IFERROR(VLOOKUP(C420,'Example Parties'!$B$13:$Q$112,2,FALSE),"?"))</f>
        <v/>
      </c>
      <c r="Q420">
        <f>IF(D420="","",IFERROR(VLOOKUP(D420,Lists!$A$2:$D$9,3,FALSE),"?"))</f>
        <v/>
      </c>
      <c r="R420">
        <f>IF(D420="","",IFERROR(VLOOKUP(D420,Lists!$A$2:$D$9,4,FALSE),"?"))</f>
        <v/>
      </c>
      <c r="S420">
        <f>IF(P420="Debtor",I420,IF(P420="Creditor",J420,0))</f>
        <v/>
      </c>
      <c r="T420">
        <f>IF(P420="Debtor",J420,IF(P420="Creditor",I420,0))</f>
        <v/>
      </c>
      <c r="U420">
        <f>IF(OR(S420=0,B420=""),0,IFERROR(VLOOKUP(C420,'Example Parties'!$B$13:$Q$112,13,FALSE),0)+SUMIFS($S$7:$S$506,$C$7:$C$506,C420,$B$7:$B$506,"&lt;"&amp;B420)+SUMIFS(S$7:S420,C$7:C420,C420,B$7:B420,B420))</f>
        <v/>
      </c>
      <c r="V420">
        <f>IF(S420=0,0,IFERROR(VLOOKUP(C420,'Example Parties'!$B$13:$Q$112,14,FALSE),0)+SUMIFS($T$7:$T$506,$C$7:$C$506,C420,$B$7:$B$506,"&lt;="&amp;'Example Outstanding'!$E$5))</f>
        <v/>
      </c>
      <c r="W420">
        <f>IF(OR('Example Outstanding'!$E$5="",S420=0,B420="",B420&gt;'Example Outstanding'!$E$5),0,MAX(0,MIN(S420,U420-V420)))</f>
        <v/>
      </c>
      <c r="X420">
        <f>IF(C420="",0,IFERROR(VLOOKUP(C420,'Example Parties'!$B$13:$Q$112,15,FALSE),0))</f>
        <v/>
      </c>
      <c r="Y420">
        <f>IF(C420="","",IFERROR(VLOOKUP(C420,'Example Parties'!$B$13:$Q$112,16,FALSE),0))</f>
        <v/>
      </c>
      <c r="Z420">
        <f>IF(OR(S420=0,B420="",Y420=""),"",IF(AND(F420&lt;&gt;"",D420="Purchase bill"),F420,B420)+Y420)</f>
        <v/>
      </c>
      <c r="AA420">
        <f>IF(OR(W420=0,Z420=""),0,MAX(0,'Example Outstanding'!$E$5-Z420))</f>
        <v/>
      </c>
      <c r="AB420">
        <f>IF(AND(X420=1,AA420&gt;0),W420*((1+3*N('Example Parties'!$E$10)/12)^(AA420*12/365)-1),0)</f>
        <v/>
      </c>
      <c r="AC420">
        <f>IF(W420=0,"",'Example Outstanding'!$E$5-B420)</f>
        <v/>
      </c>
      <c r="AD420">
        <f>IF(S420=0,0,IFERROR(VLOOKUP(C420,'Example Parties'!$B$13:$Q$112,14,FALSE),0)+SUMIFS($T$7:$T$506,$C$7:$C$506,C420,$B$7:$B$506,"&lt;="&amp;'Example Parties'!$E$8))</f>
        <v/>
      </c>
      <c r="AE420">
        <f>IF(OR('Example Parties'!$E$8="",S420=0,B420="",B420&gt;'Example Parties'!$E$8),0,MAX(0,MIN(S420,U420-AD420)))</f>
        <v/>
      </c>
      <c r="AF420">
        <f>IF(AND(P420="Creditor",X420=1,AE420&gt;0,Z420&lt;&gt;""),IF(Z420&lt;='Example Parties'!$E$8,AE420,0),0)</f>
        <v/>
      </c>
      <c r="AG420">
        <f>IF(OR(AE420=0,Z420=""),0,MAX(0,'Example Parties'!$E$8-Z420))</f>
        <v/>
      </c>
      <c r="AH420">
        <f>IF(AND(P420="Creditor",X420=1,AG420&gt;0),AE420*((1+3*N('Example Parties'!$E$10)/12)^(AG420*12/365)-1),0)</f>
        <v/>
      </c>
      <c r="AI420">
        <f>IF(AND(C420&lt;&gt;"",C420='Example Ledger'!$D$4,B420&lt;&gt;"",B420&gt;='Example Ledger'!$D$5,B420&lt;='Example Ledger'!$D$6),1,0)</f>
        <v/>
      </c>
      <c r="AJ420">
        <f>IF(AI420=1,SUM(AI$7:AI420),"")</f>
        <v/>
      </c>
      <c r="AK420">
        <f>IF(OR(N420="",N420="OK"),0,1)</f>
        <v/>
      </c>
    </row>
    <row r="421">
      <c r="B421" s="24" t="n"/>
      <c r="C421" s="14" t="n"/>
      <c r="D421" s="14" t="n"/>
      <c r="E421" s="20" t="n"/>
      <c r="F421" s="24" t="n"/>
      <c r="G421" s="14" t="n"/>
      <c r="H421" s="22" t="n"/>
      <c r="I421" s="25">
        <f>IF(Q421="D",N(H421),0)</f>
        <v/>
      </c>
      <c r="J421" s="25">
        <f>IF(Q421="C",N(H421),0)</f>
        <v/>
      </c>
      <c r="K421" s="26">
        <f>IF(Z421="","",Z421)</f>
        <v/>
      </c>
      <c r="L421" s="27">
        <f>W421</f>
        <v/>
      </c>
      <c r="M421" s="28">
        <f>AA421</f>
        <v/>
      </c>
      <c r="N421" s="23">
        <f>IF(AND(B421="",C421="",D421="",N(H421)=0),"",IF(B421="","Enter the date",IF(C421="","Pick the party",IF(P421="?","Add this party on the Parties sheet first",IF(D421="","Pick the entry type",IF(Q421="?","Pick the entry type from the list",IF(N(H421)=0,"Enter the amount",IF(AND(R421&lt;&gt;"Any",R421&lt;&gt;P421),"Sales, receipts and credit notes are for debtors; purchases, payments and debit notes for creditors",IF(AND(F421&lt;&gt;"",D421&lt;&gt;"Purchase bill"),"The received-on date is only for purchase bills",IF(AND(P421="Creditor",X421=1,AA421&gt;0),"Past due to a micro or small supplier: interest runs under MSMED s.16, and if unpaid at year end it is not deductible that year, s.37(2)(g)",IF(AND(P421="Debtor",X421=1,AA421&gt;0),"Past due to you: as a micro or small supplier you can claim interest under MSMED s.16","OK")))))))))))</f>
        <v/>
      </c>
      <c r="P421">
        <f>IF(C421="","",IFERROR(VLOOKUP(C421,'Example Parties'!$B$13:$Q$112,2,FALSE),"?"))</f>
        <v/>
      </c>
      <c r="Q421">
        <f>IF(D421="","",IFERROR(VLOOKUP(D421,Lists!$A$2:$D$9,3,FALSE),"?"))</f>
        <v/>
      </c>
      <c r="R421">
        <f>IF(D421="","",IFERROR(VLOOKUP(D421,Lists!$A$2:$D$9,4,FALSE),"?"))</f>
        <v/>
      </c>
      <c r="S421">
        <f>IF(P421="Debtor",I421,IF(P421="Creditor",J421,0))</f>
        <v/>
      </c>
      <c r="T421">
        <f>IF(P421="Debtor",J421,IF(P421="Creditor",I421,0))</f>
        <v/>
      </c>
      <c r="U421">
        <f>IF(OR(S421=0,B421=""),0,IFERROR(VLOOKUP(C421,'Example Parties'!$B$13:$Q$112,13,FALSE),0)+SUMIFS($S$7:$S$506,$C$7:$C$506,C421,$B$7:$B$506,"&lt;"&amp;B421)+SUMIFS(S$7:S421,C$7:C421,C421,B$7:B421,B421))</f>
        <v/>
      </c>
      <c r="V421">
        <f>IF(S421=0,0,IFERROR(VLOOKUP(C421,'Example Parties'!$B$13:$Q$112,14,FALSE),0)+SUMIFS($T$7:$T$506,$C$7:$C$506,C421,$B$7:$B$506,"&lt;="&amp;'Example Outstanding'!$E$5))</f>
        <v/>
      </c>
      <c r="W421">
        <f>IF(OR('Example Outstanding'!$E$5="",S421=0,B421="",B421&gt;'Example Outstanding'!$E$5),0,MAX(0,MIN(S421,U421-V421)))</f>
        <v/>
      </c>
      <c r="X421">
        <f>IF(C421="",0,IFERROR(VLOOKUP(C421,'Example Parties'!$B$13:$Q$112,15,FALSE),0))</f>
        <v/>
      </c>
      <c r="Y421">
        <f>IF(C421="","",IFERROR(VLOOKUP(C421,'Example Parties'!$B$13:$Q$112,16,FALSE),0))</f>
        <v/>
      </c>
      <c r="Z421">
        <f>IF(OR(S421=0,B421="",Y421=""),"",IF(AND(F421&lt;&gt;"",D421="Purchase bill"),F421,B421)+Y421)</f>
        <v/>
      </c>
      <c r="AA421">
        <f>IF(OR(W421=0,Z421=""),0,MAX(0,'Example Outstanding'!$E$5-Z421))</f>
        <v/>
      </c>
      <c r="AB421">
        <f>IF(AND(X421=1,AA421&gt;0),W421*((1+3*N('Example Parties'!$E$10)/12)^(AA421*12/365)-1),0)</f>
        <v/>
      </c>
      <c r="AC421">
        <f>IF(W421=0,"",'Example Outstanding'!$E$5-B421)</f>
        <v/>
      </c>
      <c r="AD421">
        <f>IF(S421=0,0,IFERROR(VLOOKUP(C421,'Example Parties'!$B$13:$Q$112,14,FALSE),0)+SUMIFS($T$7:$T$506,$C$7:$C$506,C421,$B$7:$B$506,"&lt;="&amp;'Example Parties'!$E$8))</f>
        <v/>
      </c>
      <c r="AE421">
        <f>IF(OR('Example Parties'!$E$8="",S421=0,B421="",B421&gt;'Example Parties'!$E$8),0,MAX(0,MIN(S421,U421-AD421)))</f>
        <v/>
      </c>
      <c r="AF421">
        <f>IF(AND(P421="Creditor",X421=1,AE421&gt;0,Z421&lt;&gt;""),IF(Z421&lt;='Example Parties'!$E$8,AE421,0),0)</f>
        <v/>
      </c>
      <c r="AG421">
        <f>IF(OR(AE421=0,Z421=""),0,MAX(0,'Example Parties'!$E$8-Z421))</f>
        <v/>
      </c>
      <c r="AH421">
        <f>IF(AND(P421="Creditor",X421=1,AG421&gt;0),AE421*((1+3*N('Example Parties'!$E$10)/12)^(AG421*12/365)-1),0)</f>
        <v/>
      </c>
      <c r="AI421">
        <f>IF(AND(C421&lt;&gt;"",C421='Example Ledger'!$D$4,B421&lt;&gt;"",B421&gt;='Example Ledger'!$D$5,B421&lt;='Example Ledger'!$D$6),1,0)</f>
        <v/>
      </c>
      <c r="AJ421">
        <f>IF(AI421=1,SUM(AI$7:AI421),"")</f>
        <v/>
      </c>
      <c r="AK421">
        <f>IF(OR(N421="",N421="OK"),0,1)</f>
        <v/>
      </c>
    </row>
    <row r="422">
      <c r="B422" s="24" t="n"/>
      <c r="C422" s="14" t="n"/>
      <c r="D422" s="14" t="n"/>
      <c r="E422" s="20" t="n"/>
      <c r="F422" s="24" t="n"/>
      <c r="G422" s="14" t="n"/>
      <c r="H422" s="22" t="n"/>
      <c r="I422" s="25">
        <f>IF(Q422="D",N(H422),0)</f>
        <v/>
      </c>
      <c r="J422" s="25">
        <f>IF(Q422="C",N(H422),0)</f>
        <v/>
      </c>
      <c r="K422" s="26">
        <f>IF(Z422="","",Z422)</f>
        <v/>
      </c>
      <c r="L422" s="27">
        <f>W422</f>
        <v/>
      </c>
      <c r="M422" s="28">
        <f>AA422</f>
        <v/>
      </c>
      <c r="N422" s="23">
        <f>IF(AND(B422="",C422="",D422="",N(H422)=0),"",IF(B422="","Enter the date",IF(C422="","Pick the party",IF(P422="?","Add this party on the Parties sheet first",IF(D422="","Pick the entry type",IF(Q422="?","Pick the entry type from the list",IF(N(H422)=0,"Enter the amount",IF(AND(R422&lt;&gt;"Any",R422&lt;&gt;P422),"Sales, receipts and credit notes are for debtors; purchases, payments and debit notes for creditors",IF(AND(F422&lt;&gt;"",D422&lt;&gt;"Purchase bill"),"The received-on date is only for purchase bills",IF(AND(P422="Creditor",X422=1,AA422&gt;0),"Past due to a micro or small supplier: interest runs under MSMED s.16, and if unpaid at year end it is not deductible that year, s.37(2)(g)",IF(AND(P422="Debtor",X422=1,AA422&gt;0),"Past due to you: as a micro or small supplier you can claim interest under MSMED s.16","OK")))))))))))</f>
        <v/>
      </c>
      <c r="P422">
        <f>IF(C422="","",IFERROR(VLOOKUP(C422,'Example Parties'!$B$13:$Q$112,2,FALSE),"?"))</f>
        <v/>
      </c>
      <c r="Q422">
        <f>IF(D422="","",IFERROR(VLOOKUP(D422,Lists!$A$2:$D$9,3,FALSE),"?"))</f>
        <v/>
      </c>
      <c r="R422">
        <f>IF(D422="","",IFERROR(VLOOKUP(D422,Lists!$A$2:$D$9,4,FALSE),"?"))</f>
        <v/>
      </c>
      <c r="S422">
        <f>IF(P422="Debtor",I422,IF(P422="Creditor",J422,0))</f>
        <v/>
      </c>
      <c r="T422">
        <f>IF(P422="Debtor",J422,IF(P422="Creditor",I422,0))</f>
        <v/>
      </c>
      <c r="U422">
        <f>IF(OR(S422=0,B422=""),0,IFERROR(VLOOKUP(C422,'Example Parties'!$B$13:$Q$112,13,FALSE),0)+SUMIFS($S$7:$S$506,$C$7:$C$506,C422,$B$7:$B$506,"&lt;"&amp;B422)+SUMIFS(S$7:S422,C$7:C422,C422,B$7:B422,B422))</f>
        <v/>
      </c>
      <c r="V422">
        <f>IF(S422=0,0,IFERROR(VLOOKUP(C422,'Example Parties'!$B$13:$Q$112,14,FALSE),0)+SUMIFS($T$7:$T$506,$C$7:$C$506,C422,$B$7:$B$506,"&lt;="&amp;'Example Outstanding'!$E$5))</f>
        <v/>
      </c>
      <c r="W422">
        <f>IF(OR('Example Outstanding'!$E$5="",S422=0,B422="",B422&gt;'Example Outstanding'!$E$5),0,MAX(0,MIN(S422,U422-V422)))</f>
        <v/>
      </c>
      <c r="X422">
        <f>IF(C422="",0,IFERROR(VLOOKUP(C422,'Example Parties'!$B$13:$Q$112,15,FALSE),0))</f>
        <v/>
      </c>
      <c r="Y422">
        <f>IF(C422="","",IFERROR(VLOOKUP(C422,'Example Parties'!$B$13:$Q$112,16,FALSE),0))</f>
        <v/>
      </c>
      <c r="Z422">
        <f>IF(OR(S422=0,B422="",Y422=""),"",IF(AND(F422&lt;&gt;"",D422="Purchase bill"),F422,B422)+Y422)</f>
        <v/>
      </c>
      <c r="AA422">
        <f>IF(OR(W422=0,Z422=""),0,MAX(0,'Example Outstanding'!$E$5-Z422))</f>
        <v/>
      </c>
      <c r="AB422">
        <f>IF(AND(X422=1,AA422&gt;0),W422*((1+3*N('Example Parties'!$E$10)/12)^(AA422*12/365)-1),0)</f>
        <v/>
      </c>
      <c r="AC422">
        <f>IF(W422=0,"",'Example Outstanding'!$E$5-B422)</f>
        <v/>
      </c>
      <c r="AD422">
        <f>IF(S422=0,0,IFERROR(VLOOKUP(C422,'Example Parties'!$B$13:$Q$112,14,FALSE),0)+SUMIFS($T$7:$T$506,$C$7:$C$506,C422,$B$7:$B$506,"&lt;="&amp;'Example Parties'!$E$8))</f>
        <v/>
      </c>
      <c r="AE422">
        <f>IF(OR('Example Parties'!$E$8="",S422=0,B422="",B422&gt;'Example Parties'!$E$8),0,MAX(0,MIN(S422,U422-AD422)))</f>
        <v/>
      </c>
      <c r="AF422">
        <f>IF(AND(P422="Creditor",X422=1,AE422&gt;0,Z422&lt;&gt;""),IF(Z422&lt;='Example Parties'!$E$8,AE422,0),0)</f>
        <v/>
      </c>
      <c r="AG422">
        <f>IF(OR(AE422=0,Z422=""),0,MAX(0,'Example Parties'!$E$8-Z422))</f>
        <v/>
      </c>
      <c r="AH422">
        <f>IF(AND(P422="Creditor",X422=1,AG422&gt;0),AE422*((1+3*N('Example Parties'!$E$10)/12)^(AG422*12/365)-1),0)</f>
        <v/>
      </c>
      <c r="AI422">
        <f>IF(AND(C422&lt;&gt;"",C422='Example Ledger'!$D$4,B422&lt;&gt;"",B422&gt;='Example Ledger'!$D$5,B422&lt;='Example Ledger'!$D$6),1,0)</f>
        <v/>
      </c>
      <c r="AJ422">
        <f>IF(AI422=1,SUM(AI$7:AI422),"")</f>
        <v/>
      </c>
      <c r="AK422">
        <f>IF(OR(N422="",N422="OK"),0,1)</f>
        <v/>
      </c>
    </row>
    <row r="423">
      <c r="B423" s="24" t="n"/>
      <c r="C423" s="14" t="n"/>
      <c r="D423" s="14" t="n"/>
      <c r="E423" s="20" t="n"/>
      <c r="F423" s="24" t="n"/>
      <c r="G423" s="14" t="n"/>
      <c r="H423" s="22" t="n"/>
      <c r="I423" s="25">
        <f>IF(Q423="D",N(H423),0)</f>
        <v/>
      </c>
      <c r="J423" s="25">
        <f>IF(Q423="C",N(H423),0)</f>
        <v/>
      </c>
      <c r="K423" s="26">
        <f>IF(Z423="","",Z423)</f>
        <v/>
      </c>
      <c r="L423" s="27">
        <f>W423</f>
        <v/>
      </c>
      <c r="M423" s="28">
        <f>AA423</f>
        <v/>
      </c>
      <c r="N423" s="23">
        <f>IF(AND(B423="",C423="",D423="",N(H423)=0),"",IF(B423="","Enter the date",IF(C423="","Pick the party",IF(P423="?","Add this party on the Parties sheet first",IF(D423="","Pick the entry type",IF(Q423="?","Pick the entry type from the list",IF(N(H423)=0,"Enter the amount",IF(AND(R423&lt;&gt;"Any",R423&lt;&gt;P423),"Sales, receipts and credit notes are for debtors; purchases, payments and debit notes for creditors",IF(AND(F423&lt;&gt;"",D423&lt;&gt;"Purchase bill"),"The received-on date is only for purchase bills",IF(AND(P423="Creditor",X423=1,AA423&gt;0),"Past due to a micro or small supplier: interest runs under MSMED s.16, and if unpaid at year end it is not deductible that year, s.37(2)(g)",IF(AND(P423="Debtor",X423=1,AA423&gt;0),"Past due to you: as a micro or small supplier you can claim interest under MSMED s.16","OK")))))))))))</f>
        <v/>
      </c>
      <c r="P423">
        <f>IF(C423="","",IFERROR(VLOOKUP(C423,'Example Parties'!$B$13:$Q$112,2,FALSE),"?"))</f>
        <v/>
      </c>
      <c r="Q423">
        <f>IF(D423="","",IFERROR(VLOOKUP(D423,Lists!$A$2:$D$9,3,FALSE),"?"))</f>
        <v/>
      </c>
      <c r="R423">
        <f>IF(D423="","",IFERROR(VLOOKUP(D423,Lists!$A$2:$D$9,4,FALSE),"?"))</f>
        <v/>
      </c>
      <c r="S423">
        <f>IF(P423="Debtor",I423,IF(P423="Creditor",J423,0))</f>
        <v/>
      </c>
      <c r="T423">
        <f>IF(P423="Debtor",J423,IF(P423="Creditor",I423,0))</f>
        <v/>
      </c>
      <c r="U423">
        <f>IF(OR(S423=0,B423=""),0,IFERROR(VLOOKUP(C423,'Example Parties'!$B$13:$Q$112,13,FALSE),0)+SUMIFS($S$7:$S$506,$C$7:$C$506,C423,$B$7:$B$506,"&lt;"&amp;B423)+SUMIFS(S$7:S423,C$7:C423,C423,B$7:B423,B423))</f>
        <v/>
      </c>
      <c r="V423">
        <f>IF(S423=0,0,IFERROR(VLOOKUP(C423,'Example Parties'!$B$13:$Q$112,14,FALSE),0)+SUMIFS($T$7:$T$506,$C$7:$C$506,C423,$B$7:$B$506,"&lt;="&amp;'Example Outstanding'!$E$5))</f>
        <v/>
      </c>
      <c r="W423">
        <f>IF(OR('Example Outstanding'!$E$5="",S423=0,B423="",B423&gt;'Example Outstanding'!$E$5),0,MAX(0,MIN(S423,U423-V423)))</f>
        <v/>
      </c>
      <c r="X423">
        <f>IF(C423="",0,IFERROR(VLOOKUP(C423,'Example Parties'!$B$13:$Q$112,15,FALSE),0))</f>
        <v/>
      </c>
      <c r="Y423">
        <f>IF(C423="","",IFERROR(VLOOKUP(C423,'Example Parties'!$B$13:$Q$112,16,FALSE),0))</f>
        <v/>
      </c>
      <c r="Z423">
        <f>IF(OR(S423=0,B423="",Y423=""),"",IF(AND(F423&lt;&gt;"",D423="Purchase bill"),F423,B423)+Y423)</f>
        <v/>
      </c>
      <c r="AA423">
        <f>IF(OR(W423=0,Z423=""),0,MAX(0,'Example Outstanding'!$E$5-Z423))</f>
        <v/>
      </c>
      <c r="AB423">
        <f>IF(AND(X423=1,AA423&gt;0),W423*((1+3*N('Example Parties'!$E$10)/12)^(AA423*12/365)-1),0)</f>
        <v/>
      </c>
      <c r="AC423">
        <f>IF(W423=0,"",'Example Outstanding'!$E$5-B423)</f>
        <v/>
      </c>
      <c r="AD423">
        <f>IF(S423=0,0,IFERROR(VLOOKUP(C423,'Example Parties'!$B$13:$Q$112,14,FALSE),0)+SUMIFS($T$7:$T$506,$C$7:$C$506,C423,$B$7:$B$506,"&lt;="&amp;'Example Parties'!$E$8))</f>
        <v/>
      </c>
      <c r="AE423">
        <f>IF(OR('Example Parties'!$E$8="",S423=0,B423="",B423&gt;'Example Parties'!$E$8),0,MAX(0,MIN(S423,U423-AD423)))</f>
        <v/>
      </c>
      <c r="AF423">
        <f>IF(AND(P423="Creditor",X423=1,AE423&gt;0,Z423&lt;&gt;""),IF(Z423&lt;='Example Parties'!$E$8,AE423,0),0)</f>
        <v/>
      </c>
      <c r="AG423">
        <f>IF(OR(AE423=0,Z423=""),0,MAX(0,'Example Parties'!$E$8-Z423))</f>
        <v/>
      </c>
      <c r="AH423">
        <f>IF(AND(P423="Creditor",X423=1,AG423&gt;0),AE423*((1+3*N('Example Parties'!$E$10)/12)^(AG423*12/365)-1),0)</f>
        <v/>
      </c>
      <c r="AI423">
        <f>IF(AND(C423&lt;&gt;"",C423='Example Ledger'!$D$4,B423&lt;&gt;"",B423&gt;='Example Ledger'!$D$5,B423&lt;='Example Ledger'!$D$6),1,0)</f>
        <v/>
      </c>
      <c r="AJ423">
        <f>IF(AI423=1,SUM(AI$7:AI423),"")</f>
        <v/>
      </c>
      <c r="AK423">
        <f>IF(OR(N423="",N423="OK"),0,1)</f>
        <v/>
      </c>
    </row>
    <row r="424">
      <c r="B424" s="24" t="n"/>
      <c r="C424" s="14" t="n"/>
      <c r="D424" s="14" t="n"/>
      <c r="E424" s="20" t="n"/>
      <c r="F424" s="24" t="n"/>
      <c r="G424" s="14" t="n"/>
      <c r="H424" s="22" t="n"/>
      <c r="I424" s="25">
        <f>IF(Q424="D",N(H424),0)</f>
        <v/>
      </c>
      <c r="J424" s="25">
        <f>IF(Q424="C",N(H424),0)</f>
        <v/>
      </c>
      <c r="K424" s="26">
        <f>IF(Z424="","",Z424)</f>
        <v/>
      </c>
      <c r="L424" s="27">
        <f>W424</f>
        <v/>
      </c>
      <c r="M424" s="28">
        <f>AA424</f>
        <v/>
      </c>
      <c r="N424" s="23">
        <f>IF(AND(B424="",C424="",D424="",N(H424)=0),"",IF(B424="","Enter the date",IF(C424="","Pick the party",IF(P424="?","Add this party on the Parties sheet first",IF(D424="","Pick the entry type",IF(Q424="?","Pick the entry type from the list",IF(N(H424)=0,"Enter the amount",IF(AND(R424&lt;&gt;"Any",R424&lt;&gt;P424),"Sales, receipts and credit notes are for debtors; purchases, payments and debit notes for creditors",IF(AND(F424&lt;&gt;"",D424&lt;&gt;"Purchase bill"),"The received-on date is only for purchase bills",IF(AND(P424="Creditor",X424=1,AA424&gt;0),"Past due to a micro or small supplier: interest runs under MSMED s.16, and if unpaid at year end it is not deductible that year, s.37(2)(g)",IF(AND(P424="Debtor",X424=1,AA424&gt;0),"Past due to you: as a micro or small supplier you can claim interest under MSMED s.16","OK")))))))))))</f>
        <v/>
      </c>
      <c r="P424">
        <f>IF(C424="","",IFERROR(VLOOKUP(C424,'Example Parties'!$B$13:$Q$112,2,FALSE),"?"))</f>
        <v/>
      </c>
      <c r="Q424">
        <f>IF(D424="","",IFERROR(VLOOKUP(D424,Lists!$A$2:$D$9,3,FALSE),"?"))</f>
        <v/>
      </c>
      <c r="R424">
        <f>IF(D424="","",IFERROR(VLOOKUP(D424,Lists!$A$2:$D$9,4,FALSE),"?"))</f>
        <v/>
      </c>
      <c r="S424">
        <f>IF(P424="Debtor",I424,IF(P424="Creditor",J424,0))</f>
        <v/>
      </c>
      <c r="T424">
        <f>IF(P424="Debtor",J424,IF(P424="Creditor",I424,0))</f>
        <v/>
      </c>
      <c r="U424">
        <f>IF(OR(S424=0,B424=""),0,IFERROR(VLOOKUP(C424,'Example Parties'!$B$13:$Q$112,13,FALSE),0)+SUMIFS($S$7:$S$506,$C$7:$C$506,C424,$B$7:$B$506,"&lt;"&amp;B424)+SUMIFS(S$7:S424,C$7:C424,C424,B$7:B424,B424))</f>
        <v/>
      </c>
      <c r="V424">
        <f>IF(S424=0,0,IFERROR(VLOOKUP(C424,'Example Parties'!$B$13:$Q$112,14,FALSE),0)+SUMIFS($T$7:$T$506,$C$7:$C$506,C424,$B$7:$B$506,"&lt;="&amp;'Example Outstanding'!$E$5))</f>
        <v/>
      </c>
      <c r="W424">
        <f>IF(OR('Example Outstanding'!$E$5="",S424=0,B424="",B424&gt;'Example Outstanding'!$E$5),0,MAX(0,MIN(S424,U424-V424)))</f>
        <v/>
      </c>
      <c r="X424">
        <f>IF(C424="",0,IFERROR(VLOOKUP(C424,'Example Parties'!$B$13:$Q$112,15,FALSE),0))</f>
        <v/>
      </c>
      <c r="Y424">
        <f>IF(C424="","",IFERROR(VLOOKUP(C424,'Example Parties'!$B$13:$Q$112,16,FALSE),0))</f>
        <v/>
      </c>
      <c r="Z424">
        <f>IF(OR(S424=0,B424="",Y424=""),"",IF(AND(F424&lt;&gt;"",D424="Purchase bill"),F424,B424)+Y424)</f>
        <v/>
      </c>
      <c r="AA424">
        <f>IF(OR(W424=0,Z424=""),0,MAX(0,'Example Outstanding'!$E$5-Z424))</f>
        <v/>
      </c>
      <c r="AB424">
        <f>IF(AND(X424=1,AA424&gt;0),W424*((1+3*N('Example Parties'!$E$10)/12)^(AA424*12/365)-1),0)</f>
        <v/>
      </c>
      <c r="AC424">
        <f>IF(W424=0,"",'Example Outstanding'!$E$5-B424)</f>
        <v/>
      </c>
      <c r="AD424">
        <f>IF(S424=0,0,IFERROR(VLOOKUP(C424,'Example Parties'!$B$13:$Q$112,14,FALSE),0)+SUMIFS($T$7:$T$506,$C$7:$C$506,C424,$B$7:$B$506,"&lt;="&amp;'Example Parties'!$E$8))</f>
        <v/>
      </c>
      <c r="AE424">
        <f>IF(OR('Example Parties'!$E$8="",S424=0,B424="",B424&gt;'Example Parties'!$E$8),0,MAX(0,MIN(S424,U424-AD424)))</f>
        <v/>
      </c>
      <c r="AF424">
        <f>IF(AND(P424="Creditor",X424=1,AE424&gt;0,Z424&lt;&gt;""),IF(Z424&lt;='Example Parties'!$E$8,AE424,0),0)</f>
        <v/>
      </c>
      <c r="AG424">
        <f>IF(OR(AE424=0,Z424=""),0,MAX(0,'Example Parties'!$E$8-Z424))</f>
        <v/>
      </c>
      <c r="AH424">
        <f>IF(AND(P424="Creditor",X424=1,AG424&gt;0),AE424*((1+3*N('Example Parties'!$E$10)/12)^(AG424*12/365)-1),0)</f>
        <v/>
      </c>
      <c r="AI424">
        <f>IF(AND(C424&lt;&gt;"",C424='Example Ledger'!$D$4,B424&lt;&gt;"",B424&gt;='Example Ledger'!$D$5,B424&lt;='Example Ledger'!$D$6),1,0)</f>
        <v/>
      </c>
      <c r="AJ424">
        <f>IF(AI424=1,SUM(AI$7:AI424),"")</f>
        <v/>
      </c>
      <c r="AK424">
        <f>IF(OR(N424="",N424="OK"),0,1)</f>
        <v/>
      </c>
    </row>
    <row r="425">
      <c r="B425" s="24" t="n"/>
      <c r="C425" s="14" t="n"/>
      <c r="D425" s="14" t="n"/>
      <c r="E425" s="20" t="n"/>
      <c r="F425" s="24" t="n"/>
      <c r="G425" s="14" t="n"/>
      <c r="H425" s="22" t="n"/>
      <c r="I425" s="25">
        <f>IF(Q425="D",N(H425),0)</f>
        <v/>
      </c>
      <c r="J425" s="25">
        <f>IF(Q425="C",N(H425),0)</f>
        <v/>
      </c>
      <c r="K425" s="26">
        <f>IF(Z425="","",Z425)</f>
        <v/>
      </c>
      <c r="L425" s="27">
        <f>W425</f>
        <v/>
      </c>
      <c r="M425" s="28">
        <f>AA425</f>
        <v/>
      </c>
      <c r="N425" s="23">
        <f>IF(AND(B425="",C425="",D425="",N(H425)=0),"",IF(B425="","Enter the date",IF(C425="","Pick the party",IF(P425="?","Add this party on the Parties sheet first",IF(D425="","Pick the entry type",IF(Q425="?","Pick the entry type from the list",IF(N(H425)=0,"Enter the amount",IF(AND(R425&lt;&gt;"Any",R425&lt;&gt;P425),"Sales, receipts and credit notes are for debtors; purchases, payments and debit notes for creditors",IF(AND(F425&lt;&gt;"",D425&lt;&gt;"Purchase bill"),"The received-on date is only for purchase bills",IF(AND(P425="Creditor",X425=1,AA425&gt;0),"Past due to a micro or small supplier: interest runs under MSMED s.16, and if unpaid at year end it is not deductible that year, s.37(2)(g)",IF(AND(P425="Debtor",X425=1,AA425&gt;0),"Past due to you: as a micro or small supplier you can claim interest under MSMED s.16","OK")))))))))))</f>
        <v/>
      </c>
      <c r="P425">
        <f>IF(C425="","",IFERROR(VLOOKUP(C425,'Example Parties'!$B$13:$Q$112,2,FALSE),"?"))</f>
        <v/>
      </c>
      <c r="Q425">
        <f>IF(D425="","",IFERROR(VLOOKUP(D425,Lists!$A$2:$D$9,3,FALSE),"?"))</f>
        <v/>
      </c>
      <c r="R425">
        <f>IF(D425="","",IFERROR(VLOOKUP(D425,Lists!$A$2:$D$9,4,FALSE),"?"))</f>
        <v/>
      </c>
      <c r="S425">
        <f>IF(P425="Debtor",I425,IF(P425="Creditor",J425,0))</f>
        <v/>
      </c>
      <c r="T425">
        <f>IF(P425="Debtor",J425,IF(P425="Creditor",I425,0))</f>
        <v/>
      </c>
      <c r="U425">
        <f>IF(OR(S425=0,B425=""),0,IFERROR(VLOOKUP(C425,'Example Parties'!$B$13:$Q$112,13,FALSE),0)+SUMIFS($S$7:$S$506,$C$7:$C$506,C425,$B$7:$B$506,"&lt;"&amp;B425)+SUMIFS(S$7:S425,C$7:C425,C425,B$7:B425,B425))</f>
        <v/>
      </c>
      <c r="V425">
        <f>IF(S425=0,0,IFERROR(VLOOKUP(C425,'Example Parties'!$B$13:$Q$112,14,FALSE),0)+SUMIFS($T$7:$T$506,$C$7:$C$506,C425,$B$7:$B$506,"&lt;="&amp;'Example Outstanding'!$E$5))</f>
        <v/>
      </c>
      <c r="W425">
        <f>IF(OR('Example Outstanding'!$E$5="",S425=0,B425="",B425&gt;'Example Outstanding'!$E$5),0,MAX(0,MIN(S425,U425-V425)))</f>
        <v/>
      </c>
      <c r="X425">
        <f>IF(C425="",0,IFERROR(VLOOKUP(C425,'Example Parties'!$B$13:$Q$112,15,FALSE),0))</f>
        <v/>
      </c>
      <c r="Y425">
        <f>IF(C425="","",IFERROR(VLOOKUP(C425,'Example Parties'!$B$13:$Q$112,16,FALSE),0))</f>
        <v/>
      </c>
      <c r="Z425">
        <f>IF(OR(S425=0,B425="",Y425=""),"",IF(AND(F425&lt;&gt;"",D425="Purchase bill"),F425,B425)+Y425)</f>
        <v/>
      </c>
      <c r="AA425">
        <f>IF(OR(W425=0,Z425=""),0,MAX(0,'Example Outstanding'!$E$5-Z425))</f>
        <v/>
      </c>
      <c r="AB425">
        <f>IF(AND(X425=1,AA425&gt;0),W425*((1+3*N('Example Parties'!$E$10)/12)^(AA425*12/365)-1),0)</f>
        <v/>
      </c>
      <c r="AC425">
        <f>IF(W425=0,"",'Example Outstanding'!$E$5-B425)</f>
        <v/>
      </c>
      <c r="AD425">
        <f>IF(S425=0,0,IFERROR(VLOOKUP(C425,'Example Parties'!$B$13:$Q$112,14,FALSE),0)+SUMIFS($T$7:$T$506,$C$7:$C$506,C425,$B$7:$B$506,"&lt;="&amp;'Example Parties'!$E$8))</f>
        <v/>
      </c>
      <c r="AE425">
        <f>IF(OR('Example Parties'!$E$8="",S425=0,B425="",B425&gt;'Example Parties'!$E$8),0,MAX(0,MIN(S425,U425-AD425)))</f>
        <v/>
      </c>
      <c r="AF425">
        <f>IF(AND(P425="Creditor",X425=1,AE425&gt;0,Z425&lt;&gt;""),IF(Z425&lt;='Example Parties'!$E$8,AE425,0),0)</f>
        <v/>
      </c>
      <c r="AG425">
        <f>IF(OR(AE425=0,Z425=""),0,MAX(0,'Example Parties'!$E$8-Z425))</f>
        <v/>
      </c>
      <c r="AH425">
        <f>IF(AND(P425="Creditor",X425=1,AG425&gt;0),AE425*((1+3*N('Example Parties'!$E$10)/12)^(AG425*12/365)-1),0)</f>
        <v/>
      </c>
      <c r="AI425">
        <f>IF(AND(C425&lt;&gt;"",C425='Example Ledger'!$D$4,B425&lt;&gt;"",B425&gt;='Example Ledger'!$D$5,B425&lt;='Example Ledger'!$D$6),1,0)</f>
        <v/>
      </c>
      <c r="AJ425">
        <f>IF(AI425=1,SUM(AI$7:AI425),"")</f>
        <v/>
      </c>
      <c r="AK425">
        <f>IF(OR(N425="",N425="OK"),0,1)</f>
        <v/>
      </c>
    </row>
    <row r="426">
      <c r="B426" s="24" t="n"/>
      <c r="C426" s="14" t="n"/>
      <c r="D426" s="14" t="n"/>
      <c r="E426" s="20" t="n"/>
      <c r="F426" s="24" t="n"/>
      <c r="G426" s="14" t="n"/>
      <c r="H426" s="22" t="n"/>
      <c r="I426" s="25">
        <f>IF(Q426="D",N(H426),0)</f>
        <v/>
      </c>
      <c r="J426" s="25">
        <f>IF(Q426="C",N(H426),0)</f>
        <v/>
      </c>
      <c r="K426" s="26">
        <f>IF(Z426="","",Z426)</f>
        <v/>
      </c>
      <c r="L426" s="27">
        <f>W426</f>
        <v/>
      </c>
      <c r="M426" s="28">
        <f>AA426</f>
        <v/>
      </c>
      <c r="N426" s="23">
        <f>IF(AND(B426="",C426="",D426="",N(H426)=0),"",IF(B426="","Enter the date",IF(C426="","Pick the party",IF(P426="?","Add this party on the Parties sheet first",IF(D426="","Pick the entry type",IF(Q426="?","Pick the entry type from the list",IF(N(H426)=0,"Enter the amount",IF(AND(R426&lt;&gt;"Any",R426&lt;&gt;P426),"Sales, receipts and credit notes are for debtors; purchases, payments and debit notes for creditors",IF(AND(F426&lt;&gt;"",D426&lt;&gt;"Purchase bill"),"The received-on date is only for purchase bills",IF(AND(P426="Creditor",X426=1,AA426&gt;0),"Past due to a micro or small supplier: interest runs under MSMED s.16, and if unpaid at year end it is not deductible that year, s.37(2)(g)",IF(AND(P426="Debtor",X426=1,AA426&gt;0),"Past due to you: as a micro or small supplier you can claim interest under MSMED s.16","OK")))))))))))</f>
        <v/>
      </c>
      <c r="P426">
        <f>IF(C426="","",IFERROR(VLOOKUP(C426,'Example Parties'!$B$13:$Q$112,2,FALSE),"?"))</f>
        <v/>
      </c>
      <c r="Q426">
        <f>IF(D426="","",IFERROR(VLOOKUP(D426,Lists!$A$2:$D$9,3,FALSE),"?"))</f>
        <v/>
      </c>
      <c r="R426">
        <f>IF(D426="","",IFERROR(VLOOKUP(D426,Lists!$A$2:$D$9,4,FALSE),"?"))</f>
        <v/>
      </c>
      <c r="S426">
        <f>IF(P426="Debtor",I426,IF(P426="Creditor",J426,0))</f>
        <v/>
      </c>
      <c r="T426">
        <f>IF(P426="Debtor",J426,IF(P426="Creditor",I426,0))</f>
        <v/>
      </c>
      <c r="U426">
        <f>IF(OR(S426=0,B426=""),0,IFERROR(VLOOKUP(C426,'Example Parties'!$B$13:$Q$112,13,FALSE),0)+SUMIFS($S$7:$S$506,$C$7:$C$506,C426,$B$7:$B$506,"&lt;"&amp;B426)+SUMIFS(S$7:S426,C$7:C426,C426,B$7:B426,B426))</f>
        <v/>
      </c>
      <c r="V426">
        <f>IF(S426=0,0,IFERROR(VLOOKUP(C426,'Example Parties'!$B$13:$Q$112,14,FALSE),0)+SUMIFS($T$7:$T$506,$C$7:$C$506,C426,$B$7:$B$506,"&lt;="&amp;'Example Outstanding'!$E$5))</f>
        <v/>
      </c>
      <c r="W426">
        <f>IF(OR('Example Outstanding'!$E$5="",S426=0,B426="",B426&gt;'Example Outstanding'!$E$5),0,MAX(0,MIN(S426,U426-V426)))</f>
        <v/>
      </c>
      <c r="X426">
        <f>IF(C426="",0,IFERROR(VLOOKUP(C426,'Example Parties'!$B$13:$Q$112,15,FALSE),0))</f>
        <v/>
      </c>
      <c r="Y426">
        <f>IF(C426="","",IFERROR(VLOOKUP(C426,'Example Parties'!$B$13:$Q$112,16,FALSE),0))</f>
        <v/>
      </c>
      <c r="Z426">
        <f>IF(OR(S426=0,B426="",Y426=""),"",IF(AND(F426&lt;&gt;"",D426="Purchase bill"),F426,B426)+Y426)</f>
        <v/>
      </c>
      <c r="AA426">
        <f>IF(OR(W426=0,Z426=""),0,MAX(0,'Example Outstanding'!$E$5-Z426))</f>
        <v/>
      </c>
      <c r="AB426">
        <f>IF(AND(X426=1,AA426&gt;0),W426*((1+3*N('Example Parties'!$E$10)/12)^(AA426*12/365)-1),0)</f>
        <v/>
      </c>
      <c r="AC426">
        <f>IF(W426=0,"",'Example Outstanding'!$E$5-B426)</f>
        <v/>
      </c>
      <c r="AD426">
        <f>IF(S426=0,0,IFERROR(VLOOKUP(C426,'Example Parties'!$B$13:$Q$112,14,FALSE),0)+SUMIFS($T$7:$T$506,$C$7:$C$506,C426,$B$7:$B$506,"&lt;="&amp;'Example Parties'!$E$8))</f>
        <v/>
      </c>
      <c r="AE426">
        <f>IF(OR('Example Parties'!$E$8="",S426=0,B426="",B426&gt;'Example Parties'!$E$8),0,MAX(0,MIN(S426,U426-AD426)))</f>
        <v/>
      </c>
      <c r="AF426">
        <f>IF(AND(P426="Creditor",X426=1,AE426&gt;0,Z426&lt;&gt;""),IF(Z426&lt;='Example Parties'!$E$8,AE426,0),0)</f>
        <v/>
      </c>
      <c r="AG426">
        <f>IF(OR(AE426=0,Z426=""),0,MAX(0,'Example Parties'!$E$8-Z426))</f>
        <v/>
      </c>
      <c r="AH426">
        <f>IF(AND(P426="Creditor",X426=1,AG426&gt;0),AE426*((1+3*N('Example Parties'!$E$10)/12)^(AG426*12/365)-1),0)</f>
        <v/>
      </c>
      <c r="AI426">
        <f>IF(AND(C426&lt;&gt;"",C426='Example Ledger'!$D$4,B426&lt;&gt;"",B426&gt;='Example Ledger'!$D$5,B426&lt;='Example Ledger'!$D$6),1,0)</f>
        <v/>
      </c>
      <c r="AJ426">
        <f>IF(AI426=1,SUM(AI$7:AI426),"")</f>
        <v/>
      </c>
      <c r="AK426">
        <f>IF(OR(N426="",N426="OK"),0,1)</f>
        <v/>
      </c>
    </row>
    <row r="427">
      <c r="B427" s="24" t="n"/>
      <c r="C427" s="14" t="n"/>
      <c r="D427" s="14" t="n"/>
      <c r="E427" s="20" t="n"/>
      <c r="F427" s="24" t="n"/>
      <c r="G427" s="14" t="n"/>
      <c r="H427" s="22" t="n"/>
      <c r="I427" s="25">
        <f>IF(Q427="D",N(H427),0)</f>
        <v/>
      </c>
      <c r="J427" s="25">
        <f>IF(Q427="C",N(H427),0)</f>
        <v/>
      </c>
      <c r="K427" s="26">
        <f>IF(Z427="","",Z427)</f>
        <v/>
      </c>
      <c r="L427" s="27">
        <f>W427</f>
        <v/>
      </c>
      <c r="M427" s="28">
        <f>AA427</f>
        <v/>
      </c>
      <c r="N427" s="23">
        <f>IF(AND(B427="",C427="",D427="",N(H427)=0),"",IF(B427="","Enter the date",IF(C427="","Pick the party",IF(P427="?","Add this party on the Parties sheet first",IF(D427="","Pick the entry type",IF(Q427="?","Pick the entry type from the list",IF(N(H427)=0,"Enter the amount",IF(AND(R427&lt;&gt;"Any",R427&lt;&gt;P427),"Sales, receipts and credit notes are for debtors; purchases, payments and debit notes for creditors",IF(AND(F427&lt;&gt;"",D427&lt;&gt;"Purchase bill"),"The received-on date is only for purchase bills",IF(AND(P427="Creditor",X427=1,AA427&gt;0),"Past due to a micro or small supplier: interest runs under MSMED s.16, and if unpaid at year end it is not deductible that year, s.37(2)(g)",IF(AND(P427="Debtor",X427=1,AA427&gt;0),"Past due to you: as a micro or small supplier you can claim interest under MSMED s.16","OK")))))))))))</f>
        <v/>
      </c>
      <c r="P427">
        <f>IF(C427="","",IFERROR(VLOOKUP(C427,'Example Parties'!$B$13:$Q$112,2,FALSE),"?"))</f>
        <v/>
      </c>
      <c r="Q427">
        <f>IF(D427="","",IFERROR(VLOOKUP(D427,Lists!$A$2:$D$9,3,FALSE),"?"))</f>
        <v/>
      </c>
      <c r="R427">
        <f>IF(D427="","",IFERROR(VLOOKUP(D427,Lists!$A$2:$D$9,4,FALSE),"?"))</f>
        <v/>
      </c>
      <c r="S427">
        <f>IF(P427="Debtor",I427,IF(P427="Creditor",J427,0))</f>
        <v/>
      </c>
      <c r="T427">
        <f>IF(P427="Debtor",J427,IF(P427="Creditor",I427,0))</f>
        <v/>
      </c>
      <c r="U427">
        <f>IF(OR(S427=0,B427=""),0,IFERROR(VLOOKUP(C427,'Example Parties'!$B$13:$Q$112,13,FALSE),0)+SUMIFS($S$7:$S$506,$C$7:$C$506,C427,$B$7:$B$506,"&lt;"&amp;B427)+SUMIFS(S$7:S427,C$7:C427,C427,B$7:B427,B427))</f>
        <v/>
      </c>
      <c r="V427">
        <f>IF(S427=0,0,IFERROR(VLOOKUP(C427,'Example Parties'!$B$13:$Q$112,14,FALSE),0)+SUMIFS($T$7:$T$506,$C$7:$C$506,C427,$B$7:$B$506,"&lt;="&amp;'Example Outstanding'!$E$5))</f>
        <v/>
      </c>
      <c r="W427">
        <f>IF(OR('Example Outstanding'!$E$5="",S427=0,B427="",B427&gt;'Example Outstanding'!$E$5),0,MAX(0,MIN(S427,U427-V427)))</f>
        <v/>
      </c>
      <c r="X427">
        <f>IF(C427="",0,IFERROR(VLOOKUP(C427,'Example Parties'!$B$13:$Q$112,15,FALSE),0))</f>
        <v/>
      </c>
      <c r="Y427">
        <f>IF(C427="","",IFERROR(VLOOKUP(C427,'Example Parties'!$B$13:$Q$112,16,FALSE),0))</f>
        <v/>
      </c>
      <c r="Z427">
        <f>IF(OR(S427=0,B427="",Y427=""),"",IF(AND(F427&lt;&gt;"",D427="Purchase bill"),F427,B427)+Y427)</f>
        <v/>
      </c>
      <c r="AA427">
        <f>IF(OR(W427=0,Z427=""),0,MAX(0,'Example Outstanding'!$E$5-Z427))</f>
        <v/>
      </c>
      <c r="AB427">
        <f>IF(AND(X427=1,AA427&gt;0),W427*((1+3*N('Example Parties'!$E$10)/12)^(AA427*12/365)-1),0)</f>
        <v/>
      </c>
      <c r="AC427">
        <f>IF(W427=0,"",'Example Outstanding'!$E$5-B427)</f>
        <v/>
      </c>
      <c r="AD427">
        <f>IF(S427=0,0,IFERROR(VLOOKUP(C427,'Example Parties'!$B$13:$Q$112,14,FALSE),0)+SUMIFS($T$7:$T$506,$C$7:$C$506,C427,$B$7:$B$506,"&lt;="&amp;'Example Parties'!$E$8))</f>
        <v/>
      </c>
      <c r="AE427">
        <f>IF(OR('Example Parties'!$E$8="",S427=0,B427="",B427&gt;'Example Parties'!$E$8),0,MAX(0,MIN(S427,U427-AD427)))</f>
        <v/>
      </c>
      <c r="AF427">
        <f>IF(AND(P427="Creditor",X427=1,AE427&gt;0,Z427&lt;&gt;""),IF(Z427&lt;='Example Parties'!$E$8,AE427,0),0)</f>
        <v/>
      </c>
      <c r="AG427">
        <f>IF(OR(AE427=0,Z427=""),0,MAX(0,'Example Parties'!$E$8-Z427))</f>
        <v/>
      </c>
      <c r="AH427">
        <f>IF(AND(P427="Creditor",X427=1,AG427&gt;0),AE427*((1+3*N('Example Parties'!$E$10)/12)^(AG427*12/365)-1),0)</f>
        <v/>
      </c>
      <c r="AI427">
        <f>IF(AND(C427&lt;&gt;"",C427='Example Ledger'!$D$4,B427&lt;&gt;"",B427&gt;='Example Ledger'!$D$5,B427&lt;='Example Ledger'!$D$6),1,0)</f>
        <v/>
      </c>
      <c r="AJ427">
        <f>IF(AI427=1,SUM(AI$7:AI427),"")</f>
        <v/>
      </c>
      <c r="AK427">
        <f>IF(OR(N427="",N427="OK"),0,1)</f>
        <v/>
      </c>
    </row>
    <row r="428">
      <c r="B428" s="24" t="n"/>
      <c r="C428" s="14" t="n"/>
      <c r="D428" s="14" t="n"/>
      <c r="E428" s="20" t="n"/>
      <c r="F428" s="24" t="n"/>
      <c r="G428" s="14" t="n"/>
      <c r="H428" s="22" t="n"/>
      <c r="I428" s="25">
        <f>IF(Q428="D",N(H428),0)</f>
        <v/>
      </c>
      <c r="J428" s="25">
        <f>IF(Q428="C",N(H428),0)</f>
        <v/>
      </c>
      <c r="K428" s="26">
        <f>IF(Z428="","",Z428)</f>
        <v/>
      </c>
      <c r="L428" s="27">
        <f>W428</f>
        <v/>
      </c>
      <c r="M428" s="28">
        <f>AA428</f>
        <v/>
      </c>
      <c r="N428" s="23">
        <f>IF(AND(B428="",C428="",D428="",N(H428)=0),"",IF(B428="","Enter the date",IF(C428="","Pick the party",IF(P428="?","Add this party on the Parties sheet first",IF(D428="","Pick the entry type",IF(Q428="?","Pick the entry type from the list",IF(N(H428)=0,"Enter the amount",IF(AND(R428&lt;&gt;"Any",R428&lt;&gt;P428),"Sales, receipts and credit notes are for debtors; purchases, payments and debit notes for creditors",IF(AND(F428&lt;&gt;"",D428&lt;&gt;"Purchase bill"),"The received-on date is only for purchase bills",IF(AND(P428="Creditor",X428=1,AA428&gt;0),"Past due to a micro or small supplier: interest runs under MSMED s.16, and if unpaid at year end it is not deductible that year, s.37(2)(g)",IF(AND(P428="Debtor",X428=1,AA428&gt;0),"Past due to you: as a micro or small supplier you can claim interest under MSMED s.16","OK")))))))))))</f>
        <v/>
      </c>
      <c r="P428">
        <f>IF(C428="","",IFERROR(VLOOKUP(C428,'Example Parties'!$B$13:$Q$112,2,FALSE),"?"))</f>
        <v/>
      </c>
      <c r="Q428">
        <f>IF(D428="","",IFERROR(VLOOKUP(D428,Lists!$A$2:$D$9,3,FALSE),"?"))</f>
        <v/>
      </c>
      <c r="R428">
        <f>IF(D428="","",IFERROR(VLOOKUP(D428,Lists!$A$2:$D$9,4,FALSE),"?"))</f>
        <v/>
      </c>
      <c r="S428">
        <f>IF(P428="Debtor",I428,IF(P428="Creditor",J428,0))</f>
        <v/>
      </c>
      <c r="T428">
        <f>IF(P428="Debtor",J428,IF(P428="Creditor",I428,0))</f>
        <v/>
      </c>
      <c r="U428">
        <f>IF(OR(S428=0,B428=""),0,IFERROR(VLOOKUP(C428,'Example Parties'!$B$13:$Q$112,13,FALSE),0)+SUMIFS($S$7:$S$506,$C$7:$C$506,C428,$B$7:$B$506,"&lt;"&amp;B428)+SUMIFS(S$7:S428,C$7:C428,C428,B$7:B428,B428))</f>
        <v/>
      </c>
      <c r="V428">
        <f>IF(S428=0,0,IFERROR(VLOOKUP(C428,'Example Parties'!$B$13:$Q$112,14,FALSE),0)+SUMIFS($T$7:$T$506,$C$7:$C$506,C428,$B$7:$B$506,"&lt;="&amp;'Example Outstanding'!$E$5))</f>
        <v/>
      </c>
      <c r="W428">
        <f>IF(OR('Example Outstanding'!$E$5="",S428=0,B428="",B428&gt;'Example Outstanding'!$E$5),0,MAX(0,MIN(S428,U428-V428)))</f>
        <v/>
      </c>
      <c r="X428">
        <f>IF(C428="",0,IFERROR(VLOOKUP(C428,'Example Parties'!$B$13:$Q$112,15,FALSE),0))</f>
        <v/>
      </c>
      <c r="Y428">
        <f>IF(C428="","",IFERROR(VLOOKUP(C428,'Example Parties'!$B$13:$Q$112,16,FALSE),0))</f>
        <v/>
      </c>
      <c r="Z428">
        <f>IF(OR(S428=0,B428="",Y428=""),"",IF(AND(F428&lt;&gt;"",D428="Purchase bill"),F428,B428)+Y428)</f>
        <v/>
      </c>
      <c r="AA428">
        <f>IF(OR(W428=0,Z428=""),0,MAX(0,'Example Outstanding'!$E$5-Z428))</f>
        <v/>
      </c>
      <c r="AB428">
        <f>IF(AND(X428=1,AA428&gt;0),W428*((1+3*N('Example Parties'!$E$10)/12)^(AA428*12/365)-1),0)</f>
        <v/>
      </c>
      <c r="AC428">
        <f>IF(W428=0,"",'Example Outstanding'!$E$5-B428)</f>
        <v/>
      </c>
      <c r="AD428">
        <f>IF(S428=0,0,IFERROR(VLOOKUP(C428,'Example Parties'!$B$13:$Q$112,14,FALSE),0)+SUMIFS($T$7:$T$506,$C$7:$C$506,C428,$B$7:$B$506,"&lt;="&amp;'Example Parties'!$E$8))</f>
        <v/>
      </c>
      <c r="AE428">
        <f>IF(OR('Example Parties'!$E$8="",S428=0,B428="",B428&gt;'Example Parties'!$E$8),0,MAX(0,MIN(S428,U428-AD428)))</f>
        <v/>
      </c>
      <c r="AF428">
        <f>IF(AND(P428="Creditor",X428=1,AE428&gt;0,Z428&lt;&gt;""),IF(Z428&lt;='Example Parties'!$E$8,AE428,0),0)</f>
        <v/>
      </c>
      <c r="AG428">
        <f>IF(OR(AE428=0,Z428=""),0,MAX(0,'Example Parties'!$E$8-Z428))</f>
        <v/>
      </c>
      <c r="AH428">
        <f>IF(AND(P428="Creditor",X428=1,AG428&gt;0),AE428*((1+3*N('Example Parties'!$E$10)/12)^(AG428*12/365)-1),0)</f>
        <v/>
      </c>
      <c r="AI428">
        <f>IF(AND(C428&lt;&gt;"",C428='Example Ledger'!$D$4,B428&lt;&gt;"",B428&gt;='Example Ledger'!$D$5,B428&lt;='Example Ledger'!$D$6),1,0)</f>
        <v/>
      </c>
      <c r="AJ428">
        <f>IF(AI428=1,SUM(AI$7:AI428),"")</f>
        <v/>
      </c>
      <c r="AK428">
        <f>IF(OR(N428="",N428="OK"),0,1)</f>
        <v/>
      </c>
    </row>
    <row r="429">
      <c r="B429" s="24" t="n"/>
      <c r="C429" s="14" t="n"/>
      <c r="D429" s="14" t="n"/>
      <c r="E429" s="20" t="n"/>
      <c r="F429" s="24" t="n"/>
      <c r="G429" s="14" t="n"/>
      <c r="H429" s="22" t="n"/>
      <c r="I429" s="25">
        <f>IF(Q429="D",N(H429),0)</f>
        <v/>
      </c>
      <c r="J429" s="25">
        <f>IF(Q429="C",N(H429),0)</f>
        <v/>
      </c>
      <c r="K429" s="26">
        <f>IF(Z429="","",Z429)</f>
        <v/>
      </c>
      <c r="L429" s="27">
        <f>W429</f>
        <v/>
      </c>
      <c r="M429" s="28">
        <f>AA429</f>
        <v/>
      </c>
      <c r="N429" s="23">
        <f>IF(AND(B429="",C429="",D429="",N(H429)=0),"",IF(B429="","Enter the date",IF(C429="","Pick the party",IF(P429="?","Add this party on the Parties sheet first",IF(D429="","Pick the entry type",IF(Q429="?","Pick the entry type from the list",IF(N(H429)=0,"Enter the amount",IF(AND(R429&lt;&gt;"Any",R429&lt;&gt;P429),"Sales, receipts and credit notes are for debtors; purchases, payments and debit notes for creditors",IF(AND(F429&lt;&gt;"",D429&lt;&gt;"Purchase bill"),"The received-on date is only for purchase bills",IF(AND(P429="Creditor",X429=1,AA429&gt;0),"Past due to a micro or small supplier: interest runs under MSMED s.16, and if unpaid at year end it is not deductible that year, s.37(2)(g)",IF(AND(P429="Debtor",X429=1,AA429&gt;0),"Past due to you: as a micro or small supplier you can claim interest under MSMED s.16","OK")))))))))))</f>
        <v/>
      </c>
      <c r="P429">
        <f>IF(C429="","",IFERROR(VLOOKUP(C429,'Example Parties'!$B$13:$Q$112,2,FALSE),"?"))</f>
        <v/>
      </c>
      <c r="Q429">
        <f>IF(D429="","",IFERROR(VLOOKUP(D429,Lists!$A$2:$D$9,3,FALSE),"?"))</f>
        <v/>
      </c>
      <c r="R429">
        <f>IF(D429="","",IFERROR(VLOOKUP(D429,Lists!$A$2:$D$9,4,FALSE),"?"))</f>
        <v/>
      </c>
      <c r="S429">
        <f>IF(P429="Debtor",I429,IF(P429="Creditor",J429,0))</f>
        <v/>
      </c>
      <c r="T429">
        <f>IF(P429="Debtor",J429,IF(P429="Creditor",I429,0))</f>
        <v/>
      </c>
      <c r="U429">
        <f>IF(OR(S429=0,B429=""),0,IFERROR(VLOOKUP(C429,'Example Parties'!$B$13:$Q$112,13,FALSE),0)+SUMIFS($S$7:$S$506,$C$7:$C$506,C429,$B$7:$B$506,"&lt;"&amp;B429)+SUMIFS(S$7:S429,C$7:C429,C429,B$7:B429,B429))</f>
        <v/>
      </c>
      <c r="V429">
        <f>IF(S429=0,0,IFERROR(VLOOKUP(C429,'Example Parties'!$B$13:$Q$112,14,FALSE),0)+SUMIFS($T$7:$T$506,$C$7:$C$506,C429,$B$7:$B$506,"&lt;="&amp;'Example Outstanding'!$E$5))</f>
        <v/>
      </c>
      <c r="W429">
        <f>IF(OR('Example Outstanding'!$E$5="",S429=0,B429="",B429&gt;'Example Outstanding'!$E$5),0,MAX(0,MIN(S429,U429-V429)))</f>
        <v/>
      </c>
      <c r="X429">
        <f>IF(C429="",0,IFERROR(VLOOKUP(C429,'Example Parties'!$B$13:$Q$112,15,FALSE),0))</f>
        <v/>
      </c>
      <c r="Y429">
        <f>IF(C429="","",IFERROR(VLOOKUP(C429,'Example Parties'!$B$13:$Q$112,16,FALSE),0))</f>
        <v/>
      </c>
      <c r="Z429">
        <f>IF(OR(S429=0,B429="",Y429=""),"",IF(AND(F429&lt;&gt;"",D429="Purchase bill"),F429,B429)+Y429)</f>
        <v/>
      </c>
      <c r="AA429">
        <f>IF(OR(W429=0,Z429=""),0,MAX(0,'Example Outstanding'!$E$5-Z429))</f>
        <v/>
      </c>
      <c r="AB429">
        <f>IF(AND(X429=1,AA429&gt;0),W429*((1+3*N('Example Parties'!$E$10)/12)^(AA429*12/365)-1),0)</f>
        <v/>
      </c>
      <c r="AC429">
        <f>IF(W429=0,"",'Example Outstanding'!$E$5-B429)</f>
        <v/>
      </c>
      <c r="AD429">
        <f>IF(S429=0,0,IFERROR(VLOOKUP(C429,'Example Parties'!$B$13:$Q$112,14,FALSE),0)+SUMIFS($T$7:$T$506,$C$7:$C$506,C429,$B$7:$B$506,"&lt;="&amp;'Example Parties'!$E$8))</f>
        <v/>
      </c>
      <c r="AE429">
        <f>IF(OR('Example Parties'!$E$8="",S429=0,B429="",B429&gt;'Example Parties'!$E$8),0,MAX(0,MIN(S429,U429-AD429)))</f>
        <v/>
      </c>
      <c r="AF429">
        <f>IF(AND(P429="Creditor",X429=1,AE429&gt;0,Z429&lt;&gt;""),IF(Z429&lt;='Example Parties'!$E$8,AE429,0),0)</f>
        <v/>
      </c>
      <c r="AG429">
        <f>IF(OR(AE429=0,Z429=""),0,MAX(0,'Example Parties'!$E$8-Z429))</f>
        <v/>
      </c>
      <c r="AH429">
        <f>IF(AND(P429="Creditor",X429=1,AG429&gt;0),AE429*((1+3*N('Example Parties'!$E$10)/12)^(AG429*12/365)-1),0)</f>
        <v/>
      </c>
      <c r="AI429">
        <f>IF(AND(C429&lt;&gt;"",C429='Example Ledger'!$D$4,B429&lt;&gt;"",B429&gt;='Example Ledger'!$D$5,B429&lt;='Example Ledger'!$D$6),1,0)</f>
        <v/>
      </c>
      <c r="AJ429">
        <f>IF(AI429=1,SUM(AI$7:AI429),"")</f>
        <v/>
      </c>
      <c r="AK429">
        <f>IF(OR(N429="",N429="OK"),0,1)</f>
        <v/>
      </c>
    </row>
    <row r="430">
      <c r="B430" s="24" t="n"/>
      <c r="C430" s="14" t="n"/>
      <c r="D430" s="14" t="n"/>
      <c r="E430" s="20" t="n"/>
      <c r="F430" s="24" t="n"/>
      <c r="G430" s="14" t="n"/>
      <c r="H430" s="22" t="n"/>
      <c r="I430" s="25">
        <f>IF(Q430="D",N(H430),0)</f>
        <v/>
      </c>
      <c r="J430" s="25">
        <f>IF(Q430="C",N(H430),0)</f>
        <v/>
      </c>
      <c r="K430" s="26">
        <f>IF(Z430="","",Z430)</f>
        <v/>
      </c>
      <c r="L430" s="27">
        <f>W430</f>
        <v/>
      </c>
      <c r="M430" s="28">
        <f>AA430</f>
        <v/>
      </c>
      <c r="N430" s="23">
        <f>IF(AND(B430="",C430="",D430="",N(H430)=0),"",IF(B430="","Enter the date",IF(C430="","Pick the party",IF(P430="?","Add this party on the Parties sheet first",IF(D430="","Pick the entry type",IF(Q430="?","Pick the entry type from the list",IF(N(H430)=0,"Enter the amount",IF(AND(R430&lt;&gt;"Any",R430&lt;&gt;P430),"Sales, receipts and credit notes are for debtors; purchases, payments and debit notes for creditors",IF(AND(F430&lt;&gt;"",D430&lt;&gt;"Purchase bill"),"The received-on date is only for purchase bills",IF(AND(P430="Creditor",X430=1,AA430&gt;0),"Past due to a micro or small supplier: interest runs under MSMED s.16, and if unpaid at year end it is not deductible that year, s.37(2)(g)",IF(AND(P430="Debtor",X430=1,AA430&gt;0),"Past due to you: as a micro or small supplier you can claim interest under MSMED s.16","OK")))))))))))</f>
        <v/>
      </c>
      <c r="P430">
        <f>IF(C430="","",IFERROR(VLOOKUP(C430,'Example Parties'!$B$13:$Q$112,2,FALSE),"?"))</f>
        <v/>
      </c>
      <c r="Q430">
        <f>IF(D430="","",IFERROR(VLOOKUP(D430,Lists!$A$2:$D$9,3,FALSE),"?"))</f>
        <v/>
      </c>
      <c r="R430">
        <f>IF(D430="","",IFERROR(VLOOKUP(D430,Lists!$A$2:$D$9,4,FALSE),"?"))</f>
        <v/>
      </c>
      <c r="S430">
        <f>IF(P430="Debtor",I430,IF(P430="Creditor",J430,0))</f>
        <v/>
      </c>
      <c r="T430">
        <f>IF(P430="Debtor",J430,IF(P430="Creditor",I430,0))</f>
        <v/>
      </c>
      <c r="U430">
        <f>IF(OR(S430=0,B430=""),0,IFERROR(VLOOKUP(C430,'Example Parties'!$B$13:$Q$112,13,FALSE),0)+SUMIFS($S$7:$S$506,$C$7:$C$506,C430,$B$7:$B$506,"&lt;"&amp;B430)+SUMIFS(S$7:S430,C$7:C430,C430,B$7:B430,B430))</f>
        <v/>
      </c>
      <c r="V430">
        <f>IF(S430=0,0,IFERROR(VLOOKUP(C430,'Example Parties'!$B$13:$Q$112,14,FALSE),0)+SUMIFS($T$7:$T$506,$C$7:$C$506,C430,$B$7:$B$506,"&lt;="&amp;'Example Outstanding'!$E$5))</f>
        <v/>
      </c>
      <c r="W430">
        <f>IF(OR('Example Outstanding'!$E$5="",S430=0,B430="",B430&gt;'Example Outstanding'!$E$5),0,MAX(0,MIN(S430,U430-V430)))</f>
        <v/>
      </c>
      <c r="X430">
        <f>IF(C430="",0,IFERROR(VLOOKUP(C430,'Example Parties'!$B$13:$Q$112,15,FALSE),0))</f>
        <v/>
      </c>
      <c r="Y430">
        <f>IF(C430="","",IFERROR(VLOOKUP(C430,'Example Parties'!$B$13:$Q$112,16,FALSE),0))</f>
        <v/>
      </c>
      <c r="Z430">
        <f>IF(OR(S430=0,B430="",Y430=""),"",IF(AND(F430&lt;&gt;"",D430="Purchase bill"),F430,B430)+Y430)</f>
        <v/>
      </c>
      <c r="AA430">
        <f>IF(OR(W430=0,Z430=""),0,MAX(0,'Example Outstanding'!$E$5-Z430))</f>
        <v/>
      </c>
      <c r="AB430">
        <f>IF(AND(X430=1,AA430&gt;0),W430*((1+3*N('Example Parties'!$E$10)/12)^(AA430*12/365)-1),0)</f>
        <v/>
      </c>
      <c r="AC430">
        <f>IF(W430=0,"",'Example Outstanding'!$E$5-B430)</f>
        <v/>
      </c>
      <c r="AD430">
        <f>IF(S430=0,0,IFERROR(VLOOKUP(C430,'Example Parties'!$B$13:$Q$112,14,FALSE),0)+SUMIFS($T$7:$T$506,$C$7:$C$506,C430,$B$7:$B$506,"&lt;="&amp;'Example Parties'!$E$8))</f>
        <v/>
      </c>
      <c r="AE430">
        <f>IF(OR('Example Parties'!$E$8="",S430=0,B430="",B430&gt;'Example Parties'!$E$8),0,MAX(0,MIN(S430,U430-AD430)))</f>
        <v/>
      </c>
      <c r="AF430">
        <f>IF(AND(P430="Creditor",X430=1,AE430&gt;0,Z430&lt;&gt;""),IF(Z430&lt;='Example Parties'!$E$8,AE430,0),0)</f>
        <v/>
      </c>
      <c r="AG430">
        <f>IF(OR(AE430=0,Z430=""),0,MAX(0,'Example Parties'!$E$8-Z430))</f>
        <v/>
      </c>
      <c r="AH430">
        <f>IF(AND(P430="Creditor",X430=1,AG430&gt;0),AE430*((1+3*N('Example Parties'!$E$10)/12)^(AG430*12/365)-1),0)</f>
        <v/>
      </c>
      <c r="AI430">
        <f>IF(AND(C430&lt;&gt;"",C430='Example Ledger'!$D$4,B430&lt;&gt;"",B430&gt;='Example Ledger'!$D$5,B430&lt;='Example Ledger'!$D$6),1,0)</f>
        <v/>
      </c>
      <c r="AJ430">
        <f>IF(AI430=1,SUM(AI$7:AI430),"")</f>
        <v/>
      </c>
      <c r="AK430">
        <f>IF(OR(N430="",N430="OK"),0,1)</f>
        <v/>
      </c>
    </row>
    <row r="431">
      <c r="B431" s="24" t="n"/>
      <c r="C431" s="14" t="n"/>
      <c r="D431" s="14" t="n"/>
      <c r="E431" s="20" t="n"/>
      <c r="F431" s="24" t="n"/>
      <c r="G431" s="14" t="n"/>
      <c r="H431" s="22" t="n"/>
      <c r="I431" s="25">
        <f>IF(Q431="D",N(H431),0)</f>
        <v/>
      </c>
      <c r="J431" s="25">
        <f>IF(Q431="C",N(H431),0)</f>
        <v/>
      </c>
      <c r="K431" s="26">
        <f>IF(Z431="","",Z431)</f>
        <v/>
      </c>
      <c r="L431" s="27">
        <f>W431</f>
        <v/>
      </c>
      <c r="M431" s="28">
        <f>AA431</f>
        <v/>
      </c>
      <c r="N431" s="23">
        <f>IF(AND(B431="",C431="",D431="",N(H431)=0),"",IF(B431="","Enter the date",IF(C431="","Pick the party",IF(P431="?","Add this party on the Parties sheet first",IF(D431="","Pick the entry type",IF(Q431="?","Pick the entry type from the list",IF(N(H431)=0,"Enter the amount",IF(AND(R431&lt;&gt;"Any",R431&lt;&gt;P431),"Sales, receipts and credit notes are for debtors; purchases, payments and debit notes for creditors",IF(AND(F431&lt;&gt;"",D431&lt;&gt;"Purchase bill"),"The received-on date is only for purchase bills",IF(AND(P431="Creditor",X431=1,AA431&gt;0),"Past due to a micro or small supplier: interest runs under MSMED s.16, and if unpaid at year end it is not deductible that year, s.37(2)(g)",IF(AND(P431="Debtor",X431=1,AA431&gt;0),"Past due to you: as a micro or small supplier you can claim interest under MSMED s.16","OK")))))))))))</f>
        <v/>
      </c>
      <c r="P431">
        <f>IF(C431="","",IFERROR(VLOOKUP(C431,'Example Parties'!$B$13:$Q$112,2,FALSE),"?"))</f>
        <v/>
      </c>
      <c r="Q431">
        <f>IF(D431="","",IFERROR(VLOOKUP(D431,Lists!$A$2:$D$9,3,FALSE),"?"))</f>
        <v/>
      </c>
      <c r="R431">
        <f>IF(D431="","",IFERROR(VLOOKUP(D431,Lists!$A$2:$D$9,4,FALSE),"?"))</f>
        <v/>
      </c>
      <c r="S431">
        <f>IF(P431="Debtor",I431,IF(P431="Creditor",J431,0))</f>
        <v/>
      </c>
      <c r="T431">
        <f>IF(P431="Debtor",J431,IF(P431="Creditor",I431,0))</f>
        <v/>
      </c>
      <c r="U431">
        <f>IF(OR(S431=0,B431=""),0,IFERROR(VLOOKUP(C431,'Example Parties'!$B$13:$Q$112,13,FALSE),0)+SUMIFS($S$7:$S$506,$C$7:$C$506,C431,$B$7:$B$506,"&lt;"&amp;B431)+SUMIFS(S$7:S431,C$7:C431,C431,B$7:B431,B431))</f>
        <v/>
      </c>
      <c r="V431">
        <f>IF(S431=0,0,IFERROR(VLOOKUP(C431,'Example Parties'!$B$13:$Q$112,14,FALSE),0)+SUMIFS($T$7:$T$506,$C$7:$C$506,C431,$B$7:$B$506,"&lt;="&amp;'Example Outstanding'!$E$5))</f>
        <v/>
      </c>
      <c r="W431">
        <f>IF(OR('Example Outstanding'!$E$5="",S431=0,B431="",B431&gt;'Example Outstanding'!$E$5),0,MAX(0,MIN(S431,U431-V431)))</f>
        <v/>
      </c>
      <c r="X431">
        <f>IF(C431="",0,IFERROR(VLOOKUP(C431,'Example Parties'!$B$13:$Q$112,15,FALSE),0))</f>
        <v/>
      </c>
      <c r="Y431">
        <f>IF(C431="","",IFERROR(VLOOKUP(C431,'Example Parties'!$B$13:$Q$112,16,FALSE),0))</f>
        <v/>
      </c>
      <c r="Z431">
        <f>IF(OR(S431=0,B431="",Y431=""),"",IF(AND(F431&lt;&gt;"",D431="Purchase bill"),F431,B431)+Y431)</f>
        <v/>
      </c>
      <c r="AA431">
        <f>IF(OR(W431=0,Z431=""),0,MAX(0,'Example Outstanding'!$E$5-Z431))</f>
        <v/>
      </c>
      <c r="AB431">
        <f>IF(AND(X431=1,AA431&gt;0),W431*((1+3*N('Example Parties'!$E$10)/12)^(AA431*12/365)-1),0)</f>
        <v/>
      </c>
      <c r="AC431">
        <f>IF(W431=0,"",'Example Outstanding'!$E$5-B431)</f>
        <v/>
      </c>
      <c r="AD431">
        <f>IF(S431=0,0,IFERROR(VLOOKUP(C431,'Example Parties'!$B$13:$Q$112,14,FALSE),0)+SUMIFS($T$7:$T$506,$C$7:$C$506,C431,$B$7:$B$506,"&lt;="&amp;'Example Parties'!$E$8))</f>
        <v/>
      </c>
      <c r="AE431">
        <f>IF(OR('Example Parties'!$E$8="",S431=0,B431="",B431&gt;'Example Parties'!$E$8),0,MAX(0,MIN(S431,U431-AD431)))</f>
        <v/>
      </c>
      <c r="AF431">
        <f>IF(AND(P431="Creditor",X431=1,AE431&gt;0,Z431&lt;&gt;""),IF(Z431&lt;='Example Parties'!$E$8,AE431,0),0)</f>
        <v/>
      </c>
      <c r="AG431">
        <f>IF(OR(AE431=0,Z431=""),0,MAX(0,'Example Parties'!$E$8-Z431))</f>
        <v/>
      </c>
      <c r="AH431">
        <f>IF(AND(P431="Creditor",X431=1,AG431&gt;0),AE431*((1+3*N('Example Parties'!$E$10)/12)^(AG431*12/365)-1),0)</f>
        <v/>
      </c>
      <c r="AI431">
        <f>IF(AND(C431&lt;&gt;"",C431='Example Ledger'!$D$4,B431&lt;&gt;"",B431&gt;='Example Ledger'!$D$5,B431&lt;='Example Ledger'!$D$6),1,0)</f>
        <v/>
      </c>
      <c r="AJ431">
        <f>IF(AI431=1,SUM(AI$7:AI431),"")</f>
        <v/>
      </c>
      <c r="AK431">
        <f>IF(OR(N431="",N431="OK"),0,1)</f>
        <v/>
      </c>
    </row>
    <row r="432">
      <c r="B432" s="24" t="n"/>
      <c r="C432" s="14" t="n"/>
      <c r="D432" s="14" t="n"/>
      <c r="E432" s="20" t="n"/>
      <c r="F432" s="24" t="n"/>
      <c r="G432" s="14" t="n"/>
      <c r="H432" s="22" t="n"/>
      <c r="I432" s="25">
        <f>IF(Q432="D",N(H432),0)</f>
        <v/>
      </c>
      <c r="J432" s="25">
        <f>IF(Q432="C",N(H432),0)</f>
        <v/>
      </c>
      <c r="K432" s="26">
        <f>IF(Z432="","",Z432)</f>
        <v/>
      </c>
      <c r="L432" s="27">
        <f>W432</f>
        <v/>
      </c>
      <c r="M432" s="28">
        <f>AA432</f>
        <v/>
      </c>
      <c r="N432" s="23">
        <f>IF(AND(B432="",C432="",D432="",N(H432)=0),"",IF(B432="","Enter the date",IF(C432="","Pick the party",IF(P432="?","Add this party on the Parties sheet first",IF(D432="","Pick the entry type",IF(Q432="?","Pick the entry type from the list",IF(N(H432)=0,"Enter the amount",IF(AND(R432&lt;&gt;"Any",R432&lt;&gt;P432),"Sales, receipts and credit notes are for debtors; purchases, payments and debit notes for creditors",IF(AND(F432&lt;&gt;"",D432&lt;&gt;"Purchase bill"),"The received-on date is only for purchase bills",IF(AND(P432="Creditor",X432=1,AA432&gt;0),"Past due to a micro or small supplier: interest runs under MSMED s.16, and if unpaid at year end it is not deductible that year, s.37(2)(g)",IF(AND(P432="Debtor",X432=1,AA432&gt;0),"Past due to you: as a micro or small supplier you can claim interest under MSMED s.16","OK")))))))))))</f>
        <v/>
      </c>
      <c r="P432">
        <f>IF(C432="","",IFERROR(VLOOKUP(C432,'Example Parties'!$B$13:$Q$112,2,FALSE),"?"))</f>
        <v/>
      </c>
      <c r="Q432">
        <f>IF(D432="","",IFERROR(VLOOKUP(D432,Lists!$A$2:$D$9,3,FALSE),"?"))</f>
        <v/>
      </c>
      <c r="R432">
        <f>IF(D432="","",IFERROR(VLOOKUP(D432,Lists!$A$2:$D$9,4,FALSE),"?"))</f>
        <v/>
      </c>
      <c r="S432">
        <f>IF(P432="Debtor",I432,IF(P432="Creditor",J432,0))</f>
        <v/>
      </c>
      <c r="T432">
        <f>IF(P432="Debtor",J432,IF(P432="Creditor",I432,0))</f>
        <v/>
      </c>
      <c r="U432">
        <f>IF(OR(S432=0,B432=""),0,IFERROR(VLOOKUP(C432,'Example Parties'!$B$13:$Q$112,13,FALSE),0)+SUMIFS($S$7:$S$506,$C$7:$C$506,C432,$B$7:$B$506,"&lt;"&amp;B432)+SUMIFS(S$7:S432,C$7:C432,C432,B$7:B432,B432))</f>
        <v/>
      </c>
      <c r="V432">
        <f>IF(S432=0,0,IFERROR(VLOOKUP(C432,'Example Parties'!$B$13:$Q$112,14,FALSE),0)+SUMIFS($T$7:$T$506,$C$7:$C$506,C432,$B$7:$B$506,"&lt;="&amp;'Example Outstanding'!$E$5))</f>
        <v/>
      </c>
      <c r="W432">
        <f>IF(OR('Example Outstanding'!$E$5="",S432=0,B432="",B432&gt;'Example Outstanding'!$E$5),0,MAX(0,MIN(S432,U432-V432)))</f>
        <v/>
      </c>
      <c r="X432">
        <f>IF(C432="",0,IFERROR(VLOOKUP(C432,'Example Parties'!$B$13:$Q$112,15,FALSE),0))</f>
        <v/>
      </c>
      <c r="Y432">
        <f>IF(C432="","",IFERROR(VLOOKUP(C432,'Example Parties'!$B$13:$Q$112,16,FALSE),0))</f>
        <v/>
      </c>
      <c r="Z432">
        <f>IF(OR(S432=0,B432="",Y432=""),"",IF(AND(F432&lt;&gt;"",D432="Purchase bill"),F432,B432)+Y432)</f>
        <v/>
      </c>
      <c r="AA432">
        <f>IF(OR(W432=0,Z432=""),0,MAX(0,'Example Outstanding'!$E$5-Z432))</f>
        <v/>
      </c>
      <c r="AB432">
        <f>IF(AND(X432=1,AA432&gt;0),W432*((1+3*N('Example Parties'!$E$10)/12)^(AA432*12/365)-1),0)</f>
        <v/>
      </c>
      <c r="AC432">
        <f>IF(W432=0,"",'Example Outstanding'!$E$5-B432)</f>
        <v/>
      </c>
      <c r="AD432">
        <f>IF(S432=0,0,IFERROR(VLOOKUP(C432,'Example Parties'!$B$13:$Q$112,14,FALSE),0)+SUMIFS($T$7:$T$506,$C$7:$C$506,C432,$B$7:$B$506,"&lt;="&amp;'Example Parties'!$E$8))</f>
        <v/>
      </c>
      <c r="AE432">
        <f>IF(OR('Example Parties'!$E$8="",S432=0,B432="",B432&gt;'Example Parties'!$E$8),0,MAX(0,MIN(S432,U432-AD432)))</f>
        <v/>
      </c>
      <c r="AF432">
        <f>IF(AND(P432="Creditor",X432=1,AE432&gt;0,Z432&lt;&gt;""),IF(Z432&lt;='Example Parties'!$E$8,AE432,0),0)</f>
        <v/>
      </c>
      <c r="AG432">
        <f>IF(OR(AE432=0,Z432=""),0,MAX(0,'Example Parties'!$E$8-Z432))</f>
        <v/>
      </c>
      <c r="AH432">
        <f>IF(AND(P432="Creditor",X432=1,AG432&gt;0),AE432*((1+3*N('Example Parties'!$E$10)/12)^(AG432*12/365)-1),0)</f>
        <v/>
      </c>
      <c r="AI432">
        <f>IF(AND(C432&lt;&gt;"",C432='Example Ledger'!$D$4,B432&lt;&gt;"",B432&gt;='Example Ledger'!$D$5,B432&lt;='Example Ledger'!$D$6),1,0)</f>
        <v/>
      </c>
      <c r="AJ432">
        <f>IF(AI432=1,SUM(AI$7:AI432),"")</f>
        <v/>
      </c>
      <c r="AK432">
        <f>IF(OR(N432="",N432="OK"),0,1)</f>
        <v/>
      </c>
    </row>
    <row r="433">
      <c r="B433" s="24" t="n"/>
      <c r="C433" s="14" t="n"/>
      <c r="D433" s="14" t="n"/>
      <c r="E433" s="20" t="n"/>
      <c r="F433" s="24" t="n"/>
      <c r="G433" s="14" t="n"/>
      <c r="H433" s="22" t="n"/>
      <c r="I433" s="25">
        <f>IF(Q433="D",N(H433),0)</f>
        <v/>
      </c>
      <c r="J433" s="25">
        <f>IF(Q433="C",N(H433),0)</f>
        <v/>
      </c>
      <c r="K433" s="26">
        <f>IF(Z433="","",Z433)</f>
        <v/>
      </c>
      <c r="L433" s="27">
        <f>W433</f>
        <v/>
      </c>
      <c r="M433" s="28">
        <f>AA433</f>
        <v/>
      </c>
      <c r="N433" s="23">
        <f>IF(AND(B433="",C433="",D433="",N(H433)=0),"",IF(B433="","Enter the date",IF(C433="","Pick the party",IF(P433="?","Add this party on the Parties sheet first",IF(D433="","Pick the entry type",IF(Q433="?","Pick the entry type from the list",IF(N(H433)=0,"Enter the amount",IF(AND(R433&lt;&gt;"Any",R433&lt;&gt;P433),"Sales, receipts and credit notes are for debtors; purchases, payments and debit notes for creditors",IF(AND(F433&lt;&gt;"",D433&lt;&gt;"Purchase bill"),"The received-on date is only for purchase bills",IF(AND(P433="Creditor",X433=1,AA433&gt;0),"Past due to a micro or small supplier: interest runs under MSMED s.16, and if unpaid at year end it is not deductible that year, s.37(2)(g)",IF(AND(P433="Debtor",X433=1,AA433&gt;0),"Past due to you: as a micro or small supplier you can claim interest under MSMED s.16","OK")))))))))))</f>
        <v/>
      </c>
      <c r="P433">
        <f>IF(C433="","",IFERROR(VLOOKUP(C433,'Example Parties'!$B$13:$Q$112,2,FALSE),"?"))</f>
        <v/>
      </c>
      <c r="Q433">
        <f>IF(D433="","",IFERROR(VLOOKUP(D433,Lists!$A$2:$D$9,3,FALSE),"?"))</f>
        <v/>
      </c>
      <c r="R433">
        <f>IF(D433="","",IFERROR(VLOOKUP(D433,Lists!$A$2:$D$9,4,FALSE),"?"))</f>
        <v/>
      </c>
      <c r="S433">
        <f>IF(P433="Debtor",I433,IF(P433="Creditor",J433,0))</f>
        <v/>
      </c>
      <c r="T433">
        <f>IF(P433="Debtor",J433,IF(P433="Creditor",I433,0))</f>
        <v/>
      </c>
      <c r="U433">
        <f>IF(OR(S433=0,B433=""),0,IFERROR(VLOOKUP(C433,'Example Parties'!$B$13:$Q$112,13,FALSE),0)+SUMIFS($S$7:$S$506,$C$7:$C$506,C433,$B$7:$B$506,"&lt;"&amp;B433)+SUMIFS(S$7:S433,C$7:C433,C433,B$7:B433,B433))</f>
        <v/>
      </c>
      <c r="V433">
        <f>IF(S433=0,0,IFERROR(VLOOKUP(C433,'Example Parties'!$B$13:$Q$112,14,FALSE),0)+SUMIFS($T$7:$T$506,$C$7:$C$506,C433,$B$7:$B$506,"&lt;="&amp;'Example Outstanding'!$E$5))</f>
        <v/>
      </c>
      <c r="W433">
        <f>IF(OR('Example Outstanding'!$E$5="",S433=0,B433="",B433&gt;'Example Outstanding'!$E$5),0,MAX(0,MIN(S433,U433-V433)))</f>
        <v/>
      </c>
      <c r="X433">
        <f>IF(C433="",0,IFERROR(VLOOKUP(C433,'Example Parties'!$B$13:$Q$112,15,FALSE),0))</f>
        <v/>
      </c>
      <c r="Y433">
        <f>IF(C433="","",IFERROR(VLOOKUP(C433,'Example Parties'!$B$13:$Q$112,16,FALSE),0))</f>
        <v/>
      </c>
      <c r="Z433">
        <f>IF(OR(S433=0,B433="",Y433=""),"",IF(AND(F433&lt;&gt;"",D433="Purchase bill"),F433,B433)+Y433)</f>
        <v/>
      </c>
      <c r="AA433">
        <f>IF(OR(W433=0,Z433=""),0,MAX(0,'Example Outstanding'!$E$5-Z433))</f>
        <v/>
      </c>
      <c r="AB433">
        <f>IF(AND(X433=1,AA433&gt;0),W433*((1+3*N('Example Parties'!$E$10)/12)^(AA433*12/365)-1),0)</f>
        <v/>
      </c>
      <c r="AC433">
        <f>IF(W433=0,"",'Example Outstanding'!$E$5-B433)</f>
        <v/>
      </c>
      <c r="AD433">
        <f>IF(S433=0,0,IFERROR(VLOOKUP(C433,'Example Parties'!$B$13:$Q$112,14,FALSE),0)+SUMIFS($T$7:$T$506,$C$7:$C$506,C433,$B$7:$B$506,"&lt;="&amp;'Example Parties'!$E$8))</f>
        <v/>
      </c>
      <c r="AE433">
        <f>IF(OR('Example Parties'!$E$8="",S433=0,B433="",B433&gt;'Example Parties'!$E$8),0,MAX(0,MIN(S433,U433-AD433)))</f>
        <v/>
      </c>
      <c r="AF433">
        <f>IF(AND(P433="Creditor",X433=1,AE433&gt;0,Z433&lt;&gt;""),IF(Z433&lt;='Example Parties'!$E$8,AE433,0),0)</f>
        <v/>
      </c>
      <c r="AG433">
        <f>IF(OR(AE433=0,Z433=""),0,MAX(0,'Example Parties'!$E$8-Z433))</f>
        <v/>
      </c>
      <c r="AH433">
        <f>IF(AND(P433="Creditor",X433=1,AG433&gt;0),AE433*((1+3*N('Example Parties'!$E$10)/12)^(AG433*12/365)-1),0)</f>
        <v/>
      </c>
      <c r="AI433">
        <f>IF(AND(C433&lt;&gt;"",C433='Example Ledger'!$D$4,B433&lt;&gt;"",B433&gt;='Example Ledger'!$D$5,B433&lt;='Example Ledger'!$D$6),1,0)</f>
        <v/>
      </c>
      <c r="AJ433">
        <f>IF(AI433=1,SUM(AI$7:AI433),"")</f>
        <v/>
      </c>
      <c r="AK433">
        <f>IF(OR(N433="",N433="OK"),0,1)</f>
        <v/>
      </c>
    </row>
    <row r="434">
      <c r="B434" s="24" t="n"/>
      <c r="C434" s="14" t="n"/>
      <c r="D434" s="14" t="n"/>
      <c r="E434" s="20" t="n"/>
      <c r="F434" s="24" t="n"/>
      <c r="G434" s="14" t="n"/>
      <c r="H434" s="22" t="n"/>
      <c r="I434" s="25">
        <f>IF(Q434="D",N(H434),0)</f>
        <v/>
      </c>
      <c r="J434" s="25">
        <f>IF(Q434="C",N(H434),0)</f>
        <v/>
      </c>
      <c r="K434" s="26">
        <f>IF(Z434="","",Z434)</f>
        <v/>
      </c>
      <c r="L434" s="27">
        <f>W434</f>
        <v/>
      </c>
      <c r="M434" s="28">
        <f>AA434</f>
        <v/>
      </c>
      <c r="N434" s="23">
        <f>IF(AND(B434="",C434="",D434="",N(H434)=0),"",IF(B434="","Enter the date",IF(C434="","Pick the party",IF(P434="?","Add this party on the Parties sheet first",IF(D434="","Pick the entry type",IF(Q434="?","Pick the entry type from the list",IF(N(H434)=0,"Enter the amount",IF(AND(R434&lt;&gt;"Any",R434&lt;&gt;P434),"Sales, receipts and credit notes are for debtors; purchases, payments and debit notes for creditors",IF(AND(F434&lt;&gt;"",D434&lt;&gt;"Purchase bill"),"The received-on date is only for purchase bills",IF(AND(P434="Creditor",X434=1,AA434&gt;0),"Past due to a micro or small supplier: interest runs under MSMED s.16, and if unpaid at year end it is not deductible that year, s.37(2)(g)",IF(AND(P434="Debtor",X434=1,AA434&gt;0),"Past due to you: as a micro or small supplier you can claim interest under MSMED s.16","OK")))))))))))</f>
        <v/>
      </c>
      <c r="P434">
        <f>IF(C434="","",IFERROR(VLOOKUP(C434,'Example Parties'!$B$13:$Q$112,2,FALSE),"?"))</f>
        <v/>
      </c>
      <c r="Q434">
        <f>IF(D434="","",IFERROR(VLOOKUP(D434,Lists!$A$2:$D$9,3,FALSE),"?"))</f>
        <v/>
      </c>
      <c r="R434">
        <f>IF(D434="","",IFERROR(VLOOKUP(D434,Lists!$A$2:$D$9,4,FALSE),"?"))</f>
        <v/>
      </c>
      <c r="S434">
        <f>IF(P434="Debtor",I434,IF(P434="Creditor",J434,0))</f>
        <v/>
      </c>
      <c r="T434">
        <f>IF(P434="Debtor",J434,IF(P434="Creditor",I434,0))</f>
        <v/>
      </c>
      <c r="U434">
        <f>IF(OR(S434=0,B434=""),0,IFERROR(VLOOKUP(C434,'Example Parties'!$B$13:$Q$112,13,FALSE),0)+SUMIFS($S$7:$S$506,$C$7:$C$506,C434,$B$7:$B$506,"&lt;"&amp;B434)+SUMIFS(S$7:S434,C$7:C434,C434,B$7:B434,B434))</f>
        <v/>
      </c>
      <c r="V434">
        <f>IF(S434=0,0,IFERROR(VLOOKUP(C434,'Example Parties'!$B$13:$Q$112,14,FALSE),0)+SUMIFS($T$7:$T$506,$C$7:$C$506,C434,$B$7:$B$506,"&lt;="&amp;'Example Outstanding'!$E$5))</f>
        <v/>
      </c>
      <c r="W434">
        <f>IF(OR('Example Outstanding'!$E$5="",S434=0,B434="",B434&gt;'Example Outstanding'!$E$5),0,MAX(0,MIN(S434,U434-V434)))</f>
        <v/>
      </c>
      <c r="X434">
        <f>IF(C434="",0,IFERROR(VLOOKUP(C434,'Example Parties'!$B$13:$Q$112,15,FALSE),0))</f>
        <v/>
      </c>
      <c r="Y434">
        <f>IF(C434="","",IFERROR(VLOOKUP(C434,'Example Parties'!$B$13:$Q$112,16,FALSE),0))</f>
        <v/>
      </c>
      <c r="Z434">
        <f>IF(OR(S434=0,B434="",Y434=""),"",IF(AND(F434&lt;&gt;"",D434="Purchase bill"),F434,B434)+Y434)</f>
        <v/>
      </c>
      <c r="AA434">
        <f>IF(OR(W434=0,Z434=""),0,MAX(0,'Example Outstanding'!$E$5-Z434))</f>
        <v/>
      </c>
      <c r="AB434">
        <f>IF(AND(X434=1,AA434&gt;0),W434*((1+3*N('Example Parties'!$E$10)/12)^(AA434*12/365)-1),0)</f>
        <v/>
      </c>
      <c r="AC434">
        <f>IF(W434=0,"",'Example Outstanding'!$E$5-B434)</f>
        <v/>
      </c>
      <c r="AD434">
        <f>IF(S434=0,0,IFERROR(VLOOKUP(C434,'Example Parties'!$B$13:$Q$112,14,FALSE),0)+SUMIFS($T$7:$T$506,$C$7:$C$506,C434,$B$7:$B$506,"&lt;="&amp;'Example Parties'!$E$8))</f>
        <v/>
      </c>
      <c r="AE434">
        <f>IF(OR('Example Parties'!$E$8="",S434=0,B434="",B434&gt;'Example Parties'!$E$8),0,MAX(0,MIN(S434,U434-AD434)))</f>
        <v/>
      </c>
      <c r="AF434">
        <f>IF(AND(P434="Creditor",X434=1,AE434&gt;0,Z434&lt;&gt;""),IF(Z434&lt;='Example Parties'!$E$8,AE434,0),0)</f>
        <v/>
      </c>
      <c r="AG434">
        <f>IF(OR(AE434=0,Z434=""),0,MAX(0,'Example Parties'!$E$8-Z434))</f>
        <v/>
      </c>
      <c r="AH434">
        <f>IF(AND(P434="Creditor",X434=1,AG434&gt;0),AE434*((1+3*N('Example Parties'!$E$10)/12)^(AG434*12/365)-1),0)</f>
        <v/>
      </c>
      <c r="AI434">
        <f>IF(AND(C434&lt;&gt;"",C434='Example Ledger'!$D$4,B434&lt;&gt;"",B434&gt;='Example Ledger'!$D$5,B434&lt;='Example Ledger'!$D$6),1,0)</f>
        <v/>
      </c>
      <c r="AJ434">
        <f>IF(AI434=1,SUM(AI$7:AI434),"")</f>
        <v/>
      </c>
      <c r="AK434">
        <f>IF(OR(N434="",N434="OK"),0,1)</f>
        <v/>
      </c>
    </row>
    <row r="435">
      <c r="B435" s="24" t="n"/>
      <c r="C435" s="14" t="n"/>
      <c r="D435" s="14" t="n"/>
      <c r="E435" s="20" t="n"/>
      <c r="F435" s="24" t="n"/>
      <c r="G435" s="14" t="n"/>
      <c r="H435" s="22" t="n"/>
      <c r="I435" s="25">
        <f>IF(Q435="D",N(H435),0)</f>
        <v/>
      </c>
      <c r="J435" s="25">
        <f>IF(Q435="C",N(H435),0)</f>
        <v/>
      </c>
      <c r="K435" s="26">
        <f>IF(Z435="","",Z435)</f>
        <v/>
      </c>
      <c r="L435" s="27">
        <f>W435</f>
        <v/>
      </c>
      <c r="M435" s="28">
        <f>AA435</f>
        <v/>
      </c>
      <c r="N435" s="23">
        <f>IF(AND(B435="",C435="",D435="",N(H435)=0),"",IF(B435="","Enter the date",IF(C435="","Pick the party",IF(P435="?","Add this party on the Parties sheet first",IF(D435="","Pick the entry type",IF(Q435="?","Pick the entry type from the list",IF(N(H435)=0,"Enter the amount",IF(AND(R435&lt;&gt;"Any",R435&lt;&gt;P435),"Sales, receipts and credit notes are for debtors; purchases, payments and debit notes for creditors",IF(AND(F435&lt;&gt;"",D435&lt;&gt;"Purchase bill"),"The received-on date is only for purchase bills",IF(AND(P435="Creditor",X435=1,AA435&gt;0),"Past due to a micro or small supplier: interest runs under MSMED s.16, and if unpaid at year end it is not deductible that year, s.37(2)(g)",IF(AND(P435="Debtor",X435=1,AA435&gt;0),"Past due to you: as a micro or small supplier you can claim interest under MSMED s.16","OK")))))))))))</f>
        <v/>
      </c>
      <c r="P435">
        <f>IF(C435="","",IFERROR(VLOOKUP(C435,'Example Parties'!$B$13:$Q$112,2,FALSE),"?"))</f>
        <v/>
      </c>
      <c r="Q435">
        <f>IF(D435="","",IFERROR(VLOOKUP(D435,Lists!$A$2:$D$9,3,FALSE),"?"))</f>
        <v/>
      </c>
      <c r="R435">
        <f>IF(D435="","",IFERROR(VLOOKUP(D435,Lists!$A$2:$D$9,4,FALSE),"?"))</f>
        <v/>
      </c>
      <c r="S435">
        <f>IF(P435="Debtor",I435,IF(P435="Creditor",J435,0))</f>
        <v/>
      </c>
      <c r="T435">
        <f>IF(P435="Debtor",J435,IF(P435="Creditor",I435,0))</f>
        <v/>
      </c>
      <c r="U435">
        <f>IF(OR(S435=0,B435=""),0,IFERROR(VLOOKUP(C435,'Example Parties'!$B$13:$Q$112,13,FALSE),0)+SUMIFS($S$7:$S$506,$C$7:$C$506,C435,$B$7:$B$506,"&lt;"&amp;B435)+SUMIFS(S$7:S435,C$7:C435,C435,B$7:B435,B435))</f>
        <v/>
      </c>
      <c r="V435">
        <f>IF(S435=0,0,IFERROR(VLOOKUP(C435,'Example Parties'!$B$13:$Q$112,14,FALSE),0)+SUMIFS($T$7:$T$506,$C$7:$C$506,C435,$B$7:$B$506,"&lt;="&amp;'Example Outstanding'!$E$5))</f>
        <v/>
      </c>
      <c r="W435">
        <f>IF(OR('Example Outstanding'!$E$5="",S435=0,B435="",B435&gt;'Example Outstanding'!$E$5),0,MAX(0,MIN(S435,U435-V435)))</f>
        <v/>
      </c>
      <c r="X435">
        <f>IF(C435="",0,IFERROR(VLOOKUP(C435,'Example Parties'!$B$13:$Q$112,15,FALSE),0))</f>
        <v/>
      </c>
      <c r="Y435">
        <f>IF(C435="","",IFERROR(VLOOKUP(C435,'Example Parties'!$B$13:$Q$112,16,FALSE),0))</f>
        <v/>
      </c>
      <c r="Z435">
        <f>IF(OR(S435=0,B435="",Y435=""),"",IF(AND(F435&lt;&gt;"",D435="Purchase bill"),F435,B435)+Y435)</f>
        <v/>
      </c>
      <c r="AA435">
        <f>IF(OR(W435=0,Z435=""),0,MAX(0,'Example Outstanding'!$E$5-Z435))</f>
        <v/>
      </c>
      <c r="AB435">
        <f>IF(AND(X435=1,AA435&gt;0),W435*((1+3*N('Example Parties'!$E$10)/12)^(AA435*12/365)-1),0)</f>
        <v/>
      </c>
      <c r="AC435">
        <f>IF(W435=0,"",'Example Outstanding'!$E$5-B435)</f>
        <v/>
      </c>
      <c r="AD435">
        <f>IF(S435=0,0,IFERROR(VLOOKUP(C435,'Example Parties'!$B$13:$Q$112,14,FALSE),0)+SUMIFS($T$7:$T$506,$C$7:$C$506,C435,$B$7:$B$506,"&lt;="&amp;'Example Parties'!$E$8))</f>
        <v/>
      </c>
      <c r="AE435">
        <f>IF(OR('Example Parties'!$E$8="",S435=0,B435="",B435&gt;'Example Parties'!$E$8),0,MAX(0,MIN(S435,U435-AD435)))</f>
        <v/>
      </c>
      <c r="AF435">
        <f>IF(AND(P435="Creditor",X435=1,AE435&gt;0,Z435&lt;&gt;""),IF(Z435&lt;='Example Parties'!$E$8,AE435,0),0)</f>
        <v/>
      </c>
      <c r="AG435">
        <f>IF(OR(AE435=0,Z435=""),0,MAX(0,'Example Parties'!$E$8-Z435))</f>
        <v/>
      </c>
      <c r="AH435">
        <f>IF(AND(P435="Creditor",X435=1,AG435&gt;0),AE435*((1+3*N('Example Parties'!$E$10)/12)^(AG435*12/365)-1),0)</f>
        <v/>
      </c>
      <c r="AI435">
        <f>IF(AND(C435&lt;&gt;"",C435='Example Ledger'!$D$4,B435&lt;&gt;"",B435&gt;='Example Ledger'!$D$5,B435&lt;='Example Ledger'!$D$6),1,0)</f>
        <v/>
      </c>
      <c r="AJ435">
        <f>IF(AI435=1,SUM(AI$7:AI435),"")</f>
        <v/>
      </c>
      <c r="AK435">
        <f>IF(OR(N435="",N435="OK"),0,1)</f>
        <v/>
      </c>
    </row>
    <row r="436">
      <c r="B436" s="24" t="n"/>
      <c r="C436" s="14" t="n"/>
      <c r="D436" s="14" t="n"/>
      <c r="E436" s="20" t="n"/>
      <c r="F436" s="24" t="n"/>
      <c r="G436" s="14" t="n"/>
      <c r="H436" s="22" t="n"/>
      <c r="I436" s="25">
        <f>IF(Q436="D",N(H436),0)</f>
        <v/>
      </c>
      <c r="J436" s="25">
        <f>IF(Q436="C",N(H436),0)</f>
        <v/>
      </c>
      <c r="K436" s="26">
        <f>IF(Z436="","",Z436)</f>
        <v/>
      </c>
      <c r="L436" s="27">
        <f>W436</f>
        <v/>
      </c>
      <c r="M436" s="28">
        <f>AA436</f>
        <v/>
      </c>
      <c r="N436" s="23">
        <f>IF(AND(B436="",C436="",D436="",N(H436)=0),"",IF(B436="","Enter the date",IF(C436="","Pick the party",IF(P436="?","Add this party on the Parties sheet first",IF(D436="","Pick the entry type",IF(Q436="?","Pick the entry type from the list",IF(N(H436)=0,"Enter the amount",IF(AND(R436&lt;&gt;"Any",R436&lt;&gt;P436),"Sales, receipts and credit notes are for debtors; purchases, payments and debit notes for creditors",IF(AND(F436&lt;&gt;"",D436&lt;&gt;"Purchase bill"),"The received-on date is only for purchase bills",IF(AND(P436="Creditor",X436=1,AA436&gt;0),"Past due to a micro or small supplier: interest runs under MSMED s.16, and if unpaid at year end it is not deductible that year, s.37(2)(g)",IF(AND(P436="Debtor",X436=1,AA436&gt;0),"Past due to you: as a micro or small supplier you can claim interest under MSMED s.16","OK")))))))))))</f>
        <v/>
      </c>
      <c r="P436">
        <f>IF(C436="","",IFERROR(VLOOKUP(C436,'Example Parties'!$B$13:$Q$112,2,FALSE),"?"))</f>
        <v/>
      </c>
      <c r="Q436">
        <f>IF(D436="","",IFERROR(VLOOKUP(D436,Lists!$A$2:$D$9,3,FALSE),"?"))</f>
        <v/>
      </c>
      <c r="R436">
        <f>IF(D436="","",IFERROR(VLOOKUP(D436,Lists!$A$2:$D$9,4,FALSE),"?"))</f>
        <v/>
      </c>
      <c r="S436">
        <f>IF(P436="Debtor",I436,IF(P436="Creditor",J436,0))</f>
        <v/>
      </c>
      <c r="T436">
        <f>IF(P436="Debtor",J436,IF(P436="Creditor",I436,0))</f>
        <v/>
      </c>
      <c r="U436">
        <f>IF(OR(S436=0,B436=""),0,IFERROR(VLOOKUP(C436,'Example Parties'!$B$13:$Q$112,13,FALSE),0)+SUMIFS($S$7:$S$506,$C$7:$C$506,C436,$B$7:$B$506,"&lt;"&amp;B436)+SUMIFS(S$7:S436,C$7:C436,C436,B$7:B436,B436))</f>
        <v/>
      </c>
      <c r="V436">
        <f>IF(S436=0,0,IFERROR(VLOOKUP(C436,'Example Parties'!$B$13:$Q$112,14,FALSE),0)+SUMIFS($T$7:$T$506,$C$7:$C$506,C436,$B$7:$B$506,"&lt;="&amp;'Example Outstanding'!$E$5))</f>
        <v/>
      </c>
      <c r="W436">
        <f>IF(OR('Example Outstanding'!$E$5="",S436=0,B436="",B436&gt;'Example Outstanding'!$E$5),0,MAX(0,MIN(S436,U436-V436)))</f>
        <v/>
      </c>
      <c r="X436">
        <f>IF(C436="",0,IFERROR(VLOOKUP(C436,'Example Parties'!$B$13:$Q$112,15,FALSE),0))</f>
        <v/>
      </c>
      <c r="Y436">
        <f>IF(C436="","",IFERROR(VLOOKUP(C436,'Example Parties'!$B$13:$Q$112,16,FALSE),0))</f>
        <v/>
      </c>
      <c r="Z436">
        <f>IF(OR(S436=0,B436="",Y436=""),"",IF(AND(F436&lt;&gt;"",D436="Purchase bill"),F436,B436)+Y436)</f>
        <v/>
      </c>
      <c r="AA436">
        <f>IF(OR(W436=0,Z436=""),0,MAX(0,'Example Outstanding'!$E$5-Z436))</f>
        <v/>
      </c>
      <c r="AB436">
        <f>IF(AND(X436=1,AA436&gt;0),W436*((1+3*N('Example Parties'!$E$10)/12)^(AA436*12/365)-1),0)</f>
        <v/>
      </c>
      <c r="AC436">
        <f>IF(W436=0,"",'Example Outstanding'!$E$5-B436)</f>
        <v/>
      </c>
      <c r="AD436">
        <f>IF(S436=0,0,IFERROR(VLOOKUP(C436,'Example Parties'!$B$13:$Q$112,14,FALSE),0)+SUMIFS($T$7:$T$506,$C$7:$C$506,C436,$B$7:$B$506,"&lt;="&amp;'Example Parties'!$E$8))</f>
        <v/>
      </c>
      <c r="AE436">
        <f>IF(OR('Example Parties'!$E$8="",S436=0,B436="",B436&gt;'Example Parties'!$E$8),0,MAX(0,MIN(S436,U436-AD436)))</f>
        <v/>
      </c>
      <c r="AF436">
        <f>IF(AND(P436="Creditor",X436=1,AE436&gt;0,Z436&lt;&gt;""),IF(Z436&lt;='Example Parties'!$E$8,AE436,0),0)</f>
        <v/>
      </c>
      <c r="AG436">
        <f>IF(OR(AE436=0,Z436=""),0,MAX(0,'Example Parties'!$E$8-Z436))</f>
        <v/>
      </c>
      <c r="AH436">
        <f>IF(AND(P436="Creditor",X436=1,AG436&gt;0),AE436*((1+3*N('Example Parties'!$E$10)/12)^(AG436*12/365)-1),0)</f>
        <v/>
      </c>
      <c r="AI436">
        <f>IF(AND(C436&lt;&gt;"",C436='Example Ledger'!$D$4,B436&lt;&gt;"",B436&gt;='Example Ledger'!$D$5,B436&lt;='Example Ledger'!$D$6),1,0)</f>
        <v/>
      </c>
      <c r="AJ436">
        <f>IF(AI436=1,SUM(AI$7:AI436),"")</f>
        <v/>
      </c>
      <c r="AK436">
        <f>IF(OR(N436="",N436="OK"),0,1)</f>
        <v/>
      </c>
    </row>
    <row r="437">
      <c r="B437" s="24" t="n"/>
      <c r="C437" s="14" t="n"/>
      <c r="D437" s="14" t="n"/>
      <c r="E437" s="20" t="n"/>
      <c r="F437" s="24" t="n"/>
      <c r="G437" s="14" t="n"/>
      <c r="H437" s="22" t="n"/>
      <c r="I437" s="25">
        <f>IF(Q437="D",N(H437),0)</f>
        <v/>
      </c>
      <c r="J437" s="25">
        <f>IF(Q437="C",N(H437),0)</f>
        <v/>
      </c>
      <c r="K437" s="26">
        <f>IF(Z437="","",Z437)</f>
        <v/>
      </c>
      <c r="L437" s="27">
        <f>W437</f>
        <v/>
      </c>
      <c r="M437" s="28">
        <f>AA437</f>
        <v/>
      </c>
      <c r="N437" s="23">
        <f>IF(AND(B437="",C437="",D437="",N(H437)=0),"",IF(B437="","Enter the date",IF(C437="","Pick the party",IF(P437="?","Add this party on the Parties sheet first",IF(D437="","Pick the entry type",IF(Q437="?","Pick the entry type from the list",IF(N(H437)=0,"Enter the amount",IF(AND(R437&lt;&gt;"Any",R437&lt;&gt;P437),"Sales, receipts and credit notes are for debtors; purchases, payments and debit notes for creditors",IF(AND(F437&lt;&gt;"",D437&lt;&gt;"Purchase bill"),"The received-on date is only for purchase bills",IF(AND(P437="Creditor",X437=1,AA437&gt;0),"Past due to a micro or small supplier: interest runs under MSMED s.16, and if unpaid at year end it is not deductible that year, s.37(2)(g)",IF(AND(P437="Debtor",X437=1,AA437&gt;0),"Past due to you: as a micro or small supplier you can claim interest under MSMED s.16","OK")))))))))))</f>
        <v/>
      </c>
      <c r="P437">
        <f>IF(C437="","",IFERROR(VLOOKUP(C437,'Example Parties'!$B$13:$Q$112,2,FALSE),"?"))</f>
        <v/>
      </c>
      <c r="Q437">
        <f>IF(D437="","",IFERROR(VLOOKUP(D437,Lists!$A$2:$D$9,3,FALSE),"?"))</f>
        <v/>
      </c>
      <c r="R437">
        <f>IF(D437="","",IFERROR(VLOOKUP(D437,Lists!$A$2:$D$9,4,FALSE),"?"))</f>
        <v/>
      </c>
      <c r="S437">
        <f>IF(P437="Debtor",I437,IF(P437="Creditor",J437,0))</f>
        <v/>
      </c>
      <c r="T437">
        <f>IF(P437="Debtor",J437,IF(P437="Creditor",I437,0))</f>
        <v/>
      </c>
      <c r="U437">
        <f>IF(OR(S437=0,B437=""),0,IFERROR(VLOOKUP(C437,'Example Parties'!$B$13:$Q$112,13,FALSE),0)+SUMIFS($S$7:$S$506,$C$7:$C$506,C437,$B$7:$B$506,"&lt;"&amp;B437)+SUMIFS(S$7:S437,C$7:C437,C437,B$7:B437,B437))</f>
        <v/>
      </c>
      <c r="V437">
        <f>IF(S437=0,0,IFERROR(VLOOKUP(C437,'Example Parties'!$B$13:$Q$112,14,FALSE),0)+SUMIFS($T$7:$T$506,$C$7:$C$506,C437,$B$7:$B$506,"&lt;="&amp;'Example Outstanding'!$E$5))</f>
        <v/>
      </c>
      <c r="W437">
        <f>IF(OR('Example Outstanding'!$E$5="",S437=0,B437="",B437&gt;'Example Outstanding'!$E$5),0,MAX(0,MIN(S437,U437-V437)))</f>
        <v/>
      </c>
      <c r="X437">
        <f>IF(C437="",0,IFERROR(VLOOKUP(C437,'Example Parties'!$B$13:$Q$112,15,FALSE),0))</f>
        <v/>
      </c>
      <c r="Y437">
        <f>IF(C437="","",IFERROR(VLOOKUP(C437,'Example Parties'!$B$13:$Q$112,16,FALSE),0))</f>
        <v/>
      </c>
      <c r="Z437">
        <f>IF(OR(S437=0,B437="",Y437=""),"",IF(AND(F437&lt;&gt;"",D437="Purchase bill"),F437,B437)+Y437)</f>
        <v/>
      </c>
      <c r="AA437">
        <f>IF(OR(W437=0,Z437=""),0,MAX(0,'Example Outstanding'!$E$5-Z437))</f>
        <v/>
      </c>
      <c r="AB437">
        <f>IF(AND(X437=1,AA437&gt;0),W437*((1+3*N('Example Parties'!$E$10)/12)^(AA437*12/365)-1),0)</f>
        <v/>
      </c>
      <c r="AC437">
        <f>IF(W437=0,"",'Example Outstanding'!$E$5-B437)</f>
        <v/>
      </c>
      <c r="AD437">
        <f>IF(S437=0,0,IFERROR(VLOOKUP(C437,'Example Parties'!$B$13:$Q$112,14,FALSE),0)+SUMIFS($T$7:$T$506,$C$7:$C$506,C437,$B$7:$B$506,"&lt;="&amp;'Example Parties'!$E$8))</f>
        <v/>
      </c>
      <c r="AE437">
        <f>IF(OR('Example Parties'!$E$8="",S437=0,B437="",B437&gt;'Example Parties'!$E$8),0,MAX(0,MIN(S437,U437-AD437)))</f>
        <v/>
      </c>
      <c r="AF437">
        <f>IF(AND(P437="Creditor",X437=1,AE437&gt;0,Z437&lt;&gt;""),IF(Z437&lt;='Example Parties'!$E$8,AE437,0),0)</f>
        <v/>
      </c>
      <c r="AG437">
        <f>IF(OR(AE437=0,Z437=""),0,MAX(0,'Example Parties'!$E$8-Z437))</f>
        <v/>
      </c>
      <c r="AH437">
        <f>IF(AND(P437="Creditor",X437=1,AG437&gt;0),AE437*((1+3*N('Example Parties'!$E$10)/12)^(AG437*12/365)-1),0)</f>
        <v/>
      </c>
      <c r="AI437">
        <f>IF(AND(C437&lt;&gt;"",C437='Example Ledger'!$D$4,B437&lt;&gt;"",B437&gt;='Example Ledger'!$D$5,B437&lt;='Example Ledger'!$D$6),1,0)</f>
        <v/>
      </c>
      <c r="AJ437">
        <f>IF(AI437=1,SUM(AI$7:AI437),"")</f>
        <v/>
      </c>
      <c r="AK437">
        <f>IF(OR(N437="",N437="OK"),0,1)</f>
        <v/>
      </c>
    </row>
    <row r="438">
      <c r="B438" s="24" t="n"/>
      <c r="C438" s="14" t="n"/>
      <c r="D438" s="14" t="n"/>
      <c r="E438" s="20" t="n"/>
      <c r="F438" s="24" t="n"/>
      <c r="G438" s="14" t="n"/>
      <c r="H438" s="22" t="n"/>
      <c r="I438" s="25">
        <f>IF(Q438="D",N(H438),0)</f>
        <v/>
      </c>
      <c r="J438" s="25">
        <f>IF(Q438="C",N(H438),0)</f>
        <v/>
      </c>
      <c r="K438" s="26">
        <f>IF(Z438="","",Z438)</f>
        <v/>
      </c>
      <c r="L438" s="27">
        <f>W438</f>
        <v/>
      </c>
      <c r="M438" s="28">
        <f>AA438</f>
        <v/>
      </c>
      <c r="N438" s="23">
        <f>IF(AND(B438="",C438="",D438="",N(H438)=0),"",IF(B438="","Enter the date",IF(C438="","Pick the party",IF(P438="?","Add this party on the Parties sheet first",IF(D438="","Pick the entry type",IF(Q438="?","Pick the entry type from the list",IF(N(H438)=0,"Enter the amount",IF(AND(R438&lt;&gt;"Any",R438&lt;&gt;P438),"Sales, receipts and credit notes are for debtors; purchases, payments and debit notes for creditors",IF(AND(F438&lt;&gt;"",D438&lt;&gt;"Purchase bill"),"The received-on date is only for purchase bills",IF(AND(P438="Creditor",X438=1,AA438&gt;0),"Past due to a micro or small supplier: interest runs under MSMED s.16, and if unpaid at year end it is not deductible that year, s.37(2)(g)",IF(AND(P438="Debtor",X438=1,AA438&gt;0),"Past due to you: as a micro or small supplier you can claim interest under MSMED s.16","OK")))))))))))</f>
        <v/>
      </c>
      <c r="P438">
        <f>IF(C438="","",IFERROR(VLOOKUP(C438,'Example Parties'!$B$13:$Q$112,2,FALSE),"?"))</f>
        <v/>
      </c>
      <c r="Q438">
        <f>IF(D438="","",IFERROR(VLOOKUP(D438,Lists!$A$2:$D$9,3,FALSE),"?"))</f>
        <v/>
      </c>
      <c r="R438">
        <f>IF(D438="","",IFERROR(VLOOKUP(D438,Lists!$A$2:$D$9,4,FALSE),"?"))</f>
        <v/>
      </c>
      <c r="S438">
        <f>IF(P438="Debtor",I438,IF(P438="Creditor",J438,0))</f>
        <v/>
      </c>
      <c r="T438">
        <f>IF(P438="Debtor",J438,IF(P438="Creditor",I438,0))</f>
        <v/>
      </c>
      <c r="U438">
        <f>IF(OR(S438=0,B438=""),0,IFERROR(VLOOKUP(C438,'Example Parties'!$B$13:$Q$112,13,FALSE),0)+SUMIFS($S$7:$S$506,$C$7:$C$506,C438,$B$7:$B$506,"&lt;"&amp;B438)+SUMIFS(S$7:S438,C$7:C438,C438,B$7:B438,B438))</f>
        <v/>
      </c>
      <c r="V438">
        <f>IF(S438=0,0,IFERROR(VLOOKUP(C438,'Example Parties'!$B$13:$Q$112,14,FALSE),0)+SUMIFS($T$7:$T$506,$C$7:$C$506,C438,$B$7:$B$506,"&lt;="&amp;'Example Outstanding'!$E$5))</f>
        <v/>
      </c>
      <c r="W438">
        <f>IF(OR('Example Outstanding'!$E$5="",S438=0,B438="",B438&gt;'Example Outstanding'!$E$5),0,MAX(0,MIN(S438,U438-V438)))</f>
        <v/>
      </c>
      <c r="X438">
        <f>IF(C438="",0,IFERROR(VLOOKUP(C438,'Example Parties'!$B$13:$Q$112,15,FALSE),0))</f>
        <v/>
      </c>
      <c r="Y438">
        <f>IF(C438="","",IFERROR(VLOOKUP(C438,'Example Parties'!$B$13:$Q$112,16,FALSE),0))</f>
        <v/>
      </c>
      <c r="Z438">
        <f>IF(OR(S438=0,B438="",Y438=""),"",IF(AND(F438&lt;&gt;"",D438="Purchase bill"),F438,B438)+Y438)</f>
        <v/>
      </c>
      <c r="AA438">
        <f>IF(OR(W438=0,Z438=""),0,MAX(0,'Example Outstanding'!$E$5-Z438))</f>
        <v/>
      </c>
      <c r="AB438">
        <f>IF(AND(X438=1,AA438&gt;0),W438*((1+3*N('Example Parties'!$E$10)/12)^(AA438*12/365)-1),0)</f>
        <v/>
      </c>
      <c r="AC438">
        <f>IF(W438=0,"",'Example Outstanding'!$E$5-B438)</f>
        <v/>
      </c>
      <c r="AD438">
        <f>IF(S438=0,0,IFERROR(VLOOKUP(C438,'Example Parties'!$B$13:$Q$112,14,FALSE),0)+SUMIFS($T$7:$T$506,$C$7:$C$506,C438,$B$7:$B$506,"&lt;="&amp;'Example Parties'!$E$8))</f>
        <v/>
      </c>
      <c r="AE438">
        <f>IF(OR('Example Parties'!$E$8="",S438=0,B438="",B438&gt;'Example Parties'!$E$8),0,MAX(0,MIN(S438,U438-AD438)))</f>
        <v/>
      </c>
      <c r="AF438">
        <f>IF(AND(P438="Creditor",X438=1,AE438&gt;0,Z438&lt;&gt;""),IF(Z438&lt;='Example Parties'!$E$8,AE438,0),0)</f>
        <v/>
      </c>
      <c r="AG438">
        <f>IF(OR(AE438=0,Z438=""),0,MAX(0,'Example Parties'!$E$8-Z438))</f>
        <v/>
      </c>
      <c r="AH438">
        <f>IF(AND(P438="Creditor",X438=1,AG438&gt;0),AE438*((1+3*N('Example Parties'!$E$10)/12)^(AG438*12/365)-1),0)</f>
        <v/>
      </c>
      <c r="AI438">
        <f>IF(AND(C438&lt;&gt;"",C438='Example Ledger'!$D$4,B438&lt;&gt;"",B438&gt;='Example Ledger'!$D$5,B438&lt;='Example Ledger'!$D$6),1,0)</f>
        <v/>
      </c>
      <c r="AJ438">
        <f>IF(AI438=1,SUM(AI$7:AI438),"")</f>
        <v/>
      </c>
      <c r="AK438">
        <f>IF(OR(N438="",N438="OK"),0,1)</f>
        <v/>
      </c>
    </row>
    <row r="439">
      <c r="B439" s="24" t="n"/>
      <c r="C439" s="14" t="n"/>
      <c r="D439" s="14" t="n"/>
      <c r="E439" s="20" t="n"/>
      <c r="F439" s="24" t="n"/>
      <c r="G439" s="14" t="n"/>
      <c r="H439" s="22" t="n"/>
      <c r="I439" s="25">
        <f>IF(Q439="D",N(H439),0)</f>
        <v/>
      </c>
      <c r="J439" s="25">
        <f>IF(Q439="C",N(H439),0)</f>
        <v/>
      </c>
      <c r="K439" s="26">
        <f>IF(Z439="","",Z439)</f>
        <v/>
      </c>
      <c r="L439" s="27">
        <f>W439</f>
        <v/>
      </c>
      <c r="M439" s="28">
        <f>AA439</f>
        <v/>
      </c>
      <c r="N439" s="23">
        <f>IF(AND(B439="",C439="",D439="",N(H439)=0),"",IF(B439="","Enter the date",IF(C439="","Pick the party",IF(P439="?","Add this party on the Parties sheet first",IF(D439="","Pick the entry type",IF(Q439="?","Pick the entry type from the list",IF(N(H439)=0,"Enter the amount",IF(AND(R439&lt;&gt;"Any",R439&lt;&gt;P439),"Sales, receipts and credit notes are for debtors; purchases, payments and debit notes for creditors",IF(AND(F439&lt;&gt;"",D439&lt;&gt;"Purchase bill"),"The received-on date is only for purchase bills",IF(AND(P439="Creditor",X439=1,AA439&gt;0),"Past due to a micro or small supplier: interest runs under MSMED s.16, and if unpaid at year end it is not deductible that year, s.37(2)(g)",IF(AND(P439="Debtor",X439=1,AA439&gt;0),"Past due to you: as a micro or small supplier you can claim interest under MSMED s.16","OK")))))))))))</f>
        <v/>
      </c>
      <c r="P439">
        <f>IF(C439="","",IFERROR(VLOOKUP(C439,'Example Parties'!$B$13:$Q$112,2,FALSE),"?"))</f>
        <v/>
      </c>
      <c r="Q439">
        <f>IF(D439="","",IFERROR(VLOOKUP(D439,Lists!$A$2:$D$9,3,FALSE),"?"))</f>
        <v/>
      </c>
      <c r="R439">
        <f>IF(D439="","",IFERROR(VLOOKUP(D439,Lists!$A$2:$D$9,4,FALSE),"?"))</f>
        <v/>
      </c>
      <c r="S439">
        <f>IF(P439="Debtor",I439,IF(P439="Creditor",J439,0))</f>
        <v/>
      </c>
      <c r="T439">
        <f>IF(P439="Debtor",J439,IF(P439="Creditor",I439,0))</f>
        <v/>
      </c>
      <c r="U439">
        <f>IF(OR(S439=0,B439=""),0,IFERROR(VLOOKUP(C439,'Example Parties'!$B$13:$Q$112,13,FALSE),0)+SUMIFS($S$7:$S$506,$C$7:$C$506,C439,$B$7:$B$506,"&lt;"&amp;B439)+SUMIFS(S$7:S439,C$7:C439,C439,B$7:B439,B439))</f>
        <v/>
      </c>
      <c r="V439">
        <f>IF(S439=0,0,IFERROR(VLOOKUP(C439,'Example Parties'!$B$13:$Q$112,14,FALSE),0)+SUMIFS($T$7:$T$506,$C$7:$C$506,C439,$B$7:$B$506,"&lt;="&amp;'Example Outstanding'!$E$5))</f>
        <v/>
      </c>
      <c r="W439">
        <f>IF(OR('Example Outstanding'!$E$5="",S439=0,B439="",B439&gt;'Example Outstanding'!$E$5),0,MAX(0,MIN(S439,U439-V439)))</f>
        <v/>
      </c>
      <c r="X439">
        <f>IF(C439="",0,IFERROR(VLOOKUP(C439,'Example Parties'!$B$13:$Q$112,15,FALSE),0))</f>
        <v/>
      </c>
      <c r="Y439">
        <f>IF(C439="","",IFERROR(VLOOKUP(C439,'Example Parties'!$B$13:$Q$112,16,FALSE),0))</f>
        <v/>
      </c>
      <c r="Z439">
        <f>IF(OR(S439=0,B439="",Y439=""),"",IF(AND(F439&lt;&gt;"",D439="Purchase bill"),F439,B439)+Y439)</f>
        <v/>
      </c>
      <c r="AA439">
        <f>IF(OR(W439=0,Z439=""),0,MAX(0,'Example Outstanding'!$E$5-Z439))</f>
        <v/>
      </c>
      <c r="AB439">
        <f>IF(AND(X439=1,AA439&gt;0),W439*((1+3*N('Example Parties'!$E$10)/12)^(AA439*12/365)-1),0)</f>
        <v/>
      </c>
      <c r="AC439">
        <f>IF(W439=0,"",'Example Outstanding'!$E$5-B439)</f>
        <v/>
      </c>
      <c r="AD439">
        <f>IF(S439=0,0,IFERROR(VLOOKUP(C439,'Example Parties'!$B$13:$Q$112,14,FALSE),0)+SUMIFS($T$7:$T$506,$C$7:$C$506,C439,$B$7:$B$506,"&lt;="&amp;'Example Parties'!$E$8))</f>
        <v/>
      </c>
      <c r="AE439">
        <f>IF(OR('Example Parties'!$E$8="",S439=0,B439="",B439&gt;'Example Parties'!$E$8),0,MAX(0,MIN(S439,U439-AD439)))</f>
        <v/>
      </c>
      <c r="AF439">
        <f>IF(AND(P439="Creditor",X439=1,AE439&gt;0,Z439&lt;&gt;""),IF(Z439&lt;='Example Parties'!$E$8,AE439,0),0)</f>
        <v/>
      </c>
      <c r="AG439">
        <f>IF(OR(AE439=0,Z439=""),0,MAX(0,'Example Parties'!$E$8-Z439))</f>
        <v/>
      </c>
      <c r="AH439">
        <f>IF(AND(P439="Creditor",X439=1,AG439&gt;0),AE439*((1+3*N('Example Parties'!$E$10)/12)^(AG439*12/365)-1),0)</f>
        <v/>
      </c>
      <c r="AI439">
        <f>IF(AND(C439&lt;&gt;"",C439='Example Ledger'!$D$4,B439&lt;&gt;"",B439&gt;='Example Ledger'!$D$5,B439&lt;='Example Ledger'!$D$6),1,0)</f>
        <v/>
      </c>
      <c r="AJ439">
        <f>IF(AI439=1,SUM(AI$7:AI439),"")</f>
        <v/>
      </c>
      <c r="AK439">
        <f>IF(OR(N439="",N439="OK"),0,1)</f>
        <v/>
      </c>
    </row>
    <row r="440">
      <c r="B440" s="24" t="n"/>
      <c r="C440" s="14" t="n"/>
      <c r="D440" s="14" t="n"/>
      <c r="E440" s="20" t="n"/>
      <c r="F440" s="24" t="n"/>
      <c r="G440" s="14" t="n"/>
      <c r="H440" s="22" t="n"/>
      <c r="I440" s="25">
        <f>IF(Q440="D",N(H440),0)</f>
        <v/>
      </c>
      <c r="J440" s="25">
        <f>IF(Q440="C",N(H440),0)</f>
        <v/>
      </c>
      <c r="K440" s="26">
        <f>IF(Z440="","",Z440)</f>
        <v/>
      </c>
      <c r="L440" s="27">
        <f>W440</f>
        <v/>
      </c>
      <c r="M440" s="28">
        <f>AA440</f>
        <v/>
      </c>
      <c r="N440" s="23">
        <f>IF(AND(B440="",C440="",D440="",N(H440)=0),"",IF(B440="","Enter the date",IF(C440="","Pick the party",IF(P440="?","Add this party on the Parties sheet first",IF(D440="","Pick the entry type",IF(Q440="?","Pick the entry type from the list",IF(N(H440)=0,"Enter the amount",IF(AND(R440&lt;&gt;"Any",R440&lt;&gt;P440),"Sales, receipts and credit notes are for debtors; purchases, payments and debit notes for creditors",IF(AND(F440&lt;&gt;"",D440&lt;&gt;"Purchase bill"),"The received-on date is only for purchase bills",IF(AND(P440="Creditor",X440=1,AA440&gt;0),"Past due to a micro or small supplier: interest runs under MSMED s.16, and if unpaid at year end it is not deductible that year, s.37(2)(g)",IF(AND(P440="Debtor",X440=1,AA440&gt;0),"Past due to you: as a micro or small supplier you can claim interest under MSMED s.16","OK")))))))))))</f>
        <v/>
      </c>
      <c r="P440">
        <f>IF(C440="","",IFERROR(VLOOKUP(C440,'Example Parties'!$B$13:$Q$112,2,FALSE),"?"))</f>
        <v/>
      </c>
      <c r="Q440">
        <f>IF(D440="","",IFERROR(VLOOKUP(D440,Lists!$A$2:$D$9,3,FALSE),"?"))</f>
        <v/>
      </c>
      <c r="R440">
        <f>IF(D440="","",IFERROR(VLOOKUP(D440,Lists!$A$2:$D$9,4,FALSE),"?"))</f>
        <v/>
      </c>
      <c r="S440">
        <f>IF(P440="Debtor",I440,IF(P440="Creditor",J440,0))</f>
        <v/>
      </c>
      <c r="T440">
        <f>IF(P440="Debtor",J440,IF(P440="Creditor",I440,0))</f>
        <v/>
      </c>
      <c r="U440">
        <f>IF(OR(S440=0,B440=""),0,IFERROR(VLOOKUP(C440,'Example Parties'!$B$13:$Q$112,13,FALSE),0)+SUMIFS($S$7:$S$506,$C$7:$C$506,C440,$B$7:$B$506,"&lt;"&amp;B440)+SUMIFS(S$7:S440,C$7:C440,C440,B$7:B440,B440))</f>
        <v/>
      </c>
      <c r="V440">
        <f>IF(S440=0,0,IFERROR(VLOOKUP(C440,'Example Parties'!$B$13:$Q$112,14,FALSE),0)+SUMIFS($T$7:$T$506,$C$7:$C$506,C440,$B$7:$B$506,"&lt;="&amp;'Example Outstanding'!$E$5))</f>
        <v/>
      </c>
      <c r="W440">
        <f>IF(OR('Example Outstanding'!$E$5="",S440=0,B440="",B440&gt;'Example Outstanding'!$E$5),0,MAX(0,MIN(S440,U440-V440)))</f>
        <v/>
      </c>
      <c r="X440">
        <f>IF(C440="",0,IFERROR(VLOOKUP(C440,'Example Parties'!$B$13:$Q$112,15,FALSE),0))</f>
        <v/>
      </c>
      <c r="Y440">
        <f>IF(C440="","",IFERROR(VLOOKUP(C440,'Example Parties'!$B$13:$Q$112,16,FALSE),0))</f>
        <v/>
      </c>
      <c r="Z440">
        <f>IF(OR(S440=0,B440="",Y440=""),"",IF(AND(F440&lt;&gt;"",D440="Purchase bill"),F440,B440)+Y440)</f>
        <v/>
      </c>
      <c r="AA440">
        <f>IF(OR(W440=0,Z440=""),0,MAX(0,'Example Outstanding'!$E$5-Z440))</f>
        <v/>
      </c>
      <c r="AB440">
        <f>IF(AND(X440=1,AA440&gt;0),W440*((1+3*N('Example Parties'!$E$10)/12)^(AA440*12/365)-1),0)</f>
        <v/>
      </c>
      <c r="AC440">
        <f>IF(W440=0,"",'Example Outstanding'!$E$5-B440)</f>
        <v/>
      </c>
      <c r="AD440">
        <f>IF(S440=0,0,IFERROR(VLOOKUP(C440,'Example Parties'!$B$13:$Q$112,14,FALSE),0)+SUMIFS($T$7:$T$506,$C$7:$C$506,C440,$B$7:$B$506,"&lt;="&amp;'Example Parties'!$E$8))</f>
        <v/>
      </c>
      <c r="AE440">
        <f>IF(OR('Example Parties'!$E$8="",S440=0,B440="",B440&gt;'Example Parties'!$E$8),0,MAX(0,MIN(S440,U440-AD440)))</f>
        <v/>
      </c>
      <c r="AF440">
        <f>IF(AND(P440="Creditor",X440=1,AE440&gt;0,Z440&lt;&gt;""),IF(Z440&lt;='Example Parties'!$E$8,AE440,0),0)</f>
        <v/>
      </c>
      <c r="AG440">
        <f>IF(OR(AE440=0,Z440=""),0,MAX(0,'Example Parties'!$E$8-Z440))</f>
        <v/>
      </c>
      <c r="AH440">
        <f>IF(AND(P440="Creditor",X440=1,AG440&gt;0),AE440*((1+3*N('Example Parties'!$E$10)/12)^(AG440*12/365)-1),0)</f>
        <v/>
      </c>
      <c r="AI440">
        <f>IF(AND(C440&lt;&gt;"",C440='Example Ledger'!$D$4,B440&lt;&gt;"",B440&gt;='Example Ledger'!$D$5,B440&lt;='Example Ledger'!$D$6),1,0)</f>
        <v/>
      </c>
      <c r="AJ440">
        <f>IF(AI440=1,SUM(AI$7:AI440),"")</f>
        <v/>
      </c>
      <c r="AK440">
        <f>IF(OR(N440="",N440="OK"),0,1)</f>
        <v/>
      </c>
    </row>
    <row r="441">
      <c r="B441" s="24" t="n"/>
      <c r="C441" s="14" t="n"/>
      <c r="D441" s="14" t="n"/>
      <c r="E441" s="20" t="n"/>
      <c r="F441" s="24" t="n"/>
      <c r="G441" s="14" t="n"/>
      <c r="H441" s="22" t="n"/>
      <c r="I441" s="25">
        <f>IF(Q441="D",N(H441),0)</f>
        <v/>
      </c>
      <c r="J441" s="25">
        <f>IF(Q441="C",N(H441),0)</f>
        <v/>
      </c>
      <c r="K441" s="26">
        <f>IF(Z441="","",Z441)</f>
        <v/>
      </c>
      <c r="L441" s="27">
        <f>W441</f>
        <v/>
      </c>
      <c r="M441" s="28">
        <f>AA441</f>
        <v/>
      </c>
      <c r="N441" s="23">
        <f>IF(AND(B441="",C441="",D441="",N(H441)=0),"",IF(B441="","Enter the date",IF(C441="","Pick the party",IF(P441="?","Add this party on the Parties sheet first",IF(D441="","Pick the entry type",IF(Q441="?","Pick the entry type from the list",IF(N(H441)=0,"Enter the amount",IF(AND(R441&lt;&gt;"Any",R441&lt;&gt;P441),"Sales, receipts and credit notes are for debtors; purchases, payments and debit notes for creditors",IF(AND(F441&lt;&gt;"",D441&lt;&gt;"Purchase bill"),"The received-on date is only for purchase bills",IF(AND(P441="Creditor",X441=1,AA441&gt;0),"Past due to a micro or small supplier: interest runs under MSMED s.16, and if unpaid at year end it is not deductible that year, s.37(2)(g)",IF(AND(P441="Debtor",X441=1,AA441&gt;0),"Past due to you: as a micro or small supplier you can claim interest under MSMED s.16","OK")))))))))))</f>
        <v/>
      </c>
      <c r="P441">
        <f>IF(C441="","",IFERROR(VLOOKUP(C441,'Example Parties'!$B$13:$Q$112,2,FALSE),"?"))</f>
        <v/>
      </c>
      <c r="Q441">
        <f>IF(D441="","",IFERROR(VLOOKUP(D441,Lists!$A$2:$D$9,3,FALSE),"?"))</f>
        <v/>
      </c>
      <c r="R441">
        <f>IF(D441="","",IFERROR(VLOOKUP(D441,Lists!$A$2:$D$9,4,FALSE),"?"))</f>
        <v/>
      </c>
      <c r="S441">
        <f>IF(P441="Debtor",I441,IF(P441="Creditor",J441,0))</f>
        <v/>
      </c>
      <c r="T441">
        <f>IF(P441="Debtor",J441,IF(P441="Creditor",I441,0))</f>
        <v/>
      </c>
      <c r="U441">
        <f>IF(OR(S441=0,B441=""),0,IFERROR(VLOOKUP(C441,'Example Parties'!$B$13:$Q$112,13,FALSE),0)+SUMIFS($S$7:$S$506,$C$7:$C$506,C441,$B$7:$B$506,"&lt;"&amp;B441)+SUMIFS(S$7:S441,C$7:C441,C441,B$7:B441,B441))</f>
        <v/>
      </c>
      <c r="V441">
        <f>IF(S441=0,0,IFERROR(VLOOKUP(C441,'Example Parties'!$B$13:$Q$112,14,FALSE),0)+SUMIFS($T$7:$T$506,$C$7:$C$506,C441,$B$7:$B$506,"&lt;="&amp;'Example Outstanding'!$E$5))</f>
        <v/>
      </c>
      <c r="W441">
        <f>IF(OR('Example Outstanding'!$E$5="",S441=0,B441="",B441&gt;'Example Outstanding'!$E$5),0,MAX(0,MIN(S441,U441-V441)))</f>
        <v/>
      </c>
      <c r="X441">
        <f>IF(C441="",0,IFERROR(VLOOKUP(C441,'Example Parties'!$B$13:$Q$112,15,FALSE),0))</f>
        <v/>
      </c>
      <c r="Y441">
        <f>IF(C441="","",IFERROR(VLOOKUP(C441,'Example Parties'!$B$13:$Q$112,16,FALSE),0))</f>
        <v/>
      </c>
      <c r="Z441">
        <f>IF(OR(S441=0,B441="",Y441=""),"",IF(AND(F441&lt;&gt;"",D441="Purchase bill"),F441,B441)+Y441)</f>
        <v/>
      </c>
      <c r="AA441">
        <f>IF(OR(W441=0,Z441=""),0,MAX(0,'Example Outstanding'!$E$5-Z441))</f>
        <v/>
      </c>
      <c r="AB441">
        <f>IF(AND(X441=1,AA441&gt;0),W441*((1+3*N('Example Parties'!$E$10)/12)^(AA441*12/365)-1),0)</f>
        <v/>
      </c>
      <c r="AC441">
        <f>IF(W441=0,"",'Example Outstanding'!$E$5-B441)</f>
        <v/>
      </c>
      <c r="AD441">
        <f>IF(S441=0,0,IFERROR(VLOOKUP(C441,'Example Parties'!$B$13:$Q$112,14,FALSE),0)+SUMIFS($T$7:$T$506,$C$7:$C$506,C441,$B$7:$B$506,"&lt;="&amp;'Example Parties'!$E$8))</f>
        <v/>
      </c>
      <c r="AE441">
        <f>IF(OR('Example Parties'!$E$8="",S441=0,B441="",B441&gt;'Example Parties'!$E$8),0,MAX(0,MIN(S441,U441-AD441)))</f>
        <v/>
      </c>
      <c r="AF441">
        <f>IF(AND(P441="Creditor",X441=1,AE441&gt;0,Z441&lt;&gt;""),IF(Z441&lt;='Example Parties'!$E$8,AE441,0),0)</f>
        <v/>
      </c>
      <c r="AG441">
        <f>IF(OR(AE441=0,Z441=""),0,MAX(0,'Example Parties'!$E$8-Z441))</f>
        <v/>
      </c>
      <c r="AH441">
        <f>IF(AND(P441="Creditor",X441=1,AG441&gt;0),AE441*((1+3*N('Example Parties'!$E$10)/12)^(AG441*12/365)-1),0)</f>
        <v/>
      </c>
      <c r="AI441">
        <f>IF(AND(C441&lt;&gt;"",C441='Example Ledger'!$D$4,B441&lt;&gt;"",B441&gt;='Example Ledger'!$D$5,B441&lt;='Example Ledger'!$D$6),1,0)</f>
        <v/>
      </c>
      <c r="AJ441">
        <f>IF(AI441=1,SUM(AI$7:AI441),"")</f>
        <v/>
      </c>
      <c r="AK441">
        <f>IF(OR(N441="",N441="OK"),0,1)</f>
        <v/>
      </c>
    </row>
    <row r="442">
      <c r="B442" s="24" t="n"/>
      <c r="C442" s="14" t="n"/>
      <c r="D442" s="14" t="n"/>
      <c r="E442" s="20" t="n"/>
      <c r="F442" s="24" t="n"/>
      <c r="G442" s="14" t="n"/>
      <c r="H442" s="22" t="n"/>
      <c r="I442" s="25">
        <f>IF(Q442="D",N(H442),0)</f>
        <v/>
      </c>
      <c r="J442" s="25">
        <f>IF(Q442="C",N(H442),0)</f>
        <v/>
      </c>
      <c r="K442" s="26">
        <f>IF(Z442="","",Z442)</f>
        <v/>
      </c>
      <c r="L442" s="27">
        <f>W442</f>
        <v/>
      </c>
      <c r="M442" s="28">
        <f>AA442</f>
        <v/>
      </c>
      <c r="N442" s="23">
        <f>IF(AND(B442="",C442="",D442="",N(H442)=0),"",IF(B442="","Enter the date",IF(C442="","Pick the party",IF(P442="?","Add this party on the Parties sheet first",IF(D442="","Pick the entry type",IF(Q442="?","Pick the entry type from the list",IF(N(H442)=0,"Enter the amount",IF(AND(R442&lt;&gt;"Any",R442&lt;&gt;P442),"Sales, receipts and credit notes are for debtors; purchases, payments and debit notes for creditors",IF(AND(F442&lt;&gt;"",D442&lt;&gt;"Purchase bill"),"The received-on date is only for purchase bills",IF(AND(P442="Creditor",X442=1,AA442&gt;0),"Past due to a micro or small supplier: interest runs under MSMED s.16, and if unpaid at year end it is not deductible that year, s.37(2)(g)",IF(AND(P442="Debtor",X442=1,AA442&gt;0),"Past due to you: as a micro or small supplier you can claim interest under MSMED s.16","OK")))))))))))</f>
        <v/>
      </c>
      <c r="P442">
        <f>IF(C442="","",IFERROR(VLOOKUP(C442,'Example Parties'!$B$13:$Q$112,2,FALSE),"?"))</f>
        <v/>
      </c>
      <c r="Q442">
        <f>IF(D442="","",IFERROR(VLOOKUP(D442,Lists!$A$2:$D$9,3,FALSE),"?"))</f>
        <v/>
      </c>
      <c r="R442">
        <f>IF(D442="","",IFERROR(VLOOKUP(D442,Lists!$A$2:$D$9,4,FALSE),"?"))</f>
        <v/>
      </c>
      <c r="S442">
        <f>IF(P442="Debtor",I442,IF(P442="Creditor",J442,0))</f>
        <v/>
      </c>
      <c r="T442">
        <f>IF(P442="Debtor",J442,IF(P442="Creditor",I442,0))</f>
        <v/>
      </c>
      <c r="U442">
        <f>IF(OR(S442=0,B442=""),0,IFERROR(VLOOKUP(C442,'Example Parties'!$B$13:$Q$112,13,FALSE),0)+SUMIFS($S$7:$S$506,$C$7:$C$506,C442,$B$7:$B$506,"&lt;"&amp;B442)+SUMIFS(S$7:S442,C$7:C442,C442,B$7:B442,B442))</f>
        <v/>
      </c>
      <c r="V442">
        <f>IF(S442=0,0,IFERROR(VLOOKUP(C442,'Example Parties'!$B$13:$Q$112,14,FALSE),0)+SUMIFS($T$7:$T$506,$C$7:$C$506,C442,$B$7:$B$506,"&lt;="&amp;'Example Outstanding'!$E$5))</f>
        <v/>
      </c>
      <c r="W442">
        <f>IF(OR('Example Outstanding'!$E$5="",S442=0,B442="",B442&gt;'Example Outstanding'!$E$5),0,MAX(0,MIN(S442,U442-V442)))</f>
        <v/>
      </c>
      <c r="X442">
        <f>IF(C442="",0,IFERROR(VLOOKUP(C442,'Example Parties'!$B$13:$Q$112,15,FALSE),0))</f>
        <v/>
      </c>
      <c r="Y442">
        <f>IF(C442="","",IFERROR(VLOOKUP(C442,'Example Parties'!$B$13:$Q$112,16,FALSE),0))</f>
        <v/>
      </c>
      <c r="Z442">
        <f>IF(OR(S442=0,B442="",Y442=""),"",IF(AND(F442&lt;&gt;"",D442="Purchase bill"),F442,B442)+Y442)</f>
        <v/>
      </c>
      <c r="AA442">
        <f>IF(OR(W442=0,Z442=""),0,MAX(0,'Example Outstanding'!$E$5-Z442))</f>
        <v/>
      </c>
      <c r="AB442">
        <f>IF(AND(X442=1,AA442&gt;0),W442*((1+3*N('Example Parties'!$E$10)/12)^(AA442*12/365)-1),0)</f>
        <v/>
      </c>
      <c r="AC442">
        <f>IF(W442=0,"",'Example Outstanding'!$E$5-B442)</f>
        <v/>
      </c>
      <c r="AD442">
        <f>IF(S442=0,0,IFERROR(VLOOKUP(C442,'Example Parties'!$B$13:$Q$112,14,FALSE),0)+SUMIFS($T$7:$T$506,$C$7:$C$506,C442,$B$7:$B$506,"&lt;="&amp;'Example Parties'!$E$8))</f>
        <v/>
      </c>
      <c r="AE442">
        <f>IF(OR('Example Parties'!$E$8="",S442=0,B442="",B442&gt;'Example Parties'!$E$8),0,MAX(0,MIN(S442,U442-AD442)))</f>
        <v/>
      </c>
      <c r="AF442">
        <f>IF(AND(P442="Creditor",X442=1,AE442&gt;0,Z442&lt;&gt;""),IF(Z442&lt;='Example Parties'!$E$8,AE442,0),0)</f>
        <v/>
      </c>
      <c r="AG442">
        <f>IF(OR(AE442=0,Z442=""),0,MAX(0,'Example Parties'!$E$8-Z442))</f>
        <v/>
      </c>
      <c r="AH442">
        <f>IF(AND(P442="Creditor",X442=1,AG442&gt;0),AE442*((1+3*N('Example Parties'!$E$10)/12)^(AG442*12/365)-1),0)</f>
        <v/>
      </c>
      <c r="AI442">
        <f>IF(AND(C442&lt;&gt;"",C442='Example Ledger'!$D$4,B442&lt;&gt;"",B442&gt;='Example Ledger'!$D$5,B442&lt;='Example Ledger'!$D$6),1,0)</f>
        <v/>
      </c>
      <c r="AJ442">
        <f>IF(AI442=1,SUM(AI$7:AI442),"")</f>
        <v/>
      </c>
      <c r="AK442">
        <f>IF(OR(N442="",N442="OK"),0,1)</f>
        <v/>
      </c>
    </row>
    <row r="443">
      <c r="B443" s="24" t="n"/>
      <c r="C443" s="14" t="n"/>
      <c r="D443" s="14" t="n"/>
      <c r="E443" s="20" t="n"/>
      <c r="F443" s="24" t="n"/>
      <c r="G443" s="14" t="n"/>
      <c r="H443" s="22" t="n"/>
      <c r="I443" s="25">
        <f>IF(Q443="D",N(H443),0)</f>
        <v/>
      </c>
      <c r="J443" s="25">
        <f>IF(Q443="C",N(H443),0)</f>
        <v/>
      </c>
      <c r="K443" s="26">
        <f>IF(Z443="","",Z443)</f>
        <v/>
      </c>
      <c r="L443" s="27">
        <f>W443</f>
        <v/>
      </c>
      <c r="M443" s="28">
        <f>AA443</f>
        <v/>
      </c>
      <c r="N443" s="23">
        <f>IF(AND(B443="",C443="",D443="",N(H443)=0),"",IF(B443="","Enter the date",IF(C443="","Pick the party",IF(P443="?","Add this party on the Parties sheet first",IF(D443="","Pick the entry type",IF(Q443="?","Pick the entry type from the list",IF(N(H443)=0,"Enter the amount",IF(AND(R443&lt;&gt;"Any",R443&lt;&gt;P443),"Sales, receipts and credit notes are for debtors; purchases, payments and debit notes for creditors",IF(AND(F443&lt;&gt;"",D443&lt;&gt;"Purchase bill"),"The received-on date is only for purchase bills",IF(AND(P443="Creditor",X443=1,AA443&gt;0),"Past due to a micro or small supplier: interest runs under MSMED s.16, and if unpaid at year end it is not deductible that year, s.37(2)(g)",IF(AND(P443="Debtor",X443=1,AA443&gt;0),"Past due to you: as a micro or small supplier you can claim interest under MSMED s.16","OK")))))))))))</f>
        <v/>
      </c>
      <c r="P443">
        <f>IF(C443="","",IFERROR(VLOOKUP(C443,'Example Parties'!$B$13:$Q$112,2,FALSE),"?"))</f>
        <v/>
      </c>
      <c r="Q443">
        <f>IF(D443="","",IFERROR(VLOOKUP(D443,Lists!$A$2:$D$9,3,FALSE),"?"))</f>
        <v/>
      </c>
      <c r="R443">
        <f>IF(D443="","",IFERROR(VLOOKUP(D443,Lists!$A$2:$D$9,4,FALSE),"?"))</f>
        <v/>
      </c>
      <c r="S443">
        <f>IF(P443="Debtor",I443,IF(P443="Creditor",J443,0))</f>
        <v/>
      </c>
      <c r="T443">
        <f>IF(P443="Debtor",J443,IF(P443="Creditor",I443,0))</f>
        <v/>
      </c>
      <c r="U443">
        <f>IF(OR(S443=0,B443=""),0,IFERROR(VLOOKUP(C443,'Example Parties'!$B$13:$Q$112,13,FALSE),0)+SUMIFS($S$7:$S$506,$C$7:$C$506,C443,$B$7:$B$506,"&lt;"&amp;B443)+SUMIFS(S$7:S443,C$7:C443,C443,B$7:B443,B443))</f>
        <v/>
      </c>
      <c r="V443">
        <f>IF(S443=0,0,IFERROR(VLOOKUP(C443,'Example Parties'!$B$13:$Q$112,14,FALSE),0)+SUMIFS($T$7:$T$506,$C$7:$C$506,C443,$B$7:$B$506,"&lt;="&amp;'Example Outstanding'!$E$5))</f>
        <v/>
      </c>
      <c r="W443">
        <f>IF(OR('Example Outstanding'!$E$5="",S443=0,B443="",B443&gt;'Example Outstanding'!$E$5),0,MAX(0,MIN(S443,U443-V443)))</f>
        <v/>
      </c>
      <c r="X443">
        <f>IF(C443="",0,IFERROR(VLOOKUP(C443,'Example Parties'!$B$13:$Q$112,15,FALSE),0))</f>
        <v/>
      </c>
      <c r="Y443">
        <f>IF(C443="","",IFERROR(VLOOKUP(C443,'Example Parties'!$B$13:$Q$112,16,FALSE),0))</f>
        <v/>
      </c>
      <c r="Z443">
        <f>IF(OR(S443=0,B443="",Y443=""),"",IF(AND(F443&lt;&gt;"",D443="Purchase bill"),F443,B443)+Y443)</f>
        <v/>
      </c>
      <c r="AA443">
        <f>IF(OR(W443=0,Z443=""),0,MAX(0,'Example Outstanding'!$E$5-Z443))</f>
        <v/>
      </c>
      <c r="AB443">
        <f>IF(AND(X443=1,AA443&gt;0),W443*((1+3*N('Example Parties'!$E$10)/12)^(AA443*12/365)-1),0)</f>
        <v/>
      </c>
      <c r="AC443">
        <f>IF(W443=0,"",'Example Outstanding'!$E$5-B443)</f>
        <v/>
      </c>
      <c r="AD443">
        <f>IF(S443=0,0,IFERROR(VLOOKUP(C443,'Example Parties'!$B$13:$Q$112,14,FALSE),0)+SUMIFS($T$7:$T$506,$C$7:$C$506,C443,$B$7:$B$506,"&lt;="&amp;'Example Parties'!$E$8))</f>
        <v/>
      </c>
      <c r="AE443">
        <f>IF(OR('Example Parties'!$E$8="",S443=0,B443="",B443&gt;'Example Parties'!$E$8),0,MAX(0,MIN(S443,U443-AD443)))</f>
        <v/>
      </c>
      <c r="AF443">
        <f>IF(AND(P443="Creditor",X443=1,AE443&gt;0,Z443&lt;&gt;""),IF(Z443&lt;='Example Parties'!$E$8,AE443,0),0)</f>
        <v/>
      </c>
      <c r="AG443">
        <f>IF(OR(AE443=0,Z443=""),0,MAX(0,'Example Parties'!$E$8-Z443))</f>
        <v/>
      </c>
      <c r="AH443">
        <f>IF(AND(P443="Creditor",X443=1,AG443&gt;0),AE443*((1+3*N('Example Parties'!$E$10)/12)^(AG443*12/365)-1),0)</f>
        <v/>
      </c>
      <c r="AI443">
        <f>IF(AND(C443&lt;&gt;"",C443='Example Ledger'!$D$4,B443&lt;&gt;"",B443&gt;='Example Ledger'!$D$5,B443&lt;='Example Ledger'!$D$6),1,0)</f>
        <v/>
      </c>
      <c r="AJ443">
        <f>IF(AI443=1,SUM(AI$7:AI443),"")</f>
        <v/>
      </c>
      <c r="AK443">
        <f>IF(OR(N443="",N443="OK"),0,1)</f>
        <v/>
      </c>
    </row>
    <row r="444">
      <c r="B444" s="24" t="n"/>
      <c r="C444" s="14" t="n"/>
      <c r="D444" s="14" t="n"/>
      <c r="E444" s="20" t="n"/>
      <c r="F444" s="24" t="n"/>
      <c r="G444" s="14" t="n"/>
      <c r="H444" s="22" t="n"/>
      <c r="I444" s="25">
        <f>IF(Q444="D",N(H444),0)</f>
        <v/>
      </c>
      <c r="J444" s="25">
        <f>IF(Q444="C",N(H444),0)</f>
        <v/>
      </c>
      <c r="K444" s="26">
        <f>IF(Z444="","",Z444)</f>
        <v/>
      </c>
      <c r="L444" s="27">
        <f>W444</f>
        <v/>
      </c>
      <c r="M444" s="28">
        <f>AA444</f>
        <v/>
      </c>
      <c r="N444" s="23">
        <f>IF(AND(B444="",C444="",D444="",N(H444)=0),"",IF(B444="","Enter the date",IF(C444="","Pick the party",IF(P444="?","Add this party on the Parties sheet first",IF(D444="","Pick the entry type",IF(Q444="?","Pick the entry type from the list",IF(N(H444)=0,"Enter the amount",IF(AND(R444&lt;&gt;"Any",R444&lt;&gt;P444),"Sales, receipts and credit notes are for debtors; purchases, payments and debit notes for creditors",IF(AND(F444&lt;&gt;"",D444&lt;&gt;"Purchase bill"),"The received-on date is only for purchase bills",IF(AND(P444="Creditor",X444=1,AA444&gt;0),"Past due to a micro or small supplier: interest runs under MSMED s.16, and if unpaid at year end it is not deductible that year, s.37(2)(g)",IF(AND(P444="Debtor",X444=1,AA444&gt;0),"Past due to you: as a micro or small supplier you can claim interest under MSMED s.16","OK")))))))))))</f>
        <v/>
      </c>
      <c r="P444">
        <f>IF(C444="","",IFERROR(VLOOKUP(C444,'Example Parties'!$B$13:$Q$112,2,FALSE),"?"))</f>
        <v/>
      </c>
      <c r="Q444">
        <f>IF(D444="","",IFERROR(VLOOKUP(D444,Lists!$A$2:$D$9,3,FALSE),"?"))</f>
        <v/>
      </c>
      <c r="R444">
        <f>IF(D444="","",IFERROR(VLOOKUP(D444,Lists!$A$2:$D$9,4,FALSE),"?"))</f>
        <v/>
      </c>
      <c r="S444">
        <f>IF(P444="Debtor",I444,IF(P444="Creditor",J444,0))</f>
        <v/>
      </c>
      <c r="T444">
        <f>IF(P444="Debtor",J444,IF(P444="Creditor",I444,0))</f>
        <v/>
      </c>
      <c r="U444">
        <f>IF(OR(S444=0,B444=""),0,IFERROR(VLOOKUP(C444,'Example Parties'!$B$13:$Q$112,13,FALSE),0)+SUMIFS($S$7:$S$506,$C$7:$C$506,C444,$B$7:$B$506,"&lt;"&amp;B444)+SUMIFS(S$7:S444,C$7:C444,C444,B$7:B444,B444))</f>
        <v/>
      </c>
      <c r="V444">
        <f>IF(S444=0,0,IFERROR(VLOOKUP(C444,'Example Parties'!$B$13:$Q$112,14,FALSE),0)+SUMIFS($T$7:$T$506,$C$7:$C$506,C444,$B$7:$B$506,"&lt;="&amp;'Example Outstanding'!$E$5))</f>
        <v/>
      </c>
      <c r="W444">
        <f>IF(OR('Example Outstanding'!$E$5="",S444=0,B444="",B444&gt;'Example Outstanding'!$E$5),0,MAX(0,MIN(S444,U444-V444)))</f>
        <v/>
      </c>
      <c r="X444">
        <f>IF(C444="",0,IFERROR(VLOOKUP(C444,'Example Parties'!$B$13:$Q$112,15,FALSE),0))</f>
        <v/>
      </c>
      <c r="Y444">
        <f>IF(C444="","",IFERROR(VLOOKUP(C444,'Example Parties'!$B$13:$Q$112,16,FALSE),0))</f>
        <v/>
      </c>
      <c r="Z444">
        <f>IF(OR(S444=0,B444="",Y444=""),"",IF(AND(F444&lt;&gt;"",D444="Purchase bill"),F444,B444)+Y444)</f>
        <v/>
      </c>
      <c r="AA444">
        <f>IF(OR(W444=0,Z444=""),0,MAX(0,'Example Outstanding'!$E$5-Z444))</f>
        <v/>
      </c>
      <c r="AB444">
        <f>IF(AND(X444=1,AA444&gt;0),W444*((1+3*N('Example Parties'!$E$10)/12)^(AA444*12/365)-1),0)</f>
        <v/>
      </c>
      <c r="AC444">
        <f>IF(W444=0,"",'Example Outstanding'!$E$5-B444)</f>
        <v/>
      </c>
      <c r="AD444">
        <f>IF(S444=0,0,IFERROR(VLOOKUP(C444,'Example Parties'!$B$13:$Q$112,14,FALSE),0)+SUMIFS($T$7:$T$506,$C$7:$C$506,C444,$B$7:$B$506,"&lt;="&amp;'Example Parties'!$E$8))</f>
        <v/>
      </c>
      <c r="AE444">
        <f>IF(OR('Example Parties'!$E$8="",S444=0,B444="",B444&gt;'Example Parties'!$E$8),0,MAX(0,MIN(S444,U444-AD444)))</f>
        <v/>
      </c>
      <c r="AF444">
        <f>IF(AND(P444="Creditor",X444=1,AE444&gt;0,Z444&lt;&gt;""),IF(Z444&lt;='Example Parties'!$E$8,AE444,0),0)</f>
        <v/>
      </c>
      <c r="AG444">
        <f>IF(OR(AE444=0,Z444=""),0,MAX(0,'Example Parties'!$E$8-Z444))</f>
        <v/>
      </c>
      <c r="AH444">
        <f>IF(AND(P444="Creditor",X444=1,AG444&gt;0),AE444*((1+3*N('Example Parties'!$E$10)/12)^(AG444*12/365)-1),0)</f>
        <v/>
      </c>
      <c r="AI444">
        <f>IF(AND(C444&lt;&gt;"",C444='Example Ledger'!$D$4,B444&lt;&gt;"",B444&gt;='Example Ledger'!$D$5,B444&lt;='Example Ledger'!$D$6),1,0)</f>
        <v/>
      </c>
      <c r="AJ444">
        <f>IF(AI444=1,SUM(AI$7:AI444),"")</f>
        <v/>
      </c>
      <c r="AK444">
        <f>IF(OR(N444="",N444="OK"),0,1)</f>
        <v/>
      </c>
    </row>
    <row r="445">
      <c r="B445" s="24" t="n"/>
      <c r="C445" s="14" t="n"/>
      <c r="D445" s="14" t="n"/>
      <c r="E445" s="20" t="n"/>
      <c r="F445" s="24" t="n"/>
      <c r="G445" s="14" t="n"/>
      <c r="H445" s="22" t="n"/>
      <c r="I445" s="25">
        <f>IF(Q445="D",N(H445),0)</f>
        <v/>
      </c>
      <c r="J445" s="25">
        <f>IF(Q445="C",N(H445),0)</f>
        <v/>
      </c>
      <c r="K445" s="26">
        <f>IF(Z445="","",Z445)</f>
        <v/>
      </c>
      <c r="L445" s="27">
        <f>W445</f>
        <v/>
      </c>
      <c r="M445" s="28">
        <f>AA445</f>
        <v/>
      </c>
      <c r="N445" s="23">
        <f>IF(AND(B445="",C445="",D445="",N(H445)=0),"",IF(B445="","Enter the date",IF(C445="","Pick the party",IF(P445="?","Add this party on the Parties sheet first",IF(D445="","Pick the entry type",IF(Q445="?","Pick the entry type from the list",IF(N(H445)=0,"Enter the amount",IF(AND(R445&lt;&gt;"Any",R445&lt;&gt;P445),"Sales, receipts and credit notes are for debtors; purchases, payments and debit notes for creditors",IF(AND(F445&lt;&gt;"",D445&lt;&gt;"Purchase bill"),"The received-on date is only for purchase bills",IF(AND(P445="Creditor",X445=1,AA445&gt;0),"Past due to a micro or small supplier: interest runs under MSMED s.16, and if unpaid at year end it is not deductible that year, s.37(2)(g)",IF(AND(P445="Debtor",X445=1,AA445&gt;0),"Past due to you: as a micro or small supplier you can claim interest under MSMED s.16","OK")))))))))))</f>
        <v/>
      </c>
      <c r="P445">
        <f>IF(C445="","",IFERROR(VLOOKUP(C445,'Example Parties'!$B$13:$Q$112,2,FALSE),"?"))</f>
        <v/>
      </c>
      <c r="Q445">
        <f>IF(D445="","",IFERROR(VLOOKUP(D445,Lists!$A$2:$D$9,3,FALSE),"?"))</f>
        <v/>
      </c>
      <c r="R445">
        <f>IF(D445="","",IFERROR(VLOOKUP(D445,Lists!$A$2:$D$9,4,FALSE),"?"))</f>
        <v/>
      </c>
      <c r="S445">
        <f>IF(P445="Debtor",I445,IF(P445="Creditor",J445,0))</f>
        <v/>
      </c>
      <c r="T445">
        <f>IF(P445="Debtor",J445,IF(P445="Creditor",I445,0))</f>
        <v/>
      </c>
      <c r="U445">
        <f>IF(OR(S445=0,B445=""),0,IFERROR(VLOOKUP(C445,'Example Parties'!$B$13:$Q$112,13,FALSE),0)+SUMIFS($S$7:$S$506,$C$7:$C$506,C445,$B$7:$B$506,"&lt;"&amp;B445)+SUMIFS(S$7:S445,C$7:C445,C445,B$7:B445,B445))</f>
        <v/>
      </c>
      <c r="V445">
        <f>IF(S445=0,0,IFERROR(VLOOKUP(C445,'Example Parties'!$B$13:$Q$112,14,FALSE),0)+SUMIFS($T$7:$T$506,$C$7:$C$506,C445,$B$7:$B$506,"&lt;="&amp;'Example Outstanding'!$E$5))</f>
        <v/>
      </c>
      <c r="W445">
        <f>IF(OR('Example Outstanding'!$E$5="",S445=0,B445="",B445&gt;'Example Outstanding'!$E$5),0,MAX(0,MIN(S445,U445-V445)))</f>
        <v/>
      </c>
      <c r="X445">
        <f>IF(C445="",0,IFERROR(VLOOKUP(C445,'Example Parties'!$B$13:$Q$112,15,FALSE),0))</f>
        <v/>
      </c>
      <c r="Y445">
        <f>IF(C445="","",IFERROR(VLOOKUP(C445,'Example Parties'!$B$13:$Q$112,16,FALSE),0))</f>
        <v/>
      </c>
      <c r="Z445">
        <f>IF(OR(S445=0,B445="",Y445=""),"",IF(AND(F445&lt;&gt;"",D445="Purchase bill"),F445,B445)+Y445)</f>
        <v/>
      </c>
      <c r="AA445">
        <f>IF(OR(W445=0,Z445=""),0,MAX(0,'Example Outstanding'!$E$5-Z445))</f>
        <v/>
      </c>
      <c r="AB445">
        <f>IF(AND(X445=1,AA445&gt;0),W445*((1+3*N('Example Parties'!$E$10)/12)^(AA445*12/365)-1),0)</f>
        <v/>
      </c>
      <c r="AC445">
        <f>IF(W445=0,"",'Example Outstanding'!$E$5-B445)</f>
        <v/>
      </c>
      <c r="AD445">
        <f>IF(S445=0,0,IFERROR(VLOOKUP(C445,'Example Parties'!$B$13:$Q$112,14,FALSE),0)+SUMIFS($T$7:$T$506,$C$7:$C$506,C445,$B$7:$B$506,"&lt;="&amp;'Example Parties'!$E$8))</f>
        <v/>
      </c>
      <c r="AE445">
        <f>IF(OR('Example Parties'!$E$8="",S445=0,B445="",B445&gt;'Example Parties'!$E$8),0,MAX(0,MIN(S445,U445-AD445)))</f>
        <v/>
      </c>
      <c r="AF445">
        <f>IF(AND(P445="Creditor",X445=1,AE445&gt;0,Z445&lt;&gt;""),IF(Z445&lt;='Example Parties'!$E$8,AE445,0),0)</f>
        <v/>
      </c>
      <c r="AG445">
        <f>IF(OR(AE445=0,Z445=""),0,MAX(0,'Example Parties'!$E$8-Z445))</f>
        <v/>
      </c>
      <c r="AH445">
        <f>IF(AND(P445="Creditor",X445=1,AG445&gt;0),AE445*((1+3*N('Example Parties'!$E$10)/12)^(AG445*12/365)-1),0)</f>
        <v/>
      </c>
      <c r="AI445">
        <f>IF(AND(C445&lt;&gt;"",C445='Example Ledger'!$D$4,B445&lt;&gt;"",B445&gt;='Example Ledger'!$D$5,B445&lt;='Example Ledger'!$D$6),1,0)</f>
        <v/>
      </c>
      <c r="AJ445">
        <f>IF(AI445=1,SUM(AI$7:AI445),"")</f>
        <v/>
      </c>
      <c r="AK445">
        <f>IF(OR(N445="",N445="OK"),0,1)</f>
        <v/>
      </c>
    </row>
    <row r="446">
      <c r="B446" s="24" t="n"/>
      <c r="C446" s="14" t="n"/>
      <c r="D446" s="14" t="n"/>
      <c r="E446" s="20" t="n"/>
      <c r="F446" s="24" t="n"/>
      <c r="G446" s="14" t="n"/>
      <c r="H446" s="22" t="n"/>
      <c r="I446" s="25">
        <f>IF(Q446="D",N(H446),0)</f>
        <v/>
      </c>
      <c r="J446" s="25">
        <f>IF(Q446="C",N(H446),0)</f>
        <v/>
      </c>
      <c r="K446" s="26">
        <f>IF(Z446="","",Z446)</f>
        <v/>
      </c>
      <c r="L446" s="27">
        <f>W446</f>
        <v/>
      </c>
      <c r="M446" s="28">
        <f>AA446</f>
        <v/>
      </c>
      <c r="N446" s="23">
        <f>IF(AND(B446="",C446="",D446="",N(H446)=0),"",IF(B446="","Enter the date",IF(C446="","Pick the party",IF(P446="?","Add this party on the Parties sheet first",IF(D446="","Pick the entry type",IF(Q446="?","Pick the entry type from the list",IF(N(H446)=0,"Enter the amount",IF(AND(R446&lt;&gt;"Any",R446&lt;&gt;P446),"Sales, receipts and credit notes are for debtors; purchases, payments and debit notes for creditors",IF(AND(F446&lt;&gt;"",D446&lt;&gt;"Purchase bill"),"The received-on date is only for purchase bills",IF(AND(P446="Creditor",X446=1,AA446&gt;0),"Past due to a micro or small supplier: interest runs under MSMED s.16, and if unpaid at year end it is not deductible that year, s.37(2)(g)",IF(AND(P446="Debtor",X446=1,AA446&gt;0),"Past due to you: as a micro or small supplier you can claim interest under MSMED s.16","OK")))))))))))</f>
        <v/>
      </c>
      <c r="P446">
        <f>IF(C446="","",IFERROR(VLOOKUP(C446,'Example Parties'!$B$13:$Q$112,2,FALSE),"?"))</f>
        <v/>
      </c>
      <c r="Q446">
        <f>IF(D446="","",IFERROR(VLOOKUP(D446,Lists!$A$2:$D$9,3,FALSE),"?"))</f>
        <v/>
      </c>
      <c r="R446">
        <f>IF(D446="","",IFERROR(VLOOKUP(D446,Lists!$A$2:$D$9,4,FALSE),"?"))</f>
        <v/>
      </c>
      <c r="S446">
        <f>IF(P446="Debtor",I446,IF(P446="Creditor",J446,0))</f>
        <v/>
      </c>
      <c r="T446">
        <f>IF(P446="Debtor",J446,IF(P446="Creditor",I446,0))</f>
        <v/>
      </c>
      <c r="U446">
        <f>IF(OR(S446=0,B446=""),0,IFERROR(VLOOKUP(C446,'Example Parties'!$B$13:$Q$112,13,FALSE),0)+SUMIFS($S$7:$S$506,$C$7:$C$506,C446,$B$7:$B$506,"&lt;"&amp;B446)+SUMIFS(S$7:S446,C$7:C446,C446,B$7:B446,B446))</f>
        <v/>
      </c>
      <c r="V446">
        <f>IF(S446=0,0,IFERROR(VLOOKUP(C446,'Example Parties'!$B$13:$Q$112,14,FALSE),0)+SUMIFS($T$7:$T$506,$C$7:$C$506,C446,$B$7:$B$506,"&lt;="&amp;'Example Outstanding'!$E$5))</f>
        <v/>
      </c>
      <c r="W446">
        <f>IF(OR('Example Outstanding'!$E$5="",S446=0,B446="",B446&gt;'Example Outstanding'!$E$5),0,MAX(0,MIN(S446,U446-V446)))</f>
        <v/>
      </c>
      <c r="X446">
        <f>IF(C446="",0,IFERROR(VLOOKUP(C446,'Example Parties'!$B$13:$Q$112,15,FALSE),0))</f>
        <v/>
      </c>
      <c r="Y446">
        <f>IF(C446="","",IFERROR(VLOOKUP(C446,'Example Parties'!$B$13:$Q$112,16,FALSE),0))</f>
        <v/>
      </c>
      <c r="Z446">
        <f>IF(OR(S446=0,B446="",Y446=""),"",IF(AND(F446&lt;&gt;"",D446="Purchase bill"),F446,B446)+Y446)</f>
        <v/>
      </c>
      <c r="AA446">
        <f>IF(OR(W446=0,Z446=""),0,MAX(0,'Example Outstanding'!$E$5-Z446))</f>
        <v/>
      </c>
      <c r="AB446">
        <f>IF(AND(X446=1,AA446&gt;0),W446*((1+3*N('Example Parties'!$E$10)/12)^(AA446*12/365)-1),0)</f>
        <v/>
      </c>
      <c r="AC446">
        <f>IF(W446=0,"",'Example Outstanding'!$E$5-B446)</f>
        <v/>
      </c>
      <c r="AD446">
        <f>IF(S446=0,0,IFERROR(VLOOKUP(C446,'Example Parties'!$B$13:$Q$112,14,FALSE),0)+SUMIFS($T$7:$T$506,$C$7:$C$506,C446,$B$7:$B$506,"&lt;="&amp;'Example Parties'!$E$8))</f>
        <v/>
      </c>
      <c r="AE446">
        <f>IF(OR('Example Parties'!$E$8="",S446=0,B446="",B446&gt;'Example Parties'!$E$8),0,MAX(0,MIN(S446,U446-AD446)))</f>
        <v/>
      </c>
      <c r="AF446">
        <f>IF(AND(P446="Creditor",X446=1,AE446&gt;0,Z446&lt;&gt;""),IF(Z446&lt;='Example Parties'!$E$8,AE446,0),0)</f>
        <v/>
      </c>
      <c r="AG446">
        <f>IF(OR(AE446=0,Z446=""),0,MAX(0,'Example Parties'!$E$8-Z446))</f>
        <v/>
      </c>
      <c r="AH446">
        <f>IF(AND(P446="Creditor",X446=1,AG446&gt;0),AE446*((1+3*N('Example Parties'!$E$10)/12)^(AG446*12/365)-1),0)</f>
        <v/>
      </c>
      <c r="AI446">
        <f>IF(AND(C446&lt;&gt;"",C446='Example Ledger'!$D$4,B446&lt;&gt;"",B446&gt;='Example Ledger'!$D$5,B446&lt;='Example Ledger'!$D$6),1,0)</f>
        <v/>
      </c>
      <c r="AJ446">
        <f>IF(AI446=1,SUM(AI$7:AI446),"")</f>
        <v/>
      </c>
      <c r="AK446">
        <f>IF(OR(N446="",N446="OK"),0,1)</f>
        <v/>
      </c>
    </row>
    <row r="447">
      <c r="B447" s="24" t="n"/>
      <c r="C447" s="14" t="n"/>
      <c r="D447" s="14" t="n"/>
      <c r="E447" s="20" t="n"/>
      <c r="F447" s="24" t="n"/>
      <c r="G447" s="14" t="n"/>
      <c r="H447" s="22" t="n"/>
      <c r="I447" s="25">
        <f>IF(Q447="D",N(H447),0)</f>
        <v/>
      </c>
      <c r="J447" s="25">
        <f>IF(Q447="C",N(H447),0)</f>
        <v/>
      </c>
      <c r="K447" s="26">
        <f>IF(Z447="","",Z447)</f>
        <v/>
      </c>
      <c r="L447" s="27">
        <f>W447</f>
        <v/>
      </c>
      <c r="M447" s="28">
        <f>AA447</f>
        <v/>
      </c>
      <c r="N447" s="23">
        <f>IF(AND(B447="",C447="",D447="",N(H447)=0),"",IF(B447="","Enter the date",IF(C447="","Pick the party",IF(P447="?","Add this party on the Parties sheet first",IF(D447="","Pick the entry type",IF(Q447="?","Pick the entry type from the list",IF(N(H447)=0,"Enter the amount",IF(AND(R447&lt;&gt;"Any",R447&lt;&gt;P447),"Sales, receipts and credit notes are for debtors; purchases, payments and debit notes for creditors",IF(AND(F447&lt;&gt;"",D447&lt;&gt;"Purchase bill"),"The received-on date is only for purchase bills",IF(AND(P447="Creditor",X447=1,AA447&gt;0),"Past due to a micro or small supplier: interest runs under MSMED s.16, and if unpaid at year end it is not deductible that year, s.37(2)(g)",IF(AND(P447="Debtor",X447=1,AA447&gt;0),"Past due to you: as a micro or small supplier you can claim interest under MSMED s.16","OK")))))))))))</f>
        <v/>
      </c>
      <c r="P447">
        <f>IF(C447="","",IFERROR(VLOOKUP(C447,'Example Parties'!$B$13:$Q$112,2,FALSE),"?"))</f>
        <v/>
      </c>
      <c r="Q447">
        <f>IF(D447="","",IFERROR(VLOOKUP(D447,Lists!$A$2:$D$9,3,FALSE),"?"))</f>
        <v/>
      </c>
      <c r="R447">
        <f>IF(D447="","",IFERROR(VLOOKUP(D447,Lists!$A$2:$D$9,4,FALSE),"?"))</f>
        <v/>
      </c>
      <c r="S447">
        <f>IF(P447="Debtor",I447,IF(P447="Creditor",J447,0))</f>
        <v/>
      </c>
      <c r="T447">
        <f>IF(P447="Debtor",J447,IF(P447="Creditor",I447,0))</f>
        <v/>
      </c>
      <c r="U447">
        <f>IF(OR(S447=0,B447=""),0,IFERROR(VLOOKUP(C447,'Example Parties'!$B$13:$Q$112,13,FALSE),0)+SUMIFS($S$7:$S$506,$C$7:$C$506,C447,$B$7:$B$506,"&lt;"&amp;B447)+SUMIFS(S$7:S447,C$7:C447,C447,B$7:B447,B447))</f>
        <v/>
      </c>
      <c r="V447">
        <f>IF(S447=0,0,IFERROR(VLOOKUP(C447,'Example Parties'!$B$13:$Q$112,14,FALSE),0)+SUMIFS($T$7:$T$506,$C$7:$C$506,C447,$B$7:$B$506,"&lt;="&amp;'Example Outstanding'!$E$5))</f>
        <v/>
      </c>
      <c r="W447">
        <f>IF(OR('Example Outstanding'!$E$5="",S447=0,B447="",B447&gt;'Example Outstanding'!$E$5),0,MAX(0,MIN(S447,U447-V447)))</f>
        <v/>
      </c>
      <c r="X447">
        <f>IF(C447="",0,IFERROR(VLOOKUP(C447,'Example Parties'!$B$13:$Q$112,15,FALSE),0))</f>
        <v/>
      </c>
      <c r="Y447">
        <f>IF(C447="","",IFERROR(VLOOKUP(C447,'Example Parties'!$B$13:$Q$112,16,FALSE),0))</f>
        <v/>
      </c>
      <c r="Z447">
        <f>IF(OR(S447=0,B447="",Y447=""),"",IF(AND(F447&lt;&gt;"",D447="Purchase bill"),F447,B447)+Y447)</f>
        <v/>
      </c>
      <c r="AA447">
        <f>IF(OR(W447=0,Z447=""),0,MAX(0,'Example Outstanding'!$E$5-Z447))</f>
        <v/>
      </c>
      <c r="AB447">
        <f>IF(AND(X447=1,AA447&gt;0),W447*((1+3*N('Example Parties'!$E$10)/12)^(AA447*12/365)-1),0)</f>
        <v/>
      </c>
      <c r="AC447">
        <f>IF(W447=0,"",'Example Outstanding'!$E$5-B447)</f>
        <v/>
      </c>
      <c r="AD447">
        <f>IF(S447=0,0,IFERROR(VLOOKUP(C447,'Example Parties'!$B$13:$Q$112,14,FALSE),0)+SUMIFS($T$7:$T$506,$C$7:$C$506,C447,$B$7:$B$506,"&lt;="&amp;'Example Parties'!$E$8))</f>
        <v/>
      </c>
      <c r="AE447">
        <f>IF(OR('Example Parties'!$E$8="",S447=0,B447="",B447&gt;'Example Parties'!$E$8),0,MAX(0,MIN(S447,U447-AD447)))</f>
        <v/>
      </c>
      <c r="AF447">
        <f>IF(AND(P447="Creditor",X447=1,AE447&gt;0,Z447&lt;&gt;""),IF(Z447&lt;='Example Parties'!$E$8,AE447,0),0)</f>
        <v/>
      </c>
      <c r="AG447">
        <f>IF(OR(AE447=0,Z447=""),0,MAX(0,'Example Parties'!$E$8-Z447))</f>
        <v/>
      </c>
      <c r="AH447">
        <f>IF(AND(P447="Creditor",X447=1,AG447&gt;0),AE447*((1+3*N('Example Parties'!$E$10)/12)^(AG447*12/365)-1),0)</f>
        <v/>
      </c>
      <c r="AI447">
        <f>IF(AND(C447&lt;&gt;"",C447='Example Ledger'!$D$4,B447&lt;&gt;"",B447&gt;='Example Ledger'!$D$5,B447&lt;='Example Ledger'!$D$6),1,0)</f>
        <v/>
      </c>
      <c r="AJ447">
        <f>IF(AI447=1,SUM(AI$7:AI447),"")</f>
        <v/>
      </c>
      <c r="AK447">
        <f>IF(OR(N447="",N447="OK"),0,1)</f>
        <v/>
      </c>
    </row>
    <row r="448">
      <c r="B448" s="24" t="n"/>
      <c r="C448" s="14" t="n"/>
      <c r="D448" s="14" t="n"/>
      <c r="E448" s="20" t="n"/>
      <c r="F448" s="24" t="n"/>
      <c r="G448" s="14" t="n"/>
      <c r="H448" s="22" t="n"/>
      <c r="I448" s="25">
        <f>IF(Q448="D",N(H448),0)</f>
        <v/>
      </c>
      <c r="J448" s="25">
        <f>IF(Q448="C",N(H448),0)</f>
        <v/>
      </c>
      <c r="K448" s="26">
        <f>IF(Z448="","",Z448)</f>
        <v/>
      </c>
      <c r="L448" s="27">
        <f>W448</f>
        <v/>
      </c>
      <c r="M448" s="28">
        <f>AA448</f>
        <v/>
      </c>
      <c r="N448" s="23">
        <f>IF(AND(B448="",C448="",D448="",N(H448)=0),"",IF(B448="","Enter the date",IF(C448="","Pick the party",IF(P448="?","Add this party on the Parties sheet first",IF(D448="","Pick the entry type",IF(Q448="?","Pick the entry type from the list",IF(N(H448)=0,"Enter the amount",IF(AND(R448&lt;&gt;"Any",R448&lt;&gt;P448),"Sales, receipts and credit notes are for debtors; purchases, payments and debit notes for creditors",IF(AND(F448&lt;&gt;"",D448&lt;&gt;"Purchase bill"),"The received-on date is only for purchase bills",IF(AND(P448="Creditor",X448=1,AA448&gt;0),"Past due to a micro or small supplier: interest runs under MSMED s.16, and if unpaid at year end it is not deductible that year, s.37(2)(g)",IF(AND(P448="Debtor",X448=1,AA448&gt;0),"Past due to you: as a micro or small supplier you can claim interest under MSMED s.16","OK")))))))))))</f>
        <v/>
      </c>
      <c r="P448">
        <f>IF(C448="","",IFERROR(VLOOKUP(C448,'Example Parties'!$B$13:$Q$112,2,FALSE),"?"))</f>
        <v/>
      </c>
      <c r="Q448">
        <f>IF(D448="","",IFERROR(VLOOKUP(D448,Lists!$A$2:$D$9,3,FALSE),"?"))</f>
        <v/>
      </c>
      <c r="R448">
        <f>IF(D448="","",IFERROR(VLOOKUP(D448,Lists!$A$2:$D$9,4,FALSE),"?"))</f>
        <v/>
      </c>
      <c r="S448">
        <f>IF(P448="Debtor",I448,IF(P448="Creditor",J448,0))</f>
        <v/>
      </c>
      <c r="T448">
        <f>IF(P448="Debtor",J448,IF(P448="Creditor",I448,0))</f>
        <v/>
      </c>
      <c r="U448">
        <f>IF(OR(S448=0,B448=""),0,IFERROR(VLOOKUP(C448,'Example Parties'!$B$13:$Q$112,13,FALSE),0)+SUMIFS($S$7:$S$506,$C$7:$C$506,C448,$B$7:$B$506,"&lt;"&amp;B448)+SUMIFS(S$7:S448,C$7:C448,C448,B$7:B448,B448))</f>
        <v/>
      </c>
      <c r="V448">
        <f>IF(S448=0,0,IFERROR(VLOOKUP(C448,'Example Parties'!$B$13:$Q$112,14,FALSE),0)+SUMIFS($T$7:$T$506,$C$7:$C$506,C448,$B$7:$B$506,"&lt;="&amp;'Example Outstanding'!$E$5))</f>
        <v/>
      </c>
      <c r="W448">
        <f>IF(OR('Example Outstanding'!$E$5="",S448=0,B448="",B448&gt;'Example Outstanding'!$E$5),0,MAX(0,MIN(S448,U448-V448)))</f>
        <v/>
      </c>
      <c r="X448">
        <f>IF(C448="",0,IFERROR(VLOOKUP(C448,'Example Parties'!$B$13:$Q$112,15,FALSE),0))</f>
        <v/>
      </c>
      <c r="Y448">
        <f>IF(C448="","",IFERROR(VLOOKUP(C448,'Example Parties'!$B$13:$Q$112,16,FALSE),0))</f>
        <v/>
      </c>
      <c r="Z448">
        <f>IF(OR(S448=0,B448="",Y448=""),"",IF(AND(F448&lt;&gt;"",D448="Purchase bill"),F448,B448)+Y448)</f>
        <v/>
      </c>
      <c r="AA448">
        <f>IF(OR(W448=0,Z448=""),0,MAX(0,'Example Outstanding'!$E$5-Z448))</f>
        <v/>
      </c>
      <c r="AB448">
        <f>IF(AND(X448=1,AA448&gt;0),W448*((1+3*N('Example Parties'!$E$10)/12)^(AA448*12/365)-1),0)</f>
        <v/>
      </c>
      <c r="AC448">
        <f>IF(W448=0,"",'Example Outstanding'!$E$5-B448)</f>
        <v/>
      </c>
      <c r="AD448">
        <f>IF(S448=0,0,IFERROR(VLOOKUP(C448,'Example Parties'!$B$13:$Q$112,14,FALSE),0)+SUMIFS($T$7:$T$506,$C$7:$C$506,C448,$B$7:$B$506,"&lt;="&amp;'Example Parties'!$E$8))</f>
        <v/>
      </c>
      <c r="AE448">
        <f>IF(OR('Example Parties'!$E$8="",S448=0,B448="",B448&gt;'Example Parties'!$E$8),0,MAX(0,MIN(S448,U448-AD448)))</f>
        <v/>
      </c>
      <c r="AF448">
        <f>IF(AND(P448="Creditor",X448=1,AE448&gt;0,Z448&lt;&gt;""),IF(Z448&lt;='Example Parties'!$E$8,AE448,0),0)</f>
        <v/>
      </c>
      <c r="AG448">
        <f>IF(OR(AE448=0,Z448=""),0,MAX(0,'Example Parties'!$E$8-Z448))</f>
        <v/>
      </c>
      <c r="AH448">
        <f>IF(AND(P448="Creditor",X448=1,AG448&gt;0),AE448*((1+3*N('Example Parties'!$E$10)/12)^(AG448*12/365)-1),0)</f>
        <v/>
      </c>
      <c r="AI448">
        <f>IF(AND(C448&lt;&gt;"",C448='Example Ledger'!$D$4,B448&lt;&gt;"",B448&gt;='Example Ledger'!$D$5,B448&lt;='Example Ledger'!$D$6),1,0)</f>
        <v/>
      </c>
      <c r="AJ448">
        <f>IF(AI448=1,SUM(AI$7:AI448),"")</f>
        <v/>
      </c>
      <c r="AK448">
        <f>IF(OR(N448="",N448="OK"),0,1)</f>
        <v/>
      </c>
    </row>
    <row r="449">
      <c r="B449" s="24" t="n"/>
      <c r="C449" s="14" t="n"/>
      <c r="D449" s="14" t="n"/>
      <c r="E449" s="20" t="n"/>
      <c r="F449" s="24" t="n"/>
      <c r="G449" s="14" t="n"/>
      <c r="H449" s="22" t="n"/>
      <c r="I449" s="25">
        <f>IF(Q449="D",N(H449),0)</f>
        <v/>
      </c>
      <c r="J449" s="25">
        <f>IF(Q449="C",N(H449),0)</f>
        <v/>
      </c>
      <c r="K449" s="26">
        <f>IF(Z449="","",Z449)</f>
        <v/>
      </c>
      <c r="L449" s="27">
        <f>W449</f>
        <v/>
      </c>
      <c r="M449" s="28">
        <f>AA449</f>
        <v/>
      </c>
      <c r="N449" s="23">
        <f>IF(AND(B449="",C449="",D449="",N(H449)=0),"",IF(B449="","Enter the date",IF(C449="","Pick the party",IF(P449="?","Add this party on the Parties sheet first",IF(D449="","Pick the entry type",IF(Q449="?","Pick the entry type from the list",IF(N(H449)=0,"Enter the amount",IF(AND(R449&lt;&gt;"Any",R449&lt;&gt;P449),"Sales, receipts and credit notes are for debtors; purchases, payments and debit notes for creditors",IF(AND(F449&lt;&gt;"",D449&lt;&gt;"Purchase bill"),"The received-on date is only for purchase bills",IF(AND(P449="Creditor",X449=1,AA449&gt;0),"Past due to a micro or small supplier: interest runs under MSMED s.16, and if unpaid at year end it is not deductible that year, s.37(2)(g)",IF(AND(P449="Debtor",X449=1,AA449&gt;0),"Past due to you: as a micro or small supplier you can claim interest under MSMED s.16","OK")))))))))))</f>
        <v/>
      </c>
      <c r="P449">
        <f>IF(C449="","",IFERROR(VLOOKUP(C449,'Example Parties'!$B$13:$Q$112,2,FALSE),"?"))</f>
        <v/>
      </c>
      <c r="Q449">
        <f>IF(D449="","",IFERROR(VLOOKUP(D449,Lists!$A$2:$D$9,3,FALSE),"?"))</f>
        <v/>
      </c>
      <c r="R449">
        <f>IF(D449="","",IFERROR(VLOOKUP(D449,Lists!$A$2:$D$9,4,FALSE),"?"))</f>
        <v/>
      </c>
      <c r="S449">
        <f>IF(P449="Debtor",I449,IF(P449="Creditor",J449,0))</f>
        <v/>
      </c>
      <c r="T449">
        <f>IF(P449="Debtor",J449,IF(P449="Creditor",I449,0))</f>
        <v/>
      </c>
      <c r="U449">
        <f>IF(OR(S449=0,B449=""),0,IFERROR(VLOOKUP(C449,'Example Parties'!$B$13:$Q$112,13,FALSE),0)+SUMIFS($S$7:$S$506,$C$7:$C$506,C449,$B$7:$B$506,"&lt;"&amp;B449)+SUMIFS(S$7:S449,C$7:C449,C449,B$7:B449,B449))</f>
        <v/>
      </c>
      <c r="V449">
        <f>IF(S449=0,0,IFERROR(VLOOKUP(C449,'Example Parties'!$B$13:$Q$112,14,FALSE),0)+SUMIFS($T$7:$T$506,$C$7:$C$506,C449,$B$7:$B$506,"&lt;="&amp;'Example Outstanding'!$E$5))</f>
        <v/>
      </c>
      <c r="W449">
        <f>IF(OR('Example Outstanding'!$E$5="",S449=0,B449="",B449&gt;'Example Outstanding'!$E$5),0,MAX(0,MIN(S449,U449-V449)))</f>
        <v/>
      </c>
      <c r="X449">
        <f>IF(C449="",0,IFERROR(VLOOKUP(C449,'Example Parties'!$B$13:$Q$112,15,FALSE),0))</f>
        <v/>
      </c>
      <c r="Y449">
        <f>IF(C449="","",IFERROR(VLOOKUP(C449,'Example Parties'!$B$13:$Q$112,16,FALSE),0))</f>
        <v/>
      </c>
      <c r="Z449">
        <f>IF(OR(S449=0,B449="",Y449=""),"",IF(AND(F449&lt;&gt;"",D449="Purchase bill"),F449,B449)+Y449)</f>
        <v/>
      </c>
      <c r="AA449">
        <f>IF(OR(W449=0,Z449=""),0,MAX(0,'Example Outstanding'!$E$5-Z449))</f>
        <v/>
      </c>
      <c r="AB449">
        <f>IF(AND(X449=1,AA449&gt;0),W449*((1+3*N('Example Parties'!$E$10)/12)^(AA449*12/365)-1),0)</f>
        <v/>
      </c>
      <c r="AC449">
        <f>IF(W449=0,"",'Example Outstanding'!$E$5-B449)</f>
        <v/>
      </c>
      <c r="AD449">
        <f>IF(S449=0,0,IFERROR(VLOOKUP(C449,'Example Parties'!$B$13:$Q$112,14,FALSE),0)+SUMIFS($T$7:$T$506,$C$7:$C$506,C449,$B$7:$B$506,"&lt;="&amp;'Example Parties'!$E$8))</f>
        <v/>
      </c>
      <c r="AE449">
        <f>IF(OR('Example Parties'!$E$8="",S449=0,B449="",B449&gt;'Example Parties'!$E$8),0,MAX(0,MIN(S449,U449-AD449)))</f>
        <v/>
      </c>
      <c r="AF449">
        <f>IF(AND(P449="Creditor",X449=1,AE449&gt;0,Z449&lt;&gt;""),IF(Z449&lt;='Example Parties'!$E$8,AE449,0),0)</f>
        <v/>
      </c>
      <c r="AG449">
        <f>IF(OR(AE449=0,Z449=""),0,MAX(0,'Example Parties'!$E$8-Z449))</f>
        <v/>
      </c>
      <c r="AH449">
        <f>IF(AND(P449="Creditor",X449=1,AG449&gt;0),AE449*((1+3*N('Example Parties'!$E$10)/12)^(AG449*12/365)-1),0)</f>
        <v/>
      </c>
      <c r="AI449">
        <f>IF(AND(C449&lt;&gt;"",C449='Example Ledger'!$D$4,B449&lt;&gt;"",B449&gt;='Example Ledger'!$D$5,B449&lt;='Example Ledger'!$D$6),1,0)</f>
        <v/>
      </c>
      <c r="AJ449">
        <f>IF(AI449=1,SUM(AI$7:AI449),"")</f>
        <v/>
      </c>
      <c r="AK449">
        <f>IF(OR(N449="",N449="OK"),0,1)</f>
        <v/>
      </c>
    </row>
    <row r="450">
      <c r="B450" s="24" t="n"/>
      <c r="C450" s="14" t="n"/>
      <c r="D450" s="14" t="n"/>
      <c r="E450" s="20" t="n"/>
      <c r="F450" s="24" t="n"/>
      <c r="G450" s="14" t="n"/>
      <c r="H450" s="22" t="n"/>
      <c r="I450" s="25">
        <f>IF(Q450="D",N(H450),0)</f>
        <v/>
      </c>
      <c r="J450" s="25">
        <f>IF(Q450="C",N(H450),0)</f>
        <v/>
      </c>
      <c r="K450" s="26">
        <f>IF(Z450="","",Z450)</f>
        <v/>
      </c>
      <c r="L450" s="27">
        <f>W450</f>
        <v/>
      </c>
      <c r="M450" s="28">
        <f>AA450</f>
        <v/>
      </c>
      <c r="N450" s="23">
        <f>IF(AND(B450="",C450="",D450="",N(H450)=0),"",IF(B450="","Enter the date",IF(C450="","Pick the party",IF(P450="?","Add this party on the Parties sheet first",IF(D450="","Pick the entry type",IF(Q450="?","Pick the entry type from the list",IF(N(H450)=0,"Enter the amount",IF(AND(R450&lt;&gt;"Any",R450&lt;&gt;P450),"Sales, receipts and credit notes are for debtors; purchases, payments and debit notes for creditors",IF(AND(F450&lt;&gt;"",D450&lt;&gt;"Purchase bill"),"The received-on date is only for purchase bills",IF(AND(P450="Creditor",X450=1,AA450&gt;0),"Past due to a micro or small supplier: interest runs under MSMED s.16, and if unpaid at year end it is not deductible that year, s.37(2)(g)",IF(AND(P450="Debtor",X450=1,AA450&gt;0),"Past due to you: as a micro or small supplier you can claim interest under MSMED s.16","OK")))))))))))</f>
        <v/>
      </c>
      <c r="P450">
        <f>IF(C450="","",IFERROR(VLOOKUP(C450,'Example Parties'!$B$13:$Q$112,2,FALSE),"?"))</f>
        <v/>
      </c>
      <c r="Q450">
        <f>IF(D450="","",IFERROR(VLOOKUP(D450,Lists!$A$2:$D$9,3,FALSE),"?"))</f>
        <v/>
      </c>
      <c r="R450">
        <f>IF(D450="","",IFERROR(VLOOKUP(D450,Lists!$A$2:$D$9,4,FALSE),"?"))</f>
        <v/>
      </c>
      <c r="S450">
        <f>IF(P450="Debtor",I450,IF(P450="Creditor",J450,0))</f>
        <v/>
      </c>
      <c r="T450">
        <f>IF(P450="Debtor",J450,IF(P450="Creditor",I450,0))</f>
        <v/>
      </c>
      <c r="U450">
        <f>IF(OR(S450=0,B450=""),0,IFERROR(VLOOKUP(C450,'Example Parties'!$B$13:$Q$112,13,FALSE),0)+SUMIFS($S$7:$S$506,$C$7:$C$506,C450,$B$7:$B$506,"&lt;"&amp;B450)+SUMIFS(S$7:S450,C$7:C450,C450,B$7:B450,B450))</f>
        <v/>
      </c>
      <c r="V450">
        <f>IF(S450=0,0,IFERROR(VLOOKUP(C450,'Example Parties'!$B$13:$Q$112,14,FALSE),0)+SUMIFS($T$7:$T$506,$C$7:$C$506,C450,$B$7:$B$506,"&lt;="&amp;'Example Outstanding'!$E$5))</f>
        <v/>
      </c>
      <c r="W450">
        <f>IF(OR('Example Outstanding'!$E$5="",S450=0,B450="",B450&gt;'Example Outstanding'!$E$5),0,MAX(0,MIN(S450,U450-V450)))</f>
        <v/>
      </c>
      <c r="X450">
        <f>IF(C450="",0,IFERROR(VLOOKUP(C450,'Example Parties'!$B$13:$Q$112,15,FALSE),0))</f>
        <v/>
      </c>
      <c r="Y450">
        <f>IF(C450="","",IFERROR(VLOOKUP(C450,'Example Parties'!$B$13:$Q$112,16,FALSE),0))</f>
        <v/>
      </c>
      <c r="Z450">
        <f>IF(OR(S450=0,B450="",Y450=""),"",IF(AND(F450&lt;&gt;"",D450="Purchase bill"),F450,B450)+Y450)</f>
        <v/>
      </c>
      <c r="AA450">
        <f>IF(OR(W450=0,Z450=""),0,MAX(0,'Example Outstanding'!$E$5-Z450))</f>
        <v/>
      </c>
      <c r="AB450">
        <f>IF(AND(X450=1,AA450&gt;0),W450*((1+3*N('Example Parties'!$E$10)/12)^(AA450*12/365)-1),0)</f>
        <v/>
      </c>
      <c r="AC450">
        <f>IF(W450=0,"",'Example Outstanding'!$E$5-B450)</f>
        <v/>
      </c>
      <c r="AD450">
        <f>IF(S450=0,0,IFERROR(VLOOKUP(C450,'Example Parties'!$B$13:$Q$112,14,FALSE),0)+SUMIFS($T$7:$T$506,$C$7:$C$506,C450,$B$7:$B$506,"&lt;="&amp;'Example Parties'!$E$8))</f>
        <v/>
      </c>
      <c r="AE450">
        <f>IF(OR('Example Parties'!$E$8="",S450=0,B450="",B450&gt;'Example Parties'!$E$8),0,MAX(0,MIN(S450,U450-AD450)))</f>
        <v/>
      </c>
      <c r="AF450">
        <f>IF(AND(P450="Creditor",X450=1,AE450&gt;0,Z450&lt;&gt;""),IF(Z450&lt;='Example Parties'!$E$8,AE450,0),0)</f>
        <v/>
      </c>
      <c r="AG450">
        <f>IF(OR(AE450=0,Z450=""),0,MAX(0,'Example Parties'!$E$8-Z450))</f>
        <v/>
      </c>
      <c r="AH450">
        <f>IF(AND(P450="Creditor",X450=1,AG450&gt;0),AE450*((1+3*N('Example Parties'!$E$10)/12)^(AG450*12/365)-1),0)</f>
        <v/>
      </c>
      <c r="AI450">
        <f>IF(AND(C450&lt;&gt;"",C450='Example Ledger'!$D$4,B450&lt;&gt;"",B450&gt;='Example Ledger'!$D$5,B450&lt;='Example Ledger'!$D$6),1,0)</f>
        <v/>
      </c>
      <c r="AJ450">
        <f>IF(AI450=1,SUM(AI$7:AI450),"")</f>
        <v/>
      </c>
      <c r="AK450">
        <f>IF(OR(N450="",N450="OK"),0,1)</f>
        <v/>
      </c>
    </row>
    <row r="451">
      <c r="B451" s="24" t="n"/>
      <c r="C451" s="14" t="n"/>
      <c r="D451" s="14" t="n"/>
      <c r="E451" s="20" t="n"/>
      <c r="F451" s="24" t="n"/>
      <c r="G451" s="14" t="n"/>
      <c r="H451" s="22" t="n"/>
      <c r="I451" s="25">
        <f>IF(Q451="D",N(H451),0)</f>
        <v/>
      </c>
      <c r="J451" s="25">
        <f>IF(Q451="C",N(H451),0)</f>
        <v/>
      </c>
      <c r="K451" s="26">
        <f>IF(Z451="","",Z451)</f>
        <v/>
      </c>
      <c r="L451" s="27">
        <f>W451</f>
        <v/>
      </c>
      <c r="M451" s="28">
        <f>AA451</f>
        <v/>
      </c>
      <c r="N451" s="23">
        <f>IF(AND(B451="",C451="",D451="",N(H451)=0),"",IF(B451="","Enter the date",IF(C451="","Pick the party",IF(P451="?","Add this party on the Parties sheet first",IF(D451="","Pick the entry type",IF(Q451="?","Pick the entry type from the list",IF(N(H451)=0,"Enter the amount",IF(AND(R451&lt;&gt;"Any",R451&lt;&gt;P451),"Sales, receipts and credit notes are for debtors; purchases, payments and debit notes for creditors",IF(AND(F451&lt;&gt;"",D451&lt;&gt;"Purchase bill"),"The received-on date is only for purchase bills",IF(AND(P451="Creditor",X451=1,AA451&gt;0),"Past due to a micro or small supplier: interest runs under MSMED s.16, and if unpaid at year end it is not deductible that year, s.37(2)(g)",IF(AND(P451="Debtor",X451=1,AA451&gt;0),"Past due to you: as a micro or small supplier you can claim interest under MSMED s.16","OK")))))))))))</f>
        <v/>
      </c>
      <c r="P451">
        <f>IF(C451="","",IFERROR(VLOOKUP(C451,'Example Parties'!$B$13:$Q$112,2,FALSE),"?"))</f>
        <v/>
      </c>
      <c r="Q451">
        <f>IF(D451="","",IFERROR(VLOOKUP(D451,Lists!$A$2:$D$9,3,FALSE),"?"))</f>
        <v/>
      </c>
      <c r="R451">
        <f>IF(D451="","",IFERROR(VLOOKUP(D451,Lists!$A$2:$D$9,4,FALSE),"?"))</f>
        <v/>
      </c>
      <c r="S451">
        <f>IF(P451="Debtor",I451,IF(P451="Creditor",J451,0))</f>
        <v/>
      </c>
      <c r="T451">
        <f>IF(P451="Debtor",J451,IF(P451="Creditor",I451,0))</f>
        <v/>
      </c>
      <c r="U451">
        <f>IF(OR(S451=0,B451=""),0,IFERROR(VLOOKUP(C451,'Example Parties'!$B$13:$Q$112,13,FALSE),0)+SUMIFS($S$7:$S$506,$C$7:$C$506,C451,$B$7:$B$506,"&lt;"&amp;B451)+SUMIFS(S$7:S451,C$7:C451,C451,B$7:B451,B451))</f>
        <v/>
      </c>
      <c r="V451">
        <f>IF(S451=0,0,IFERROR(VLOOKUP(C451,'Example Parties'!$B$13:$Q$112,14,FALSE),0)+SUMIFS($T$7:$T$506,$C$7:$C$506,C451,$B$7:$B$506,"&lt;="&amp;'Example Outstanding'!$E$5))</f>
        <v/>
      </c>
      <c r="W451">
        <f>IF(OR('Example Outstanding'!$E$5="",S451=0,B451="",B451&gt;'Example Outstanding'!$E$5),0,MAX(0,MIN(S451,U451-V451)))</f>
        <v/>
      </c>
      <c r="X451">
        <f>IF(C451="",0,IFERROR(VLOOKUP(C451,'Example Parties'!$B$13:$Q$112,15,FALSE),0))</f>
        <v/>
      </c>
      <c r="Y451">
        <f>IF(C451="","",IFERROR(VLOOKUP(C451,'Example Parties'!$B$13:$Q$112,16,FALSE),0))</f>
        <v/>
      </c>
      <c r="Z451">
        <f>IF(OR(S451=0,B451="",Y451=""),"",IF(AND(F451&lt;&gt;"",D451="Purchase bill"),F451,B451)+Y451)</f>
        <v/>
      </c>
      <c r="AA451">
        <f>IF(OR(W451=0,Z451=""),0,MAX(0,'Example Outstanding'!$E$5-Z451))</f>
        <v/>
      </c>
      <c r="AB451">
        <f>IF(AND(X451=1,AA451&gt;0),W451*((1+3*N('Example Parties'!$E$10)/12)^(AA451*12/365)-1),0)</f>
        <v/>
      </c>
      <c r="AC451">
        <f>IF(W451=0,"",'Example Outstanding'!$E$5-B451)</f>
        <v/>
      </c>
      <c r="AD451">
        <f>IF(S451=0,0,IFERROR(VLOOKUP(C451,'Example Parties'!$B$13:$Q$112,14,FALSE),0)+SUMIFS($T$7:$T$506,$C$7:$C$506,C451,$B$7:$B$506,"&lt;="&amp;'Example Parties'!$E$8))</f>
        <v/>
      </c>
      <c r="AE451">
        <f>IF(OR('Example Parties'!$E$8="",S451=0,B451="",B451&gt;'Example Parties'!$E$8),0,MAX(0,MIN(S451,U451-AD451)))</f>
        <v/>
      </c>
      <c r="AF451">
        <f>IF(AND(P451="Creditor",X451=1,AE451&gt;0,Z451&lt;&gt;""),IF(Z451&lt;='Example Parties'!$E$8,AE451,0),0)</f>
        <v/>
      </c>
      <c r="AG451">
        <f>IF(OR(AE451=0,Z451=""),0,MAX(0,'Example Parties'!$E$8-Z451))</f>
        <v/>
      </c>
      <c r="AH451">
        <f>IF(AND(P451="Creditor",X451=1,AG451&gt;0),AE451*((1+3*N('Example Parties'!$E$10)/12)^(AG451*12/365)-1),0)</f>
        <v/>
      </c>
      <c r="AI451">
        <f>IF(AND(C451&lt;&gt;"",C451='Example Ledger'!$D$4,B451&lt;&gt;"",B451&gt;='Example Ledger'!$D$5,B451&lt;='Example Ledger'!$D$6),1,0)</f>
        <v/>
      </c>
      <c r="AJ451">
        <f>IF(AI451=1,SUM(AI$7:AI451),"")</f>
        <v/>
      </c>
      <c r="AK451">
        <f>IF(OR(N451="",N451="OK"),0,1)</f>
        <v/>
      </c>
    </row>
    <row r="452">
      <c r="B452" s="24" t="n"/>
      <c r="C452" s="14" t="n"/>
      <c r="D452" s="14" t="n"/>
      <c r="E452" s="20" t="n"/>
      <c r="F452" s="24" t="n"/>
      <c r="G452" s="14" t="n"/>
      <c r="H452" s="22" t="n"/>
      <c r="I452" s="25">
        <f>IF(Q452="D",N(H452),0)</f>
        <v/>
      </c>
      <c r="J452" s="25">
        <f>IF(Q452="C",N(H452),0)</f>
        <v/>
      </c>
      <c r="K452" s="26">
        <f>IF(Z452="","",Z452)</f>
        <v/>
      </c>
      <c r="L452" s="27">
        <f>W452</f>
        <v/>
      </c>
      <c r="M452" s="28">
        <f>AA452</f>
        <v/>
      </c>
      <c r="N452" s="23">
        <f>IF(AND(B452="",C452="",D452="",N(H452)=0),"",IF(B452="","Enter the date",IF(C452="","Pick the party",IF(P452="?","Add this party on the Parties sheet first",IF(D452="","Pick the entry type",IF(Q452="?","Pick the entry type from the list",IF(N(H452)=0,"Enter the amount",IF(AND(R452&lt;&gt;"Any",R452&lt;&gt;P452),"Sales, receipts and credit notes are for debtors; purchases, payments and debit notes for creditors",IF(AND(F452&lt;&gt;"",D452&lt;&gt;"Purchase bill"),"The received-on date is only for purchase bills",IF(AND(P452="Creditor",X452=1,AA452&gt;0),"Past due to a micro or small supplier: interest runs under MSMED s.16, and if unpaid at year end it is not deductible that year, s.37(2)(g)",IF(AND(P452="Debtor",X452=1,AA452&gt;0),"Past due to you: as a micro or small supplier you can claim interest under MSMED s.16","OK")))))))))))</f>
        <v/>
      </c>
      <c r="P452">
        <f>IF(C452="","",IFERROR(VLOOKUP(C452,'Example Parties'!$B$13:$Q$112,2,FALSE),"?"))</f>
        <v/>
      </c>
      <c r="Q452">
        <f>IF(D452="","",IFERROR(VLOOKUP(D452,Lists!$A$2:$D$9,3,FALSE),"?"))</f>
        <v/>
      </c>
      <c r="R452">
        <f>IF(D452="","",IFERROR(VLOOKUP(D452,Lists!$A$2:$D$9,4,FALSE),"?"))</f>
        <v/>
      </c>
      <c r="S452">
        <f>IF(P452="Debtor",I452,IF(P452="Creditor",J452,0))</f>
        <v/>
      </c>
      <c r="T452">
        <f>IF(P452="Debtor",J452,IF(P452="Creditor",I452,0))</f>
        <v/>
      </c>
      <c r="U452">
        <f>IF(OR(S452=0,B452=""),0,IFERROR(VLOOKUP(C452,'Example Parties'!$B$13:$Q$112,13,FALSE),0)+SUMIFS($S$7:$S$506,$C$7:$C$506,C452,$B$7:$B$506,"&lt;"&amp;B452)+SUMIFS(S$7:S452,C$7:C452,C452,B$7:B452,B452))</f>
        <v/>
      </c>
      <c r="V452">
        <f>IF(S452=0,0,IFERROR(VLOOKUP(C452,'Example Parties'!$B$13:$Q$112,14,FALSE),0)+SUMIFS($T$7:$T$506,$C$7:$C$506,C452,$B$7:$B$506,"&lt;="&amp;'Example Outstanding'!$E$5))</f>
        <v/>
      </c>
      <c r="W452">
        <f>IF(OR('Example Outstanding'!$E$5="",S452=0,B452="",B452&gt;'Example Outstanding'!$E$5),0,MAX(0,MIN(S452,U452-V452)))</f>
        <v/>
      </c>
      <c r="X452">
        <f>IF(C452="",0,IFERROR(VLOOKUP(C452,'Example Parties'!$B$13:$Q$112,15,FALSE),0))</f>
        <v/>
      </c>
      <c r="Y452">
        <f>IF(C452="","",IFERROR(VLOOKUP(C452,'Example Parties'!$B$13:$Q$112,16,FALSE),0))</f>
        <v/>
      </c>
      <c r="Z452">
        <f>IF(OR(S452=0,B452="",Y452=""),"",IF(AND(F452&lt;&gt;"",D452="Purchase bill"),F452,B452)+Y452)</f>
        <v/>
      </c>
      <c r="AA452">
        <f>IF(OR(W452=0,Z452=""),0,MAX(0,'Example Outstanding'!$E$5-Z452))</f>
        <v/>
      </c>
      <c r="AB452">
        <f>IF(AND(X452=1,AA452&gt;0),W452*((1+3*N('Example Parties'!$E$10)/12)^(AA452*12/365)-1),0)</f>
        <v/>
      </c>
      <c r="AC452">
        <f>IF(W452=0,"",'Example Outstanding'!$E$5-B452)</f>
        <v/>
      </c>
      <c r="AD452">
        <f>IF(S452=0,0,IFERROR(VLOOKUP(C452,'Example Parties'!$B$13:$Q$112,14,FALSE),0)+SUMIFS($T$7:$T$506,$C$7:$C$506,C452,$B$7:$B$506,"&lt;="&amp;'Example Parties'!$E$8))</f>
        <v/>
      </c>
      <c r="AE452">
        <f>IF(OR('Example Parties'!$E$8="",S452=0,B452="",B452&gt;'Example Parties'!$E$8),0,MAX(0,MIN(S452,U452-AD452)))</f>
        <v/>
      </c>
      <c r="AF452">
        <f>IF(AND(P452="Creditor",X452=1,AE452&gt;0,Z452&lt;&gt;""),IF(Z452&lt;='Example Parties'!$E$8,AE452,0),0)</f>
        <v/>
      </c>
      <c r="AG452">
        <f>IF(OR(AE452=0,Z452=""),0,MAX(0,'Example Parties'!$E$8-Z452))</f>
        <v/>
      </c>
      <c r="AH452">
        <f>IF(AND(P452="Creditor",X452=1,AG452&gt;0),AE452*((1+3*N('Example Parties'!$E$10)/12)^(AG452*12/365)-1),0)</f>
        <v/>
      </c>
      <c r="AI452">
        <f>IF(AND(C452&lt;&gt;"",C452='Example Ledger'!$D$4,B452&lt;&gt;"",B452&gt;='Example Ledger'!$D$5,B452&lt;='Example Ledger'!$D$6),1,0)</f>
        <v/>
      </c>
      <c r="AJ452">
        <f>IF(AI452=1,SUM(AI$7:AI452),"")</f>
        <v/>
      </c>
      <c r="AK452">
        <f>IF(OR(N452="",N452="OK"),0,1)</f>
        <v/>
      </c>
    </row>
    <row r="453">
      <c r="B453" s="24" t="n"/>
      <c r="C453" s="14" t="n"/>
      <c r="D453" s="14" t="n"/>
      <c r="E453" s="20" t="n"/>
      <c r="F453" s="24" t="n"/>
      <c r="G453" s="14" t="n"/>
      <c r="H453" s="22" t="n"/>
      <c r="I453" s="25">
        <f>IF(Q453="D",N(H453),0)</f>
        <v/>
      </c>
      <c r="J453" s="25">
        <f>IF(Q453="C",N(H453),0)</f>
        <v/>
      </c>
      <c r="K453" s="26">
        <f>IF(Z453="","",Z453)</f>
        <v/>
      </c>
      <c r="L453" s="27">
        <f>W453</f>
        <v/>
      </c>
      <c r="M453" s="28">
        <f>AA453</f>
        <v/>
      </c>
      <c r="N453" s="23">
        <f>IF(AND(B453="",C453="",D453="",N(H453)=0),"",IF(B453="","Enter the date",IF(C453="","Pick the party",IF(P453="?","Add this party on the Parties sheet first",IF(D453="","Pick the entry type",IF(Q453="?","Pick the entry type from the list",IF(N(H453)=0,"Enter the amount",IF(AND(R453&lt;&gt;"Any",R453&lt;&gt;P453),"Sales, receipts and credit notes are for debtors; purchases, payments and debit notes for creditors",IF(AND(F453&lt;&gt;"",D453&lt;&gt;"Purchase bill"),"The received-on date is only for purchase bills",IF(AND(P453="Creditor",X453=1,AA453&gt;0),"Past due to a micro or small supplier: interest runs under MSMED s.16, and if unpaid at year end it is not deductible that year, s.37(2)(g)",IF(AND(P453="Debtor",X453=1,AA453&gt;0),"Past due to you: as a micro or small supplier you can claim interest under MSMED s.16","OK")))))))))))</f>
        <v/>
      </c>
      <c r="P453">
        <f>IF(C453="","",IFERROR(VLOOKUP(C453,'Example Parties'!$B$13:$Q$112,2,FALSE),"?"))</f>
        <v/>
      </c>
      <c r="Q453">
        <f>IF(D453="","",IFERROR(VLOOKUP(D453,Lists!$A$2:$D$9,3,FALSE),"?"))</f>
        <v/>
      </c>
      <c r="R453">
        <f>IF(D453="","",IFERROR(VLOOKUP(D453,Lists!$A$2:$D$9,4,FALSE),"?"))</f>
        <v/>
      </c>
      <c r="S453">
        <f>IF(P453="Debtor",I453,IF(P453="Creditor",J453,0))</f>
        <v/>
      </c>
      <c r="T453">
        <f>IF(P453="Debtor",J453,IF(P453="Creditor",I453,0))</f>
        <v/>
      </c>
      <c r="U453">
        <f>IF(OR(S453=0,B453=""),0,IFERROR(VLOOKUP(C453,'Example Parties'!$B$13:$Q$112,13,FALSE),0)+SUMIFS($S$7:$S$506,$C$7:$C$506,C453,$B$7:$B$506,"&lt;"&amp;B453)+SUMIFS(S$7:S453,C$7:C453,C453,B$7:B453,B453))</f>
        <v/>
      </c>
      <c r="V453">
        <f>IF(S453=0,0,IFERROR(VLOOKUP(C453,'Example Parties'!$B$13:$Q$112,14,FALSE),0)+SUMIFS($T$7:$T$506,$C$7:$C$506,C453,$B$7:$B$506,"&lt;="&amp;'Example Outstanding'!$E$5))</f>
        <v/>
      </c>
      <c r="W453">
        <f>IF(OR('Example Outstanding'!$E$5="",S453=0,B453="",B453&gt;'Example Outstanding'!$E$5),0,MAX(0,MIN(S453,U453-V453)))</f>
        <v/>
      </c>
      <c r="X453">
        <f>IF(C453="",0,IFERROR(VLOOKUP(C453,'Example Parties'!$B$13:$Q$112,15,FALSE),0))</f>
        <v/>
      </c>
      <c r="Y453">
        <f>IF(C453="","",IFERROR(VLOOKUP(C453,'Example Parties'!$B$13:$Q$112,16,FALSE),0))</f>
        <v/>
      </c>
      <c r="Z453">
        <f>IF(OR(S453=0,B453="",Y453=""),"",IF(AND(F453&lt;&gt;"",D453="Purchase bill"),F453,B453)+Y453)</f>
        <v/>
      </c>
      <c r="AA453">
        <f>IF(OR(W453=0,Z453=""),0,MAX(0,'Example Outstanding'!$E$5-Z453))</f>
        <v/>
      </c>
      <c r="AB453">
        <f>IF(AND(X453=1,AA453&gt;0),W453*((1+3*N('Example Parties'!$E$10)/12)^(AA453*12/365)-1),0)</f>
        <v/>
      </c>
      <c r="AC453">
        <f>IF(W453=0,"",'Example Outstanding'!$E$5-B453)</f>
        <v/>
      </c>
      <c r="AD453">
        <f>IF(S453=0,0,IFERROR(VLOOKUP(C453,'Example Parties'!$B$13:$Q$112,14,FALSE),0)+SUMIFS($T$7:$T$506,$C$7:$C$506,C453,$B$7:$B$506,"&lt;="&amp;'Example Parties'!$E$8))</f>
        <v/>
      </c>
      <c r="AE453">
        <f>IF(OR('Example Parties'!$E$8="",S453=0,B453="",B453&gt;'Example Parties'!$E$8),0,MAX(0,MIN(S453,U453-AD453)))</f>
        <v/>
      </c>
      <c r="AF453">
        <f>IF(AND(P453="Creditor",X453=1,AE453&gt;0,Z453&lt;&gt;""),IF(Z453&lt;='Example Parties'!$E$8,AE453,0),0)</f>
        <v/>
      </c>
      <c r="AG453">
        <f>IF(OR(AE453=0,Z453=""),0,MAX(0,'Example Parties'!$E$8-Z453))</f>
        <v/>
      </c>
      <c r="AH453">
        <f>IF(AND(P453="Creditor",X453=1,AG453&gt;0),AE453*((1+3*N('Example Parties'!$E$10)/12)^(AG453*12/365)-1),0)</f>
        <v/>
      </c>
      <c r="AI453">
        <f>IF(AND(C453&lt;&gt;"",C453='Example Ledger'!$D$4,B453&lt;&gt;"",B453&gt;='Example Ledger'!$D$5,B453&lt;='Example Ledger'!$D$6),1,0)</f>
        <v/>
      </c>
      <c r="AJ453">
        <f>IF(AI453=1,SUM(AI$7:AI453),"")</f>
        <v/>
      </c>
      <c r="AK453">
        <f>IF(OR(N453="",N453="OK"),0,1)</f>
        <v/>
      </c>
    </row>
    <row r="454">
      <c r="B454" s="24" t="n"/>
      <c r="C454" s="14" t="n"/>
      <c r="D454" s="14" t="n"/>
      <c r="E454" s="20" t="n"/>
      <c r="F454" s="24" t="n"/>
      <c r="G454" s="14" t="n"/>
      <c r="H454" s="22" t="n"/>
      <c r="I454" s="25">
        <f>IF(Q454="D",N(H454),0)</f>
        <v/>
      </c>
      <c r="J454" s="25">
        <f>IF(Q454="C",N(H454),0)</f>
        <v/>
      </c>
      <c r="K454" s="26">
        <f>IF(Z454="","",Z454)</f>
        <v/>
      </c>
      <c r="L454" s="27">
        <f>W454</f>
        <v/>
      </c>
      <c r="M454" s="28">
        <f>AA454</f>
        <v/>
      </c>
      <c r="N454" s="23">
        <f>IF(AND(B454="",C454="",D454="",N(H454)=0),"",IF(B454="","Enter the date",IF(C454="","Pick the party",IF(P454="?","Add this party on the Parties sheet first",IF(D454="","Pick the entry type",IF(Q454="?","Pick the entry type from the list",IF(N(H454)=0,"Enter the amount",IF(AND(R454&lt;&gt;"Any",R454&lt;&gt;P454),"Sales, receipts and credit notes are for debtors; purchases, payments and debit notes for creditors",IF(AND(F454&lt;&gt;"",D454&lt;&gt;"Purchase bill"),"The received-on date is only for purchase bills",IF(AND(P454="Creditor",X454=1,AA454&gt;0),"Past due to a micro or small supplier: interest runs under MSMED s.16, and if unpaid at year end it is not deductible that year, s.37(2)(g)",IF(AND(P454="Debtor",X454=1,AA454&gt;0),"Past due to you: as a micro or small supplier you can claim interest under MSMED s.16","OK")))))))))))</f>
        <v/>
      </c>
      <c r="P454">
        <f>IF(C454="","",IFERROR(VLOOKUP(C454,'Example Parties'!$B$13:$Q$112,2,FALSE),"?"))</f>
        <v/>
      </c>
      <c r="Q454">
        <f>IF(D454="","",IFERROR(VLOOKUP(D454,Lists!$A$2:$D$9,3,FALSE),"?"))</f>
        <v/>
      </c>
      <c r="R454">
        <f>IF(D454="","",IFERROR(VLOOKUP(D454,Lists!$A$2:$D$9,4,FALSE),"?"))</f>
        <v/>
      </c>
      <c r="S454">
        <f>IF(P454="Debtor",I454,IF(P454="Creditor",J454,0))</f>
        <v/>
      </c>
      <c r="T454">
        <f>IF(P454="Debtor",J454,IF(P454="Creditor",I454,0))</f>
        <v/>
      </c>
      <c r="U454">
        <f>IF(OR(S454=0,B454=""),0,IFERROR(VLOOKUP(C454,'Example Parties'!$B$13:$Q$112,13,FALSE),0)+SUMIFS($S$7:$S$506,$C$7:$C$506,C454,$B$7:$B$506,"&lt;"&amp;B454)+SUMIFS(S$7:S454,C$7:C454,C454,B$7:B454,B454))</f>
        <v/>
      </c>
      <c r="V454">
        <f>IF(S454=0,0,IFERROR(VLOOKUP(C454,'Example Parties'!$B$13:$Q$112,14,FALSE),0)+SUMIFS($T$7:$T$506,$C$7:$C$506,C454,$B$7:$B$506,"&lt;="&amp;'Example Outstanding'!$E$5))</f>
        <v/>
      </c>
      <c r="W454">
        <f>IF(OR('Example Outstanding'!$E$5="",S454=0,B454="",B454&gt;'Example Outstanding'!$E$5),0,MAX(0,MIN(S454,U454-V454)))</f>
        <v/>
      </c>
      <c r="X454">
        <f>IF(C454="",0,IFERROR(VLOOKUP(C454,'Example Parties'!$B$13:$Q$112,15,FALSE),0))</f>
        <v/>
      </c>
      <c r="Y454">
        <f>IF(C454="","",IFERROR(VLOOKUP(C454,'Example Parties'!$B$13:$Q$112,16,FALSE),0))</f>
        <v/>
      </c>
      <c r="Z454">
        <f>IF(OR(S454=0,B454="",Y454=""),"",IF(AND(F454&lt;&gt;"",D454="Purchase bill"),F454,B454)+Y454)</f>
        <v/>
      </c>
      <c r="AA454">
        <f>IF(OR(W454=0,Z454=""),0,MAX(0,'Example Outstanding'!$E$5-Z454))</f>
        <v/>
      </c>
      <c r="AB454">
        <f>IF(AND(X454=1,AA454&gt;0),W454*((1+3*N('Example Parties'!$E$10)/12)^(AA454*12/365)-1),0)</f>
        <v/>
      </c>
      <c r="AC454">
        <f>IF(W454=0,"",'Example Outstanding'!$E$5-B454)</f>
        <v/>
      </c>
      <c r="AD454">
        <f>IF(S454=0,0,IFERROR(VLOOKUP(C454,'Example Parties'!$B$13:$Q$112,14,FALSE),0)+SUMIFS($T$7:$T$506,$C$7:$C$506,C454,$B$7:$B$506,"&lt;="&amp;'Example Parties'!$E$8))</f>
        <v/>
      </c>
      <c r="AE454">
        <f>IF(OR('Example Parties'!$E$8="",S454=0,B454="",B454&gt;'Example Parties'!$E$8),0,MAX(0,MIN(S454,U454-AD454)))</f>
        <v/>
      </c>
      <c r="AF454">
        <f>IF(AND(P454="Creditor",X454=1,AE454&gt;0,Z454&lt;&gt;""),IF(Z454&lt;='Example Parties'!$E$8,AE454,0),0)</f>
        <v/>
      </c>
      <c r="AG454">
        <f>IF(OR(AE454=0,Z454=""),0,MAX(0,'Example Parties'!$E$8-Z454))</f>
        <v/>
      </c>
      <c r="AH454">
        <f>IF(AND(P454="Creditor",X454=1,AG454&gt;0),AE454*((1+3*N('Example Parties'!$E$10)/12)^(AG454*12/365)-1),0)</f>
        <v/>
      </c>
      <c r="AI454">
        <f>IF(AND(C454&lt;&gt;"",C454='Example Ledger'!$D$4,B454&lt;&gt;"",B454&gt;='Example Ledger'!$D$5,B454&lt;='Example Ledger'!$D$6),1,0)</f>
        <v/>
      </c>
      <c r="AJ454">
        <f>IF(AI454=1,SUM(AI$7:AI454),"")</f>
        <v/>
      </c>
      <c r="AK454">
        <f>IF(OR(N454="",N454="OK"),0,1)</f>
        <v/>
      </c>
    </row>
    <row r="455">
      <c r="B455" s="24" t="n"/>
      <c r="C455" s="14" t="n"/>
      <c r="D455" s="14" t="n"/>
      <c r="E455" s="20" t="n"/>
      <c r="F455" s="24" t="n"/>
      <c r="G455" s="14" t="n"/>
      <c r="H455" s="22" t="n"/>
      <c r="I455" s="25">
        <f>IF(Q455="D",N(H455),0)</f>
        <v/>
      </c>
      <c r="J455" s="25">
        <f>IF(Q455="C",N(H455),0)</f>
        <v/>
      </c>
      <c r="K455" s="26">
        <f>IF(Z455="","",Z455)</f>
        <v/>
      </c>
      <c r="L455" s="27">
        <f>W455</f>
        <v/>
      </c>
      <c r="M455" s="28">
        <f>AA455</f>
        <v/>
      </c>
      <c r="N455" s="23">
        <f>IF(AND(B455="",C455="",D455="",N(H455)=0),"",IF(B455="","Enter the date",IF(C455="","Pick the party",IF(P455="?","Add this party on the Parties sheet first",IF(D455="","Pick the entry type",IF(Q455="?","Pick the entry type from the list",IF(N(H455)=0,"Enter the amount",IF(AND(R455&lt;&gt;"Any",R455&lt;&gt;P455),"Sales, receipts and credit notes are for debtors; purchases, payments and debit notes for creditors",IF(AND(F455&lt;&gt;"",D455&lt;&gt;"Purchase bill"),"The received-on date is only for purchase bills",IF(AND(P455="Creditor",X455=1,AA455&gt;0),"Past due to a micro or small supplier: interest runs under MSMED s.16, and if unpaid at year end it is not deductible that year, s.37(2)(g)",IF(AND(P455="Debtor",X455=1,AA455&gt;0),"Past due to you: as a micro or small supplier you can claim interest under MSMED s.16","OK")))))))))))</f>
        <v/>
      </c>
      <c r="P455">
        <f>IF(C455="","",IFERROR(VLOOKUP(C455,'Example Parties'!$B$13:$Q$112,2,FALSE),"?"))</f>
        <v/>
      </c>
      <c r="Q455">
        <f>IF(D455="","",IFERROR(VLOOKUP(D455,Lists!$A$2:$D$9,3,FALSE),"?"))</f>
        <v/>
      </c>
      <c r="R455">
        <f>IF(D455="","",IFERROR(VLOOKUP(D455,Lists!$A$2:$D$9,4,FALSE),"?"))</f>
        <v/>
      </c>
      <c r="S455">
        <f>IF(P455="Debtor",I455,IF(P455="Creditor",J455,0))</f>
        <v/>
      </c>
      <c r="T455">
        <f>IF(P455="Debtor",J455,IF(P455="Creditor",I455,0))</f>
        <v/>
      </c>
      <c r="U455">
        <f>IF(OR(S455=0,B455=""),0,IFERROR(VLOOKUP(C455,'Example Parties'!$B$13:$Q$112,13,FALSE),0)+SUMIFS($S$7:$S$506,$C$7:$C$506,C455,$B$7:$B$506,"&lt;"&amp;B455)+SUMIFS(S$7:S455,C$7:C455,C455,B$7:B455,B455))</f>
        <v/>
      </c>
      <c r="V455">
        <f>IF(S455=0,0,IFERROR(VLOOKUP(C455,'Example Parties'!$B$13:$Q$112,14,FALSE),0)+SUMIFS($T$7:$T$506,$C$7:$C$506,C455,$B$7:$B$506,"&lt;="&amp;'Example Outstanding'!$E$5))</f>
        <v/>
      </c>
      <c r="W455">
        <f>IF(OR('Example Outstanding'!$E$5="",S455=0,B455="",B455&gt;'Example Outstanding'!$E$5),0,MAX(0,MIN(S455,U455-V455)))</f>
        <v/>
      </c>
      <c r="X455">
        <f>IF(C455="",0,IFERROR(VLOOKUP(C455,'Example Parties'!$B$13:$Q$112,15,FALSE),0))</f>
        <v/>
      </c>
      <c r="Y455">
        <f>IF(C455="","",IFERROR(VLOOKUP(C455,'Example Parties'!$B$13:$Q$112,16,FALSE),0))</f>
        <v/>
      </c>
      <c r="Z455">
        <f>IF(OR(S455=0,B455="",Y455=""),"",IF(AND(F455&lt;&gt;"",D455="Purchase bill"),F455,B455)+Y455)</f>
        <v/>
      </c>
      <c r="AA455">
        <f>IF(OR(W455=0,Z455=""),0,MAX(0,'Example Outstanding'!$E$5-Z455))</f>
        <v/>
      </c>
      <c r="AB455">
        <f>IF(AND(X455=1,AA455&gt;0),W455*((1+3*N('Example Parties'!$E$10)/12)^(AA455*12/365)-1),0)</f>
        <v/>
      </c>
      <c r="AC455">
        <f>IF(W455=0,"",'Example Outstanding'!$E$5-B455)</f>
        <v/>
      </c>
      <c r="AD455">
        <f>IF(S455=0,0,IFERROR(VLOOKUP(C455,'Example Parties'!$B$13:$Q$112,14,FALSE),0)+SUMIFS($T$7:$T$506,$C$7:$C$506,C455,$B$7:$B$506,"&lt;="&amp;'Example Parties'!$E$8))</f>
        <v/>
      </c>
      <c r="AE455">
        <f>IF(OR('Example Parties'!$E$8="",S455=0,B455="",B455&gt;'Example Parties'!$E$8),0,MAX(0,MIN(S455,U455-AD455)))</f>
        <v/>
      </c>
      <c r="AF455">
        <f>IF(AND(P455="Creditor",X455=1,AE455&gt;0,Z455&lt;&gt;""),IF(Z455&lt;='Example Parties'!$E$8,AE455,0),0)</f>
        <v/>
      </c>
      <c r="AG455">
        <f>IF(OR(AE455=0,Z455=""),0,MAX(0,'Example Parties'!$E$8-Z455))</f>
        <v/>
      </c>
      <c r="AH455">
        <f>IF(AND(P455="Creditor",X455=1,AG455&gt;0),AE455*((1+3*N('Example Parties'!$E$10)/12)^(AG455*12/365)-1),0)</f>
        <v/>
      </c>
      <c r="AI455">
        <f>IF(AND(C455&lt;&gt;"",C455='Example Ledger'!$D$4,B455&lt;&gt;"",B455&gt;='Example Ledger'!$D$5,B455&lt;='Example Ledger'!$D$6),1,0)</f>
        <v/>
      </c>
      <c r="AJ455">
        <f>IF(AI455=1,SUM(AI$7:AI455),"")</f>
        <v/>
      </c>
      <c r="AK455">
        <f>IF(OR(N455="",N455="OK"),0,1)</f>
        <v/>
      </c>
    </row>
    <row r="456">
      <c r="B456" s="24" t="n"/>
      <c r="C456" s="14" t="n"/>
      <c r="D456" s="14" t="n"/>
      <c r="E456" s="20" t="n"/>
      <c r="F456" s="24" t="n"/>
      <c r="G456" s="14" t="n"/>
      <c r="H456" s="22" t="n"/>
      <c r="I456" s="25">
        <f>IF(Q456="D",N(H456),0)</f>
        <v/>
      </c>
      <c r="J456" s="25">
        <f>IF(Q456="C",N(H456),0)</f>
        <v/>
      </c>
      <c r="K456" s="26">
        <f>IF(Z456="","",Z456)</f>
        <v/>
      </c>
      <c r="L456" s="27">
        <f>W456</f>
        <v/>
      </c>
      <c r="M456" s="28">
        <f>AA456</f>
        <v/>
      </c>
      <c r="N456" s="23">
        <f>IF(AND(B456="",C456="",D456="",N(H456)=0),"",IF(B456="","Enter the date",IF(C456="","Pick the party",IF(P456="?","Add this party on the Parties sheet first",IF(D456="","Pick the entry type",IF(Q456="?","Pick the entry type from the list",IF(N(H456)=0,"Enter the amount",IF(AND(R456&lt;&gt;"Any",R456&lt;&gt;P456),"Sales, receipts and credit notes are for debtors; purchases, payments and debit notes for creditors",IF(AND(F456&lt;&gt;"",D456&lt;&gt;"Purchase bill"),"The received-on date is only for purchase bills",IF(AND(P456="Creditor",X456=1,AA456&gt;0),"Past due to a micro or small supplier: interest runs under MSMED s.16, and if unpaid at year end it is not deductible that year, s.37(2)(g)",IF(AND(P456="Debtor",X456=1,AA456&gt;0),"Past due to you: as a micro or small supplier you can claim interest under MSMED s.16","OK")))))))))))</f>
        <v/>
      </c>
      <c r="P456">
        <f>IF(C456="","",IFERROR(VLOOKUP(C456,'Example Parties'!$B$13:$Q$112,2,FALSE),"?"))</f>
        <v/>
      </c>
      <c r="Q456">
        <f>IF(D456="","",IFERROR(VLOOKUP(D456,Lists!$A$2:$D$9,3,FALSE),"?"))</f>
        <v/>
      </c>
      <c r="R456">
        <f>IF(D456="","",IFERROR(VLOOKUP(D456,Lists!$A$2:$D$9,4,FALSE),"?"))</f>
        <v/>
      </c>
      <c r="S456">
        <f>IF(P456="Debtor",I456,IF(P456="Creditor",J456,0))</f>
        <v/>
      </c>
      <c r="T456">
        <f>IF(P456="Debtor",J456,IF(P456="Creditor",I456,0))</f>
        <v/>
      </c>
      <c r="U456">
        <f>IF(OR(S456=0,B456=""),0,IFERROR(VLOOKUP(C456,'Example Parties'!$B$13:$Q$112,13,FALSE),0)+SUMIFS($S$7:$S$506,$C$7:$C$506,C456,$B$7:$B$506,"&lt;"&amp;B456)+SUMIFS(S$7:S456,C$7:C456,C456,B$7:B456,B456))</f>
        <v/>
      </c>
      <c r="V456">
        <f>IF(S456=0,0,IFERROR(VLOOKUP(C456,'Example Parties'!$B$13:$Q$112,14,FALSE),0)+SUMIFS($T$7:$T$506,$C$7:$C$506,C456,$B$7:$B$506,"&lt;="&amp;'Example Outstanding'!$E$5))</f>
        <v/>
      </c>
      <c r="W456">
        <f>IF(OR('Example Outstanding'!$E$5="",S456=0,B456="",B456&gt;'Example Outstanding'!$E$5),0,MAX(0,MIN(S456,U456-V456)))</f>
        <v/>
      </c>
      <c r="X456">
        <f>IF(C456="",0,IFERROR(VLOOKUP(C456,'Example Parties'!$B$13:$Q$112,15,FALSE),0))</f>
        <v/>
      </c>
      <c r="Y456">
        <f>IF(C456="","",IFERROR(VLOOKUP(C456,'Example Parties'!$B$13:$Q$112,16,FALSE),0))</f>
        <v/>
      </c>
      <c r="Z456">
        <f>IF(OR(S456=0,B456="",Y456=""),"",IF(AND(F456&lt;&gt;"",D456="Purchase bill"),F456,B456)+Y456)</f>
        <v/>
      </c>
      <c r="AA456">
        <f>IF(OR(W456=0,Z456=""),0,MAX(0,'Example Outstanding'!$E$5-Z456))</f>
        <v/>
      </c>
      <c r="AB456">
        <f>IF(AND(X456=1,AA456&gt;0),W456*((1+3*N('Example Parties'!$E$10)/12)^(AA456*12/365)-1),0)</f>
        <v/>
      </c>
      <c r="AC456">
        <f>IF(W456=0,"",'Example Outstanding'!$E$5-B456)</f>
        <v/>
      </c>
      <c r="AD456">
        <f>IF(S456=0,0,IFERROR(VLOOKUP(C456,'Example Parties'!$B$13:$Q$112,14,FALSE),0)+SUMIFS($T$7:$T$506,$C$7:$C$506,C456,$B$7:$B$506,"&lt;="&amp;'Example Parties'!$E$8))</f>
        <v/>
      </c>
      <c r="AE456">
        <f>IF(OR('Example Parties'!$E$8="",S456=0,B456="",B456&gt;'Example Parties'!$E$8),0,MAX(0,MIN(S456,U456-AD456)))</f>
        <v/>
      </c>
      <c r="AF456">
        <f>IF(AND(P456="Creditor",X456=1,AE456&gt;0,Z456&lt;&gt;""),IF(Z456&lt;='Example Parties'!$E$8,AE456,0),0)</f>
        <v/>
      </c>
      <c r="AG456">
        <f>IF(OR(AE456=0,Z456=""),0,MAX(0,'Example Parties'!$E$8-Z456))</f>
        <v/>
      </c>
      <c r="AH456">
        <f>IF(AND(P456="Creditor",X456=1,AG456&gt;0),AE456*((1+3*N('Example Parties'!$E$10)/12)^(AG456*12/365)-1),0)</f>
        <v/>
      </c>
      <c r="AI456">
        <f>IF(AND(C456&lt;&gt;"",C456='Example Ledger'!$D$4,B456&lt;&gt;"",B456&gt;='Example Ledger'!$D$5,B456&lt;='Example Ledger'!$D$6),1,0)</f>
        <v/>
      </c>
      <c r="AJ456">
        <f>IF(AI456=1,SUM(AI$7:AI456),"")</f>
        <v/>
      </c>
      <c r="AK456">
        <f>IF(OR(N456="",N456="OK"),0,1)</f>
        <v/>
      </c>
    </row>
    <row r="457">
      <c r="B457" s="24" t="n"/>
      <c r="C457" s="14" t="n"/>
      <c r="D457" s="14" t="n"/>
      <c r="E457" s="20" t="n"/>
      <c r="F457" s="24" t="n"/>
      <c r="G457" s="14" t="n"/>
      <c r="H457" s="22" t="n"/>
      <c r="I457" s="25">
        <f>IF(Q457="D",N(H457),0)</f>
        <v/>
      </c>
      <c r="J457" s="25">
        <f>IF(Q457="C",N(H457),0)</f>
        <v/>
      </c>
      <c r="K457" s="26">
        <f>IF(Z457="","",Z457)</f>
        <v/>
      </c>
      <c r="L457" s="27">
        <f>W457</f>
        <v/>
      </c>
      <c r="M457" s="28">
        <f>AA457</f>
        <v/>
      </c>
      <c r="N457" s="23">
        <f>IF(AND(B457="",C457="",D457="",N(H457)=0),"",IF(B457="","Enter the date",IF(C457="","Pick the party",IF(P457="?","Add this party on the Parties sheet first",IF(D457="","Pick the entry type",IF(Q457="?","Pick the entry type from the list",IF(N(H457)=0,"Enter the amount",IF(AND(R457&lt;&gt;"Any",R457&lt;&gt;P457),"Sales, receipts and credit notes are for debtors; purchases, payments and debit notes for creditors",IF(AND(F457&lt;&gt;"",D457&lt;&gt;"Purchase bill"),"The received-on date is only for purchase bills",IF(AND(P457="Creditor",X457=1,AA457&gt;0),"Past due to a micro or small supplier: interest runs under MSMED s.16, and if unpaid at year end it is not deductible that year, s.37(2)(g)",IF(AND(P457="Debtor",X457=1,AA457&gt;0),"Past due to you: as a micro or small supplier you can claim interest under MSMED s.16","OK")))))))))))</f>
        <v/>
      </c>
      <c r="P457">
        <f>IF(C457="","",IFERROR(VLOOKUP(C457,'Example Parties'!$B$13:$Q$112,2,FALSE),"?"))</f>
        <v/>
      </c>
      <c r="Q457">
        <f>IF(D457="","",IFERROR(VLOOKUP(D457,Lists!$A$2:$D$9,3,FALSE),"?"))</f>
        <v/>
      </c>
      <c r="R457">
        <f>IF(D457="","",IFERROR(VLOOKUP(D457,Lists!$A$2:$D$9,4,FALSE),"?"))</f>
        <v/>
      </c>
      <c r="S457">
        <f>IF(P457="Debtor",I457,IF(P457="Creditor",J457,0))</f>
        <v/>
      </c>
      <c r="T457">
        <f>IF(P457="Debtor",J457,IF(P457="Creditor",I457,0))</f>
        <v/>
      </c>
      <c r="U457">
        <f>IF(OR(S457=0,B457=""),0,IFERROR(VLOOKUP(C457,'Example Parties'!$B$13:$Q$112,13,FALSE),0)+SUMIFS($S$7:$S$506,$C$7:$C$506,C457,$B$7:$B$506,"&lt;"&amp;B457)+SUMIFS(S$7:S457,C$7:C457,C457,B$7:B457,B457))</f>
        <v/>
      </c>
      <c r="V457">
        <f>IF(S457=0,0,IFERROR(VLOOKUP(C457,'Example Parties'!$B$13:$Q$112,14,FALSE),0)+SUMIFS($T$7:$T$506,$C$7:$C$506,C457,$B$7:$B$506,"&lt;="&amp;'Example Outstanding'!$E$5))</f>
        <v/>
      </c>
      <c r="W457">
        <f>IF(OR('Example Outstanding'!$E$5="",S457=0,B457="",B457&gt;'Example Outstanding'!$E$5),0,MAX(0,MIN(S457,U457-V457)))</f>
        <v/>
      </c>
      <c r="X457">
        <f>IF(C457="",0,IFERROR(VLOOKUP(C457,'Example Parties'!$B$13:$Q$112,15,FALSE),0))</f>
        <v/>
      </c>
      <c r="Y457">
        <f>IF(C457="","",IFERROR(VLOOKUP(C457,'Example Parties'!$B$13:$Q$112,16,FALSE),0))</f>
        <v/>
      </c>
      <c r="Z457">
        <f>IF(OR(S457=0,B457="",Y457=""),"",IF(AND(F457&lt;&gt;"",D457="Purchase bill"),F457,B457)+Y457)</f>
        <v/>
      </c>
      <c r="AA457">
        <f>IF(OR(W457=0,Z457=""),0,MAX(0,'Example Outstanding'!$E$5-Z457))</f>
        <v/>
      </c>
      <c r="AB457">
        <f>IF(AND(X457=1,AA457&gt;0),W457*((1+3*N('Example Parties'!$E$10)/12)^(AA457*12/365)-1),0)</f>
        <v/>
      </c>
      <c r="AC457">
        <f>IF(W457=0,"",'Example Outstanding'!$E$5-B457)</f>
        <v/>
      </c>
      <c r="AD457">
        <f>IF(S457=0,0,IFERROR(VLOOKUP(C457,'Example Parties'!$B$13:$Q$112,14,FALSE),0)+SUMIFS($T$7:$T$506,$C$7:$C$506,C457,$B$7:$B$506,"&lt;="&amp;'Example Parties'!$E$8))</f>
        <v/>
      </c>
      <c r="AE457">
        <f>IF(OR('Example Parties'!$E$8="",S457=0,B457="",B457&gt;'Example Parties'!$E$8),0,MAX(0,MIN(S457,U457-AD457)))</f>
        <v/>
      </c>
      <c r="AF457">
        <f>IF(AND(P457="Creditor",X457=1,AE457&gt;0,Z457&lt;&gt;""),IF(Z457&lt;='Example Parties'!$E$8,AE457,0),0)</f>
        <v/>
      </c>
      <c r="AG457">
        <f>IF(OR(AE457=0,Z457=""),0,MAX(0,'Example Parties'!$E$8-Z457))</f>
        <v/>
      </c>
      <c r="AH457">
        <f>IF(AND(P457="Creditor",X457=1,AG457&gt;0),AE457*((1+3*N('Example Parties'!$E$10)/12)^(AG457*12/365)-1),0)</f>
        <v/>
      </c>
      <c r="AI457">
        <f>IF(AND(C457&lt;&gt;"",C457='Example Ledger'!$D$4,B457&lt;&gt;"",B457&gt;='Example Ledger'!$D$5,B457&lt;='Example Ledger'!$D$6),1,0)</f>
        <v/>
      </c>
      <c r="AJ457">
        <f>IF(AI457=1,SUM(AI$7:AI457),"")</f>
        <v/>
      </c>
      <c r="AK457">
        <f>IF(OR(N457="",N457="OK"),0,1)</f>
        <v/>
      </c>
    </row>
    <row r="458">
      <c r="B458" s="24" t="n"/>
      <c r="C458" s="14" t="n"/>
      <c r="D458" s="14" t="n"/>
      <c r="E458" s="20" t="n"/>
      <c r="F458" s="24" t="n"/>
      <c r="G458" s="14" t="n"/>
      <c r="H458" s="22" t="n"/>
      <c r="I458" s="25">
        <f>IF(Q458="D",N(H458),0)</f>
        <v/>
      </c>
      <c r="J458" s="25">
        <f>IF(Q458="C",N(H458),0)</f>
        <v/>
      </c>
      <c r="K458" s="26">
        <f>IF(Z458="","",Z458)</f>
        <v/>
      </c>
      <c r="L458" s="27">
        <f>W458</f>
        <v/>
      </c>
      <c r="M458" s="28">
        <f>AA458</f>
        <v/>
      </c>
      <c r="N458" s="23">
        <f>IF(AND(B458="",C458="",D458="",N(H458)=0),"",IF(B458="","Enter the date",IF(C458="","Pick the party",IF(P458="?","Add this party on the Parties sheet first",IF(D458="","Pick the entry type",IF(Q458="?","Pick the entry type from the list",IF(N(H458)=0,"Enter the amount",IF(AND(R458&lt;&gt;"Any",R458&lt;&gt;P458),"Sales, receipts and credit notes are for debtors; purchases, payments and debit notes for creditors",IF(AND(F458&lt;&gt;"",D458&lt;&gt;"Purchase bill"),"The received-on date is only for purchase bills",IF(AND(P458="Creditor",X458=1,AA458&gt;0),"Past due to a micro or small supplier: interest runs under MSMED s.16, and if unpaid at year end it is not deductible that year, s.37(2)(g)",IF(AND(P458="Debtor",X458=1,AA458&gt;0),"Past due to you: as a micro or small supplier you can claim interest under MSMED s.16","OK")))))))))))</f>
        <v/>
      </c>
      <c r="P458">
        <f>IF(C458="","",IFERROR(VLOOKUP(C458,'Example Parties'!$B$13:$Q$112,2,FALSE),"?"))</f>
        <v/>
      </c>
      <c r="Q458">
        <f>IF(D458="","",IFERROR(VLOOKUP(D458,Lists!$A$2:$D$9,3,FALSE),"?"))</f>
        <v/>
      </c>
      <c r="R458">
        <f>IF(D458="","",IFERROR(VLOOKUP(D458,Lists!$A$2:$D$9,4,FALSE),"?"))</f>
        <v/>
      </c>
      <c r="S458">
        <f>IF(P458="Debtor",I458,IF(P458="Creditor",J458,0))</f>
        <v/>
      </c>
      <c r="T458">
        <f>IF(P458="Debtor",J458,IF(P458="Creditor",I458,0))</f>
        <v/>
      </c>
      <c r="U458">
        <f>IF(OR(S458=0,B458=""),0,IFERROR(VLOOKUP(C458,'Example Parties'!$B$13:$Q$112,13,FALSE),0)+SUMIFS($S$7:$S$506,$C$7:$C$506,C458,$B$7:$B$506,"&lt;"&amp;B458)+SUMIFS(S$7:S458,C$7:C458,C458,B$7:B458,B458))</f>
        <v/>
      </c>
      <c r="V458">
        <f>IF(S458=0,0,IFERROR(VLOOKUP(C458,'Example Parties'!$B$13:$Q$112,14,FALSE),0)+SUMIFS($T$7:$T$506,$C$7:$C$506,C458,$B$7:$B$506,"&lt;="&amp;'Example Outstanding'!$E$5))</f>
        <v/>
      </c>
      <c r="W458">
        <f>IF(OR('Example Outstanding'!$E$5="",S458=0,B458="",B458&gt;'Example Outstanding'!$E$5),0,MAX(0,MIN(S458,U458-V458)))</f>
        <v/>
      </c>
      <c r="X458">
        <f>IF(C458="",0,IFERROR(VLOOKUP(C458,'Example Parties'!$B$13:$Q$112,15,FALSE),0))</f>
        <v/>
      </c>
      <c r="Y458">
        <f>IF(C458="","",IFERROR(VLOOKUP(C458,'Example Parties'!$B$13:$Q$112,16,FALSE),0))</f>
        <v/>
      </c>
      <c r="Z458">
        <f>IF(OR(S458=0,B458="",Y458=""),"",IF(AND(F458&lt;&gt;"",D458="Purchase bill"),F458,B458)+Y458)</f>
        <v/>
      </c>
      <c r="AA458">
        <f>IF(OR(W458=0,Z458=""),0,MAX(0,'Example Outstanding'!$E$5-Z458))</f>
        <v/>
      </c>
      <c r="AB458">
        <f>IF(AND(X458=1,AA458&gt;0),W458*((1+3*N('Example Parties'!$E$10)/12)^(AA458*12/365)-1),0)</f>
        <v/>
      </c>
      <c r="AC458">
        <f>IF(W458=0,"",'Example Outstanding'!$E$5-B458)</f>
        <v/>
      </c>
      <c r="AD458">
        <f>IF(S458=0,0,IFERROR(VLOOKUP(C458,'Example Parties'!$B$13:$Q$112,14,FALSE),0)+SUMIFS($T$7:$T$506,$C$7:$C$506,C458,$B$7:$B$506,"&lt;="&amp;'Example Parties'!$E$8))</f>
        <v/>
      </c>
      <c r="AE458">
        <f>IF(OR('Example Parties'!$E$8="",S458=0,B458="",B458&gt;'Example Parties'!$E$8),0,MAX(0,MIN(S458,U458-AD458)))</f>
        <v/>
      </c>
      <c r="AF458">
        <f>IF(AND(P458="Creditor",X458=1,AE458&gt;0,Z458&lt;&gt;""),IF(Z458&lt;='Example Parties'!$E$8,AE458,0),0)</f>
        <v/>
      </c>
      <c r="AG458">
        <f>IF(OR(AE458=0,Z458=""),0,MAX(0,'Example Parties'!$E$8-Z458))</f>
        <v/>
      </c>
      <c r="AH458">
        <f>IF(AND(P458="Creditor",X458=1,AG458&gt;0),AE458*((1+3*N('Example Parties'!$E$10)/12)^(AG458*12/365)-1),0)</f>
        <v/>
      </c>
      <c r="AI458">
        <f>IF(AND(C458&lt;&gt;"",C458='Example Ledger'!$D$4,B458&lt;&gt;"",B458&gt;='Example Ledger'!$D$5,B458&lt;='Example Ledger'!$D$6),1,0)</f>
        <v/>
      </c>
      <c r="AJ458">
        <f>IF(AI458=1,SUM(AI$7:AI458),"")</f>
        <v/>
      </c>
      <c r="AK458">
        <f>IF(OR(N458="",N458="OK"),0,1)</f>
        <v/>
      </c>
    </row>
    <row r="459">
      <c r="B459" s="24" t="n"/>
      <c r="C459" s="14" t="n"/>
      <c r="D459" s="14" t="n"/>
      <c r="E459" s="20" t="n"/>
      <c r="F459" s="24" t="n"/>
      <c r="G459" s="14" t="n"/>
      <c r="H459" s="22" t="n"/>
      <c r="I459" s="25">
        <f>IF(Q459="D",N(H459),0)</f>
        <v/>
      </c>
      <c r="J459" s="25">
        <f>IF(Q459="C",N(H459),0)</f>
        <v/>
      </c>
      <c r="K459" s="26">
        <f>IF(Z459="","",Z459)</f>
        <v/>
      </c>
      <c r="L459" s="27">
        <f>W459</f>
        <v/>
      </c>
      <c r="M459" s="28">
        <f>AA459</f>
        <v/>
      </c>
      <c r="N459" s="23">
        <f>IF(AND(B459="",C459="",D459="",N(H459)=0),"",IF(B459="","Enter the date",IF(C459="","Pick the party",IF(P459="?","Add this party on the Parties sheet first",IF(D459="","Pick the entry type",IF(Q459="?","Pick the entry type from the list",IF(N(H459)=0,"Enter the amount",IF(AND(R459&lt;&gt;"Any",R459&lt;&gt;P459),"Sales, receipts and credit notes are for debtors; purchases, payments and debit notes for creditors",IF(AND(F459&lt;&gt;"",D459&lt;&gt;"Purchase bill"),"The received-on date is only for purchase bills",IF(AND(P459="Creditor",X459=1,AA459&gt;0),"Past due to a micro or small supplier: interest runs under MSMED s.16, and if unpaid at year end it is not deductible that year, s.37(2)(g)",IF(AND(P459="Debtor",X459=1,AA459&gt;0),"Past due to you: as a micro or small supplier you can claim interest under MSMED s.16","OK")))))))))))</f>
        <v/>
      </c>
      <c r="P459">
        <f>IF(C459="","",IFERROR(VLOOKUP(C459,'Example Parties'!$B$13:$Q$112,2,FALSE),"?"))</f>
        <v/>
      </c>
      <c r="Q459">
        <f>IF(D459="","",IFERROR(VLOOKUP(D459,Lists!$A$2:$D$9,3,FALSE),"?"))</f>
        <v/>
      </c>
      <c r="R459">
        <f>IF(D459="","",IFERROR(VLOOKUP(D459,Lists!$A$2:$D$9,4,FALSE),"?"))</f>
        <v/>
      </c>
      <c r="S459">
        <f>IF(P459="Debtor",I459,IF(P459="Creditor",J459,0))</f>
        <v/>
      </c>
      <c r="T459">
        <f>IF(P459="Debtor",J459,IF(P459="Creditor",I459,0))</f>
        <v/>
      </c>
      <c r="U459">
        <f>IF(OR(S459=0,B459=""),0,IFERROR(VLOOKUP(C459,'Example Parties'!$B$13:$Q$112,13,FALSE),0)+SUMIFS($S$7:$S$506,$C$7:$C$506,C459,$B$7:$B$506,"&lt;"&amp;B459)+SUMIFS(S$7:S459,C$7:C459,C459,B$7:B459,B459))</f>
        <v/>
      </c>
      <c r="V459">
        <f>IF(S459=0,0,IFERROR(VLOOKUP(C459,'Example Parties'!$B$13:$Q$112,14,FALSE),0)+SUMIFS($T$7:$T$506,$C$7:$C$506,C459,$B$7:$B$506,"&lt;="&amp;'Example Outstanding'!$E$5))</f>
        <v/>
      </c>
      <c r="W459">
        <f>IF(OR('Example Outstanding'!$E$5="",S459=0,B459="",B459&gt;'Example Outstanding'!$E$5),0,MAX(0,MIN(S459,U459-V459)))</f>
        <v/>
      </c>
      <c r="X459">
        <f>IF(C459="",0,IFERROR(VLOOKUP(C459,'Example Parties'!$B$13:$Q$112,15,FALSE),0))</f>
        <v/>
      </c>
      <c r="Y459">
        <f>IF(C459="","",IFERROR(VLOOKUP(C459,'Example Parties'!$B$13:$Q$112,16,FALSE),0))</f>
        <v/>
      </c>
      <c r="Z459">
        <f>IF(OR(S459=0,B459="",Y459=""),"",IF(AND(F459&lt;&gt;"",D459="Purchase bill"),F459,B459)+Y459)</f>
        <v/>
      </c>
      <c r="AA459">
        <f>IF(OR(W459=0,Z459=""),0,MAX(0,'Example Outstanding'!$E$5-Z459))</f>
        <v/>
      </c>
      <c r="AB459">
        <f>IF(AND(X459=1,AA459&gt;0),W459*((1+3*N('Example Parties'!$E$10)/12)^(AA459*12/365)-1),0)</f>
        <v/>
      </c>
      <c r="AC459">
        <f>IF(W459=0,"",'Example Outstanding'!$E$5-B459)</f>
        <v/>
      </c>
      <c r="AD459">
        <f>IF(S459=0,0,IFERROR(VLOOKUP(C459,'Example Parties'!$B$13:$Q$112,14,FALSE),0)+SUMIFS($T$7:$T$506,$C$7:$C$506,C459,$B$7:$B$506,"&lt;="&amp;'Example Parties'!$E$8))</f>
        <v/>
      </c>
      <c r="AE459">
        <f>IF(OR('Example Parties'!$E$8="",S459=0,B459="",B459&gt;'Example Parties'!$E$8),0,MAX(0,MIN(S459,U459-AD459)))</f>
        <v/>
      </c>
      <c r="AF459">
        <f>IF(AND(P459="Creditor",X459=1,AE459&gt;0,Z459&lt;&gt;""),IF(Z459&lt;='Example Parties'!$E$8,AE459,0),0)</f>
        <v/>
      </c>
      <c r="AG459">
        <f>IF(OR(AE459=0,Z459=""),0,MAX(0,'Example Parties'!$E$8-Z459))</f>
        <v/>
      </c>
      <c r="AH459">
        <f>IF(AND(P459="Creditor",X459=1,AG459&gt;0),AE459*((1+3*N('Example Parties'!$E$10)/12)^(AG459*12/365)-1),0)</f>
        <v/>
      </c>
      <c r="AI459">
        <f>IF(AND(C459&lt;&gt;"",C459='Example Ledger'!$D$4,B459&lt;&gt;"",B459&gt;='Example Ledger'!$D$5,B459&lt;='Example Ledger'!$D$6),1,0)</f>
        <v/>
      </c>
      <c r="AJ459">
        <f>IF(AI459=1,SUM(AI$7:AI459),"")</f>
        <v/>
      </c>
      <c r="AK459">
        <f>IF(OR(N459="",N459="OK"),0,1)</f>
        <v/>
      </c>
    </row>
    <row r="460">
      <c r="B460" s="24" t="n"/>
      <c r="C460" s="14" t="n"/>
      <c r="D460" s="14" t="n"/>
      <c r="E460" s="20" t="n"/>
      <c r="F460" s="24" t="n"/>
      <c r="G460" s="14" t="n"/>
      <c r="H460" s="22" t="n"/>
      <c r="I460" s="25">
        <f>IF(Q460="D",N(H460),0)</f>
        <v/>
      </c>
      <c r="J460" s="25">
        <f>IF(Q460="C",N(H460),0)</f>
        <v/>
      </c>
      <c r="K460" s="26">
        <f>IF(Z460="","",Z460)</f>
        <v/>
      </c>
      <c r="L460" s="27">
        <f>W460</f>
        <v/>
      </c>
      <c r="M460" s="28">
        <f>AA460</f>
        <v/>
      </c>
      <c r="N460" s="23">
        <f>IF(AND(B460="",C460="",D460="",N(H460)=0),"",IF(B460="","Enter the date",IF(C460="","Pick the party",IF(P460="?","Add this party on the Parties sheet first",IF(D460="","Pick the entry type",IF(Q460="?","Pick the entry type from the list",IF(N(H460)=0,"Enter the amount",IF(AND(R460&lt;&gt;"Any",R460&lt;&gt;P460),"Sales, receipts and credit notes are for debtors; purchases, payments and debit notes for creditors",IF(AND(F460&lt;&gt;"",D460&lt;&gt;"Purchase bill"),"The received-on date is only for purchase bills",IF(AND(P460="Creditor",X460=1,AA460&gt;0),"Past due to a micro or small supplier: interest runs under MSMED s.16, and if unpaid at year end it is not deductible that year, s.37(2)(g)",IF(AND(P460="Debtor",X460=1,AA460&gt;0),"Past due to you: as a micro or small supplier you can claim interest under MSMED s.16","OK")))))))))))</f>
        <v/>
      </c>
      <c r="P460">
        <f>IF(C460="","",IFERROR(VLOOKUP(C460,'Example Parties'!$B$13:$Q$112,2,FALSE),"?"))</f>
        <v/>
      </c>
      <c r="Q460">
        <f>IF(D460="","",IFERROR(VLOOKUP(D460,Lists!$A$2:$D$9,3,FALSE),"?"))</f>
        <v/>
      </c>
      <c r="R460">
        <f>IF(D460="","",IFERROR(VLOOKUP(D460,Lists!$A$2:$D$9,4,FALSE),"?"))</f>
        <v/>
      </c>
      <c r="S460">
        <f>IF(P460="Debtor",I460,IF(P460="Creditor",J460,0))</f>
        <v/>
      </c>
      <c r="T460">
        <f>IF(P460="Debtor",J460,IF(P460="Creditor",I460,0))</f>
        <v/>
      </c>
      <c r="U460">
        <f>IF(OR(S460=0,B460=""),0,IFERROR(VLOOKUP(C460,'Example Parties'!$B$13:$Q$112,13,FALSE),0)+SUMIFS($S$7:$S$506,$C$7:$C$506,C460,$B$7:$B$506,"&lt;"&amp;B460)+SUMIFS(S$7:S460,C$7:C460,C460,B$7:B460,B460))</f>
        <v/>
      </c>
      <c r="V460">
        <f>IF(S460=0,0,IFERROR(VLOOKUP(C460,'Example Parties'!$B$13:$Q$112,14,FALSE),0)+SUMIFS($T$7:$T$506,$C$7:$C$506,C460,$B$7:$B$506,"&lt;="&amp;'Example Outstanding'!$E$5))</f>
        <v/>
      </c>
      <c r="W460">
        <f>IF(OR('Example Outstanding'!$E$5="",S460=0,B460="",B460&gt;'Example Outstanding'!$E$5),0,MAX(0,MIN(S460,U460-V460)))</f>
        <v/>
      </c>
      <c r="X460">
        <f>IF(C460="",0,IFERROR(VLOOKUP(C460,'Example Parties'!$B$13:$Q$112,15,FALSE),0))</f>
        <v/>
      </c>
      <c r="Y460">
        <f>IF(C460="","",IFERROR(VLOOKUP(C460,'Example Parties'!$B$13:$Q$112,16,FALSE),0))</f>
        <v/>
      </c>
      <c r="Z460">
        <f>IF(OR(S460=0,B460="",Y460=""),"",IF(AND(F460&lt;&gt;"",D460="Purchase bill"),F460,B460)+Y460)</f>
        <v/>
      </c>
      <c r="AA460">
        <f>IF(OR(W460=0,Z460=""),0,MAX(0,'Example Outstanding'!$E$5-Z460))</f>
        <v/>
      </c>
      <c r="AB460">
        <f>IF(AND(X460=1,AA460&gt;0),W460*((1+3*N('Example Parties'!$E$10)/12)^(AA460*12/365)-1),0)</f>
        <v/>
      </c>
      <c r="AC460">
        <f>IF(W460=0,"",'Example Outstanding'!$E$5-B460)</f>
        <v/>
      </c>
      <c r="AD460">
        <f>IF(S460=0,0,IFERROR(VLOOKUP(C460,'Example Parties'!$B$13:$Q$112,14,FALSE),0)+SUMIFS($T$7:$T$506,$C$7:$C$506,C460,$B$7:$B$506,"&lt;="&amp;'Example Parties'!$E$8))</f>
        <v/>
      </c>
      <c r="AE460">
        <f>IF(OR('Example Parties'!$E$8="",S460=0,B460="",B460&gt;'Example Parties'!$E$8),0,MAX(0,MIN(S460,U460-AD460)))</f>
        <v/>
      </c>
      <c r="AF460">
        <f>IF(AND(P460="Creditor",X460=1,AE460&gt;0,Z460&lt;&gt;""),IF(Z460&lt;='Example Parties'!$E$8,AE460,0),0)</f>
        <v/>
      </c>
      <c r="AG460">
        <f>IF(OR(AE460=0,Z460=""),0,MAX(0,'Example Parties'!$E$8-Z460))</f>
        <v/>
      </c>
      <c r="AH460">
        <f>IF(AND(P460="Creditor",X460=1,AG460&gt;0),AE460*((1+3*N('Example Parties'!$E$10)/12)^(AG460*12/365)-1),0)</f>
        <v/>
      </c>
      <c r="AI460">
        <f>IF(AND(C460&lt;&gt;"",C460='Example Ledger'!$D$4,B460&lt;&gt;"",B460&gt;='Example Ledger'!$D$5,B460&lt;='Example Ledger'!$D$6),1,0)</f>
        <v/>
      </c>
      <c r="AJ460">
        <f>IF(AI460=1,SUM(AI$7:AI460),"")</f>
        <v/>
      </c>
      <c r="AK460">
        <f>IF(OR(N460="",N460="OK"),0,1)</f>
        <v/>
      </c>
    </row>
    <row r="461">
      <c r="B461" s="24" t="n"/>
      <c r="C461" s="14" t="n"/>
      <c r="D461" s="14" t="n"/>
      <c r="E461" s="20" t="n"/>
      <c r="F461" s="24" t="n"/>
      <c r="G461" s="14" t="n"/>
      <c r="H461" s="22" t="n"/>
      <c r="I461" s="25">
        <f>IF(Q461="D",N(H461),0)</f>
        <v/>
      </c>
      <c r="J461" s="25">
        <f>IF(Q461="C",N(H461),0)</f>
        <v/>
      </c>
      <c r="K461" s="26">
        <f>IF(Z461="","",Z461)</f>
        <v/>
      </c>
      <c r="L461" s="27">
        <f>W461</f>
        <v/>
      </c>
      <c r="M461" s="28">
        <f>AA461</f>
        <v/>
      </c>
      <c r="N461" s="23">
        <f>IF(AND(B461="",C461="",D461="",N(H461)=0),"",IF(B461="","Enter the date",IF(C461="","Pick the party",IF(P461="?","Add this party on the Parties sheet first",IF(D461="","Pick the entry type",IF(Q461="?","Pick the entry type from the list",IF(N(H461)=0,"Enter the amount",IF(AND(R461&lt;&gt;"Any",R461&lt;&gt;P461),"Sales, receipts and credit notes are for debtors; purchases, payments and debit notes for creditors",IF(AND(F461&lt;&gt;"",D461&lt;&gt;"Purchase bill"),"The received-on date is only for purchase bills",IF(AND(P461="Creditor",X461=1,AA461&gt;0),"Past due to a micro or small supplier: interest runs under MSMED s.16, and if unpaid at year end it is not deductible that year, s.37(2)(g)",IF(AND(P461="Debtor",X461=1,AA461&gt;0),"Past due to you: as a micro or small supplier you can claim interest under MSMED s.16","OK")))))))))))</f>
        <v/>
      </c>
      <c r="P461">
        <f>IF(C461="","",IFERROR(VLOOKUP(C461,'Example Parties'!$B$13:$Q$112,2,FALSE),"?"))</f>
        <v/>
      </c>
      <c r="Q461">
        <f>IF(D461="","",IFERROR(VLOOKUP(D461,Lists!$A$2:$D$9,3,FALSE),"?"))</f>
        <v/>
      </c>
      <c r="R461">
        <f>IF(D461="","",IFERROR(VLOOKUP(D461,Lists!$A$2:$D$9,4,FALSE),"?"))</f>
        <v/>
      </c>
      <c r="S461">
        <f>IF(P461="Debtor",I461,IF(P461="Creditor",J461,0))</f>
        <v/>
      </c>
      <c r="T461">
        <f>IF(P461="Debtor",J461,IF(P461="Creditor",I461,0))</f>
        <v/>
      </c>
      <c r="U461">
        <f>IF(OR(S461=0,B461=""),0,IFERROR(VLOOKUP(C461,'Example Parties'!$B$13:$Q$112,13,FALSE),0)+SUMIFS($S$7:$S$506,$C$7:$C$506,C461,$B$7:$B$506,"&lt;"&amp;B461)+SUMIFS(S$7:S461,C$7:C461,C461,B$7:B461,B461))</f>
        <v/>
      </c>
      <c r="V461">
        <f>IF(S461=0,0,IFERROR(VLOOKUP(C461,'Example Parties'!$B$13:$Q$112,14,FALSE),0)+SUMIFS($T$7:$T$506,$C$7:$C$506,C461,$B$7:$B$506,"&lt;="&amp;'Example Outstanding'!$E$5))</f>
        <v/>
      </c>
      <c r="W461">
        <f>IF(OR('Example Outstanding'!$E$5="",S461=0,B461="",B461&gt;'Example Outstanding'!$E$5),0,MAX(0,MIN(S461,U461-V461)))</f>
        <v/>
      </c>
      <c r="X461">
        <f>IF(C461="",0,IFERROR(VLOOKUP(C461,'Example Parties'!$B$13:$Q$112,15,FALSE),0))</f>
        <v/>
      </c>
      <c r="Y461">
        <f>IF(C461="","",IFERROR(VLOOKUP(C461,'Example Parties'!$B$13:$Q$112,16,FALSE),0))</f>
        <v/>
      </c>
      <c r="Z461">
        <f>IF(OR(S461=0,B461="",Y461=""),"",IF(AND(F461&lt;&gt;"",D461="Purchase bill"),F461,B461)+Y461)</f>
        <v/>
      </c>
      <c r="AA461">
        <f>IF(OR(W461=0,Z461=""),0,MAX(0,'Example Outstanding'!$E$5-Z461))</f>
        <v/>
      </c>
      <c r="AB461">
        <f>IF(AND(X461=1,AA461&gt;0),W461*((1+3*N('Example Parties'!$E$10)/12)^(AA461*12/365)-1),0)</f>
        <v/>
      </c>
      <c r="AC461">
        <f>IF(W461=0,"",'Example Outstanding'!$E$5-B461)</f>
        <v/>
      </c>
      <c r="AD461">
        <f>IF(S461=0,0,IFERROR(VLOOKUP(C461,'Example Parties'!$B$13:$Q$112,14,FALSE),0)+SUMIFS($T$7:$T$506,$C$7:$C$506,C461,$B$7:$B$506,"&lt;="&amp;'Example Parties'!$E$8))</f>
        <v/>
      </c>
      <c r="AE461">
        <f>IF(OR('Example Parties'!$E$8="",S461=0,B461="",B461&gt;'Example Parties'!$E$8),0,MAX(0,MIN(S461,U461-AD461)))</f>
        <v/>
      </c>
      <c r="AF461">
        <f>IF(AND(P461="Creditor",X461=1,AE461&gt;0,Z461&lt;&gt;""),IF(Z461&lt;='Example Parties'!$E$8,AE461,0),0)</f>
        <v/>
      </c>
      <c r="AG461">
        <f>IF(OR(AE461=0,Z461=""),0,MAX(0,'Example Parties'!$E$8-Z461))</f>
        <v/>
      </c>
      <c r="AH461">
        <f>IF(AND(P461="Creditor",X461=1,AG461&gt;0),AE461*((1+3*N('Example Parties'!$E$10)/12)^(AG461*12/365)-1),0)</f>
        <v/>
      </c>
      <c r="AI461">
        <f>IF(AND(C461&lt;&gt;"",C461='Example Ledger'!$D$4,B461&lt;&gt;"",B461&gt;='Example Ledger'!$D$5,B461&lt;='Example Ledger'!$D$6),1,0)</f>
        <v/>
      </c>
      <c r="AJ461">
        <f>IF(AI461=1,SUM(AI$7:AI461),"")</f>
        <v/>
      </c>
      <c r="AK461">
        <f>IF(OR(N461="",N461="OK"),0,1)</f>
        <v/>
      </c>
    </row>
    <row r="462">
      <c r="B462" s="24" t="n"/>
      <c r="C462" s="14" t="n"/>
      <c r="D462" s="14" t="n"/>
      <c r="E462" s="20" t="n"/>
      <c r="F462" s="24" t="n"/>
      <c r="G462" s="14" t="n"/>
      <c r="H462" s="22" t="n"/>
      <c r="I462" s="25">
        <f>IF(Q462="D",N(H462),0)</f>
        <v/>
      </c>
      <c r="J462" s="25">
        <f>IF(Q462="C",N(H462),0)</f>
        <v/>
      </c>
      <c r="K462" s="26">
        <f>IF(Z462="","",Z462)</f>
        <v/>
      </c>
      <c r="L462" s="27">
        <f>W462</f>
        <v/>
      </c>
      <c r="M462" s="28">
        <f>AA462</f>
        <v/>
      </c>
      <c r="N462" s="23">
        <f>IF(AND(B462="",C462="",D462="",N(H462)=0),"",IF(B462="","Enter the date",IF(C462="","Pick the party",IF(P462="?","Add this party on the Parties sheet first",IF(D462="","Pick the entry type",IF(Q462="?","Pick the entry type from the list",IF(N(H462)=0,"Enter the amount",IF(AND(R462&lt;&gt;"Any",R462&lt;&gt;P462),"Sales, receipts and credit notes are for debtors; purchases, payments and debit notes for creditors",IF(AND(F462&lt;&gt;"",D462&lt;&gt;"Purchase bill"),"The received-on date is only for purchase bills",IF(AND(P462="Creditor",X462=1,AA462&gt;0),"Past due to a micro or small supplier: interest runs under MSMED s.16, and if unpaid at year end it is not deductible that year, s.37(2)(g)",IF(AND(P462="Debtor",X462=1,AA462&gt;0),"Past due to you: as a micro or small supplier you can claim interest under MSMED s.16","OK")))))))))))</f>
        <v/>
      </c>
      <c r="P462">
        <f>IF(C462="","",IFERROR(VLOOKUP(C462,'Example Parties'!$B$13:$Q$112,2,FALSE),"?"))</f>
        <v/>
      </c>
      <c r="Q462">
        <f>IF(D462="","",IFERROR(VLOOKUP(D462,Lists!$A$2:$D$9,3,FALSE),"?"))</f>
        <v/>
      </c>
      <c r="R462">
        <f>IF(D462="","",IFERROR(VLOOKUP(D462,Lists!$A$2:$D$9,4,FALSE),"?"))</f>
        <v/>
      </c>
      <c r="S462">
        <f>IF(P462="Debtor",I462,IF(P462="Creditor",J462,0))</f>
        <v/>
      </c>
      <c r="T462">
        <f>IF(P462="Debtor",J462,IF(P462="Creditor",I462,0))</f>
        <v/>
      </c>
      <c r="U462">
        <f>IF(OR(S462=0,B462=""),0,IFERROR(VLOOKUP(C462,'Example Parties'!$B$13:$Q$112,13,FALSE),0)+SUMIFS($S$7:$S$506,$C$7:$C$506,C462,$B$7:$B$506,"&lt;"&amp;B462)+SUMIFS(S$7:S462,C$7:C462,C462,B$7:B462,B462))</f>
        <v/>
      </c>
      <c r="V462">
        <f>IF(S462=0,0,IFERROR(VLOOKUP(C462,'Example Parties'!$B$13:$Q$112,14,FALSE),0)+SUMIFS($T$7:$T$506,$C$7:$C$506,C462,$B$7:$B$506,"&lt;="&amp;'Example Outstanding'!$E$5))</f>
        <v/>
      </c>
      <c r="W462">
        <f>IF(OR('Example Outstanding'!$E$5="",S462=0,B462="",B462&gt;'Example Outstanding'!$E$5),0,MAX(0,MIN(S462,U462-V462)))</f>
        <v/>
      </c>
      <c r="X462">
        <f>IF(C462="",0,IFERROR(VLOOKUP(C462,'Example Parties'!$B$13:$Q$112,15,FALSE),0))</f>
        <v/>
      </c>
      <c r="Y462">
        <f>IF(C462="","",IFERROR(VLOOKUP(C462,'Example Parties'!$B$13:$Q$112,16,FALSE),0))</f>
        <v/>
      </c>
      <c r="Z462">
        <f>IF(OR(S462=0,B462="",Y462=""),"",IF(AND(F462&lt;&gt;"",D462="Purchase bill"),F462,B462)+Y462)</f>
        <v/>
      </c>
      <c r="AA462">
        <f>IF(OR(W462=0,Z462=""),0,MAX(0,'Example Outstanding'!$E$5-Z462))</f>
        <v/>
      </c>
      <c r="AB462">
        <f>IF(AND(X462=1,AA462&gt;0),W462*((1+3*N('Example Parties'!$E$10)/12)^(AA462*12/365)-1),0)</f>
        <v/>
      </c>
      <c r="AC462">
        <f>IF(W462=0,"",'Example Outstanding'!$E$5-B462)</f>
        <v/>
      </c>
      <c r="AD462">
        <f>IF(S462=0,0,IFERROR(VLOOKUP(C462,'Example Parties'!$B$13:$Q$112,14,FALSE),0)+SUMIFS($T$7:$T$506,$C$7:$C$506,C462,$B$7:$B$506,"&lt;="&amp;'Example Parties'!$E$8))</f>
        <v/>
      </c>
      <c r="AE462">
        <f>IF(OR('Example Parties'!$E$8="",S462=0,B462="",B462&gt;'Example Parties'!$E$8),0,MAX(0,MIN(S462,U462-AD462)))</f>
        <v/>
      </c>
      <c r="AF462">
        <f>IF(AND(P462="Creditor",X462=1,AE462&gt;0,Z462&lt;&gt;""),IF(Z462&lt;='Example Parties'!$E$8,AE462,0),0)</f>
        <v/>
      </c>
      <c r="AG462">
        <f>IF(OR(AE462=0,Z462=""),0,MAX(0,'Example Parties'!$E$8-Z462))</f>
        <v/>
      </c>
      <c r="AH462">
        <f>IF(AND(P462="Creditor",X462=1,AG462&gt;0),AE462*((1+3*N('Example Parties'!$E$10)/12)^(AG462*12/365)-1),0)</f>
        <v/>
      </c>
      <c r="AI462">
        <f>IF(AND(C462&lt;&gt;"",C462='Example Ledger'!$D$4,B462&lt;&gt;"",B462&gt;='Example Ledger'!$D$5,B462&lt;='Example Ledger'!$D$6),1,0)</f>
        <v/>
      </c>
      <c r="AJ462">
        <f>IF(AI462=1,SUM(AI$7:AI462),"")</f>
        <v/>
      </c>
      <c r="AK462">
        <f>IF(OR(N462="",N462="OK"),0,1)</f>
        <v/>
      </c>
    </row>
    <row r="463">
      <c r="B463" s="24" t="n"/>
      <c r="C463" s="14" t="n"/>
      <c r="D463" s="14" t="n"/>
      <c r="E463" s="20" t="n"/>
      <c r="F463" s="24" t="n"/>
      <c r="G463" s="14" t="n"/>
      <c r="H463" s="22" t="n"/>
      <c r="I463" s="25">
        <f>IF(Q463="D",N(H463),0)</f>
        <v/>
      </c>
      <c r="J463" s="25">
        <f>IF(Q463="C",N(H463),0)</f>
        <v/>
      </c>
      <c r="K463" s="26">
        <f>IF(Z463="","",Z463)</f>
        <v/>
      </c>
      <c r="L463" s="27">
        <f>W463</f>
        <v/>
      </c>
      <c r="M463" s="28">
        <f>AA463</f>
        <v/>
      </c>
      <c r="N463" s="23">
        <f>IF(AND(B463="",C463="",D463="",N(H463)=0),"",IF(B463="","Enter the date",IF(C463="","Pick the party",IF(P463="?","Add this party on the Parties sheet first",IF(D463="","Pick the entry type",IF(Q463="?","Pick the entry type from the list",IF(N(H463)=0,"Enter the amount",IF(AND(R463&lt;&gt;"Any",R463&lt;&gt;P463),"Sales, receipts and credit notes are for debtors; purchases, payments and debit notes for creditors",IF(AND(F463&lt;&gt;"",D463&lt;&gt;"Purchase bill"),"The received-on date is only for purchase bills",IF(AND(P463="Creditor",X463=1,AA463&gt;0),"Past due to a micro or small supplier: interest runs under MSMED s.16, and if unpaid at year end it is not deductible that year, s.37(2)(g)",IF(AND(P463="Debtor",X463=1,AA463&gt;0),"Past due to you: as a micro or small supplier you can claim interest under MSMED s.16","OK")))))))))))</f>
        <v/>
      </c>
      <c r="P463">
        <f>IF(C463="","",IFERROR(VLOOKUP(C463,'Example Parties'!$B$13:$Q$112,2,FALSE),"?"))</f>
        <v/>
      </c>
      <c r="Q463">
        <f>IF(D463="","",IFERROR(VLOOKUP(D463,Lists!$A$2:$D$9,3,FALSE),"?"))</f>
        <v/>
      </c>
      <c r="R463">
        <f>IF(D463="","",IFERROR(VLOOKUP(D463,Lists!$A$2:$D$9,4,FALSE),"?"))</f>
        <v/>
      </c>
      <c r="S463">
        <f>IF(P463="Debtor",I463,IF(P463="Creditor",J463,0))</f>
        <v/>
      </c>
      <c r="T463">
        <f>IF(P463="Debtor",J463,IF(P463="Creditor",I463,0))</f>
        <v/>
      </c>
      <c r="U463">
        <f>IF(OR(S463=0,B463=""),0,IFERROR(VLOOKUP(C463,'Example Parties'!$B$13:$Q$112,13,FALSE),0)+SUMIFS($S$7:$S$506,$C$7:$C$506,C463,$B$7:$B$506,"&lt;"&amp;B463)+SUMIFS(S$7:S463,C$7:C463,C463,B$7:B463,B463))</f>
        <v/>
      </c>
      <c r="V463">
        <f>IF(S463=0,0,IFERROR(VLOOKUP(C463,'Example Parties'!$B$13:$Q$112,14,FALSE),0)+SUMIFS($T$7:$T$506,$C$7:$C$506,C463,$B$7:$B$506,"&lt;="&amp;'Example Outstanding'!$E$5))</f>
        <v/>
      </c>
      <c r="W463">
        <f>IF(OR('Example Outstanding'!$E$5="",S463=0,B463="",B463&gt;'Example Outstanding'!$E$5),0,MAX(0,MIN(S463,U463-V463)))</f>
        <v/>
      </c>
      <c r="X463">
        <f>IF(C463="",0,IFERROR(VLOOKUP(C463,'Example Parties'!$B$13:$Q$112,15,FALSE),0))</f>
        <v/>
      </c>
      <c r="Y463">
        <f>IF(C463="","",IFERROR(VLOOKUP(C463,'Example Parties'!$B$13:$Q$112,16,FALSE),0))</f>
        <v/>
      </c>
      <c r="Z463">
        <f>IF(OR(S463=0,B463="",Y463=""),"",IF(AND(F463&lt;&gt;"",D463="Purchase bill"),F463,B463)+Y463)</f>
        <v/>
      </c>
      <c r="AA463">
        <f>IF(OR(W463=0,Z463=""),0,MAX(0,'Example Outstanding'!$E$5-Z463))</f>
        <v/>
      </c>
      <c r="AB463">
        <f>IF(AND(X463=1,AA463&gt;0),W463*((1+3*N('Example Parties'!$E$10)/12)^(AA463*12/365)-1),0)</f>
        <v/>
      </c>
      <c r="AC463">
        <f>IF(W463=0,"",'Example Outstanding'!$E$5-B463)</f>
        <v/>
      </c>
      <c r="AD463">
        <f>IF(S463=0,0,IFERROR(VLOOKUP(C463,'Example Parties'!$B$13:$Q$112,14,FALSE),0)+SUMIFS($T$7:$T$506,$C$7:$C$506,C463,$B$7:$B$506,"&lt;="&amp;'Example Parties'!$E$8))</f>
        <v/>
      </c>
      <c r="AE463">
        <f>IF(OR('Example Parties'!$E$8="",S463=0,B463="",B463&gt;'Example Parties'!$E$8),0,MAX(0,MIN(S463,U463-AD463)))</f>
        <v/>
      </c>
      <c r="AF463">
        <f>IF(AND(P463="Creditor",X463=1,AE463&gt;0,Z463&lt;&gt;""),IF(Z463&lt;='Example Parties'!$E$8,AE463,0),0)</f>
        <v/>
      </c>
      <c r="AG463">
        <f>IF(OR(AE463=0,Z463=""),0,MAX(0,'Example Parties'!$E$8-Z463))</f>
        <v/>
      </c>
      <c r="AH463">
        <f>IF(AND(P463="Creditor",X463=1,AG463&gt;0),AE463*((1+3*N('Example Parties'!$E$10)/12)^(AG463*12/365)-1),0)</f>
        <v/>
      </c>
      <c r="AI463">
        <f>IF(AND(C463&lt;&gt;"",C463='Example Ledger'!$D$4,B463&lt;&gt;"",B463&gt;='Example Ledger'!$D$5,B463&lt;='Example Ledger'!$D$6),1,0)</f>
        <v/>
      </c>
      <c r="AJ463">
        <f>IF(AI463=1,SUM(AI$7:AI463),"")</f>
        <v/>
      </c>
      <c r="AK463">
        <f>IF(OR(N463="",N463="OK"),0,1)</f>
        <v/>
      </c>
    </row>
    <row r="464">
      <c r="B464" s="24" t="n"/>
      <c r="C464" s="14" t="n"/>
      <c r="D464" s="14" t="n"/>
      <c r="E464" s="20" t="n"/>
      <c r="F464" s="24" t="n"/>
      <c r="G464" s="14" t="n"/>
      <c r="H464" s="22" t="n"/>
      <c r="I464" s="25">
        <f>IF(Q464="D",N(H464),0)</f>
        <v/>
      </c>
      <c r="J464" s="25">
        <f>IF(Q464="C",N(H464),0)</f>
        <v/>
      </c>
      <c r="K464" s="26">
        <f>IF(Z464="","",Z464)</f>
        <v/>
      </c>
      <c r="L464" s="27">
        <f>W464</f>
        <v/>
      </c>
      <c r="M464" s="28">
        <f>AA464</f>
        <v/>
      </c>
      <c r="N464" s="23">
        <f>IF(AND(B464="",C464="",D464="",N(H464)=0),"",IF(B464="","Enter the date",IF(C464="","Pick the party",IF(P464="?","Add this party on the Parties sheet first",IF(D464="","Pick the entry type",IF(Q464="?","Pick the entry type from the list",IF(N(H464)=0,"Enter the amount",IF(AND(R464&lt;&gt;"Any",R464&lt;&gt;P464),"Sales, receipts and credit notes are for debtors; purchases, payments and debit notes for creditors",IF(AND(F464&lt;&gt;"",D464&lt;&gt;"Purchase bill"),"The received-on date is only for purchase bills",IF(AND(P464="Creditor",X464=1,AA464&gt;0),"Past due to a micro or small supplier: interest runs under MSMED s.16, and if unpaid at year end it is not deductible that year, s.37(2)(g)",IF(AND(P464="Debtor",X464=1,AA464&gt;0),"Past due to you: as a micro or small supplier you can claim interest under MSMED s.16","OK")))))))))))</f>
        <v/>
      </c>
      <c r="P464">
        <f>IF(C464="","",IFERROR(VLOOKUP(C464,'Example Parties'!$B$13:$Q$112,2,FALSE),"?"))</f>
        <v/>
      </c>
      <c r="Q464">
        <f>IF(D464="","",IFERROR(VLOOKUP(D464,Lists!$A$2:$D$9,3,FALSE),"?"))</f>
        <v/>
      </c>
      <c r="R464">
        <f>IF(D464="","",IFERROR(VLOOKUP(D464,Lists!$A$2:$D$9,4,FALSE),"?"))</f>
        <v/>
      </c>
      <c r="S464">
        <f>IF(P464="Debtor",I464,IF(P464="Creditor",J464,0))</f>
        <v/>
      </c>
      <c r="T464">
        <f>IF(P464="Debtor",J464,IF(P464="Creditor",I464,0))</f>
        <v/>
      </c>
      <c r="U464">
        <f>IF(OR(S464=0,B464=""),0,IFERROR(VLOOKUP(C464,'Example Parties'!$B$13:$Q$112,13,FALSE),0)+SUMIFS($S$7:$S$506,$C$7:$C$506,C464,$B$7:$B$506,"&lt;"&amp;B464)+SUMIFS(S$7:S464,C$7:C464,C464,B$7:B464,B464))</f>
        <v/>
      </c>
      <c r="V464">
        <f>IF(S464=0,0,IFERROR(VLOOKUP(C464,'Example Parties'!$B$13:$Q$112,14,FALSE),0)+SUMIFS($T$7:$T$506,$C$7:$C$506,C464,$B$7:$B$506,"&lt;="&amp;'Example Outstanding'!$E$5))</f>
        <v/>
      </c>
      <c r="W464">
        <f>IF(OR('Example Outstanding'!$E$5="",S464=0,B464="",B464&gt;'Example Outstanding'!$E$5),0,MAX(0,MIN(S464,U464-V464)))</f>
        <v/>
      </c>
      <c r="X464">
        <f>IF(C464="",0,IFERROR(VLOOKUP(C464,'Example Parties'!$B$13:$Q$112,15,FALSE),0))</f>
        <v/>
      </c>
      <c r="Y464">
        <f>IF(C464="","",IFERROR(VLOOKUP(C464,'Example Parties'!$B$13:$Q$112,16,FALSE),0))</f>
        <v/>
      </c>
      <c r="Z464">
        <f>IF(OR(S464=0,B464="",Y464=""),"",IF(AND(F464&lt;&gt;"",D464="Purchase bill"),F464,B464)+Y464)</f>
        <v/>
      </c>
      <c r="AA464">
        <f>IF(OR(W464=0,Z464=""),0,MAX(0,'Example Outstanding'!$E$5-Z464))</f>
        <v/>
      </c>
      <c r="AB464">
        <f>IF(AND(X464=1,AA464&gt;0),W464*((1+3*N('Example Parties'!$E$10)/12)^(AA464*12/365)-1),0)</f>
        <v/>
      </c>
      <c r="AC464">
        <f>IF(W464=0,"",'Example Outstanding'!$E$5-B464)</f>
        <v/>
      </c>
      <c r="AD464">
        <f>IF(S464=0,0,IFERROR(VLOOKUP(C464,'Example Parties'!$B$13:$Q$112,14,FALSE),0)+SUMIFS($T$7:$T$506,$C$7:$C$506,C464,$B$7:$B$506,"&lt;="&amp;'Example Parties'!$E$8))</f>
        <v/>
      </c>
      <c r="AE464">
        <f>IF(OR('Example Parties'!$E$8="",S464=0,B464="",B464&gt;'Example Parties'!$E$8),0,MAX(0,MIN(S464,U464-AD464)))</f>
        <v/>
      </c>
      <c r="AF464">
        <f>IF(AND(P464="Creditor",X464=1,AE464&gt;0,Z464&lt;&gt;""),IF(Z464&lt;='Example Parties'!$E$8,AE464,0),0)</f>
        <v/>
      </c>
      <c r="AG464">
        <f>IF(OR(AE464=0,Z464=""),0,MAX(0,'Example Parties'!$E$8-Z464))</f>
        <v/>
      </c>
      <c r="AH464">
        <f>IF(AND(P464="Creditor",X464=1,AG464&gt;0),AE464*((1+3*N('Example Parties'!$E$10)/12)^(AG464*12/365)-1),0)</f>
        <v/>
      </c>
      <c r="AI464">
        <f>IF(AND(C464&lt;&gt;"",C464='Example Ledger'!$D$4,B464&lt;&gt;"",B464&gt;='Example Ledger'!$D$5,B464&lt;='Example Ledger'!$D$6),1,0)</f>
        <v/>
      </c>
      <c r="AJ464">
        <f>IF(AI464=1,SUM(AI$7:AI464),"")</f>
        <v/>
      </c>
      <c r="AK464">
        <f>IF(OR(N464="",N464="OK"),0,1)</f>
        <v/>
      </c>
    </row>
    <row r="465">
      <c r="B465" s="24" t="n"/>
      <c r="C465" s="14" t="n"/>
      <c r="D465" s="14" t="n"/>
      <c r="E465" s="20" t="n"/>
      <c r="F465" s="24" t="n"/>
      <c r="G465" s="14" t="n"/>
      <c r="H465" s="22" t="n"/>
      <c r="I465" s="25">
        <f>IF(Q465="D",N(H465),0)</f>
        <v/>
      </c>
      <c r="J465" s="25">
        <f>IF(Q465="C",N(H465),0)</f>
        <v/>
      </c>
      <c r="K465" s="26">
        <f>IF(Z465="","",Z465)</f>
        <v/>
      </c>
      <c r="L465" s="27">
        <f>W465</f>
        <v/>
      </c>
      <c r="M465" s="28">
        <f>AA465</f>
        <v/>
      </c>
      <c r="N465" s="23">
        <f>IF(AND(B465="",C465="",D465="",N(H465)=0),"",IF(B465="","Enter the date",IF(C465="","Pick the party",IF(P465="?","Add this party on the Parties sheet first",IF(D465="","Pick the entry type",IF(Q465="?","Pick the entry type from the list",IF(N(H465)=0,"Enter the amount",IF(AND(R465&lt;&gt;"Any",R465&lt;&gt;P465),"Sales, receipts and credit notes are for debtors; purchases, payments and debit notes for creditors",IF(AND(F465&lt;&gt;"",D465&lt;&gt;"Purchase bill"),"The received-on date is only for purchase bills",IF(AND(P465="Creditor",X465=1,AA465&gt;0),"Past due to a micro or small supplier: interest runs under MSMED s.16, and if unpaid at year end it is not deductible that year, s.37(2)(g)",IF(AND(P465="Debtor",X465=1,AA465&gt;0),"Past due to you: as a micro or small supplier you can claim interest under MSMED s.16","OK")))))))))))</f>
        <v/>
      </c>
      <c r="P465">
        <f>IF(C465="","",IFERROR(VLOOKUP(C465,'Example Parties'!$B$13:$Q$112,2,FALSE),"?"))</f>
        <v/>
      </c>
      <c r="Q465">
        <f>IF(D465="","",IFERROR(VLOOKUP(D465,Lists!$A$2:$D$9,3,FALSE),"?"))</f>
        <v/>
      </c>
      <c r="R465">
        <f>IF(D465="","",IFERROR(VLOOKUP(D465,Lists!$A$2:$D$9,4,FALSE),"?"))</f>
        <v/>
      </c>
      <c r="S465">
        <f>IF(P465="Debtor",I465,IF(P465="Creditor",J465,0))</f>
        <v/>
      </c>
      <c r="T465">
        <f>IF(P465="Debtor",J465,IF(P465="Creditor",I465,0))</f>
        <v/>
      </c>
      <c r="U465">
        <f>IF(OR(S465=0,B465=""),0,IFERROR(VLOOKUP(C465,'Example Parties'!$B$13:$Q$112,13,FALSE),0)+SUMIFS($S$7:$S$506,$C$7:$C$506,C465,$B$7:$B$506,"&lt;"&amp;B465)+SUMIFS(S$7:S465,C$7:C465,C465,B$7:B465,B465))</f>
        <v/>
      </c>
      <c r="V465">
        <f>IF(S465=0,0,IFERROR(VLOOKUP(C465,'Example Parties'!$B$13:$Q$112,14,FALSE),0)+SUMIFS($T$7:$T$506,$C$7:$C$506,C465,$B$7:$B$506,"&lt;="&amp;'Example Outstanding'!$E$5))</f>
        <v/>
      </c>
      <c r="W465">
        <f>IF(OR('Example Outstanding'!$E$5="",S465=0,B465="",B465&gt;'Example Outstanding'!$E$5),0,MAX(0,MIN(S465,U465-V465)))</f>
        <v/>
      </c>
      <c r="X465">
        <f>IF(C465="",0,IFERROR(VLOOKUP(C465,'Example Parties'!$B$13:$Q$112,15,FALSE),0))</f>
        <v/>
      </c>
      <c r="Y465">
        <f>IF(C465="","",IFERROR(VLOOKUP(C465,'Example Parties'!$B$13:$Q$112,16,FALSE),0))</f>
        <v/>
      </c>
      <c r="Z465">
        <f>IF(OR(S465=0,B465="",Y465=""),"",IF(AND(F465&lt;&gt;"",D465="Purchase bill"),F465,B465)+Y465)</f>
        <v/>
      </c>
      <c r="AA465">
        <f>IF(OR(W465=0,Z465=""),0,MAX(0,'Example Outstanding'!$E$5-Z465))</f>
        <v/>
      </c>
      <c r="AB465">
        <f>IF(AND(X465=1,AA465&gt;0),W465*((1+3*N('Example Parties'!$E$10)/12)^(AA465*12/365)-1),0)</f>
        <v/>
      </c>
      <c r="AC465">
        <f>IF(W465=0,"",'Example Outstanding'!$E$5-B465)</f>
        <v/>
      </c>
      <c r="AD465">
        <f>IF(S465=0,0,IFERROR(VLOOKUP(C465,'Example Parties'!$B$13:$Q$112,14,FALSE),0)+SUMIFS($T$7:$T$506,$C$7:$C$506,C465,$B$7:$B$506,"&lt;="&amp;'Example Parties'!$E$8))</f>
        <v/>
      </c>
      <c r="AE465">
        <f>IF(OR('Example Parties'!$E$8="",S465=0,B465="",B465&gt;'Example Parties'!$E$8),0,MAX(0,MIN(S465,U465-AD465)))</f>
        <v/>
      </c>
      <c r="AF465">
        <f>IF(AND(P465="Creditor",X465=1,AE465&gt;0,Z465&lt;&gt;""),IF(Z465&lt;='Example Parties'!$E$8,AE465,0),0)</f>
        <v/>
      </c>
      <c r="AG465">
        <f>IF(OR(AE465=0,Z465=""),0,MAX(0,'Example Parties'!$E$8-Z465))</f>
        <v/>
      </c>
      <c r="AH465">
        <f>IF(AND(P465="Creditor",X465=1,AG465&gt;0),AE465*((1+3*N('Example Parties'!$E$10)/12)^(AG465*12/365)-1),0)</f>
        <v/>
      </c>
      <c r="AI465">
        <f>IF(AND(C465&lt;&gt;"",C465='Example Ledger'!$D$4,B465&lt;&gt;"",B465&gt;='Example Ledger'!$D$5,B465&lt;='Example Ledger'!$D$6),1,0)</f>
        <v/>
      </c>
      <c r="AJ465">
        <f>IF(AI465=1,SUM(AI$7:AI465),"")</f>
        <v/>
      </c>
      <c r="AK465">
        <f>IF(OR(N465="",N465="OK"),0,1)</f>
        <v/>
      </c>
    </row>
    <row r="466">
      <c r="B466" s="24" t="n"/>
      <c r="C466" s="14" t="n"/>
      <c r="D466" s="14" t="n"/>
      <c r="E466" s="20" t="n"/>
      <c r="F466" s="24" t="n"/>
      <c r="G466" s="14" t="n"/>
      <c r="H466" s="22" t="n"/>
      <c r="I466" s="25">
        <f>IF(Q466="D",N(H466),0)</f>
        <v/>
      </c>
      <c r="J466" s="25">
        <f>IF(Q466="C",N(H466),0)</f>
        <v/>
      </c>
      <c r="K466" s="26">
        <f>IF(Z466="","",Z466)</f>
        <v/>
      </c>
      <c r="L466" s="27">
        <f>W466</f>
        <v/>
      </c>
      <c r="M466" s="28">
        <f>AA466</f>
        <v/>
      </c>
      <c r="N466" s="23">
        <f>IF(AND(B466="",C466="",D466="",N(H466)=0),"",IF(B466="","Enter the date",IF(C466="","Pick the party",IF(P466="?","Add this party on the Parties sheet first",IF(D466="","Pick the entry type",IF(Q466="?","Pick the entry type from the list",IF(N(H466)=0,"Enter the amount",IF(AND(R466&lt;&gt;"Any",R466&lt;&gt;P466),"Sales, receipts and credit notes are for debtors; purchases, payments and debit notes for creditors",IF(AND(F466&lt;&gt;"",D466&lt;&gt;"Purchase bill"),"The received-on date is only for purchase bills",IF(AND(P466="Creditor",X466=1,AA466&gt;0),"Past due to a micro or small supplier: interest runs under MSMED s.16, and if unpaid at year end it is not deductible that year, s.37(2)(g)",IF(AND(P466="Debtor",X466=1,AA466&gt;0),"Past due to you: as a micro or small supplier you can claim interest under MSMED s.16","OK")))))))))))</f>
        <v/>
      </c>
      <c r="P466">
        <f>IF(C466="","",IFERROR(VLOOKUP(C466,'Example Parties'!$B$13:$Q$112,2,FALSE),"?"))</f>
        <v/>
      </c>
      <c r="Q466">
        <f>IF(D466="","",IFERROR(VLOOKUP(D466,Lists!$A$2:$D$9,3,FALSE),"?"))</f>
        <v/>
      </c>
      <c r="R466">
        <f>IF(D466="","",IFERROR(VLOOKUP(D466,Lists!$A$2:$D$9,4,FALSE),"?"))</f>
        <v/>
      </c>
      <c r="S466">
        <f>IF(P466="Debtor",I466,IF(P466="Creditor",J466,0))</f>
        <v/>
      </c>
      <c r="T466">
        <f>IF(P466="Debtor",J466,IF(P466="Creditor",I466,0))</f>
        <v/>
      </c>
      <c r="U466">
        <f>IF(OR(S466=0,B466=""),0,IFERROR(VLOOKUP(C466,'Example Parties'!$B$13:$Q$112,13,FALSE),0)+SUMIFS($S$7:$S$506,$C$7:$C$506,C466,$B$7:$B$506,"&lt;"&amp;B466)+SUMIFS(S$7:S466,C$7:C466,C466,B$7:B466,B466))</f>
        <v/>
      </c>
      <c r="V466">
        <f>IF(S466=0,0,IFERROR(VLOOKUP(C466,'Example Parties'!$B$13:$Q$112,14,FALSE),0)+SUMIFS($T$7:$T$506,$C$7:$C$506,C466,$B$7:$B$506,"&lt;="&amp;'Example Outstanding'!$E$5))</f>
        <v/>
      </c>
      <c r="W466">
        <f>IF(OR('Example Outstanding'!$E$5="",S466=0,B466="",B466&gt;'Example Outstanding'!$E$5),0,MAX(0,MIN(S466,U466-V466)))</f>
        <v/>
      </c>
      <c r="X466">
        <f>IF(C466="",0,IFERROR(VLOOKUP(C466,'Example Parties'!$B$13:$Q$112,15,FALSE),0))</f>
        <v/>
      </c>
      <c r="Y466">
        <f>IF(C466="","",IFERROR(VLOOKUP(C466,'Example Parties'!$B$13:$Q$112,16,FALSE),0))</f>
        <v/>
      </c>
      <c r="Z466">
        <f>IF(OR(S466=0,B466="",Y466=""),"",IF(AND(F466&lt;&gt;"",D466="Purchase bill"),F466,B466)+Y466)</f>
        <v/>
      </c>
      <c r="AA466">
        <f>IF(OR(W466=0,Z466=""),0,MAX(0,'Example Outstanding'!$E$5-Z466))</f>
        <v/>
      </c>
      <c r="AB466">
        <f>IF(AND(X466=1,AA466&gt;0),W466*((1+3*N('Example Parties'!$E$10)/12)^(AA466*12/365)-1),0)</f>
        <v/>
      </c>
      <c r="AC466">
        <f>IF(W466=0,"",'Example Outstanding'!$E$5-B466)</f>
        <v/>
      </c>
      <c r="AD466">
        <f>IF(S466=0,0,IFERROR(VLOOKUP(C466,'Example Parties'!$B$13:$Q$112,14,FALSE),0)+SUMIFS($T$7:$T$506,$C$7:$C$506,C466,$B$7:$B$506,"&lt;="&amp;'Example Parties'!$E$8))</f>
        <v/>
      </c>
      <c r="AE466">
        <f>IF(OR('Example Parties'!$E$8="",S466=0,B466="",B466&gt;'Example Parties'!$E$8),0,MAX(0,MIN(S466,U466-AD466)))</f>
        <v/>
      </c>
      <c r="AF466">
        <f>IF(AND(P466="Creditor",X466=1,AE466&gt;0,Z466&lt;&gt;""),IF(Z466&lt;='Example Parties'!$E$8,AE466,0),0)</f>
        <v/>
      </c>
      <c r="AG466">
        <f>IF(OR(AE466=0,Z466=""),0,MAX(0,'Example Parties'!$E$8-Z466))</f>
        <v/>
      </c>
      <c r="AH466">
        <f>IF(AND(P466="Creditor",X466=1,AG466&gt;0),AE466*((1+3*N('Example Parties'!$E$10)/12)^(AG466*12/365)-1),0)</f>
        <v/>
      </c>
      <c r="AI466">
        <f>IF(AND(C466&lt;&gt;"",C466='Example Ledger'!$D$4,B466&lt;&gt;"",B466&gt;='Example Ledger'!$D$5,B466&lt;='Example Ledger'!$D$6),1,0)</f>
        <v/>
      </c>
      <c r="AJ466">
        <f>IF(AI466=1,SUM(AI$7:AI466),"")</f>
        <v/>
      </c>
      <c r="AK466">
        <f>IF(OR(N466="",N466="OK"),0,1)</f>
        <v/>
      </c>
    </row>
    <row r="467">
      <c r="B467" s="24" t="n"/>
      <c r="C467" s="14" t="n"/>
      <c r="D467" s="14" t="n"/>
      <c r="E467" s="20" t="n"/>
      <c r="F467" s="24" t="n"/>
      <c r="G467" s="14" t="n"/>
      <c r="H467" s="22" t="n"/>
      <c r="I467" s="25">
        <f>IF(Q467="D",N(H467),0)</f>
        <v/>
      </c>
      <c r="J467" s="25">
        <f>IF(Q467="C",N(H467),0)</f>
        <v/>
      </c>
      <c r="K467" s="26">
        <f>IF(Z467="","",Z467)</f>
        <v/>
      </c>
      <c r="L467" s="27">
        <f>W467</f>
        <v/>
      </c>
      <c r="M467" s="28">
        <f>AA467</f>
        <v/>
      </c>
      <c r="N467" s="23">
        <f>IF(AND(B467="",C467="",D467="",N(H467)=0),"",IF(B467="","Enter the date",IF(C467="","Pick the party",IF(P467="?","Add this party on the Parties sheet first",IF(D467="","Pick the entry type",IF(Q467="?","Pick the entry type from the list",IF(N(H467)=0,"Enter the amount",IF(AND(R467&lt;&gt;"Any",R467&lt;&gt;P467),"Sales, receipts and credit notes are for debtors; purchases, payments and debit notes for creditors",IF(AND(F467&lt;&gt;"",D467&lt;&gt;"Purchase bill"),"The received-on date is only for purchase bills",IF(AND(P467="Creditor",X467=1,AA467&gt;0),"Past due to a micro or small supplier: interest runs under MSMED s.16, and if unpaid at year end it is not deductible that year, s.37(2)(g)",IF(AND(P467="Debtor",X467=1,AA467&gt;0),"Past due to you: as a micro or small supplier you can claim interest under MSMED s.16","OK")))))))))))</f>
        <v/>
      </c>
      <c r="P467">
        <f>IF(C467="","",IFERROR(VLOOKUP(C467,'Example Parties'!$B$13:$Q$112,2,FALSE),"?"))</f>
        <v/>
      </c>
      <c r="Q467">
        <f>IF(D467="","",IFERROR(VLOOKUP(D467,Lists!$A$2:$D$9,3,FALSE),"?"))</f>
        <v/>
      </c>
      <c r="R467">
        <f>IF(D467="","",IFERROR(VLOOKUP(D467,Lists!$A$2:$D$9,4,FALSE),"?"))</f>
        <v/>
      </c>
      <c r="S467">
        <f>IF(P467="Debtor",I467,IF(P467="Creditor",J467,0))</f>
        <v/>
      </c>
      <c r="T467">
        <f>IF(P467="Debtor",J467,IF(P467="Creditor",I467,0))</f>
        <v/>
      </c>
      <c r="U467">
        <f>IF(OR(S467=0,B467=""),0,IFERROR(VLOOKUP(C467,'Example Parties'!$B$13:$Q$112,13,FALSE),0)+SUMIFS($S$7:$S$506,$C$7:$C$506,C467,$B$7:$B$506,"&lt;"&amp;B467)+SUMIFS(S$7:S467,C$7:C467,C467,B$7:B467,B467))</f>
        <v/>
      </c>
      <c r="V467">
        <f>IF(S467=0,0,IFERROR(VLOOKUP(C467,'Example Parties'!$B$13:$Q$112,14,FALSE),0)+SUMIFS($T$7:$T$506,$C$7:$C$506,C467,$B$7:$B$506,"&lt;="&amp;'Example Outstanding'!$E$5))</f>
        <v/>
      </c>
      <c r="W467">
        <f>IF(OR('Example Outstanding'!$E$5="",S467=0,B467="",B467&gt;'Example Outstanding'!$E$5),0,MAX(0,MIN(S467,U467-V467)))</f>
        <v/>
      </c>
      <c r="X467">
        <f>IF(C467="",0,IFERROR(VLOOKUP(C467,'Example Parties'!$B$13:$Q$112,15,FALSE),0))</f>
        <v/>
      </c>
      <c r="Y467">
        <f>IF(C467="","",IFERROR(VLOOKUP(C467,'Example Parties'!$B$13:$Q$112,16,FALSE),0))</f>
        <v/>
      </c>
      <c r="Z467">
        <f>IF(OR(S467=0,B467="",Y467=""),"",IF(AND(F467&lt;&gt;"",D467="Purchase bill"),F467,B467)+Y467)</f>
        <v/>
      </c>
      <c r="AA467">
        <f>IF(OR(W467=0,Z467=""),0,MAX(0,'Example Outstanding'!$E$5-Z467))</f>
        <v/>
      </c>
      <c r="AB467">
        <f>IF(AND(X467=1,AA467&gt;0),W467*((1+3*N('Example Parties'!$E$10)/12)^(AA467*12/365)-1),0)</f>
        <v/>
      </c>
      <c r="AC467">
        <f>IF(W467=0,"",'Example Outstanding'!$E$5-B467)</f>
        <v/>
      </c>
      <c r="AD467">
        <f>IF(S467=0,0,IFERROR(VLOOKUP(C467,'Example Parties'!$B$13:$Q$112,14,FALSE),0)+SUMIFS($T$7:$T$506,$C$7:$C$506,C467,$B$7:$B$506,"&lt;="&amp;'Example Parties'!$E$8))</f>
        <v/>
      </c>
      <c r="AE467">
        <f>IF(OR('Example Parties'!$E$8="",S467=0,B467="",B467&gt;'Example Parties'!$E$8),0,MAX(0,MIN(S467,U467-AD467)))</f>
        <v/>
      </c>
      <c r="AF467">
        <f>IF(AND(P467="Creditor",X467=1,AE467&gt;0,Z467&lt;&gt;""),IF(Z467&lt;='Example Parties'!$E$8,AE467,0),0)</f>
        <v/>
      </c>
      <c r="AG467">
        <f>IF(OR(AE467=0,Z467=""),0,MAX(0,'Example Parties'!$E$8-Z467))</f>
        <v/>
      </c>
      <c r="AH467">
        <f>IF(AND(P467="Creditor",X467=1,AG467&gt;0),AE467*((1+3*N('Example Parties'!$E$10)/12)^(AG467*12/365)-1),0)</f>
        <v/>
      </c>
      <c r="AI467">
        <f>IF(AND(C467&lt;&gt;"",C467='Example Ledger'!$D$4,B467&lt;&gt;"",B467&gt;='Example Ledger'!$D$5,B467&lt;='Example Ledger'!$D$6),1,0)</f>
        <v/>
      </c>
      <c r="AJ467">
        <f>IF(AI467=1,SUM(AI$7:AI467),"")</f>
        <v/>
      </c>
      <c r="AK467">
        <f>IF(OR(N467="",N467="OK"),0,1)</f>
        <v/>
      </c>
    </row>
    <row r="468">
      <c r="B468" s="24" t="n"/>
      <c r="C468" s="14" t="n"/>
      <c r="D468" s="14" t="n"/>
      <c r="E468" s="20" t="n"/>
      <c r="F468" s="24" t="n"/>
      <c r="G468" s="14" t="n"/>
      <c r="H468" s="22" t="n"/>
      <c r="I468" s="25">
        <f>IF(Q468="D",N(H468),0)</f>
        <v/>
      </c>
      <c r="J468" s="25">
        <f>IF(Q468="C",N(H468),0)</f>
        <v/>
      </c>
      <c r="K468" s="26">
        <f>IF(Z468="","",Z468)</f>
        <v/>
      </c>
      <c r="L468" s="27">
        <f>W468</f>
        <v/>
      </c>
      <c r="M468" s="28">
        <f>AA468</f>
        <v/>
      </c>
      <c r="N468" s="23">
        <f>IF(AND(B468="",C468="",D468="",N(H468)=0),"",IF(B468="","Enter the date",IF(C468="","Pick the party",IF(P468="?","Add this party on the Parties sheet first",IF(D468="","Pick the entry type",IF(Q468="?","Pick the entry type from the list",IF(N(H468)=0,"Enter the amount",IF(AND(R468&lt;&gt;"Any",R468&lt;&gt;P468),"Sales, receipts and credit notes are for debtors; purchases, payments and debit notes for creditors",IF(AND(F468&lt;&gt;"",D468&lt;&gt;"Purchase bill"),"The received-on date is only for purchase bills",IF(AND(P468="Creditor",X468=1,AA468&gt;0),"Past due to a micro or small supplier: interest runs under MSMED s.16, and if unpaid at year end it is not deductible that year, s.37(2)(g)",IF(AND(P468="Debtor",X468=1,AA468&gt;0),"Past due to you: as a micro or small supplier you can claim interest under MSMED s.16","OK")))))))))))</f>
        <v/>
      </c>
      <c r="P468">
        <f>IF(C468="","",IFERROR(VLOOKUP(C468,'Example Parties'!$B$13:$Q$112,2,FALSE),"?"))</f>
        <v/>
      </c>
      <c r="Q468">
        <f>IF(D468="","",IFERROR(VLOOKUP(D468,Lists!$A$2:$D$9,3,FALSE),"?"))</f>
        <v/>
      </c>
      <c r="R468">
        <f>IF(D468="","",IFERROR(VLOOKUP(D468,Lists!$A$2:$D$9,4,FALSE),"?"))</f>
        <v/>
      </c>
      <c r="S468">
        <f>IF(P468="Debtor",I468,IF(P468="Creditor",J468,0))</f>
        <v/>
      </c>
      <c r="T468">
        <f>IF(P468="Debtor",J468,IF(P468="Creditor",I468,0))</f>
        <v/>
      </c>
      <c r="U468">
        <f>IF(OR(S468=0,B468=""),0,IFERROR(VLOOKUP(C468,'Example Parties'!$B$13:$Q$112,13,FALSE),0)+SUMIFS($S$7:$S$506,$C$7:$C$506,C468,$B$7:$B$506,"&lt;"&amp;B468)+SUMIFS(S$7:S468,C$7:C468,C468,B$7:B468,B468))</f>
        <v/>
      </c>
      <c r="V468">
        <f>IF(S468=0,0,IFERROR(VLOOKUP(C468,'Example Parties'!$B$13:$Q$112,14,FALSE),0)+SUMIFS($T$7:$T$506,$C$7:$C$506,C468,$B$7:$B$506,"&lt;="&amp;'Example Outstanding'!$E$5))</f>
        <v/>
      </c>
      <c r="W468">
        <f>IF(OR('Example Outstanding'!$E$5="",S468=0,B468="",B468&gt;'Example Outstanding'!$E$5),0,MAX(0,MIN(S468,U468-V468)))</f>
        <v/>
      </c>
      <c r="X468">
        <f>IF(C468="",0,IFERROR(VLOOKUP(C468,'Example Parties'!$B$13:$Q$112,15,FALSE),0))</f>
        <v/>
      </c>
      <c r="Y468">
        <f>IF(C468="","",IFERROR(VLOOKUP(C468,'Example Parties'!$B$13:$Q$112,16,FALSE),0))</f>
        <v/>
      </c>
      <c r="Z468">
        <f>IF(OR(S468=0,B468="",Y468=""),"",IF(AND(F468&lt;&gt;"",D468="Purchase bill"),F468,B468)+Y468)</f>
        <v/>
      </c>
      <c r="AA468">
        <f>IF(OR(W468=0,Z468=""),0,MAX(0,'Example Outstanding'!$E$5-Z468))</f>
        <v/>
      </c>
      <c r="AB468">
        <f>IF(AND(X468=1,AA468&gt;0),W468*((1+3*N('Example Parties'!$E$10)/12)^(AA468*12/365)-1),0)</f>
        <v/>
      </c>
      <c r="AC468">
        <f>IF(W468=0,"",'Example Outstanding'!$E$5-B468)</f>
        <v/>
      </c>
      <c r="AD468">
        <f>IF(S468=0,0,IFERROR(VLOOKUP(C468,'Example Parties'!$B$13:$Q$112,14,FALSE),0)+SUMIFS($T$7:$T$506,$C$7:$C$506,C468,$B$7:$B$506,"&lt;="&amp;'Example Parties'!$E$8))</f>
        <v/>
      </c>
      <c r="AE468">
        <f>IF(OR('Example Parties'!$E$8="",S468=0,B468="",B468&gt;'Example Parties'!$E$8),0,MAX(0,MIN(S468,U468-AD468)))</f>
        <v/>
      </c>
      <c r="AF468">
        <f>IF(AND(P468="Creditor",X468=1,AE468&gt;0,Z468&lt;&gt;""),IF(Z468&lt;='Example Parties'!$E$8,AE468,0),0)</f>
        <v/>
      </c>
      <c r="AG468">
        <f>IF(OR(AE468=0,Z468=""),0,MAX(0,'Example Parties'!$E$8-Z468))</f>
        <v/>
      </c>
      <c r="AH468">
        <f>IF(AND(P468="Creditor",X468=1,AG468&gt;0),AE468*((1+3*N('Example Parties'!$E$10)/12)^(AG468*12/365)-1),0)</f>
        <v/>
      </c>
      <c r="AI468">
        <f>IF(AND(C468&lt;&gt;"",C468='Example Ledger'!$D$4,B468&lt;&gt;"",B468&gt;='Example Ledger'!$D$5,B468&lt;='Example Ledger'!$D$6),1,0)</f>
        <v/>
      </c>
      <c r="AJ468">
        <f>IF(AI468=1,SUM(AI$7:AI468),"")</f>
        <v/>
      </c>
      <c r="AK468">
        <f>IF(OR(N468="",N468="OK"),0,1)</f>
        <v/>
      </c>
    </row>
    <row r="469">
      <c r="B469" s="24" t="n"/>
      <c r="C469" s="14" t="n"/>
      <c r="D469" s="14" t="n"/>
      <c r="E469" s="20" t="n"/>
      <c r="F469" s="24" t="n"/>
      <c r="G469" s="14" t="n"/>
      <c r="H469" s="22" t="n"/>
      <c r="I469" s="25">
        <f>IF(Q469="D",N(H469),0)</f>
        <v/>
      </c>
      <c r="J469" s="25">
        <f>IF(Q469="C",N(H469),0)</f>
        <v/>
      </c>
      <c r="K469" s="26">
        <f>IF(Z469="","",Z469)</f>
        <v/>
      </c>
      <c r="L469" s="27">
        <f>W469</f>
        <v/>
      </c>
      <c r="M469" s="28">
        <f>AA469</f>
        <v/>
      </c>
      <c r="N469" s="23">
        <f>IF(AND(B469="",C469="",D469="",N(H469)=0),"",IF(B469="","Enter the date",IF(C469="","Pick the party",IF(P469="?","Add this party on the Parties sheet first",IF(D469="","Pick the entry type",IF(Q469="?","Pick the entry type from the list",IF(N(H469)=0,"Enter the amount",IF(AND(R469&lt;&gt;"Any",R469&lt;&gt;P469),"Sales, receipts and credit notes are for debtors; purchases, payments and debit notes for creditors",IF(AND(F469&lt;&gt;"",D469&lt;&gt;"Purchase bill"),"The received-on date is only for purchase bills",IF(AND(P469="Creditor",X469=1,AA469&gt;0),"Past due to a micro or small supplier: interest runs under MSMED s.16, and if unpaid at year end it is not deductible that year, s.37(2)(g)",IF(AND(P469="Debtor",X469=1,AA469&gt;0),"Past due to you: as a micro or small supplier you can claim interest under MSMED s.16","OK")))))))))))</f>
        <v/>
      </c>
      <c r="P469">
        <f>IF(C469="","",IFERROR(VLOOKUP(C469,'Example Parties'!$B$13:$Q$112,2,FALSE),"?"))</f>
        <v/>
      </c>
      <c r="Q469">
        <f>IF(D469="","",IFERROR(VLOOKUP(D469,Lists!$A$2:$D$9,3,FALSE),"?"))</f>
        <v/>
      </c>
      <c r="R469">
        <f>IF(D469="","",IFERROR(VLOOKUP(D469,Lists!$A$2:$D$9,4,FALSE),"?"))</f>
        <v/>
      </c>
      <c r="S469">
        <f>IF(P469="Debtor",I469,IF(P469="Creditor",J469,0))</f>
        <v/>
      </c>
      <c r="T469">
        <f>IF(P469="Debtor",J469,IF(P469="Creditor",I469,0))</f>
        <v/>
      </c>
      <c r="U469">
        <f>IF(OR(S469=0,B469=""),0,IFERROR(VLOOKUP(C469,'Example Parties'!$B$13:$Q$112,13,FALSE),0)+SUMIFS($S$7:$S$506,$C$7:$C$506,C469,$B$7:$B$506,"&lt;"&amp;B469)+SUMIFS(S$7:S469,C$7:C469,C469,B$7:B469,B469))</f>
        <v/>
      </c>
      <c r="V469">
        <f>IF(S469=0,0,IFERROR(VLOOKUP(C469,'Example Parties'!$B$13:$Q$112,14,FALSE),0)+SUMIFS($T$7:$T$506,$C$7:$C$506,C469,$B$7:$B$506,"&lt;="&amp;'Example Outstanding'!$E$5))</f>
        <v/>
      </c>
      <c r="W469">
        <f>IF(OR('Example Outstanding'!$E$5="",S469=0,B469="",B469&gt;'Example Outstanding'!$E$5),0,MAX(0,MIN(S469,U469-V469)))</f>
        <v/>
      </c>
      <c r="X469">
        <f>IF(C469="",0,IFERROR(VLOOKUP(C469,'Example Parties'!$B$13:$Q$112,15,FALSE),0))</f>
        <v/>
      </c>
      <c r="Y469">
        <f>IF(C469="","",IFERROR(VLOOKUP(C469,'Example Parties'!$B$13:$Q$112,16,FALSE),0))</f>
        <v/>
      </c>
      <c r="Z469">
        <f>IF(OR(S469=0,B469="",Y469=""),"",IF(AND(F469&lt;&gt;"",D469="Purchase bill"),F469,B469)+Y469)</f>
        <v/>
      </c>
      <c r="AA469">
        <f>IF(OR(W469=0,Z469=""),0,MAX(0,'Example Outstanding'!$E$5-Z469))</f>
        <v/>
      </c>
      <c r="AB469">
        <f>IF(AND(X469=1,AA469&gt;0),W469*((1+3*N('Example Parties'!$E$10)/12)^(AA469*12/365)-1),0)</f>
        <v/>
      </c>
      <c r="AC469">
        <f>IF(W469=0,"",'Example Outstanding'!$E$5-B469)</f>
        <v/>
      </c>
      <c r="AD469">
        <f>IF(S469=0,0,IFERROR(VLOOKUP(C469,'Example Parties'!$B$13:$Q$112,14,FALSE),0)+SUMIFS($T$7:$T$506,$C$7:$C$506,C469,$B$7:$B$506,"&lt;="&amp;'Example Parties'!$E$8))</f>
        <v/>
      </c>
      <c r="AE469">
        <f>IF(OR('Example Parties'!$E$8="",S469=0,B469="",B469&gt;'Example Parties'!$E$8),0,MAX(0,MIN(S469,U469-AD469)))</f>
        <v/>
      </c>
      <c r="AF469">
        <f>IF(AND(P469="Creditor",X469=1,AE469&gt;0,Z469&lt;&gt;""),IF(Z469&lt;='Example Parties'!$E$8,AE469,0),0)</f>
        <v/>
      </c>
      <c r="AG469">
        <f>IF(OR(AE469=0,Z469=""),0,MAX(0,'Example Parties'!$E$8-Z469))</f>
        <v/>
      </c>
      <c r="AH469">
        <f>IF(AND(P469="Creditor",X469=1,AG469&gt;0),AE469*((1+3*N('Example Parties'!$E$10)/12)^(AG469*12/365)-1),0)</f>
        <v/>
      </c>
      <c r="AI469">
        <f>IF(AND(C469&lt;&gt;"",C469='Example Ledger'!$D$4,B469&lt;&gt;"",B469&gt;='Example Ledger'!$D$5,B469&lt;='Example Ledger'!$D$6),1,0)</f>
        <v/>
      </c>
      <c r="AJ469">
        <f>IF(AI469=1,SUM(AI$7:AI469),"")</f>
        <v/>
      </c>
      <c r="AK469">
        <f>IF(OR(N469="",N469="OK"),0,1)</f>
        <v/>
      </c>
    </row>
    <row r="470">
      <c r="B470" s="24" t="n"/>
      <c r="C470" s="14" t="n"/>
      <c r="D470" s="14" t="n"/>
      <c r="E470" s="20" t="n"/>
      <c r="F470" s="24" t="n"/>
      <c r="G470" s="14" t="n"/>
      <c r="H470" s="22" t="n"/>
      <c r="I470" s="25">
        <f>IF(Q470="D",N(H470),0)</f>
        <v/>
      </c>
      <c r="J470" s="25">
        <f>IF(Q470="C",N(H470),0)</f>
        <v/>
      </c>
      <c r="K470" s="26">
        <f>IF(Z470="","",Z470)</f>
        <v/>
      </c>
      <c r="L470" s="27">
        <f>W470</f>
        <v/>
      </c>
      <c r="M470" s="28">
        <f>AA470</f>
        <v/>
      </c>
      <c r="N470" s="23">
        <f>IF(AND(B470="",C470="",D470="",N(H470)=0),"",IF(B470="","Enter the date",IF(C470="","Pick the party",IF(P470="?","Add this party on the Parties sheet first",IF(D470="","Pick the entry type",IF(Q470="?","Pick the entry type from the list",IF(N(H470)=0,"Enter the amount",IF(AND(R470&lt;&gt;"Any",R470&lt;&gt;P470),"Sales, receipts and credit notes are for debtors; purchases, payments and debit notes for creditors",IF(AND(F470&lt;&gt;"",D470&lt;&gt;"Purchase bill"),"The received-on date is only for purchase bills",IF(AND(P470="Creditor",X470=1,AA470&gt;0),"Past due to a micro or small supplier: interest runs under MSMED s.16, and if unpaid at year end it is not deductible that year, s.37(2)(g)",IF(AND(P470="Debtor",X470=1,AA470&gt;0),"Past due to you: as a micro or small supplier you can claim interest under MSMED s.16","OK")))))))))))</f>
        <v/>
      </c>
      <c r="P470">
        <f>IF(C470="","",IFERROR(VLOOKUP(C470,'Example Parties'!$B$13:$Q$112,2,FALSE),"?"))</f>
        <v/>
      </c>
      <c r="Q470">
        <f>IF(D470="","",IFERROR(VLOOKUP(D470,Lists!$A$2:$D$9,3,FALSE),"?"))</f>
        <v/>
      </c>
      <c r="R470">
        <f>IF(D470="","",IFERROR(VLOOKUP(D470,Lists!$A$2:$D$9,4,FALSE),"?"))</f>
        <v/>
      </c>
      <c r="S470">
        <f>IF(P470="Debtor",I470,IF(P470="Creditor",J470,0))</f>
        <v/>
      </c>
      <c r="T470">
        <f>IF(P470="Debtor",J470,IF(P470="Creditor",I470,0))</f>
        <v/>
      </c>
      <c r="U470">
        <f>IF(OR(S470=0,B470=""),0,IFERROR(VLOOKUP(C470,'Example Parties'!$B$13:$Q$112,13,FALSE),0)+SUMIFS($S$7:$S$506,$C$7:$C$506,C470,$B$7:$B$506,"&lt;"&amp;B470)+SUMIFS(S$7:S470,C$7:C470,C470,B$7:B470,B470))</f>
        <v/>
      </c>
      <c r="V470">
        <f>IF(S470=0,0,IFERROR(VLOOKUP(C470,'Example Parties'!$B$13:$Q$112,14,FALSE),0)+SUMIFS($T$7:$T$506,$C$7:$C$506,C470,$B$7:$B$506,"&lt;="&amp;'Example Outstanding'!$E$5))</f>
        <v/>
      </c>
      <c r="W470">
        <f>IF(OR('Example Outstanding'!$E$5="",S470=0,B470="",B470&gt;'Example Outstanding'!$E$5),0,MAX(0,MIN(S470,U470-V470)))</f>
        <v/>
      </c>
      <c r="X470">
        <f>IF(C470="",0,IFERROR(VLOOKUP(C470,'Example Parties'!$B$13:$Q$112,15,FALSE),0))</f>
        <v/>
      </c>
      <c r="Y470">
        <f>IF(C470="","",IFERROR(VLOOKUP(C470,'Example Parties'!$B$13:$Q$112,16,FALSE),0))</f>
        <v/>
      </c>
      <c r="Z470">
        <f>IF(OR(S470=0,B470="",Y470=""),"",IF(AND(F470&lt;&gt;"",D470="Purchase bill"),F470,B470)+Y470)</f>
        <v/>
      </c>
      <c r="AA470">
        <f>IF(OR(W470=0,Z470=""),0,MAX(0,'Example Outstanding'!$E$5-Z470))</f>
        <v/>
      </c>
      <c r="AB470">
        <f>IF(AND(X470=1,AA470&gt;0),W470*((1+3*N('Example Parties'!$E$10)/12)^(AA470*12/365)-1),0)</f>
        <v/>
      </c>
      <c r="AC470">
        <f>IF(W470=0,"",'Example Outstanding'!$E$5-B470)</f>
        <v/>
      </c>
      <c r="AD470">
        <f>IF(S470=0,0,IFERROR(VLOOKUP(C470,'Example Parties'!$B$13:$Q$112,14,FALSE),0)+SUMIFS($T$7:$T$506,$C$7:$C$506,C470,$B$7:$B$506,"&lt;="&amp;'Example Parties'!$E$8))</f>
        <v/>
      </c>
      <c r="AE470">
        <f>IF(OR('Example Parties'!$E$8="",S470=0,B470="",B470&gt;'Example Parties'!$E$8),0,MAX(0,MIN(S470,U470-AD470)))</f>
        <v/>
      </c>
      <c r="AF470">
        <f>IF(AND(P470="Creditor",X470=1,AE470&gt;0,Z470&lt;&gt;""),IF(Z470&lt;='Example Parties'!$E$8,AE470,0),0)</f>
        <v/>
      </c>
      <c r="AG470">
        <f>IF(OR(AE470=0,Z470=""),0,MAX(0,'Example Parties'!$E$8-Z470))</f>
        <v/>
      </c>
      <c r="AH470">
        <f>IF(AND(P470="Creditor",X470=1,AG470&gt;0),AE470*((1+3*N('Example Parties'!$E$10)/12)^(AG470*12/365)-1),0)</f>
        <v/>
      </c>
      <c r="AI470">
        <f>IF(AND(C470&lt;&gt;"",C470='Example Ledger'!$D$4,B470&lt;&gt;"",B470&gt;='Example Ledger'!$D$5,B470&lt;='Example Ledger'!$D$6),1,0)</f>
        <v/>
      </c>
      <c r="AJ470">
        <f>IF(AI470=1,SUM(AI$7:AI470),"")</f>
        <v/>
      </c>
      <c r="AK470">
        <f>IF(OR(N470="",N470="OK"),0,1)</f>
        <v/>
      </c>
    </row>
    <row r="471">
      <c r="B471" s="24" t="n"/>
      <c r="C471" s="14" t="n"/>
      <c r="D471" s="14" t="n"/>
      <c r="E471" s="20" t="n"/>
      <c r="F471" s="24" t="n"/>
      <c r="G471" s="14" t="n"/>
      <c r="H471" s="22" t="n"/>
      <c r="I471" s="25">
        <f>IF(Q471="D",N(H471),0)</f>
        <v/>
      </c>
      <c r="J471" s="25">
        <f>IF(Q471="C",N(H471),0)</f>
        <v/>
      </c>
      <c r="K471" s="26">
        <f>IF(Z471="","",Z471)</f>
        <v/>
      </c>
      <c r="L471" s="27">
        <f>W471</f>
        <v/>
      </c>
      <c r="M471" s="28">
        <f>AA471</f>
        <v/>
      </c>
      <c r="N471" s="23">
        <f>IF(AND(B471="",C471="",D471="",N(H471)=0),"",IF(B471="","Enter the date",IF(C471="","Pick the party",IF(P471="?","Add this party on the Parties sheet first",IF(D471="","Pick the entry type",IF(Q471="?","Pick the entry type from the list",IF(N(H471)=0,"Enter the amount",IF(AND(R471&lt;&gt;"Any",R471&lt;&gt;P471),"Sales, receipts and credit notes are for debtors; purchases, payments and debit notes for creditors",IF(AND(F471&lt;&gt;"",D471&lt;&gt;"Purchase bill"),"The received-on date is only for purchase bills",IF(AND(P471="Creditor",X471=1,AA471&gt;0),"Past due to a micro or small supplier: interest runs under MSMED s.16, and if unpaid at year end it is not deductible that year, s.37(2)(g)",IF(AND(P471="Debtor",X471=1,AA471&gt;0),"Past due to you: as a micro or small supplier you can claim interest under MSMED s.16","OK")))))))))))</f>
        <v/>
      </c>
      <c r="P471">
        <f>IF(C471="","",IFERROR(VLOOKUP(C471,'Example Parties'!$B$13:$Q$112,2,FALSE),"?"))</f>
        <v/>
      </c>
      <c r="Q471">
        <f>IF(D471="","",IFERROR(VLOOKUP(D471,Lists!$A$2:$D$9,3,FALSE),"?"))</f>
        <v/>
      </c>
      <c r="R471">
        <f>IF(D471="","",IFERROR(VLOOKUP(D471,Lists!$A$2:$D$9,4,FALSE),"?"))</f>
        <v/>
      </c>
      <c r="S471">
        <f>IF(P471="Debtor",I471,IF(P471="Creditor",J471,0))</f>
        <v/>
      </c>
      <c r="T471">
        <f>IF(P471="Debtor",J471,IF(P471="Creditor",I471,0))</f>
        <v/>
      </c>
      <c r="U471">
        <f>IF(OR(S471=0,B471=""),0,IFERROR(VLOOKUP(C471,'Example Parties'!$B$13:$Q$112,13,FALSE),0)+SUMIFS($S$7:$S$506,$C$7:$C$506,C471,$B$7:$B$506,"&lt;"&amp;B471)+SUMIFS(S$7:S471,C$7:C471,C471,B$7:B471,B471))</f>
        <v/>
      </c>
      <c r="V471">
        <f>IF(S471=0,0,IFERROR(VLOOKUP(C471,'Example Parties'!$B$13:$Q$112,14,FALSE),0)+SUMIFS($T$7:$T$506,$C$7:$C$506,C471,$B$7:$B$506,"&lt;="&amp;'Example Outstanding'!$E$5))</f>
        <v/>
      </c>
      <c r="W471">
        <f>IF(OR('Example Outstanding'!$E$5="",S471=0,B471="",B471&gt;'Example Outstanding'!$E$5),0,MAX(0,MIN(S471,U471-V471)))</f>
        <v/>
      </c>
      <c r="X471">
        <f>IF(C471="",0,IFERROR(VLOOKUP(C471,'Example Parties'!$B$13:$Q$112,15,FALSE),0))</f>
        <v/>
      </c>
      <c r="Y471">
        <f>IF(C471="","",IFERROR(VLOOKUP(C471,'Example Parties'!$B$13:$Q$112,16,FALSE),0))</f>
        <v/>
      </c>
      <c r="Z471">
        <f>IF(OR(S471=0,B471="",Y471=""),"",IF(AND(F471&lt;&gt;"",D471="Purchase bill"),F471,B471)+Y471)</f>
        <v/>
      </c>
      <c r="AA471">
        <f>IF(OR(W471=0,Z471=""),0,MAX(0,'Example Outstanding'!$E$5-Z471))</f>
        <v/>
      </c>
      <c r="AB471">
        <f>IF(AND(X471=1,AA471&gt;0),W471*((1+3*N('Example Parties'!$E$10)/12)^(AA471*12/365)-1),0)</f>
        <v/>
      </c>
      <c r="AC471">
        <f>IF(W471=0,"",'Example Outstanding'!$E$5-B471)</f>
        <v/>
      </c>
      <c r="AD471">
        <f>IF(S471=0,0,IFERROR(VLOOKUP(C471,'Example Parties'!$B$13:$Q$112,14,FALSE),0)+SUMIFS($T$7:$T$506,$C$7:$C$506,C471,$B$7:$B$506,"&lt;="&amp;'Example Parties'!$E$8))</f>
        <v/>
      </c>
      <c r="AE471">
        <f>IF(OR('Example Parties'!$E$8="",S471=0,B471="",B471&gt;'Example Parties'!$E$8),0,MAX(0,MIN(S471,U471-AD471)))</f>
        <v/>
      </c>
      <c r="AF471">
        <f>IF(AND(P471="Creditor",X471=1,AE471&gt;0,Z471&lt;&gt;""),IF(Z471&lt;='Example Parties'!$E$8,AE471,0),0)</f>
        <v/>
      </c>
      <c r="AG471">
        <f>IF(OR(AE471=0,Z471=""),0,MAX(0,'Example Parties'!$E$8-Z471))</f>
        <v/>
      </c>
      <c r="AH471">
        <f>IF(AND(P471="Creditor",X471=1,AG471&gt;0),AE471*((1+3*N('Example Parties'!$E$10)/12)^(AG471*12/365)-1),0)</f>
        <v/>
      </c>
      <c r="AI471">
        <f>IF(AND(C471&lt;&gt;"",C471='Example Ledger'!$D$4,B471&lt;&gt;"",B471&gt;='Example Ledger'!$D$5,B471&lt;='Example Ledger'!$D$6),1,0)</f>
        <v/>
      </c>
      <c r="AJ471">
        <f>IF(AI471=1,SUM(AI$7:AI471),"")</f>
        <v/>
      </c>
      <c r="AK471">
        <f>IF(OR(N471="",N471="OK"),0,1)</f>
        <v/>
      </c>
    </row>
    <row r="472">
      <c r="B472" s="24" t="n"/>
      <c r="C472" s="14" t="n"/>
      <c r="D472" s="14" t="n"/>
      <c r="E472" s="20" t="n"/>
      <c r="F472" s="24" t="n"/>
      <c r="G472" s="14" t="n"/>
      <c r="H472" s="22" t="n"/>
      <c r="I472" s="25">
        <f>IF(Q472="D",N(H472),0)</f>
        <v/>
      </c>
      <c r="J472" s="25">
        <f>IF(Q472="C",N(H472),0)</f>
        <v/>
      </c>
      <c r="K472" s="26">
        <f>IF(Z472="","",Z472)</f>
        <v/>
      </c>
      <c r="L472" s="27">
        <f>W472</f>
        <v/>
      </c>
      <c r="M472" s="28">
        <f>AA472</f>
        <v/>
      </c>
      <c r="N472" s="23">
        <f>IF(AND(B472="",C472="",D472="",N(H472)=0),"",IF(B472="","Enter the date",IF(C472="","Pick the party",IF(P472="?","Add this party on the Parties sheet first",IF(D472="","Pick the entry type",IF(Q472="?","Pick the entry type from the list",IF(N(H472)=0,"Enter the amount",IF(AND(R472&lt;&gt;"Any",R472&lt;&gt;P472),"Sales, receipts and credit notes are for debtors; purchases, payments and debit notes for creditors",IF(AND(F472&lt;&gt;"",D472&lt;&gt;"Purchase bill"),"The received-on date is only for purchase bills",IF(AND(P472="Creditor",X472=1,AA472&gt;0),"Past due to a micro or small supplier: interest runs under MSMED s.16, and if unpaid at year end it is not deductible that year, s.37(2)(g)",IF(AND(P472="Debtor",X472=1,AA472&gt;0),"Past due to you: as a micro or small supplier you can claim interest under MSMED s.16","OK")))))))))))</f>
        <v/>
      </c>
      <c r="P472">
        <f>IF(C472="","",IFERROR(VLOOKUP(C472,'Example Parties'!$B$13:$Q$112,2,FALSE),"?"))</f>
        <v/>
      </c>
      <c r="Q472">
        <f>IF(D472="","",IFERROR(VLOOKUP(D472,Lists!$A$2:$D$9,3,FALSE),"?"))</f>
        <v/>
      </c>
      <c r="R472">
        <f>IF(D472="","",IFERROR(VLOOKUP(D472,Lists!$A$2:$D$9,4,FALSE),"?"))</f>
        <v/>
      </c>
      <c r="S472">
        <f>IF(P472="Debtor",I472,IF(P472="Creditor",J472,0))</f>
        <v/>
      </c>
      <c r="T472">
        <f>IF(P472="Debtor",J472,IF(P472="Creditor",I472,0))</f>
        <v/>
      </c>
      <c r="U472">
        <f>IF(OR(S472=0,B472=""),0,IFERROR(VLOOKUP(C472,'Example Parties'!$B$13:$Q$112,13,FALSE),0)+SUMIFS($S$7:$S$506,$C$7:$C$506,C472,$B$7:$B$506,"&lt;"&amp;B472)+SUMIFS(S$7:S472,C$7:C472,C472,B$7:B472,B472))</f>
        <v/>
      </c>
      <c r="V472">
        <f>IF(S472=0,0,IFERROR(VLOOKUP(C472,'Example Parties'!$B$13:$Q$112,14,FALSE),0)+SUMIFS($T$7:$T$506,$C$7:$C$506,C472,$B$7:$B$506,"&lt;="&amp;'Example Outstanding'!$E$5))</f>
        <v/>
      </c>
      <c r="W472">
        <f>IF(OR('Example Outstanding'!$E$5="",S472=0,B472="",B472&gt;'Example Outstanding'!$E$5),0,MAX(0,MIN(S472,U472-V472)))</f>
        <v/>
      </c>
      <c r="X472">
        <f>IF(C472="",0,IFERROR(VLOOKUP(C472,'Example Parties'!$B$13:$Q$112,15,FALSE),0))</f>
        <v/>
      </c>
      <c r="Y472">
        <f>IF(C472="","",IFERROR(VLOOKUP(C472,'Example Parties'!$B$13:$Q$112,16,FALSE),0))</f>
        <v/>
      </c>
      <c r="Z472">
        <f>IF(OR(S472=0,B472="",Y472=""),"",IF(AND(F472&lt;&gt;"",D472="Purchase bill"),F472,B472)+Y472)</f>
        <v/>
      </c>
      <c r="AA472">
        <f>IF(OR(W472=0,Z472=""),0,MAX(0,'Example Outstanding'!$E$5-Z472))</f>
        <v/>
      </c>
      <c r="AB472">
        <f>IF(AND(X472=1,AA472&gt;0),W472*((1+3*N('Example Parties'!$E$10)/12)^(AA472*12/365)-1),0)</f>
        <v/>
      </c>
      <c r="AC472">
        <f>IF(W472=0,"",'Example Outstanding'!$E$5-B472)</f>
        <v/>
      </c>
      <c r="AD472">
        <f>IF(S472=0,0,IFERROR(VLOOKUP(C472,'Example Parties'!$B$13:$Q$112,14,FALSE),0)+SUMIFS($T$7:$T$506,$C$7:$C$506,C472,$B$7:$B$506,"&lt;="&amp;'Example Parties'!$E$8))</f>
        <v/>
      </c>
      <c r="AE472">
        <f>IF(OR('Example Parties'!$E$8="",S472=0,B472="",B472&gt;'Example Parties'!$E$8),0,MAX(0,MIN(S472,U472-AD472)))</f>
        <v/>
      </c>
      <c r="AF472">
        <f>IF(AND(P472="Creditor",X472=1,AE472&gt;0,Z472&lt;&gt;""),IF(Z472&lt;='Example Parties'!$E$8,AE472,0),0)</f>
        <v/>
      </c>
      <c r="AG472">
        <f>IF(OR(AE472=0,Z472=""),0,MAX(0,'Example Parties'!$E$8-Z472))</f>
        <v/>
      </c>
      <c r="AH472">
        <f>IF(AND(P472="Creditor",X472=1,AG472&gt;0),AE472*((1+3*N('Example Parties'!$E$10)/12)^(AG472*12/365)-1),0)</f>
        <v/>
      </c>
      <c r="AI472">
        <f>IF(AND(C472&lt;&gt;"",C472='Example Ledger'!$D$4,B472&lt;&gt;"",B472&gt;='Example Ledger'!$D$5,B472&lt;='Example Ledger'!$D$6),1,0)</f>
        <v/>
      </c>
      <c r="AJ472">
        <f>IF(AI472=1,SUM(AI$7:AI472),"")</f>
        <v/>
      </c>
      <c r="AK472">
        <f>IF(OR(N472="",N472="OK"),0,1)</f>
        <v/>
      </c>
    </row>
    <row r="473">
      <c r="B473" s="24" t="n"/>
      <c r="C473" s="14" t="n"/>
      <c r="D473" s="14" t="n"/>
      <c r="E473" s="20" t="n"/>
      <c r="F473" s="24" t="n"/>
      <c r="G473" s="14" t="n"/>
      <c r="H473" s="22" t="n"/>
      <c r="I473" s="25">
        <f>IF(Q473="D",N(H473),0)</f>
        <v/>
      </c>
      <c r="J473" s="25">
        <f>IF(Q473="C",N(H473),0)</f>
        <v/>
      </c>
      <c r="K473" s="26">
        <f>IF(Z473="","",Z473)</f>
        <v/>
      </c>
      <c r="L473" s="27">
        <f>W473</f>
        <v/>
      </c>
      <c r="M473" s="28">
        <f>AA473</f>
        <v/>
      </c>
      <c r="N473" s="23">
        <f>IF(AND(B473="",C473="",D473="",N(H473)=0),"",IF(B473="","Enter the date",IF(C473="","Pick the party",IF(P473="?","Add this party on the Parties sheet first",IF(D473="","Pick the entry type",IF(Q473="?","Pick the entry type from the list",IF(N(H473)=0,"Enter the amount",IF(AND(R473&lt;&gt;"Any",R473&lt;&gt;P473),"Sales, receipts and credit notes are for debtors; purchases, payments and debit notes for creditors",IF(AND(F473&lt;&gt;"",D473&lt;&gt;"Purchase bill"),"The received-on date is only for purchase bills",IF(AND(P473="Creditor",X473=1,AA473&gt;0),"Past due to a micro or small supplier: interest runs under MSMED s.16, and if unpaid at year end it is not deductible that year, s.37(2)(g)",IF(AND(P473="Debtor",X473=1,AA473&gt;0),"Past due to you: as a micro or small supplier you can claim interest under MSMED s.16","OK")))))))))))</f>
        <v/>
      </c>
      <c r="P473">
        <f>IF(C473="","",IFERROR(VLOOKUP(C473,'Example Parties'!$B$13:$Q$112,2,FALSE),"?"))</f>
        <v/>
      </c>
      <c r="Q473">
        <f>IF(D473="","",IFERROR(VLOOKUP(D473,Lists!$A$2:$D$9,3,FALSE),"?"))</f>
        <v/>
      </c>
      <c r="R473">
        <f>IF(D473="","",IFERROR(VLOOKUP(D473,Lists!$A$2:$D$9,4,FALSE),"?"))</f>
        <v/>
      </c>
      <c r="S473">
        <f>IF(P473="Debtor",I473,IF(P473="Creditor",J473,0))</f>
        <v/>
      </c>
      <c r="T473">
        <f>IF(P473="Debtor",J473,IF(P473="Creditor",I473,0))</f>
        <v/>
      </c>
      <c r="U473">
        <f>IF(OR(S473=0,B473=""),0,IFERROR(VLOOKUP(C473,'Example Parties'!$B$13:$Q$112,13,FALSE),0)+SUMIFS($S$7:$S$506,$C$7:$C$506,C473,$B$7:$B$506,"&lt;"&amp;B473)+SUMIFS(S$7:S473,C$7:C473,C473,B$7:B473,B473))</f>
        <v/>
      </c>
      <c r="V473">
        <f>IF(S473=0,0,IFERROR(VLOOKUP(C473,'Example Parties'!$B$13:$Q$112,14,FALSE),0)+SUMIFS($T$7:$T$506,$C$7:$C$506,C473,$B$7:$B$506,"&lt;="&amp;'Example Outstanding'!$E$5))</f>
        <v/>
      </c>
      <c r="W473">
        <f>IF(OR('Example Outstanding'!$E$5="",S473=0,B473="",B473&gt;'Example Outstanding'!$E$5),0,MAX(0,MIN(S473,U473-V473)))</f>
        <v/>
      </c>
      <c r="X473">
        <f>IF(C473="",0,IFERROR(VLOOKUP(C473,'Example Parties'!$B$13:$Q$112,15,FALSE),0))</f>
        <v/>
      </c>
      <c r="Y473">
        <f>IF(C473="","",IFERROR(VLOOKUP(C473,'Example Parties'!$B$13:$Q$112,16,FALSE),0))</f>
        <v/>
      </c>
      <c r="Z473">
        <f>IF(OR(S473=0,B473="",Y473=""),"",IF(AND(F473&lt;&gt;"",D473="Purchase bill"),F473,B473)+Y473)</f>
        <v/>
      </c>
      <c r="AA473">
        <f>IF(OR(W473=0,Z473=""),0,MAX(0,'Example Outstanding'!$E$5-Z473))</f>
        <v/>
      </c>
      <c r="AB473">
        <f>IF(AND(X473=1,AA473&gt;0),W473*((1+3*N('Example Parties'!$E$10)/12)^(AA473*12/365)-1),0)</f>
        <v/>
      </c>
      <c r="AC473">
        <f>IF(W473=0,"",'Example Outstanding'!$E$5-B473)</f>
        <v/>
      </c>
      <c r="AD473">
        <f>IF(S473=0,0,IFERROR(VLOOKUP(C473,'Example Parties'!$B$13:$Q$112,14,FALSE),0)+SUMIFS($T$7:$T$506,$C$7:$C$506,C473,$B$7:$B$506,"&lt;="&amp;'Example Parties'!$E$8))</f>
        <v/>
      </c>
      <c r="AE473">
        <f>IF(OR('Example Parties'!$E$8="",S473=0,B473="",B473&gt;'Example Parties'!$E$8),0,MAX(0,MIN(S473,U473-AD473)))</f>
        <v/>
      </c>
      <c r="AF473">
        <f>IF(AND(P473="Creditor",X473=1,AE473&gt;0,Z473&lt;&gt;""),IF(Z473&lt;='Example Parties'!$E$8,AE473,0),0)</f>
        <v/>
      </c>
      <c r="AG473">
        <f>IF(OR(AE473=0,Z473=""),0,MAX(0,'Example Parties'!$E$8-Z473))</f>
        <v/>
      </c>
      <c r="AH473">
        <f>IF(AND(P473="Creditor",X473=1,AG473&gt;0),AE473*((1+3*N('Example Parties'!$E$10)/12)^(AG473*12/365)-1),0)</f>
        <v/>
      </c>
      <c r="AI473">
        <f>IF(AND(C473&lt;&gt;"",C473='Example Ledger'!$D$4,B473&lt;&gt;"",B473&gt;='Example Ledger'!$D$5,B473&lt;='Example Ledger'!$D$6),1,0)</f>
        <v/>
      </c>
      <c r="AJ473">
        <f>IF(AI473=1,SUM(AI$7:AI473),"")</f>
        <v/>
      </c>
      <c r="AK473">
        <f>IF(OR(N473="",N473="OK"),0,1)</f>
        <v/>
      </c>
    </row>
    <row r="474">
      <c r="B474" s="24" t="n"/>
      <c r="C474" s="14" t="n"/>
      <c r="D474" s="14" t="n"/>
      <c r="E474" s="20" t="n"/>
      <c r="F474" s="24" t="n"/>
      <c r="G474" s="14" t="n"/>
      <c r="H474" s="22" t="n"/>
      <c r="I474" s="25">
        <f>IF(Q474="D",N(H474),0)</f>
        <v/>
      </c>
      <c r="J474" s="25">
        <f>IF(Q474="C",N(H474),0)</f>
        <v/>
      </c>
      <c r="K474" s="26">
        <f>IF(Z474="","",Z474)</f>
        <v/>
      </c>
      <c r="L474" s="27">
        <f>W474</f>
        <v/>
      </c>
      <c r="M474" s="28">
        <f>AA474</f>
        <v/>
      </c>
      <c r="N474" s="23">
        <f>IF(AND(B474="",C474="",D474="",N(H474)=0),"",IF(B474="","Enter the date",IF(C474="","Pick the party",IF(P474="?","Add this party on the Parties sheet first",IF(D474="","Pick the entry type",IF(Q474="?","Pick the entry type from the list",IF(N(H474)=0,"Enter the amount",IF(AND(R474&lt;&gt;"Any",R474&lt;&gt;P474),"Sales, receipts and credit notes are for debtors; purchases, payments and debit notes for creditors",IF(AND(F474&lt;&gt;"",D474&lt;&gt;"Purchase bill"),"The received-on date is only for purchase bills",IF(AND(P474="Creditor",X474=1,AA474&gt;0),"Past due to a micro or small supplier: interest runs under MSMED s.16, and if unpaid at year end it is not deductible that year, s.37(2)(g)",IF(AND(P474="Debtor",X474=1,AA474&gt;0),"Past due to you: as a micro or small supplier you can claim interest under MSMED s.16","OK")))))))))))</f>
        <v/>
      </c>
      <c r="P474">
        <f>IF(C474="","",IFERROR(VLOOKUP(C474,'Example Parties'!$B$13:$Q$112,2,FALSE),"?"))</f>
        <v/>
      </c>
      <c r="Q474">
        <f>IF(D474="","",IFERROR(VLOOKUP(D474,Lists!$A$2:$D$9,3,FALSE),"?"))</f>
        <v/>
      </c>
      <c r="R474">
        <f>IF(D474="","",IFERROR(VLOOKUP(D474,Lists!$A$2:$D$9,4,FALSE),"?"))</f>
        <v/>
      </c>
      <c r="S474">
        <f>IF(P474="Debtor",I474,IF(P474="Creditor",J474,0))</f>
        <v/>
      </c>
      <c r="T474">
        <f>IF(P474="Debtor",J474,IF(P474="Creditor",I474,0))</f>
        <v/>
      </c>
      <c r="U474">
        <f>IF(OR(S474=0,B474=""),0,IFERROR(VLOOKUP(C474,'Example Parties'!$B$13:$Q$112,13,FALSE),0)+SUMIFS($S$7:$S$506,$C$7:$C$506,C474,$B$7:$B$506,"&lt;"&amp;B474)+SUMIFS(S$7:S474,C$7:C474,C474,B$7:B474,B474))</f>
        <v/>
      </c>
      <c r="V474">
        <f>IF(S474=0,0,IFERROR(VLOOKUP(C474,'Example Parties'!$B$13:$Q$112,14,FALSE),0)+SUMIFS($T$7:$T$506,$C$7:$C$506,C474,$B$7:$B$506,"&lt;="&amp;'Example Outstanding'!$E$5))</f>
        <v/>
      </c>
      <c r="W474">
        <f>IF(OR('Example Outstanding'!$E$5="",S474=0,B474="",B474&gt;'Example Outstanding'!$E$5),0,MAX(0,MIN(S474,U474-V474)))</f>
        <v/>
      </c>
      <c r="X474">
        <f>IF(C474="",0,IFERROR(VLOOKUP(C474,'Example Parties'!$B$13:$Q$112,15,FALSE),0))</f>
        <v/>
      </c>
      <c r="Y474">
        <f>IF(C474="","",IFERROR(VLOOKUP(C474,'Example Parties'!$B$13:$Q$112,16,FALSE),0))</f>
        <v/>
      </c>
      <c r="Z474">
        <f>IF(OR(S474=0,B474="",Y474=""),"",IF(AND(F474&lt;&gt;"",D474="Purchase bill"),F474,B474)+Y474)</f>
        <v/>
      </c>
      <c r="AA474">
        <f>IF(OR(W474=0,Z474=""),0,MAX(0,'Example Outstanding'!$E$5-Z474))</f>
        <v/>
      </c>
      <c r="AB474">
        <f>IF(AND(X474=1,AA474&gt;0),W474*((1+3*N('Example Parties'!$E$10)/12)^(AA474*12/365)-1),0)</f>
        <v/>
      </c>
      <c r="AC474">
        <f>IF(W474=0,"",'Example Outstanding'!$E$5-B474)</f>
        <v/>
      </c>
      <c r="AD474">
        <f>IF(S474=0,0,IFERROR(VLOOKUP(C474,'Example Parties'!$B$13:$Q$112,14,FALSE),0)+SUMIFS($T$7:$T$506,$C$7:$C$506,C474,$B$7:$B$506,"&lt;="&amp;'Example Parties'!$E$8))</f>
        <v/>
      </c>
      <c r="AE474">
        <f>IF(OR('Example Parties'!$E$8="",S474=0,B474="",B474&gt;'Example Parties'!$E$8),0,MAX(0,MIN(S474,U474-AD474)))</f>
        <v/>
      </c>
      <c r="AF474">
        <f>IF(AND(P474="Creditor",X474=1,AE474&gt;0,Z474&lt;&gt;""),IF(Z474&lt;='Example Parties'!$E$8,AE474,0),0)</f>
        <v/>
      </c>
      <c r="AG474">
        <f>IF(OR(AE474=0,Z474=""),0,MAX(0,'Example Parties'!$E$8-Z474))</f>
        <v/>
      </c>
      <c r="AH474">
        <f>IF(AND(P474="Creditor",X474=1,AG474&gt;0),AE474*((1+3*N('Example Parties'!$E$10)/12)^(AG474*12/365)-1),0)</f>
        <v/>
      </c>
      <c r="AI474">
        <f>IF(AND(C474&lt;&gt;"",C474='Example Ledger'!$D$4,B474&lt;&gt;"",B474&gt;='Example Ledger'!$D$5,B474&lt;='Example Ledger'!$D$6),1,0)</f>
        <v/>
      </c>
      <c r="AJ474">
        <f>IF(AI474=1,SUM(AI$7:AI474),"")</f>
        <v/>
      </c>
      <c r="AK474">
        <f>IF(OR(N474="",N474="OK"),0,1)</f>
        <v/>
      </c>
    </row>
    <row r="475">
      <c r="B475" s="24" t="n"/>
      <c r="C475" s="14" t="n"/>
      <c r="D475" s="14" t="n"/>
      <c r="E475" s="20" t="n"/>
      <c r="F475" s="24" t="n"/>
      <c r="G475" s="14" t="n"/>
      <c r="H475" s="22" t="n"/>
      <c r="I475" s="25">
        <f>IF(Q475="D",N(H475),0)</f>
        <v/>
      </c>
      <c r="J475" s="25">
        <f>IF(Q475="C",N(H475),0)</f>
        <v/>
      </c>
      <c r="K475" s="26">
        <f>IF(Z475="","",Z475)</f>
        <v/>
      </c>
      <c r="L475" s="27">
        <f>W475</f>
        <v/>
      </c>
      <c r="M475" s="28">
        <f>AA475</f>
        <v/>
      </c>
      <c r="N475" s="23">
        <f>IF(AND(B475="",C475="",D475="",N(H475)=0),"",IF(B475="","Enter the date",IF(C475="","Pick the party",IF(P475="?","Add this party on the Parties sheet first",IF(D475="","Pick the entry type",IF(Q475="?","Pick the entry type from the list",IF(N(H475)=0,"Enter the amount",IF(AND(R475&lt;&gt;"Any",R475&lt;&gt;P475),"Sales, receipts and credit notes are for debtors; purchases, payments and debit notes for creditors",IF(AND(F475&lt;&gt;"",D475&lt;&gt;"Purchase bill"),"The received-on date is only for purchase bills",IF(AND(P475="Creditor",X475=1,AA475&gt;0),"Past due to a micro or small supplier: interest runs under MSMED s.16, and if unpaid at year end it is not deductible that year, s.37(2)(g)",IF(AND(P475="Debtor",X475=1,AA475&gt;0),"Past due to you: as a micro or small supplier you can claim interest under MSMED s.16","OK")))))))))))</f>
        <v/>
      </c>
      <c r="P475">
        <f>IF(C475="","",IFERROR(VLOOKUP(C475,'Example Parties'!$B$13:$Q$112,2,FALSE),"?"))</f>
        <v/>
      </c>
      <c r="Q475">
        <f>IF(D475="","",IFERROR(VLOOKUP(D475,Lists!$A$2:$D$9,3,FALSE),"?"))</f>
        <v/>
      </c>
      <c r="R475">
        <f>IF(D475="","",IFERROR(VLOOKUP(D475,Lists!$A$2:$D$9,4,FALSE),"?"))</f>
        <v/>
      </c>
      <c r="S475">
        <f>IF(P475="Debtor",I475,IF(P475="Creditor",J475,0))</f>
        <v/>
      </c>
      <c r="T475">
        <f>IF(P475="Debtor",J475,IF(P475="Creditor",I475,0))</f>
        <v/>
      </c>
      <c r="U475">
        <f>IF(OR(S475=0,B475=""),0,IFERROR(VLOOKUP(C475,'Example Parties'!$B$13:$Q$112,13,FALSE),0)+SUMIFS($S$7:$S$506,$C$7:$C$506,C475,$B$7:$B$506,"&lt;"&amp;B475)+SUMIFS(S$7:S475,C$7:C475,C475,B$7:B475,B475))</f>
        <v/>
      </c>
      <c r="V475">
        <f>IF(S475=0,0,IFERROR(VLOOKUP(C475,'Example Parties'!$B$13:$Q$112,14,FALSE),0)+SUMIFS($T$7:$T$506,$C$7:$C$506,C475,$B$7:$B$506,"&lt;="&amp;'Example Outstanding'!$E$5))</f>
        <v/>
      </c>
      <c r="W475">
        <f>IF(OR('Example Outstanding'!$E$5="",S475=0,B475="",B475&gt;'Example Outstanding'!$E$5),0,MAX(0,MIN(S475,U475-V475)))</f>
        <v/>
      </c>
      <c r="X475">
        <f>IF(C475="",0,IFERROR(VLOOKUP(C475,'Example Parties'!$B$13:$Q$112,15,FALSE),0))</f>
        <v/>
      </c>
      <c r="Y475">
        <f>IF(C475="","",IFERROR(VLOOKUP(C475,'Example Parties'!$B$13:$Q$112,16,FALSE),0))</f>
        <v/>
      </c>
      <c r="Z475">
        <f>IF(OR(S475=0,B475="",Y475=""),"",IF(AND(F475&lt;&gt;"",D475="Purchase bill"),F475,B475)+Y475)</f>
        <v/>
      </c>
      <c r="AA475">
        <f>IF(OR(W475=0,Z475=""),0,MAX(0,'Example Outstanding'!$E$5-Z475))</f>
        <v/>
      </c>
      <c r="AB475">
        <f>IF(AND(X475=1,AA475&gt;0),W475*((1+3*N('Example Parties'!$E$10)/12)^(AA475*12/365)-1),0)</f>
        <v/>
      </c>
      <c r="AC475">
        <f>IF(W475=0,"",'Example Outstanding'!$E$5-B475)</f>
        <v/>
      </c>
      <c r="AD475">
        <f>IF(S475=0,0,IFERROR(VLOOKUP(C475,'Example Parties'!$B$13:$Q$112,14,FALSE),0)+SUMIFS($T$7:$T$506,$C$7:$C$506,C475,$B$7:$B$506,"&lt;="&amp;'Example Parties'!$E$8))</f>
        <v/>
      </c>
      <c r="AE475">
        <f>IF(OR('Example Parties'!$E$8="",S475=0,B475="",B475&gt;'Example Parties'!$E$8),0,MAX(0,MIN(S475,U475-AD475)))</f>
        <v/>
      </c>
      <c r="AF475">
        <f>IF(AND(P475="Creditor",X475=1,AE475&gt;0,Z475&lt;&gt;""),IF(Z475&lt;='Example Parties'!$E$8,AE475,0),0)</f>
        <v/>
      </c>
      <c r="AG475">
        <f>IF(OR(AE475=0,Z475=""),0,MAX(0,'Example Parties'!$E$8-Z475))</f>
        <v/>
      </c>
      <c r="AH475">
        <f>IF(AND(P475="Creditor",X475=1,AG475&gt;0),AE475*((1+3*N('Example Parties'!$E$10)/12)^(AG475*12/365)-1),0)</f>
        <v/>
      </c>
      <c r="AI475">
        <f>IF(AND(C475&lt;&gt;"",C475='Example Ledger'!$D$4,B475&lt;&gt;"",B475&gt;='Example Ledger'!$D$5,B475&lt;='Example Ledger'!$D$6),1,0)</f>
        <v/>
      </c>
      <c r="AJ475">
        <f>IF(AI475=1,SUM(AI$7:AI475),"")</f>
        <v/>
      </c>
      <c r="AK475">
        <f>IF(OR(N475="",N475="OK"),0,1)</f>
        <v/>
      </c>
    </row>
    <row r="476">
      <c r="B476" s="24" t="n"/>
      <c r="C476" s="14" t="n"/>
      <c r="D476" s="14" t="n"/>
      <c r="E476" s="20" t="n"/>
      <c r="F476" s="24" t="n"/>
      <c r="G476" s="14" t="n"/>
      <c r="H476" s="22" t="n"/>
      <c r="I476" s="25">
        <f>IF(Q476="D",N(H476),0)</f>
        <v/>
      </c>
      <c r="J476" s="25">
        <f>IF(Q476="C",N(H476),0)</f>
        <v/>
      </c>
      <c r="K476" s="26">
        <f>IF(Z476="","",Z476)</f>
        <v/>
      </c>
      <c r="L476" s="27">
        <f>W476</f>
        <v/>
      </c>
      <c r="M476" s="28">
        <f>AA476</f>
        <v/>
      </c>
      <c r="N476" s="23">
        <f>IF(AND(B476="",C476="",D476="",N(H476)=0),"",IF(B476="","Enter the date",IF(C476="","Pick the party",IF(P476="?","Add this party on the Parties sheet first",IF(D476="","Pick the entry type",IF(Q476="?","Pick the entry type from the list",IF(N(H476)=0,"Enter the amount",IF(AND(R476&lt;&gt;"Any",R476&lt;&gt;P476),"Sales, receipts and credit notes are for debtors; purchases, payments and debit notes for creditors",IF(AND(F476&lt;&gt;"",D476&lt;&gt;"Purchase bill"),"The received-on date is only for purchase bills",IF(AND(P476="Creditor",X476=1,AA476&gt;0),"Past due to a micro or small supplier: interest runs under MSMED s.16, and if unpaid at year end it is not deductible that year, s.37(2)(g)",IF(AND(P476="Debtor",X476=1,AA476&gt;0),"Past due to you: as a micro or small supplier you can claim interest under MSMED s.16","OK")))))))))))</f>
        <v/>
      </c>
      <c r="P476">
        <f>IF(C476="","",IFERROR(VLOOKUP(C476,'Example Parties'!$B$13:$Q$112,2,FALSE),"?"))</f>
        <v/>
      </c>
      <c r="Q476">
        <f>IF(D476="","",IFERROR(VLOOKUP(D476,Lists!$A$2:$D$9,3,FALSE),"?"))</f>
        <v/>
      </c>
      <c r="R476">
        <f>IF(D476="","",IFERROR(VLOOKUP(D476,Lists!$A$2:$D$9,4,FALSE),"?"))</f>
        <v/>
      </c>
      <c r="S476">
        <f>IF(P476="Debtor",I476,IF(P476="Creditor",J476,0))</f>
        <v/>
      </c>
      <c r="T476">
        <f>IF(P476="Debtor",J476,IF(P476="Creditor",I476,0))</f>
        <v/>
      </c>
      <c r="U476">
        <f>IF(OR(S476=0,B476=""),0,IFERROR(VLOOKUP(C476,'Example Parties'!$B$13:$Q$112,13,FALSE),0)+SUMIFS($S$7:$S$506,$C$7:$C$506,C476,$B$7:$B$506,"&lt;"&amp;B476)+SUMIFS(S$7:S476,C$7:C476,C476,B$7:B476,B476))</f>
        <v/>
      </c>
      <c r="V476">
        <f>IF(S476=0,0,IFERROR(VLOOKUP(C476,'Example Parties'!$B$13:$Q$112,14,FALSE),0)+SUMIFS($T$7:$T$506,$C$7:$C$506,C476,$B$7:$B$506,"&lt;="&amp;'Example Outstanding'!$E$5))</f>
        <v/>
      </c>
      <c r="W476">
        <f>IF(OR('Example Outstanding'!$E$5="",S476=0,B476="",B476&gt;'Example Outstanding'!$E$5),0,MAX(0,MIN(S476,U476-V476)))</f>
        <v/>
      </c>
      <c r="X476">
        <f>IF(C476="",0,IFERROR(VLOOKUP(C476,'Example Parties'!$B$13:$Q$112,15,FALSE),0))</f>
        <v/>
      </c>
      <c r="Y476">
        <f>IF(C476="","",IFERROR(VLOOKUP(C476,'Example Parties'!$B$13:$Q$112,16,FALSE),0))</f>
        <v/>
      </c>
      <c r="Z476">
        <f>IF(OR(S476=0,B476="",Y476=""),"",IF(AND(F476&lt;&gt;"",D476="Purchase bill"),F476,B476)+Y476)</f>
        <v/>
      </c>
      <c r="AA476">
        <f>IF(OR(W476=0,Z476=""),0,MAX(0,'Example Outstanding'!$E$5-Z476))</f>
        <v/>
      </c>
      <c r="AB476">
        <f>IF(AND(X476=1,AA476&gt;0),W476*((1+3*N('Example Parties'!$E$10)/12)^(AA476*12/365)-1),0)</f>
        <v/>
      </c>
      <c r="AC476">
        <f>IF(W476=0,"",'Example Outstanding'!$E$5-B476)</f>
        <v/>
      </c>
      <c r="AD476">
        <f>IF(S476=0,0,IFERROR(VLOOKUP(C476,'Example Parties'!$B$13:$Q$112,14,FALSE),0)+SUMIFS($T$7:$T$506,$C$7:$C$506,C476,$B$7:$B$506,"&lt;="&amp;'Example Parties'!$E$8))</f>
        <v/>
      </c>
      <c r="AE476">
        <f>IF(OR('Example Parties'!$E$8="",S476=0,B476="",B476&gt;'Example Parties'!$E$8),0,MAX(0,MIN(S476,U476-AD476)))</f>
        <v/>
      </c>
      <c r="AF476">
        <f>IF(AND(P476="Creditor",X476=1,AE476&gt;0,Z476&lt;&gt;""),IF(Z476&lt;='Example Parties'!$E$8,AE476,0),0)</f>
        <v/>
      </c>
      <c r="AG476">
        <f>IF(OR(AE476=0,Z476=""),0,MAX(0,'Example Parties'!$E$8-Z476))</f>
        <v/>
      </c>
      <c r="AH476">
        <f>IF(AND(P476="Creditor",X476=1,AG476&gt;0),AE476*((1+3*N('Example Parties'!$E$10)/12)^(AG476*12/365)-1),0)</f>
        <v/>
      </c>
      <c r="AI476">
        <f>IF(AND(C476&lt;&gt;"",C476='Example Ledger'!$D$4,B476&lt;&gt;"",B476&gt;='Example Ledger'!$D$5,B476&lt;='Example Ledger'!$D$6),1,0)</f>
        <v/>
      </c>
      <c r="AJ476">
        <f>IF(AI476=1,SUM(AI$7:AI476),"")</f>
        <v/>
      </c>
      <c r="AK476">
        <f>IF(OR(N476="",N476="OK"),0,1)</f>
        <v/>
      </c>
    </row>
    <row r="477">
      <c r="B477" s="24" t="n"/>
      <c r="C477" s="14" t="n"/>
      <c r="D477" s="14" t="n"/>
      <c r="E477" s="20" t="n"/>
      <c r="F477" s="24" t="n"/>
      <c r="G477" s="14" t="n"/>
      <c r="H477" s="22" t="n"/>
      <c r="I477" s="25">
        <f>IF(Q477="D",N(H477),0)</f>
        <v/>
      </c>
      <c r="J477" s="25">
        <f>IF(Q477="C",N(H477),0)</f>
        <v/>
      </c>
      <c r="K477" s="26">
        <f>IF(Z477="","",Z477)</f>
        <v/>
      </c>
      <c r="L477" s="27">
        <f>W477</f>
        <v/>
      </c>
      <c r="M477" s="28">
        <f>AA477</f>
        <v/>
      </c>
      <c r="N477" s="23">
        <f>IF(AND(B477="",C477="",D477="",N(H477)=0),"",IF(B477="","Enter the date",IF(C477="","Pick the party",IF(P477="?","Add this party on the Parties sheet first",IF(D477="","Pick the entry type",IF(Q477="?","Pick the entry type from the list",IF(N(H477)=0,"Enter the amount",IF(AND(R477&lt;&gt;"Any",R477&lt;&gt;P477),"Sales, receipts and credit notes are for debtors; purchases, payments and debit notes for creditors",IF(AND(F477&lt;&gt;"",D477&lt;&gt;"Purchase bill"),"The received-on date is only for purchase bills",IF(AND(P477="Creditor",X477=1,AA477&gt;0),"Past due to a micro or small supplier: interest runs under MSMED s.16, and if unpaid at year end it is not deductible that year, s.37(2)(g)",IF(AND(P477="Debtor",X477=1,AA477&gt;0),"Past due to you: as a micro or small supplier you can claim interest under MSMED s.16","OK")))))))))))</f>
        <v/>
      </c>
      <c r="P477">
        <f>IF(C477="","",IFERROR(VLOOKUP(C477,'Example Parties'!$B$13:$Q$112,2,FALSE),"?"))</f>
        <v/>
      </c>
      <c r="Q477">
        <f>IF(D477="","",IFERROR(VLOOKUP(D477,Lists!$A$2:$D$9,3,FALSE),"?"))</f>
        <v/>
      </c>
      <c r="R477">
        <f>IF(D477="","",IFERROR(VLOOKUP(D477,Lists!$A$2:$D$9,4,FALSE),"?"))</f>
        <v/>
      </c>
      <c r="S477">
        <f>IF(P477="Debtor",I477,IF(P477="Creditor",J477,0))</f>
        <v/>
      </c>
      <c r="T477">
        <f>IF(P477="Debtor",J477,IF(P477="Creditor",I477,0))</f>
        <v/>
      </c>
      <c r="U477">
        <f>IF(OR(S477=0,B477=""),0,IFERROR(VLOOKUP(C477,'Example Parties'!$B$13:$Q$112,13,FALSE),0)+SUMIFS($S$7:$S$506,$C$7:$C$506,C477,$B$7:$B$506,"&lt;"&amp;B477)+SUMIFS(S$7:S477,C$7:C477,C477,B$7:B477,B477))</f>
        <v/>
      </c>
      <c r="V477">
        <f>IF(S477=0,0,IFERROR(VLOOKUP(C477,'Example Parties'!$B$13:$Q$112,14,FALSE),0)+SUMIFS($T$7:$T$506,$C$7:$C$506,C477,$B$7:$B$506,"&lt;="&amp;'Example Outstanding'!$E$5))</f>
        <v/>
      </c>
      <c r="W477">
        <f>IF(OR('Example Outstanding'!$E$5="",S477=0,B477="",B477&gt;'Example Outstanding'!$E$5),0,MAX(0,MIN(S477,U477-V477)))</f>
        <v/>
      </c>
      <c r="X477">
        <f>IF(C477="",0,IFERROR(VLOOKUP(C477,'Example Parties'!$B$13:$Q$112,15,FALSE),0))</f>
        <v/>
      </c>
      <c r="Y477">
        <f>IF(C477="","",IFERROR(VLOOKUP(C477,'Example Parties'!$B$13:$Q$112,16,FALSE),0))</f>
        <v/>
      </c>
      <c r="Z477">
        <f>IF(OR(S477=0,B477="",Y477=""),"",IF(AND(F477&lt;&gt;"",D477="Purchase bill"),F477,B477)+Y477)</f>
        <v/>
      </c>
      <c r="AA477">
        <f>IF(OR(W477=0,Z477=""),0,MAX(0,'Example Outstanding'!$E$5-Z477))</f>
        <v/>
      </c>
      <c r="AB477">
        <f>IF(AND(X477=1,AA477&gt;0),W477*((1+3*N('Example Parties'!$E$10)/12)^(AA477*12/365)-1),0)</f>
        <v/>
      </c>
      <c r="AC477">
        <f>IF(W477=0,"",'Example Outstanding'!$E$5-B477)</f>
        <v/>
      </c>
      <c r="AD477">
        <f>IF(S477=0,0,IFERROR(VLOOKUP(C477,'Example Parties'!$B$13:$Q$112,14,FALSE),0)+SUMIFS($T$7:$T$506,$C$7:$C$506,C477,$B$7:$B$506,"&lt;="&amp;'Example Parties'!$E$8))</f>
        <v/>
      </c>
      <c r="AE477">
        <f>IF(OR('Example Parties'!$E$8="",S477=0,B477="",B477&gt;'Example Parties'!$E$8),0,MAX(0,MIN(S477,U477-AD477)))</f>
        <v/>
      </c>
      <c r="AF477">
        <f>IF(AND(P477="Creditor",X477=1,AE477&gt;0,Z477&lt;&gt;""),IF(Z477&lt;='Example Parties'!$E$8,AE477,0),0)</f>
        <v/>
      </c>
      <c r="AG477">
        <f>IF(OR(AE477=0,Z477=""),0,MAX(0,'Example Parties'!$E$8-Z477))</f>
        <v/>
      </c>
      <c r="AH477">
        <f>IF(AND(P477="Creditor",X477=1,AG477&gt;0),AE477*((1+3*N('Example Parties'!$E$10)/12)^(AG477*12/365)-1),0)</f>
        <v/>
      </c>
      <c r="AI477">
        <f>IF(AND(C477&lt;&gt;"",C477='Example Ledger'!$D$4,B477&lt;&gt;"",B477&gt;='Example Ledger'!$D$5,B477&lt;='Example Ledger'!$D$6),1,0)</f>
        <v/>
      </c>
      <c r="AJ477">
        <f>IF(AI477=1,SUM(AI$7:AI477),"")</f>
        <v/>
      </c>
      <c r="AK477">
        <f>IF(OR(N477="",N477="OK"),0,1)</f>
        <v/>
      </c>
    </row>
    <row r="478">
      <c r="B478" s="24" t="n"/>
      <c r="C478" s="14" t="n"/>
      <c r="D478" s="14" t="n"/>
      <c r="E478" s="20" t="n"/>
      <c r="F478" s="24" t="n"/>
      <c r="G478" s="14" t="n"/>
      <c r="H478" s="22" t="n"/>
      <c r="I478" s="25">
        <f>IF(Q478="D",N(H478),0)</f>
        <v/>
      </c>
      <c r="J478" s="25">
        <f>IF(Q478="C",N(H478),0)</f>
        <v/>
      </c>
      <c r="K478" s="26">
        <f>IF(Z478="","",Z478)</f>
        <v/>
      </c>
      <c r="L478" s="27">
        <f>W478</f>
        <v/>
      </c>
      <c r="M478" s="28">
        <f>AA478</f>
        <v/>
      </c>
      <c r="N478" s="23">
        <f>IF(AND(B478="",C478="",D478="",N(H478)=0),"",IF(B478="","Enter the date",IF(C478="","Pick the party",IF(P478="?","Add this party on the Parties sheet first",IF(D478="","Pick the entry type",IF(Q478="?","Pick the entry type from the list",IF(N(H478)=0,"Enter the amount",IF(AND(R478&lt;&gt;"Any",R478&lt;&gt;P478),"Sales, receipts and credit notes are for debtors; purchases, payments and debit notes for creditors",IF(AND(F478&lt;&gt;"",D478&lt;&gt;"Purchase bill"),"The received-on date is only for purchase bills",IF(AND(P478="Creditor",X478=1,AA478&gt;0),"Past due to a micro or small supplier: interest runs under MSMED s.16, and if unpaid at year end it is not deductible that year, s.37(2)(g)",IF(AND(P478="Debtor",X478=1,AA478&gt;0),"Past due to you: as a micro or small supplier you can claim interest under MSMED s.16","OK")))))))))))</f>
        <v/>
      </c>
      <c r="P478">
        <f>IF(C478="","",IFERROR(VLOOKUP(C478,'Example Parties'!$B$13:$Q$112,2,FALSE),"?"))</f>
        <v/>
      </c>
      <c r="Q478">
        <f>IF(D478="","",IFERROR(VLOOKUP(D478,Lists!$A$2:$D$9,3,FALSE),"?"))</f>
        <v/>
      </c>
      <c r="R478">
        <f>IF(D478="","",IFERROR(VLOOKUP(D478,Lists!$A$2:$D$9,4,FALSE),"?"))</f>
        <v/>
      </c>
      <c r="S478">
        <f>IF(P478="Debtor",I478,IF(P478="Creditor",J478,0))</f>
        <v/>
      </c>
      <c r="T478">
        <f>IF(P478="Debtor",J478,IF(P478="Creditor",I478,0))</f>
        <v/>
      </c>
      <c r="U478">
        <f>IF(OR(S478=0,B478=""),0,IFERROR(VLOOKUP(C478,'Example Parties'!$B$13:$Q$112,13,FALSE),0)+SUMIFS($S$7:$S$506,$C$7:$C$506,C478,$B$7:$B$506,"&lt;"&amp;B478)+SUMIFS(S$7:S478,C$7:C478,C478,B$7:B478,B478))</f>
        <v/>
      </c>
      <c r="V478">
        <f>IF(S478=0,0,IFERROR(VLOOKUP(C478,'Example Parties'!$B$13:$Q$112,14,FALSE),0)+SUMIFS($T$7:$T$506,$C$7:$C$506,C478,$B$7:$B$506,"&lt;="&amp;'Example Outstanding'!$E$5))</f>
        <v/>
      </c>
      <c r="W478">
        <f>IF(OR('Example Outstanding'!$E$5="",S478=0,B478="",B478&gt;'Example Outstanding'!$E$5),0,MAX(0,MIN(S478,U478-V478)))</f>
        <v/>
      </c>
      <c r="X478">
        <f>IF(C478="",0,IFERROR(VLOOKUP(C478,'Example Parties'!$B$13:$Q$112,15,FALSE),0))</f>
        <v/>
      </c>
      <c r="Y478">
        <f>IF(C478="","",IFERROR(VLOOKUP(C478,'Example Parties'!$B$13:$Q$112,16,FALSE),0))</f>
        <v/>
      </c>
      <c r="Z478">
        <f>IF(OR(S478=0,B478="",Y478=""),"",IF(AND(F478&lt;&gt;"",D478="Purchase bill"),F478,B478)+Y478)</f>
        <v/>
      </c>
      <c r="AA478">
        <f>IF(OR(W478=0,Z478=""),0,MAX(0,'Example Outstanding'!$E$5-Z478))</f>
        <v/>
      </c>
      <c r="AB478">
        <f>IF(AND(X478=1,AA478&gt;0),W478*((1+3*N('Example Parties'!$E$10)/12)^(AA478*12/365)-1),0)</f>
        <v/>
      </c>
      <c r="AC478">
        <f>IF(W478=0,"",'Example Outstanding'!$E$5-B478)</f>
        <v/>
      </c>
      <c r="AD478">
        <f>IF(S478=0,0,IFERROR(VLOOKUP(C478,'Example Parties'!$B$13:$Q$112,14,FALSE),0)+SUMIFS($T$7:$T$506,$C$7:$C$506,C478,$B$7:$B$506,"&lt;="&amp;'Example Parties'!$E$8))</f>
        <v/>
      </c>
      <c r="AE478">
        <f>IF(OR('Example Parties'!$E$8="",S478=0,B478="",B478&gt;'Example Parties'!$E$8),0,MAX(0,MIN(S478,U478-AD478)))</f>
        <v/>
      </c>
      <c r="AF478">
        <f>IF(AND(P478="Creditor",X478=1,AE478&gt;0,Z478&lt;&gt;""),IF(Z478&lt;='Example Parties'!$E$8,AE478,0),0)</f>
        <v/>
      </c>
      <c r="AG478">
        <f>IF(OR(AE478=0,Z478=""),0,MAX(0,'Example Parties'!$E$8-Z478))</f>
        <v/>
      </c>
      <c r="AH478">
        <f>IF(AND(P478="Creditor",X478=1,AG478&gt;0),AE478*((1+3*N('Example Parties'!$E$10)/12)^(AG478*12/365)-1),0)</f>
        <v/>
      </c>
      <c r="AI478">
        <f>IF(AND(C478&lt;&gt;"",C478='Example Ledger'!$D$4,B478&lt;&gt;"",B478&gt;='Example Ledger'!$D$5,B478&lt;='Example Ledger'!$D$6),1,0)</f>
        <v/>
      </c>
      <c r="AJ478">
        <f>IF(AI478=1,SUM(AI$7:AI478),"")</f>
        <v/>
      </c>
      <c r="AK478">
        <f>IF(OR(N478="",N478="OK"),0,1)</f>
        <v/>
      </c>
    </row>
    <row r="479">
      <c r="B479" s="24" t="n"/>
      <c r="C479" s="14" t="n"/>
      <c r="D479" s="14" t="n"/>
      <c r="E479" s="20" t="n"/>
      <c r="F479" s="24" t="n"/>
      <c r="G479" s="14" t="n"/>
      <c r="H479" s="22" t="n"/>
      <c r="I479" s="25">
        <f>IF(Q479="D",N(H479),0)</f>
        <v/>
      </c>
      <c r="J479" s="25">
        <f>IF(Q479="C",N(H479),0)</f>
        <v/>
      </c>
      <c r="K479" s="26">
        <f>IF(Z479="","",Z479)</f>
        <v/>
      </c>
      <c r="L479" s="27">
        <f>W479</f>
        <v/>
      </c>
      <c r="M479" s="28">
        <f>AA479</f>
        <v/>
      </c>
      <c r="N479" s="23">
        <f>IF(AND(B479="",C479="",D479="",N(H479)=0),"",IF(B479="","Enter the date",IF(C479="","Pick the party",IF(P479="?","Add this party on the Parties sheet first",IF(D479="","Pick the entry type",IF(Q479="?","Pick the entry type from the list",IF(N(H479)=0,"Enter the amount",IF(AND(R479&lt;&gt;"Any",R479&lt;&gt;P479),"Sales, receipts and credit notes are for debtors; purchases, payments and debit notes for creditors",IF(AND(F479&lt;&gt;"",D479&lt;&gt;"Purchase bill"),"The received-on date is only for purchase bills",IF(AND(P479="Creditor",X479=1,AA479&gt;0),"Past due to a micro or small supplier: interest runs under MSMED s.16, and if unpaid at year end it is not deductible that year, s.37(2)(g)",IF(AND(P479="Debtor",X479=1,AA479&gt;0),"Past due to you: as a micro or small supplier you can claim interest under MSMED s.16","OK")))))))))))</f>
        <v/>
      </c>
      <c r="P479">
        <f>IF(C479="","",IFERROR(VLOOKUP(C479,'Example Parties'!$B$13:$Q$112,2,FALSE),"?"))</f>
        <v/>
      </c>
      <c r="Q479">
        <f>IF(D479="","",IFERROR(VLOOKUP(D479,Lists!$A$2:$D$9,3,FALSE),"?"))</f>
        <v/>
      </c>
      <c r="R479">
        <f>IF(D479="","",IFERROR(VLOOKUP(D479,Lists!$A$2:$D$9,4,FALSE),"?"))</f>
        <v/>
      </c>
      <c r="S479">
        <f>IF(P479="Debtor",I479,IF(P479="Creditor",J479,0))</f>
        <v/>
      </c>
      <c r="T479">
        <f>IF(P479="Debtor",J479,IF(P479="Creditor",I479,0))</f>
        <v/>
      </c>
      <c r="U479">
        <f>IF(OR(S479=0,B479=""),0,IFERROR(VLOOKUP(C479,'Example Parties'!$B$13:$Q$112,13,FALSE),0)+SUMIFS($S$7:$S$506,$C$7:$C$506,C479,$B$7:$B$506,"&lt;"&amp;B479)+SUMIFS(S$7:S479,C$7:C479,C479,B$7:B479,B479))</f>
        <v/>
      </c>
      <c r="V479">
        <f>IF(S479=0,0,IFERROR(VLOOKUP(C479,'Example Parties'!$B$13:$Q$112,14,FALSE),0)+SUMIFS($T$7:$T$506,$C$7:$C$506,C479,$B$7:$B$506,"&lt;="&amp;'Example Outstanding'!$E$5))</f>
        <v/>
      </c>
      <c r="W479">
        <f>IF(OR('Example Outstanding'!$E$5="",S479=0,B479="",B479&gt;'Example Outstanding'!$E$5),0,MAX(0,MIN(S479,U479-V479)))</f>
        <v/>
      </c>
      <c r="X479">
        <f>IF(C479="",0,IFERROR(VLOOKUP(C479,'Example Parties'!$B$13:$Q$112,15,FALSE),0))</f>
        <v/>
      </c>
      <c r="Y479">
        <f>IF(C479="","",IFERROR(VLOOKUP(C479,'Example Parties'!$B$13:$Q$112,16,FALSE),0))</f>
        <v/>
      </c>
      <c r="Z479">
        <f>IF(OR(S479=0,B479="",Y479=""),"",IF(AND(F479&lt;&gt;"",D479="Purchase bill"),F479,B479)+Y479)</f>
        <v/>
      </c>
      <c r="AA479">
        <f>IF(OR(W479=0,Z479=""),0,MAX(0,'Example Outstanding'!$E$5-Z479))</f>
        <v/>
      </c>
      <c r="AB479">
        <f>IF(AND(X479=1,AA479&gt;0),W479*((1+3*N('Example Parties'!$E$10)/12)^(AA479*12/365)-1),0)</f>
        <v/>
      </c>
      <c r="AC479">
        <f>IF(W479=0,"",'Example Outstanding'!$E$5-B479)</f>
        <v/>
      </c>
      <c r="AD479">
        <f>IF(S479=0,0,IFERROR(VLOOKUP(C479,'Example Parties'!$B$13:$Q$112,14,FALSE),0)+SUMIFS($T$7:$T$506,$C$7:$C$506,C479,$B$7:$B$506,"&lt;="&amp;'Example Parties'!$E$8))</f>
        <v/>
      </c>
      <c r="AE479">
        <f>IF(OR('Example Parties'!$E$8="",S479=0,B479="",B479&gt;'Example Parties'!$E$8),0,MAX(0,MIN(S479,U479-AD479)))</f>
        <v/>
      </c>
      <c r="AF479">
        <f>IF(AND(P479="Creditor",X479=1,AE479&gt;0,Z479&lt;&gt;""),IF(Z479&lt;='Example Parties'!$E$8,AE479,0),0)</f>
        <v/>
      </c>
      <c r="AG479">
        <f>IF(OR(AE479=0,Z479=""),0,MAX(0,'Example Parties'!$E$8-Z479))</f>
        <v/>
      </c>
      <c r="AH479">
        <f>IF(AND(P479="Creditor",X479=1,AG479&gt;0),AE479*((1+3*N('Example Parties'!$E$10)/12)^(AG479*12/365)-1),0)</f>
        <v/>
      </c>
      <c r="AI479">
        <f>IF(AND(C479&lt;&gt;"",C479='Example Ledger'!$D$4,B479&lt;&gt;"",B479&gt;='Example Ledger'!$D$5,B479&lt;='Example Ledger'!$D$6),1,0)</f>
        <v/>
      </c>
      <c r="AJ479">
        <f>IF(AI479=1,SUM(AI$7:AI479),"")</f>
        <v/>
      </c>
      <c r="AK479">
        <f>IF(OR(N479="",N479="OK"),0,1)</f>
        <v/>
      </c>
    </row>
    <row r="480">
      <c r="B480" s="24" t="n"/>
      <c r="C480" s="14" t="n"/>
      <c r="D480" s="14" t="n"/>
      <c r="E480" s="20" t="n"/>
      <c r="F480" s="24" t="n"/>
      <c r="G480" s="14" t="n"/>
      <c r="H480" s="22" t="n"/>
      <c r="I480" s="25">
        <f>IF(Q480="D",N(H480),0)</f>
        <v/>
      </c>
      <c r="J480" s="25">
        <f>IF(Q480="C",N(H480),0)</f>
        <v/>
      </c>
      <c r="K480" s="26">
        <f>IF(Z480="","",Z480)</f>
        <v/>
      </c>
      <c r="L480" s="27">
        <f>W480</f>
        <v/>
      </c>
      <c r="M480" s="28">
        <f>AA480</f>
        <v/>
      </c>
      <c r="N480" s="23">
        <f>IF(AND(B480="",C480="",D480="",N(H480)=0),"",IF(B480="","Enter the date",IF(C480="","Pick the party",IF(P480="?","Add this party on the Parties sheet first",IF(D480="","Pick the entry type",IF(Q480="?","Pick the entry type from the list",IF(N(H480)=0,"Enter the amount",IF(AND(R480&lt;&gt;"Any",R480&lt;&gt;P480),"Sales, receipts and credit notes are for debtors; purchases, payments and debit notes for creditors",IF(AND(F480&lt;&gt;"",D480&lt;&gt;"Purchase bill"),"The received-on date is only for purchase bills",IF(AND(P480="Creditor",X480=1,AA480&gt;0),"Past due to a micro or small supplier: interest runs under MSMED s.16, and if unpaid at year end it is not deductible that year, s.37(2)(g)",IF(AND(P480="Debtor",X480=1,AA480&gt;0),"Past due to you: as a micro or small supplier you can claim interest under MSMED s.16","OK")))))))))))</f>
        <v/>
      </c>
      <c r="P480">
        <f>IF(C480="","",IFERROR(VLOOKUP(C480,'Example Parties'!$B$13:$Q$112,2,FALSE),"?"))</f>
        <v/>
      </c>
      <c r="Q480">
        <f>IF(D480="","",IFERROR(VLOOKUP(D480,Lists!$A$2:$D$9,3,FALSE),"?"))</f>
        <v/>
      </c>
      <c r="R480">
        <f>IF(D480="","",IFERROR(VLOOKUP(D480,Lists!$A$2:$D$9,4,FALSE),"?"))</f>
        <v/>
      </c>
      <c r="S480">
        <f>IF(P480="Debtor",I480,IF(P480="Creditor",J480,0))</f>
        <v/>
      </c>
      <c r="T480">
        <f>IF(P480="Debtor",J480,IF(P480="Creditor",I480,0))</f>
        <v/>
      </c>
      <c r="U480">
        <f>IF(OR(S480=0,B480=""),0,IFERROR(VLOOKUP(C480,'Example Parties'!$B$13:$Q$112,13,FALSE),0)+SUMIFS($S$7:$S$506,$C$7:$C$506,C480,$B$7:$B$506,"&lt;"&amp;B480)+SUMIFS(S$7:S480,C$7:C480,C480,B$7:B480,B480))</f>
        <v/>
      </c>
      <c r="V480">
        <f>IF(S480=0,0,IFERROR(VLOOKUP(C480,'Example Parties'!$B$13:$Q$112,14,FALSE),0)+SUMIFS($T$7:$T$506,$C$7:$C$506,C480,$B$7:$B$506,"&lt;="&amp;'Example Outstanding'!$E$5))</f>
        <v/>
      </c>
      <c r="W480">
        <f>IF(OR('Example Outstanding'!$E$5="",S480=0,B480="",B480&gt;'Example Outstanding'!$E$5),0,MAX(0,MIN(S480,U480-V480)))</f>
        <v/>
      </c>
      <c r="X480">
        <f>IF(C480="",0,IFERROR(VLOOKUP(C480,'Example Parties'!$B$13:$Q$112,15,FALSE),0))</f>
        <v/>
      </c>
      <c r="Y480">
        <f>IF(C480="","",IFERROR(VLOOKUP(C480,'Example Parties'!$B$13:$Q$112,16,FALSE),0))</f>
        <v/>
      </c>
      <c r="Z480">
        <f>IF(OR(S480=0,B480="",Y480=""),"",IF(AND(F480&lt;&gt;"",D480="Purchase bill"),F480,B480)+Y480)</f>
        <v/>
      </c>
      <c r="AA480">
        <f>IF(OR(W480=0,Z480=""),0,MAX(0,'Example Outstanding'!$E$5-Z480))</f>
        <v/>
      </c>
      <c r="AB480">
        <f>IF(AND(X480=1,AA480&gt;0),W480*((1+3*N('Example Parties'!$E$10)/12)^(AA480*12/365)-1),0)</f>
        <v/>
      </c>
      <c r="AC480">
        <f>IF(W480=0,"",'Example Outstanding'!$E$5-B480)</f>
        <v/>
      </c>
      <c r="AD480">
        <f>IF(S480=0,0,IFERROR(VLOOKUP(C480,'Example Parties'!$B$13:$Q$112,14,FALSE),0)+SUMIFS($T$7:$T$506,$C$7:$C$506,C480,$B$7:$B$506,"&lt;="&amp;'Example Parties'!$E$8))</f>
        <v/>
      </c>
      <c r="AE480">
        <f>IF(OR('Example Parties'!$E$8="",S480=0,B480="",B480&gt;'Example Parties'!$E$8),0,MAX(0,MIN(S480,U480-AD480)))</f>
        <v/>
      </c>
      <c r="AF480">
        <f>IF(AND(P480="Creditor",X480=1,AE480&gt;0,Z480&lt;&gt;""),IF(Z480&lt;='Example Parties'!$E$8,AE480,0),0)</f>
        <v/>
      </c>
      <c r="AG480">
        <f>IF(OR(AE480=0,Z480=""),0,MAX(0,'Example Parties'!$E$8-Z480))</f>
        <v/>
      </c>
      <c r="AH480">
        <f>IF(AND(P480="Creditor",X480=1,AG480&gt;0),AE480*((1+3*N('Example Parties'!$E$10)/12)^(AG480*12/365)-1),0)</f>
        <v/>
      </c>
      <c r="AI480">
        <f>IF(AND(C480&lt;&gt;"",C480='Example Ledger'!$D$4,B480&lt;&gt;"",B480&gt;='Example Ledger'!$D$5,B480&lt;='Example Ledger'!$D$6),1,0)</f>
        <v/>
      </c>
      <c r="AJ480">
        <f>IF(AI480=1,SUM(AI$7:AI480),"")</f>
        <v/>
      </c>
      <c r="AK480">
        <f>IF(OR(N480="",N480="OK"),0,1)</f>
        <v/>
      </c>
    </row>
    <row r="481">
      <c r="B481" s="24" t="n"/>
      <c r="C481" s="14" t="n"/>
      <c r="D481" s="14" t="n"/>
      <c r="E481" s="20" t="n"/>
      <c r="F481" s="24" t="n"/>
      <c r="G481" s="14" t="n"/>
      <c r="H481" s="22" t="n"/>
      <c r="I481" s="25">
        <f>IF(Q481="D",N(H481),0)</f>
        <v/>
      </c>
      <c r="J481" s="25">
        <f>IF(Q481="C",N(H481),0)</f>
        <v/>
      </c>
      <c r="K481" s="26">
        <f>IF(Z481="","",Z481)</f>
        <v/>
      </c>
      <c r="L481" s="27">
        <f>W481</f>
        <v/>
      </c>
      <c r="M481" s="28">
        <f>AA481</f>
        <v/>
      </c>
      <c r="N481" s="23">
        <f>IF(AND(B481="",C481="",D481="",N(H481)=0),"",IF(B481="","Enter the date",IF(C481="","Pick the party",IF(P481="?","Add this party on the Parties sheet first",IF(D481="","Pick the entry type",IF(Q481="?","Pick the entry type from the list",IF(N(H481)=0,"Enter the amount",IF(AND(R481&lt;&gt;"Any",R481&lt;&gt;P481),"Sales, receipts and credit notes are for debtors; purchases, payments and debit notes for creditors",IF(AND(F481&lt;&gt;"",D481&lt;&gt;"Purchase bill"),"The received-on date is only for purchase bills",IF(AND(P481="Creditor",X481=1,AA481&gt;0),"Past due to a micro or small supplier: interest runs under MSMED s.16, and if unpaid at year end it is not deductible that year, s.37(2)(g)",IF(AND(P481="Debtor",X481=1,AA481&gt;0),"Past due to you: as a micro or small supplier you can claim interest under MSMED s.16","OK")))))))))))</f>
        <v/>
      </c>
      <c r="P481">
        <f>IF(C481="","",IFERROR(VLOOKUP(C481,'Example Parties'!$B$13:$Q$112,2,FALSE),"?"))</f>
        <v/>
      </c>
      <c r="Q481">
        <f>IF(D481="","",IFERROR(VLOOKUP(D481,Lists!$A$2:$D$9,3,FALSE),"?"))</f>
        <v/>
      </c>
      <c r="R481">
        <f>IF(D481="","",IFERROR(VLOOKUP(D481,Lists!$A$2:$D$9,4,FALSE),"?"))</f>
        <v/>
      </c>
      <c r="S481">
        <f>IF(P481="Debtor",I481,IF(P481="Creditor",J481,0))</f>
        <v/>
      </c>
      <c r="T481">
        <f>IF(P481="Debtor",J481,IF(P481="Creditor",I481,0))</f>
        <v/>
      </c>
      <c r="U481">
        <f>IF(OR(S481=0,B481=""),0,IFERROR(VLOOKUP(C481,'Example Parties'!$B$13:$Q$112,13,FALSE),0)+SUMIFS($S$7:$S$506,$C$7:$C$506,C481,$B$7:$B$506,"&lt;"&amp;B481)+SUMIFS(S$7:S481,C$7:C481,C481,B$7:B481,B481))</f>
        <v/>
      </c>
      <c r="V481">
        <f>IF(S481=0,0,IFERROR(VLOOKUP(C481,'Example Parties'!$B$13:$Q$112,14,FALSE),0)+SUMIFS($T$7:$T$506,$C$7:$C$506,C481,$B$7:$B$506,"&lt;="&amp;'Example Outstanding'!$E$5))</f>
        <v/>
      </c>
      <c r="W481">
        <f>IF(OR('Example Outstanding'!$E$5="",S481=0,B481="",B481&gt;'Example Outstanding'!$E$5),0,MAX(0,MIN(S481,U481-V481)))</f>
        <v/>
      </c>
      <c r="X481">
        <f>IF(C481="",0,IFERROR(VLOOKUP(C481,'Example Parties'!$B$13:$Q$112,15,FALSE),0))</f>
        <v/>
      </c>
      <c r="Y481">
        <f>IF(C481="","",IFERROR(VLOOKUP(C481,'Example Parties'!$B$13:$Q$112,16,FALSE),0))</f>
        <v/>
      </c>
      <c r="Z481">
        <f>IF(OR(S481=0,B481="",Y481=""),"",IF(AND(F481&lt;&gt;"",D481="Purchase bill"),F481,B481)+Y481)</f>
        <v/>
      </c>
      <c r="AA481">
        <f>IF(OR(W481=0,Z481=""),0,MAX(0,'Example Outstanding'!$E$5-Z481))</f>
        <v/>
      </c>
      <c r="AB481">
        <f>IF(AND(X481=1,AA481&gt;0),W481*((1+3*N('Example Parties'!$E$10)/12)^(AA481*12/365)-1),0)</f>
        <v/>
      </c>
      <c r="AC481">
        <f>IF(W481=0,"",'Example Outstanding'!$E$5-B481)</f>
        <v/>
      </c>
      <c r="AD481">
        <f>IF(S481=0,0,IFERROR(VLOOKUP(C481,'Example Parties'!$B$13:$Q$112,14,FALSE),0)+SUMIFS($T$7:$T$506,$C$7:$C$506,C481,$B$7:$B$506,"&lt;="&amp;'Example Parties'!$E$8))</f>
        <v/>
      </c>
      <c r="AE481">
        <f>IF(OR('Example Parties'!$E$8="",S481=0,B481="",B481&gt;'Example Parties'!$E$8),0,MAX(0,MIN(S481,U481-AD481)))</f>
        <v/>
      </c>
      <c r="AF481">
        <f>IF(AND(P481="Creditor",X481=1,AE481&gt;0,Z481&lt;&gt;""),IF(Z481&lt;='Example Parties'!$E$8,AE481,0),0)</f>
        <v/>
      </c>
      <c r="AG481">
        <f>IF(OR(AE481=0,Z481=""),0,MAX(0,'Example Parties'!$E$8-Z481))</f>
        <v/>
      </c>
      <c r="AH481">
        <f>IF(AND(P481="Creditor",X481=1,AG481&gt;0),AE481*((1+3*N('Example Parties'!$E$10)/12)^(AG481*12/365)-1),0)</f>
        <v/>
      </c>
      <c r="AI481">
        <f>IF(AND(C481&lt;&gt;"",C481='Example Ledger'!$D$4,B481&lt;&gt;"",B481&gt;='Example Ledger'!$D$5,B481&lt;='Example Ledger'!$D$6),1,0)</f>
        <v/>
      </c>
      <c r="AJ481">
        <f>IF(AI481=1,SUM(AI$7:AI481),"")</f>
        <v/>
      </c>
      <c r="AK481">
        <f>IF(OR(N481="",N481="OK"),0,1)</f>
        <v/>
      </c>
    </row>
    <row r="482">
      <c r="B482" s="24" t="n"/>
      <c r="C482" s="14" t="n"/>
      <c r="D482" s="14" t="n"/>
      <c r="E482" s="20" t="n"/>
      <c r="F482" s="24" t="n"/>
      <c r="G482" s="14" t="n"/>
      <c r="H482" s="22" t="n"/>
      <c r="I482" s="25">
        <f>IF(Q482="D",N(H482),0)</f>
        <v/>
      </c>
      <c r="J482" s="25">
        <f>IF(Q482="C",N(H482),0)</f>
        <v/>
      </c>
      <c r="K482" s="26">
        <f>IF(Z482="","",Z482)</f>
        <v/>
      </c>
      <c r="L482" s="27">
        <f>W482</f>
        <v/>
      </c>
      <c r="M482" s="28">
        <f>AA482</f>
        <v/>
      </c>
      <c r="N482" s="23">
        <f>IF(AND(B482="",C482="",D482="",N(H482)=0),"",IF(B482="","Enter the date",IF(C482="","Pick the party",IF(P482="?","Add this party on the Parties sheet first",IF(D482="","Pick the entry type",IF(Q482="?","Pick the entry type from the list",IF(N(H482)=0,"Enter the amount",IF(AND(R482&lt;&gt;"Any",R482&lt;&gt;P482),"Sales, receipts and credit notes are for debtors; purchases, payments and debit notes for creditors",IF(AND(F482&lt;&gt;"",D482&lt;&gt;"Purchase bill"),"The received-on date is only for purchase bills",IF(AND(P482="Creditor",X482=1,AA482&gt;0),"Past due to a micro or small supplier: interest runs under MSMED s.16, and if unpaid at year end it is not deductible that year, s.37(2)(g)",IF(AND(P482="Debtor",X482=1,AA482&gt;0),"Past due to you: as a micro or small supplier you can claim interest under MSMED s.16","OK")))))))))))</f>
        <v/>
      </c>
      <c r="P482">
        <f>IF(C482="","",IFERROR(VLOOKUP(C482,'Example Parties'!$B$13:$Q$112,2,FALSE),"?"))</f>
        <v/>
      </c>
      <c r="Q482">
        <f>IF(D482="","",IFERROR(VLOOKUP(D482,Lists!$A$2:$D$9,3,FALSE),"?"))</f>
        <v/>
      </c>
      <c r="R482">
        <f>IF(D482="","",IFERROR(VLOOKUP(D482,Lists!$A$2:$D$9,4,FALSE),"?"))</f>
        <v/>
      </c>
      <c r="S482">
        <f>IF(P482="Debtor",I482,IF(P482="Creditor",J482,0))</f>
        <v/>
      </c>
      <c r="T482">
        <f>IF(P482="Debtor",J482,IF(P482="Creditor",I482,0))</f>
        <v/>
      </c>
      <c r="U482">
        <f>IF(OR(S482=0,B482=""),0,IFERROR(VLOOKUP(C482,'Example Parties'!$B$13:$Q$112,13,FALSE),0)+SUMIFS($S$7:$S$506,$C$7:$C$506,C482,$B$7:$B$506,"&lt;"&amp;B482)+SUMIFS(S$7:S482,C$7:C482,C482,B$7:B482,B482))</f>
        <v/>
      </c>
      <c r="V482">
        <f>IF(S482=0,0,IFERROR(VLOOKUP(C482,'Example Parties'!$B$13:$Q$112,14,FALSE),0)+SUMIFS($T$7:$T$506,$C$7:$C$506,C482,$B$7:$B$506,"&lt;="&amp;'Example Outstanding'!$E$5))</f>
        <v/>
      </c>
      <c r="W482">
        <f>IF(OR('Example Outstanding'!$E$5="",S482=0,B482="",B482&gt;'Example Outstanding'!$E$5),0,MAX(0,MIN(S482,U482-V482)))</f>
        <v/>
      </c>
      <c r="X482">
        <f>IF(C482="",0,IFERROR(VLOOKUP(C482,'Example Parties'!$B$13:$Q$112,15,FALSE),0))</f>
        <v/>
      </c>
      <c r="Y482">
        <f>IF(C482="","",IFERROR(VLOOKUP(C482,'Example Parties'!$B$13:$Q$112,16,FALSE),0))</f>
        <v/>
      </c>
      <c r="Z482">
        <f>IF(OR(S482=0,B482="",Y482=""),"",IF(AND(F482&lt;&gt;"",D482="Purchase bill"),F482,B482)+Y482)</f>
        <v/>
      </c>
      <c r="AA482">
        <f>IF(OR(W482=0,Z482=""),0,MAX(0,'Example Outstanding'!$E$5-Z482))</f>
        <v/>
      </c>
      <c r="AB482">
        <f>IF(AND(X482=1,AA482&gt;0),W482*((1+3*N('Example Parties'!$E$10)/12)^(AA482*12/365)-1),0)</f>
        <v/>
      </c>
      <c r="AC482">
        <f>IF(W482=0,"",'Example Outstanding'!$E$5-B482)</f>
        <v/>
      </c>
      <c r="AD482">
        <f>IF(S482=0,0,IFERROR(VLOOKUP(C482,'Example Parties'!$B$13:$Q$112,14,FALSE),0)+SUMIFS($T$7:$T$506,$C$7:$C$506,C482,$B$7:$B$506,"&lt;="&amp;'Example Parties'!$E$8))</f>
        <v/>
      </c>
      <c r="AE482">
        <f>IF(OR('Example Parties'!$E$8="",S482=0,B482="",B482&gt;'Example Parties'!$E$8),0,MAX(0,MIN(S482,U482-AD482)))</f>
        <v/>
      </c>
      <c r="AF482">
        <f>IF(AND(P482="Creditor",X482=1,AE482&gt;0,Z482&lt;&gt;""),IF(Z482&lt;='Example Parties'!$E$8,AE482,0),0)</f>
        <v/>
      </c>
      <c r="AG482">
        <f>IF(OR(AE482=0,Z482=""),0,MAX(0,'Example Parties'!$E$8-Z482))</f>
        <v/>
      </c>
      <c r="AH482">
        <f>IF(AND(P482="Creditor",X482=1,AG482&gt;0),AE482*((1+3*N('Example Parties'!$E$10)/12)^(AG482*12/365)-1),0)</f>
        <v/>
      </c>
      <c r="AI482">
        <f>IF(AND(C482&lt;&gt;"",C482='Example Ledger'!$D$4,B482&lt;&gt;"",B482&gt;='Example Ledger'!$D$5,B482&lt;='Example Ledger'!$D$6),1,0)</f>
        <v/>
      </c>
      <c r="AJ482">
        <f>IF(AI482=1,SUM(AI$7:AI482),"")</f>
        <v/>
      </c>
      <c r="AK482">
        <f>IF(OR(N482="",N482="OK"),0,1)</f>
        <v/>
      </c>
    </row>
    <row r="483">
      <c r="B483" s="24" t="n"/>
      <c r="C483" s="14" t="n"/>
      <c r="D483" s="14" t="n"/>
      <c r="E483" s="20" t="n"/>
      <c r="F483" s="24" t="n"/>
      <c r="G483" s="14" t="n"/>
      <c r="H483" s="22" t="n"/>
      <c r="I483" s="25">
        <f>IF(Q483="D",N(H483),0)</f>
        <v/>
      </c>
      <c r="J483" s="25">
        <f>IF(Q483="C",N(H483),0)</f>
        <v/>
      </c>
      <c r="K483" s="26">
        <f>IF(Z483="","",Z483)</f>
        <v/>
      </c>
      <c r="L483" s="27">
        <f>W483</f>
        <v/>
      </c>
      <c r="M483" s="28">
        <f>AA483</f>
        <v/>
      </c>
      <c r="N483" s="23">
        <f>IF(AND(B483="",C483="",D483="",N(H483)=0),"",IF(B483="","Enter the date",IF(C483="","Pick the party",IF(P483="?","Add this party on the Parties sheet first",IF(D483="","Pick the entry type",IF(Q483="?","Pick the entry type from the list",IF(N(H483)=0,"Enter the amount",IF(AND(R483&lt;&gt;"Any",R483&lt;&gt;P483),"Sales, receipts and credit notes are for debtors; purchases, payments and debit notes for creditors",IF(AND(F483&lt;&gt;"",D483&lt;&gt;"Purchase bill"),"The received-on date is only for purchase bills",IF(AND(P483="Creditor",X483=1,AA483&gt;0),"Past due to a micro or small supplier: interest runs under MSMED s.16, and if unpaid at year end it is not deductible that year, s.37(2)(g)",IF(AND(P483="Debtor",X483=1,AA483&gt;0),"Past due to you: as a micro or small supplier you can claim interest under MSMED s.16","OK")))))))))))</f>
        <v/>
      </c>
      <c r="P483">
        <f>IF(C483="","",IFERROR(VLOOKUP(C483,'Example Parties'!$B$13:$Q$112,2,FALSE),"?"))</f>
        <v/>
      </c>
      <c r="Q483">
        <f>IF(D483="","",IFERROR(VLOOKUP(D483,Lists!$A$2:$D$9,3,FALSE),"?"))</f>
        <v/>
      </c>
      <c r="R483">
        <f>IF(D483="","",IFERROR(VLOOKUP(D483,Lists!$A$2:$D$9,4,FALSE),"?"))</f>
        <v/>
      </c>
      <c r="S483">
        <f>IF(P483="Debtor",I483,IF(P483="Creditor",J483,0))</f>
        <v/>
      </c>
      <c r="T483">
        <f>IF(P483="Debtor",J483,IF(P483="Creditor",I483,0))</f>
        <v/>
      </c>
      <c r="U483">
        <f>IF(OR(S483=0,B483=""),0,IFERROR(VLOOKUP(C483,'Example Parties'!$B$13:$Q$112,13,FALSE),0)+SUMIFS($S$7:$S$506,$C$7:$C$506,C483,$B$7:$B$506,"&lt;"&amp;B483)+SUMIFS(S$7:S483,C$7:C483,C483,B$7:B483,B483))</f>
        <v/>
      </c>
      <c r="V483">
        <f>IF(S483=0,0,IFERROR(VLOOKUP(C483,'Example Parties'!$B$13:$Q$112,14,FALSE),0)+SUMIFS($T$7:$T$506,$C$7:$C$506,C483,$B$7:$B$506,"&lt;="&amp;'Example Outstanding'!$E$5))</f>
        <v/>
      </c>
      <c r="W483">
        <f>IF(OR('Example Outstanding'!$E$5="",S483=0,B483="",B483&gt;'Example Outstanding'!$E$5),0,MAX(0,MIN(S483,U483-V483)))</f>
        <v/>
      </c>
      <c r="X483">
        <f>IF(C483="",0,IFERROR(VLOOKUP(C483,'Example Parties'!$B$13:$Q$112,15,FALSE),0))</f>
        <v/>
      </c>
      <c r="Y483">
        <f>IF(C483="","",IFERROR(VLOOKUP(C483,'Example Parties'!$B$13:$Q$112,16,FALSE),0))</f>
        <v/>
      </c>
      <c r="Z483">
        <f>IF(OR(S483=0,B483="",Y483=""),"",IF(AND(F483&lt;&gt;"",D483="Purchase bill"),F483,B483)+Y483)</f>
        <v/>
      </c>
      <c r="AA483">
        <f>IF(OR(W483=0,Z483=""),0,MAX(0,'Example Outstanding'!$E$5-Z483))</f>
        <v/>
      </c>
      <c r="AB483">
        <f>IF(AND(X483=1,AA483&gt;0),W483*((1+3*N('Example Parties'!$E$10)/12)^(AA483*12/365)-1),0)</f>
        <v/>
      </c>
      <c r="AC483">
        <f>IF(W483=0,"",'Example Outstanding'!$E$5-B483)</f>
        <v/>
      </c>
      <c r="AD483">
        <f>IF(S483=0,0,IFERROR(VLOOKUP(C483,'Example Parties'!$B$13:$Q$112,14,FALSE),0)+SUMIFS($T$7:$T$506,$C$7:$C$506,C483,$B$7:$B$506,"&lt;="&amp;'Example Parties'!$E$8))</f>
        <v/>
      </c>
      <c r="AE483">
        <f>IF(OR('Example Parties'!$E$8="",S483=0,B483="",B483&gt;'Example Parties'!$E$8),0,MAX(0,MIN(S483,U483-AD483)))</f>
        <v/>
      </c>
      <c r="AF483">
        <f>IF(AND(P483="Creditor",X483=1,AE483&gt;0,Z483&lt;&gt;""),IF(Z483&lt;='Example Parties'!$E$8,AE483,0),0)</f>
        <v/>
      </c>
      <c r="AG483">
        <f>IF(OR(AE483=0,Z483=""),0,MAX(0,'Example Parties'!$E$8-Z483))</f>
        <v/>
      </c>
      <c r="AH483">
        <f>IF(AND(P483="Creditor",X483=1,AG483&gt;0),AE483*((1+3*N('Example Parties'!$E$10)/12)^(AG483*12/365)-1),0)</f>
        <v/>
      </c>
      <c r="AI483">
        <f>IF(AND(C483&lt;&gt;"",C483='Example Ledger'!$D$4,B483&lt;&gt;"",B483&gt;='Example Ledger'!$D$5,B483&lt;='Example Ledger'!$D$6),1,0)</f>
        <v/>
      </c>
      <c r="AJ483">
        <f>IF(AI483=1,SUM(AI$7:AI483),"")</f>
        <v/>
      </c>
      <c r="AK483">
        <f>IF(OR(N483="",N483="OK"),0,1)</f>
        <v/>
      </c>
    </row>
    <row r="484">
      <c r="B484" s="24" t="n"/>
      <c r="C484" s="14" t="n"/>
      <c r="D484" s="14" t="n"/>
      <c r="E484" s="20" t="n"/>
      <c r="F484" s="24" t="n"/>
      <c r="G484" s="14" t="n"/>
      <c r="H484" s="22" t="n"/>
      <c r="I484" s="25">
        <f>IF(Q484="D",N(H484),0)</f>
        <v/>
      </c>
      <c r="J484" s="25">
        <f>IF(Q484="C",N(H484),0)</f>
        <v/>
      </c>
      <c r="K484" s="26">
        <f>IF(Z484="","",Z484)</f>
        <v/>
      </c>
      <c r="L484" s="27">
        <f>W484</f>
        <v/>
      </c>
      <c r="M484" s="28">
        <f>AA484</f>
        <v/>
      </c>
      <c r="N484" s="23">
        <f>IF(AND(B484="",C484="",D484="",N(H484)=0),"",IF(B484="","Enter the date",IF(C484="","Pick the party",IF(P484="?","Add this party on the Parties sheet first",IF(D484="","Pick the entry type",IF(Q484="?","Pick the entry type from the list",IF(N(H484)=0,"Enter the amount",IF(AND(R484&lt;&gt;"Any",R484&lt;&gt;P484),"Sales, receipts and credit notes are for debtors; purchases, payments and debit notes for creditors",IF(AND(F484&lt;&gt;"",D484&lt;&gt;"Purchase bill"),"The received-on date is only for purchase bills",IF(AND(P484="Creditor",X484=1,AA484&gt;0),"Past due to a micro or small supplier: interest runs under MSMED s.16, and if unpaid at year end it is not deductible that year, s.37(2)(g)",IF(AND(P484="Debtor",X484=1,AA484&gt;0),"Past due to you: as a micro or small supplier you can claim interest under MSMED s.16","OK")))))))))))</f>
        <v/>
      </c>
      <c r="P484">
        <f>IF(C484="","",IFERROR(VLOOKUP(C484,'Example Parties'!$B$13:$Q$112,2,FALSE),"?"))</f>
        <v/>
      </c>
      <c r="Q484">
        <f>IF(D484="","",IFERROR(VLOOKUP(D484,Lists!$A$2:$D$9,3,FALSE),"?"))</f>
        <v/>
      </c>
      <c r="R484">
        <f>IF(D484="","",IFERROR(VLOOKUP(D484,Lists!$A$2:$D$9,4,FALSE),"?"))</f>
        <v/>
      </c>
      <c r="S484">
        <f>IF(P484="Debtor",I484,IF(P484="Creditor",J484,0))</f>
        <v/>
      </c>
      <c r="T484">
        <f>IF(P484="Debtor",J484,IF(P484="Creditor",I484,0))</f>
        <v/>
      </c>
      <c r="U484">
        <f>IF(OR(S484=0,B484=""),0,IFERROR(VLOOKUP(C484,'Example Parties'!$B$13:$Q$112,13,FALSE),0)+SUMIFS($S$7:$S$506,$C$7:$C$506,C484,$B$7:$B$506,"&lt;"&amp;B484)+SUMIFS(S$7:S484,C$7:C484,C484,B$7:B484,B484))</f>
        <v/>
      </c>
      <c r="V484">
        <f>IF(S484=0,0,IFERROR(VLOOKUP(C484,'Example Parties'!$B$13:$Q$112,14,FALSE),0)+SUMIFS($T$7:$T$506,$C$7:$C$506,C484,$B$7:$B$506,"&lt;="&amp;'Example Outstanding'!$E$5))</f>
        <v/>
      </c>
      <c r="W484">
        <f>IF(OR('Example Outstanding'!$E$5="",S484=0,B484="",B484&gt;'Example Outstanding'!$E$5),0,MAX(0,MIN(S484,U484-V484)))</f>
        <v/>
      </c>
      <c r="X484">
        <f>IF(C484="",0,IFERROR(VLOOKUP(C484,'Example Parties'!$B$13:$Q$112,15,FALSE),0))</f>
        <v/>
      </c>
      <c r="Y484">
        <f>IF(C484="","",IFERROR(VLOOKUP(C484,'Example Parties'!$B$13:$Q$112,16,FALSE),0))</f>
        <v/>
      </c>
      <c r="Z484">
        <f>IF(OR(S484=0,B484="",Y484=""),"",IF(AND(F484&lt;&gt;"",D484="Purchase bill"),F484,B484)+Y484)</f>
        <v/>
      </c>
      <c r="AA484">
        <f>IF(OR(W484=0,Z484=""),0,MAX(0,'Example Outstanding'!$E$5-Z484))</f>
        <v/>
      </c>
      <c r="AB484">
        <f>IF(AND(X484=1,AA484&gt;0),W484*((1+3*N('Example Parties'!$E$10)/12)^(AA484*12/365)-1),0)</f>
        <v/>
      </c>
      <c r="AC484">
        <f>IF(W484=0,"",'Example Outstanding'!$E$5-B484)</f>
        <v/>
      </c>
      <c r="AD484">
        <f>IF(S484=0,0,IFERROR(VLOOKUP(C484,'Example Parties'!$B$13:$Q$112,14,FALSE),0)+SUMIFS($T$7:$T$506,$C$7:$C$506,C484,$B$7:$B$506,"&lt;="&amp;'Example Parties'!$E$8))</f>
        <v/>
      </c>
      <c r="AE484">
        <f>IF(OR('Example Parties'!$E$8="",S484=0,B484="",B484&gt;'Example Parties'!$E$8),0,MAX(0,MIN(S484,U484-AD484)))</f>
        <v/>
      </c>
      <c r="AF484">
        <f>IF(AND(P484="Creditor",X484=1,AE484&gt;0,Z484&lt;&gt;""),IF(Z484&lt;='Example Parties'!$E$8,AE484,0),0)</f>
        <v/>
      </c>
      <c r="AG484">
        <f>IF(OR(AE484=0,Z484=""),0,MAX(0,'Example Parties'!$E$8-Z484))</f>
        <v/>
      </c>
      <c r="AH484">
        <f>IF(AND(P484="Creditor",X484=1,AG484&gt;0),AE484*((1+3*N('Example Parties'!$E$10)/12)^(AG484*12/365)-1),0)</f>
        <v/>
      </c>
      <c r="AI484">
        <f>IF(AND(C484&lt;&gt;"",C484='Example Ledger'!$D$4,B484&lt;&gt;"",B484&gt;='Example Ledger'!$D$5,B484&lt;='Example Ledger'!$D$6),1,0)</f>
        <v/>
      </c>
      <c r="AJ484">
        <f>IF(AI484=1,SUM(AI$7:AI484),"")</f>
        <v/>
      </c>
      <c r="AK484">
        <f>IF(OR(N484="",N484="OK"),0,1)</f>
        <v/>
      </c>
    </row>
    <row r="485">
      <c r="B485" s="24" t="n"/>
      <c r="C485" s="14" t="n"/>
      <c r="D485" s="14" t="n"/>
      <c r="E485" s="20" t="n"/>
      <c r="F485" s="24" t="n"/>
      <c r="G485" s="14" t="n"/>
      <c r="H485" s="22" t="n"/>
      <c r="I485" s="25">
        <f>IF(Q485="D",N(H485),0)</f>
        <v/>
      </c>
      <c r="J485" s="25">
        <f>IF(Q485="C",N(H485),0)</f>
        <v/>
      </c>
      <c r="K485" s="26">
        <f>IF(Z485="","",Z485)</f>
        <v/>
      </c>
      <c r="L485" s="27">
        <f>W485</f>
        <v/>
      </c>
      <c r="M485" s="28">
        <f>AA485</f>
        <v/>
      </c>
      <c r="N485" s="23">
        <f>IF(AND(B485="",C485="",D485="",N(H485)=0),"",IF(B485="","Enter the date",IF(C485="","Pick the party",IF(P485="?","Add this party on the Parties sheet first",IF(D485="","Pick the entry type",IF(Q485="?","Pick the entry type from the list",IF(N(H485)=0,"Enter the amount",IF(AND(R485&lt;&gt;"Any",R485&lt;&gt;P485),"Sales, receipts and credit notes are for debtors; purchases, payments and debit notes for creditors",IF(AND(F485&lt;&gt;"",D485&lt;&gt;"Purchase bill"),"The received-on date is only for purchase bills",IF(AND(P485="Creditor",X485=1,AA485&gt;0),"Past due to a micro or small supplier: interest runs under MSMED s.16, and if unpaid at year end it is not deductible that year, s.37(2)(g)",IF(AND(P485="Debtor",X485=1,AA485&gt;0),"Past due to you: as a micro or small supplier you can claim interest under MSMED s.16","OK")))))))))))</f>
        <v/>
      </c>
      <c r="P485">
        <f>IF(C485="","",IFERROR(VLOOKUP(C485,'Example Parties'!$B$13:$Q$112,2,FALSE),"?"))</f>
        <v/>
      </c>
      <c r="Q485">
        <f>IF(D485="","",IFERROR(VLOOKUP(D485,Lists!$A$2:$D$9,3,FALSE),"?"))</f>
        <v/>
      </c>
      <c r="R485">
        <f>IF(D485="","",IFERROR(VLOOKUP(D485,Lists!$A$2:$D$9,4,FALSE),"?"))</f>
        <v/>
      </c>
      <c r="S485">
        <f>IF(P485="Debtor",I485,IF(P485="Creditor",J485,0))</f>
        <v/>
      </c>
      <c r="T485">
        <f>IF(P485="Debtor",J485,IF(P485="Creditor",I485,0))</f>
        <v/>
      </c>
      <c r="U485">
        <f>IF(OR(S485=0,B485=""),0,IFERROR(VLOOKUP(C485,'Example Parties'!$B$13:$Q$112,13,FALSE),0)+SUMIFS($S$7:$S$506,$C$7:$C$506,C485,$B$7:$B$506,"&lt;"&amp;B485)+SUMIFS(S$7:S485,C$7:C485,C485,B$7:B485,B485))</f>
        <v/>
      </c>
      <c r="V485">
        <f>IF(S485=0,0,IFERROR(VLOOKUP(C485,'Example Parties'!$B$13:$Q$112,14,FALSE),0)+SUMIFS($T$7:$T$506,$C$7:$C$506,C485,$B$7:$B$506,"&lt;="&amp;'Example Outstanding'!$E$5))</f>
        <v/>
      </c>
      <c r="W485">
        <f>IF(OR('Example Outstanding'!$E$5="",S485=0,B485="",B485&gt;'Example Outstanding'!$E$5),0,MAX(0,MIN(S485,U485-V485)))</f>
        <v/>
      </c>
      <c r="X485">
        <f>IF(C485="",0,IFERROR(VLOOKUP(C485,'Example Parties'!$B$13:$Q$112,15,FALSE),0))</f>
        <v/>
      </c>
      <c r="Y485">
        <f>IF(C485="","",IFERROR(VLOOKUP(C485,'Example Parties'!$B$13:$Q$112,16,FALSE),0))</f>
        <v/>
      </c>
      <c r="Z485">
        <f>IF(OR(S485=0,B485="",Y485=""),"",IF(AND(F485&lt;&gt;"",D485="Purchase bill"),F485,B485)+Y485)</f>
        <v/>
      </c>
      <c r="AA485">
        <f>IF(OR(W485=0,Z485=""),0,MAX(0,'Example Outstanding'!$E$5-Z485))</f>
        <v/>
      </c>
      <c r="AB485">
        <f>IF(AND(X485=1,AA485&gt;0),W485*((1+3*N('Example Parties'!$E$10)/12)^(AA485*12/365)-1),0)</f>
        <v/>
      </c>
      <c r="AC485">
        <f>IF(W485=0,"",'Example Outstanding'!$E$5-B485)</f>
        <v/>
      </c>
      <c r="AD485">
        <f>IF(S485=0,0,IFERROR(VLOOKUP(C485,'Example Parties'!$B$13:$Q$112,14,FALSE),0)+SUMIFS($T$7:$T$506,$C$7:$C$506,C485,$B$7:$B$506,"&lt;="&amp;'Example Parties'!$E$8))</f>
        <v/>
      </c>
      <c r="AE485">
        <f>IF(OR('Example Parties'!$E$8="",S485=0,B485="",B485&gt;'Example Parties'!$E$8),0,MAX(0,MIN(S485,U485-AD485)))</f>
        <v/>
      </c>
      <c r="AF485">
        <f>IF(AND(P485="Creditor",X485=1,AE485&gt;0,Z485&lt;&gt;""),IF(Z485&lt;='Example Parties'!$E$8,AE485,0),0)</f>
        <v/>
      </c>
      <c r="AG485">
        <f>IF(OR(AE485=0,Z485=""),0,MAX(0,'Example Parties'!$E$8-Z485))</f>
        <v/>
      </c>
      <c r="AH485">
        <f>IF(AND(P485="Creditor",X485=1,AG485&gt;0),AE485*((1+3*N('Example Parties'!$E$10)/12)^(AG485*12/365)-1),0)</f>
        <v/>
      </c>
      <c r="AI485">
        <f>IF(AND(C485&lt;&gt;"",C485='Example Ledger'!$D$4,B485&lt;&gt;"",B485&gt;='Example Ledger'!$D$5,B485&lt;='Example Ledger'!$D$6),1,0)</f>
        <v/>
      </c>
      <c r="AJ485">
        <f>IF(AI485=1,SUM(AI$7:AI485),"")</f>
        <v/>
      </c>
      <c r="AK485">
        <f>IF(OR(N485="",N485="OK"),0,1)</f>
        <v/>
      </c>
    </row>
    <row r="486">
      <c r="B486" s="24" t="n"/>
      <c r="C486" s="14" t="n"/>
      <c r="D486" s="14" t="n"/>
      <c r="E486" s="20" t="n"/>
      <c r="F486" s="24" t="n"/>
      <c r="G486" s="14" t="n"/>
      <c r="H486" s="22" t="n"/>
      <c r="I486" s="25">
        <f>IF(Q486="D",N(H486),0)</f>
        <v/>
      </c>
      <c r="J486" s="25">
        <f>IF(Q486="C",N(H486),0)</f>
        <v/>
      </c>
      <c r="K486" s="26">
        <f>IF(Z486="","",Z486)</f>
        <v/>
      </c>
      <c r="L486" s="27">
        <f>W486</f>
        <v/>
      </c>
      <c r="M486" s="28">
        <f>AA486</f>
        <v/>
      </c>
      <c r="N486" s="23">
        <f>IF(AND(B486="",C486="",D486="",N(H486)=0),"",IF(B486="","Enter the date",IF(C486="","Pick the party",IF(P486="?","Add this party on the Parties sheet first",IF(D486="","Pick the entry type",IF(Q486="?","Pick the entry type from the list",IF(N(H486)=0,"Enter the amount",IF(AND(R486&lt;&gt;"Any",R486&lt;&gt;P486),"Sales, receipts and credit notes are for debtors; purchases, payments and debit notes for creditors",IF(AND(F486&lt;&gt;"",D486&lt;&gt;"Purchase bill"),"The received-on date is only for purchase bills",IF(AND(P486="Creditor",X486=1,AA486&gt;0),"Past due to a micro or small supplier: interest runs under MSMED s.16, and if unpaid at year end it is not deductible that year, s.37(2)(g)",IF(AND(P486="Debtor",X486=1,AA486&gt;0),"Past due to you: as a micro or small supplier you can claim interest under MSMED s.16","OK")))))))))))</f>
        <v/>
      </c>
      <c r="P486">
        <f>IF(C486="","",IFERROR(VLOOKUP(C486,'Example Parties'!$B$13:$Q$112,2,FALSE),"?"))</f>
        <v/>
      </c>
      <c r="Q486">
        <f>IF(D486="","",IFERROR(VLOOKUP(D486,Lists!$A$2:$D$9,3,FALSE),"?"))</f>
        <v/>
      </c>
      <c r="R486">
        <f>IF(D486="","",IFERROR(VLOOKUP(D486,Lists!$A$2:$D$9,4,FALSE),"?"))</f>
        <v/>
      </c>
      <c r="S486">
        <f>IF(P486="Debtor",I486,IF(P486="Creditor",J486,0))</f>
        <v/>
      </c>
      <c r="T486">
        <f>IF(P486="Debtor",J486,IF(P486="Creditor",I486,0))</f>
        <v/>
      </c>
      <c r="U486">
        <f>IF(OR(S486=0,B486=""),0,IFERROR(VLOOKUP(C486,'Example Parties'!$B$13:$Q$112,13,FALSE),0)+SUMIFS($S$7:$S$506,$C$7:$C$506,C486,$B$7:$B$506,"&lt;"&amp;B486)+SUMIFS(S$7:S486,C$7:C486,C486,B$7:B486,B486))</f>
        <v/>
      </c>
      <c r="V486">
        <f>IF(S486=0,0,IFERROR(VLOOKUP(C486,'Example Parties'!$B$13:$Q$112,14,FALSE),0)+SUMIFS($T$7:$T$506,$C$7:$C$506,C486,$B$7:$B$506,"&lt;="&amp;'Example Outstanding'!$E$5))</f>
        <v/>
      </c>
      <c r="W486">
        <f>IF(OR('Example Outstanding'!$E$5="",S486=0,B486="",B486&gt;'Example Outstanding'!$E$5),0,MAX(0,MIN(S486,U486-V486)))</f>
        <v/>
      </c>
      <c r="X486">
        <f>IF(C486="",0,IFERROR(VLOOKUP(C486,'Example Parties'!$B$13:$Q$112,15,FALSE),0))</f>
        <v/>
      </c>
      <c r="Y486">
        <f>IF(C486="","",IFERROR(VLOOKUP(C486,'Example Parties'!$B$13:$Q$112,16,FALSE),0))</f>
        <v/>
      </c>
      <c r="Z486">
        <f>IF(OR(S486=0,B486="",Y486=""),"",IF(AND(F486&lt;&gt;"",D486="Purchase bill"),F486,B486)+Y486)</f>
        <v/>
      </c>
      <c r="AA486">
        <f>IF(OR(W486=0,Z486=""),0,MAX(0,'Example Outstanding'!$E$5-Z486))</f>
        <v/>
      </c>
      <c r="AB486">
        <f>IF(AND(X486=1,AA486&gt;0),W486*((1+3*N('Example Parties'!$E$10)/12)^(AA486*12/365)-1),0)</f>
        <v/>
      </c>
      <c r="AC486">
        <f>IF(W486=0,"",'Example Outstanding'!$E$5-B486)</f>
        <v/>
      </c>
      <c r="AD486">
        <f>IF(S486=0,0,IFERROR(VLOOKUP(C486,'Example Parties'!$B$13:$Q$112,14,FALSE),0)+SUMIFS($T$7:$T$506,$C$7:$C$506,C486,$B$7:$B$506,"&lt;="&amp;'Example Parties'!$E$8))</f>
        <v/>
      </c>
      <c r="AE486">
        <f>IF(OR('Example Parties'!$E$8="",S486=0,B486="",B486&gt;'Example Parties'!$E$8),0,MAX(0,MIN(S486,U486-AD486)))</f>
        <v/>
      </c>
      <c r="AF486">
        <f>IF(AND(P486="Creditor",X486=1,AE486&gt;0,Z486&lt;&gt;""),IF(Z486&lt;='Example Parties'!$E$8,AE486,0),0)</f>
        <v/>
      </c>
      <c r="AG486">
        <f>IF(OR(AE486=0,Z486=""),0,MAX(0,'Example Parties'!$E$8-Z486))</f>
        <v/>
      </c>
      <c r="AH486">
        <f>IF(AND(P486="Creditor",X486=1,AG486&gt;0),AE486*((1+3*N('Example Parties'!$E$10)/12)^(AG486*12/365)-1),0)</f>
        <v/>
      </c>
      <c r="AI486">
        <f>IF(AND(C486&lt;&gt;"",C486='Example Ledger'!$D$4,B486&lt;&gt;"",B486&gt;='Example Ledger'!$D$5,B486&lt;='Example Ledger'!$D$6),1,0)</f>
        <v/>
      </c>
      <c r="AJ486">
        <f>IF(AI486=1,SUM(AI$7:AI486),"")</f>
        <v/>
      </c>
      <c r="AK486">
        <f>IF(OR(N486="",N486="OK"),0,1)</f>
        <v/>
      </c>
    </row>
    <row r="487">
      <c r="B487" s="24" t="n"/>
      <c r="C487" s="14" t="n"/>
      <c r="D487" s="14" t="n"/>
      <c r="E487" s="20" t="n"/>
      <c r="F487" s="24" t="n"/>
      <c r="G487" s="14" t="n"/>
      <c r="H487" s="22" t="n"/>
      <c r="I487" s="25">
        <f>IF(Q487="D",N(H487),0)</f>
        <v/>
      </c>
      <c r="J487" s="25">
        <f>IF(Q487="C",N(H487),0)</f>
        <v/>
      </c>
      <c r="K487" s="26">
        <f>IF(Z487="","",Z487)</f>
        <v/>
      </c>
      <c r="L487" s="27">
        <f>W487</f>
        <v/>
      </c>
      <c r="M487" s="28">
        <f>AA487</f>
        <v/>
      </c>
      <c r="N487" s="23">
        <f>IF(AND(B487="",C487="",D487="",N(H487)=0),"",IF(B487="","Enter the date",IF(C487="","Pick the party",IF(P487="?","Add this party on the Parties sheet first",IF(D487="","Pick the entry type",IF(Q487="?","Pick the entry type from the list",IF(N(H487)=0,"Enter the amount",IF(AND(R487&lt;&gt;"Any",R487&lt;&gt;P487),"Sales, receipts and credit notes are for debtors; purchases, payments and debit notes for creditors",IF(AND(F487&lt;&gt;"",D487&lt;&gt;"Purchase bill"),"The received-on date is only for purchase bills",IF(AND(P487="Creditor",X487=1,AA487&gt;0),"Past due to a micro or small supplier: interest runs under MSMED s.16, and if unpaid at year end it is not deductible that year, s.37(2)(g)",IF(AND(P487="Debtor",X487=1,AA487&gt;0),"Past due to you: as a micro or small supplier you can claim interest under MSMED s.16","OK")))))))))))</f>
        <v/>
      </c>
      <c r="P487">
        <f>IF(C487="","",IFERROR(VLOOKUP(C487,'Example Parties'!$B$13:$Q$112,2,FALSE),"?"))</f>
        <v/>
      </c>
      <c r="Q487">
        <f>IF(D487="","",IFERROR(VLOOKUP(D487,Lists!$A$2:$D$9,3,FALSE),"?"))</f>
        <v/>
      </c>
      <c r="R487">
        <f>IF(D487="","",IFERROR(VLOOKUP(D487,Lists!$A$2:$D$9,4,FALSE),"?"))</f>
        <v/>
      </c>
      <c r="S487">
        <f>IF(P487="Debtor",I487,IF(P487="Creditor",J487,0))</f>
        <v/>
      </c>
      <c r="T487">
        <f>IF(P487="Debtor",J487,IF(P487="Creditor",I487,0))</f>
        <v/>
      </c>
      <c r="U487">
        <f>IF(OR(S487=0,B487=""),0,IFERROR(VLOOKUP(C487,'Example Parties'!$B$13:$Q$112,13,FALSE),0)+SUMIFS($S$7:$S$506,$C$7:$C$506,C487,$B$7:$B$506,"&lt;"&amp;B487)+SUMIFS(S$7:S487,C$7:C487,C487,B$7:B487,B487))</f>
        <v/>
      </c>
      <c r="V487">
        <f>IF(S487=0,0,IFERROR(VLOOKUP(C487,'Example Parties'!$B$13:$Q$112,14,FALSE),0)+SUMIFS($T$7:$T$506,$C$7:$C$506,C487,$B$7:$B$506,"&lt;="&amp;'Example Outstanding'!$E$5))</f>
        <v/>
      </c>
      <c r="W487">
        <f>IF(OR('Example Outstanding'!$E$5="",S487=0,B487="",B487&gt;'Example Outstanding'!$E$5),0,MAX(0,MIN(S487,U487-V487)))</f>
        <v/>
      </c>
      <c r="X487">
        <f>IF(C487="",0,IFERROR(VLOOKUP(C487,'Example Parties'!$B$13:$Q$112,15,FALSE),0))</f>
        <v/>
      </c>
      <c r="Y487">
        <f>IF(C487="","",IFERROR(VLOOKUP(C487,'Example Parties'!$B$13:$Q$112,16,FALSE),0))</f>
        <v/>
      </c>
      <c r="Z487">
        <f>IF(OR(S487=0,B487="",Y487=""),"",IF(AND(F487&lt;&gt;"",D487="Purchase bill"),F487,B487)+Y487)</f>
        <v/>
      </c>
      <c r="AA487">
        <f>IF(OR(W487=0,Z487=""),0,MAX(0,'Example Outstanding'!$E$5-Z487))</f>
        <v/>
      </c>
      <c r="AB487">
        <f>IF(AND(X487=1,AA487&gt;0),W487*((1+3*N('Example Parties'!$E$10)/12)^(AA487*12/365)-1),0)</f>
        <v/>
      </c>
      <c r="AC487">
        <f>IF(W487=0,"",'Example Outstanding'!$E$5-B487)</f>
        <v/>
      </c>
      <c r="AD487">
        <f>IF(S487=0,0,IFERROR(VLOOKUP(C487,'Example Parties'!$B$13:$Q$112,14,FALSE),0)+SUMIFS($T$7:$T$506,$C$7:$C$506,C487,$B$7:$B$506,"&lt;="&amp;'Example Parties'!$E$8))</f>
        <v/>
      </c>
      <c r="AE487">
        <f>IF(OR('Example Parties'!$E$8="",S487=0,B487="",B487&gt;'Example Parties'!$E$8),0,MAX(0,MIN(S487,U487-AD487)))</f>
        <v/>
      </c>
      <c r="AF487">
        <f>IF(AND(P487="Creditor",X487=1,AE487&gt;0,Z487&lt;&gt;""),IF(Z487&lt;='Example Parties'!$E$8,AE487,0),0)</f>
        <v/>
      </c>
      <c r="AG487">
        <f>IF(OR(AE487=0,Z487=""),0,MAX(0,'Example Parties'!$E$8-Z487))</f>
        <v/>
      </c>
      <c r="AH487">
        <f>IF(AND(P487="Creditor",X487=1,AG487&gt;0),AE487*((1+3*N('Example Parties'!$E$10)/12)^(AG487*12/365)-1),0)</f>
        <v/>
      </c>
      <c r="AI487">
        <f>IF(AND(C487&lt;&gt;"",C487='Example Ledger'!$D$4,B487&lt;&gt;"",B487&gt;='Example Ledger'!$D$5,B487&lt;='Example Ledger'!$D$6),1,0)</f>
        <v/>
      </c>
      <c r="AJ487">
        <f>IF(AI487=1,SUM(AI$7:AI487),"")</f>
        <v/>
      </c>
      <c r="AK487">
        <f>IF(OR(N487="",N487="OK"),0,1)</f>
        <v/>
      </c>
    </row>
    <row r="488">
      <c r="B488" s="24" t="n"/>
      <c r="C488" s="14" t="n"/>
      <c r="D488" s="14" t="n"/>
      <c r="E488" s="20" t="n"/>
      <c r="F488" s="24" t="n"/>
      <c r="G488" s="14" t="n"/>
      <c r="H488" s="22" t="n"/>
      <c r="I488" s="25">
        <f>IF(Q488="D",N(H488),0)</f>
        <v/>
      </c>
      <c r="J488" s="25">
        <f>IF(Q488="C",N(H488),0)</f>
        <v/>
      </c>
      <c r="K488" s="26">
        <f>IF(Z488="","",Z488)</f>
        <v/>
      </c>
      <c r="L488" s="27">
        <f>W488</f>
        <v/>
      </c>
      <c r="M488" s="28">
        <f>AA488</f>
        <v/>
      </c>
      <c r="N488" s="23">
        <f>IF(AND(B488="",C488="",D488="",N(H488)=0),"",IF(B488="","Enter the date",IF(C488="","Pick the party",IF(P488="?","Add this party on the Parties sheet first",IF(D488="","Pick the entry type",IF(Q488="?","Pick the entry type from the list",IF(N(H488)=0,"Enter the amount",IF(AND(R488&lt;&gt;"Any",R488&lt;&gt;P488),"Sales, receipts and credit notes are for debtors; purchases, payments and debit notes for creditors",IF(AND(F488&lt;&gt;"",D488&lt;&gt;"Purchase bill"),"The received-on date is only for purchase bills",IF(AND(P488="Creditor",X488=1,AA488&gt;0),"Past due to a micro or small supplier: interest runs under MSMED s.16, and if unpaid at year end it is not deductible that year, s.37(2)(g)",IF(AND(P488="Debtor",X488=1,AA488&gt;0),"Past due to you: as a micro or small supplier you can claim interest under MSMED s.16","OK")))))))))))</f>
        <v/>
      </c>
      <c r="P488">
        <f>IF(C488="","",IFERROR(VLOOKUP(C488,'Example Parties'!$B$13:$Q$112,2,FALSE),"?"))</f>
        <v/>
      </c>
      <c r="Q488">
        <f>IF(D488="","",IFERROR(VLOOKUP(D488,Lists!$A$2:$D$9,3,FALSE),"?"))</f>
        <v/>
      </c>
      <c r="R488">
        <f>IF(D488="","",IFERROR(VLOOKUP(D488,Lists!$A$2:$D$9,4,FALSE),"?"))</f>
        <v/>
      </c>
      <c r="S488">
        <f>IF(P488="Debtor",I488,IF(P488="Creditor",J488,0))</f>
        <v/>
      </c>
      <c r="T488">
        <f>IF(P488="Debtor",J488,IF(P488="Creditor",I488,0))</f>
        <v/>
      </c>
      <c r="U488">
        <f>IF(OR(S488=0,B488=""),0,IFERROR(VLOOKUP(C488,'Example Parties'!$B$13:$Q$112,13,FALSE),0)+SUMIFS($S$7:$S$506,$C$7:$C$506,C488,$B$7:$B$506,"&lt;"&amp;B488)+SUMIFS(S$7:S488,C$7:C488,C488,B$7:B488,B488))</f>
        <v/>
      </c>
      <c r="V488">
        <f>IF(S488=0,0,IFERROR(VLOOKUP(C488,'Example Parties'!$B$13:$Q$112,14,FALSE),0)+SUMIFS($T$7:$T$506,$C$7:$C$506,C488,$B$7:$B$506,"&lt;="&amp;'Example Outstanding'!$E$5))</f>
        <v/>
      </c>
      <c r="W488">
        <f>IF(OR('Example Outstanding'!$E$5="",S488=0,B488="",B488&gt;'Example Outstanding'!$E$5),0,MAX(0,MIN(S488,U488-V488)))</f>
        <v/>
      </c>
      <c r="X488">
        <f>IF(C488="",0,IFERROR(VLOOKUP(C488,'Example Parties'!$B$13:$Q$112,15,FALSE),0))</f>
        <v/>
      </c>
      <c r="Y488">
        <f>IF(C488="","",IFERROR(VLOOKUP(C488,'Example Parties'!$B$13:$Q$112,16,FALSE),0))</f>
        <v/>
      </c>
      <c r="Z488">
        <f>IF(OR(S488=0,B488="",Y488=""),"",IF(AND(F488&lt;&gt;"",D488="Purchase bill"),F488,B488)+Y488)</f>
        <v/>
      </c>
      <c r="AA488">
        <f>IF(OR(W488=0,Z488=""),0,MAX(0,'Example Outstanding'!$E$5-Z488))</f>
        <v/>
      </c>
      <c r="AB488">
        <f>IF(AND(X488=1,AA488&gt;0),W488*((1+3*N('Example Parties'!$E$10)/12)^(AA488*12/365)-1),0)</f>
        <v/>
      </c>
      <c r="AC488">
        <f>IF(W488=0,"",'Example Outstanding'!$E$5-B488)</f>
        <v/>
      </c>
      <c r="AD488">
        <f>IF(S488=0,0,IFERROR(VLOOKUP(C488,'Example Parties'!$B$13:$Q$112,14,FALSE),0)+SUMIFS($T$7:$T$506,$C$7:$C$506,C488,$B$7:$B$506,"&lt;="&amp;'Example Parties'!$E$8))</f>
        <v/>
      </c>
      <c r="AE488">
        <f>IF(OR('Example Parties'!$E$8="",S488=0,B488="",B488&gt;'Example Parties'!$E$8),0,MAX(0,MIN(S488,U488-AD488)))</f>
        <v/>
      </c>
      <c r="AF488">
        <f>IF(AND(P488="Creditor",X488=1,AE488&gt;0,Z488&lt;&gt;""),IF(Z488&lt;='Example Parties'!$E$8,AE488,0),0)</f>
        <v/>
      </c>
      <c r="AG488">
        <f>IF(OR(AE488=0,Z488=""),0,MAX(0,'Example Parties'!$E$8-Z488))</f>
        <v/>
      </c>
      <c r="AH488">
        <f>IF(AND(P488="Creditor",X488=1,AG488&gt;0),AE488*((1+3*N('Example Parties'!$E$10)/12)^(AG488*12/365)-1),0)</f>
        <v/>
      </c>
      <c r="AI488">
        <f>IF(AND(C488&lt;&gt;"",C488='Example Ledger'!$D$4,B488&lt;&gt;"",B488&gt;='Example Ledger'!$D$5,B488&lt;='Example Ledger'!$D$6),1,0)</f>
        <v/>
      </c>
      <c r="AJ488">
        <f>IF(AI488=1,SUM(AI$7:AI488),"")</f>
        <v/>
      </c>
      <c r="AK488">
        <f>IF(OR(N488="",N488="OK"),0,1)</f>
        <v/>
      </c>
    </row>
    <row r="489">
      <c r="B489" s="24" t="n"/>
      <c r="C489" s="14" t="n"/>
      <c r="D489" s="14" t="n"/>
      <c r="E489" s="20" t="n"/>
      <c r="F489" s="24" t="n"/>
      <c r="G489" s="14" t="n"/>
      <c r="H489" s="22" t="n"/>
      <c r="I489" s="25">
        <f>IF(Q489="D",N(H489),0)</f>
        <v/>
      </c>
      <c r="J489" s="25">
        <f>IF(Q489="C",N(H489),0)</f>
        <v/>
      </c>
      <c r="K489" s="26">
        <f>IF(Z489="","",Z489)</f>
        <v/>
      </c>
      <c r="L489" s="27">
        <f>W489</f>
        <v/>
      </c>
      <c r="M489" s="28">
        <f>AA489</f>
        <v/>
      </c>
      <c r="N489" s="23">
        <f>IF(AND(B489="",C489="",D489="",N(H489)=0),"",IF(B489="","Enter the date",IF(C489="","Pick the party",IF(P489="?","Add this party on the Parties sheet first",IF(D489="","Pick the entry type",IF(Q489="?","Pick the entry type from the list",IF(N(H489)=0,"Enter the amount",IF(AND(R489&lt;&gt;"Any",R489&lt;&gt;P489),"Sales, receipts and credit notes are for debtors; purchases, payments and debit notes for creditors",IF(AND(F489&lt;&gt;"",D489&lt;&gt;"Purchase bill"),"The received-on date is only for purchase bills",IF(AND(P489="Creditor",X489=1,AA489&gt;0),"Past due to a micro or small supplier: interest runs under MSMED s.16, and if unpaid at year end it is not deductible that year, s.37(2)(g)",IF(AND(P489="Debtor",X489=1,AA489&gt;0),"Past due to you: as a micro or small supplier you can claim interest under MSMED s.16","OK")))))))))))</f>
        <v/>
      </c>
      <c r="P489">
        <f>IF(C489="","",IFERROR(VLOOKUP(C489,'Example Parties'!$B$13:$Q$112,2,FALSE),"?"))</f>
        <v/>
      </c>
      <c r="Q489">
        <f>IF(D489="","",IFERROR(VLOOKUP(D489,Lists!$A$2:$D$9,3,FALSE),"?"))</f>
        <v/>
      </c>
      <c r="R489">
        <f>IF(D489="","",IFERROR(VLOOKUP(D489,Lists!$A$2:$D$9,4,FALSE),"?"))</f>
        <v/>
      </c>
      <c r="S489">
        <f>IF(P489="Debtor",I489,IF(P489="Creditor",J489,0))</f>
        <v/>
      </c>
      <c r="T489">
        <f>IF(P489="Debtor",J489,IF(P489="Creditor",I489,0))</f>
        <v/>
      </c>
      <c r="U489">
        <f>IF(OR(S489=0,B489=""),0,IFERROR(VLOOKUP(C489,'Example Parties'!$B$13:$Q$112,13,FALSE),0)+SUMIFS($S$7:$S$506,$C$7:$C$506,C489,$B$7:$B$506,"&lt;"&amp;B489)+SUMIFS(S$7:S489,C$7:C489,C489,B$7:B489,B489))</f>
        <v/>
      </c>
      <c r="V489">
        <f>IF(S489=0,0,IFERROR(VLOOKUP(C489,'Example Parties'!$B$13:$Q$112,14,FALSE),0)+SUMIFS($T$7:$T$506,$C$7:$C$506,C489,$B$7:$B$506,"&lt;="&amp;'Example Outstanding'!$E$5))</f>
        <v/>
      </c>
      <c r="W489">
        <f>IF(OR('Example Outstanding'!$E$5="",S489=0,B489="",B489&gt;'Example Outstanding'!$E$5),0,MAX(0,MIN(S489,U489-V489)))</f>
        <v/>
      </c>
      <c r="X489">
        <f>IF(C489="",0,IFERROR(VLOOKUP(C489,'Example Parties'!$B$13:$Q$112,15,FALSE),0))</f>
        <v/>
      </c>
      <c r="Y489">
        <f>IF(C489="","",IFERROR(VLOOKUP(C489,'Example Parties'!$B$13:$Q$112,16,FALSE),0))</f>
        <v/>
      </c>
      <c r="Z489">
        <f>IF(OR(S489=0,B489="",Y489=""),"",IF(AND(F489&lt;&gt;"",D489="Purchase bill"),F489,B489)+Y489)</f>
        <v/>
      </c>
      <c r="AA489">
        <f>IF(OR(W489=0,Z489=""),0,MAX(0,'Example Outstanding'!$E$5-Z489))</f>
        <v/>
      </c>
      <c r="AB489">
        <f>IF(AND(X489=1,AA489&gt;0),W489*((1+3*N('Example Parties'!$E$10)/12)^(AA489*12/365)-1),0)</f>
        <v/>
      </c>
      <c r="AC489">
        <f>IF(W489=0,"",'Example Outstanding'!$E$5-B489)</f>
        <v/>
      </c>
      <c r="AD489">
        <f>IF(S489=0,0,IFERROR(VLOOKUP(C489,'Example Parties'!$B$13:$Q$112,14,FALSE),0)+SUMIFS($T$7:$T$506,$C$7:$C$506,C489,$B$7:$B$506,"&lt;="&amp;'Example Parties'!$E$8))</f>
        <v/>
      </c>
      <c r="AE489">
        <f>IF(OR('Example Parties'!$E$8="",S489=0,B489="",B489&gt;'Example Parties'!$E$8),0,MAX(0,MIN(S489,U489-AD489)))</f>
        <v/>
      </c>
      <c r="AF489">
        <f>IF(AND(P489="Creditor",X489=1,AE489&gt;0,Z489&lt;&gt;""),IF(Z489&lt;='Example Parties'!$E$8,AE489,0),0)</f>
        <v/>
      </c>
      <c r="AG489">
        <f>IF(OR(AE489=0,Z489=""),0,MAX(0,'Example Parties'!$E$8-Z489))</f>
        <v/>
      </c>
      <c r="AH489">
        <f>IF(AND(P489="Creditor",X489=1,AG489&gt;0),AE489*((1+3*N('Example Parties'!$E$10)/12)^(AG489*12/365)-1),0)</f>
        <v/>
      </c>
      <c r="AI489">
        <f>IF(AND(C489&lt;&gt;"",C489='Example Ledger'!$D$4,B489&lt;&gt;"",B489&gt;='Example Ledger'!$D$5,B489&lt;='Example Ledger'!$D$6),1,0)</f>
        <v/>
      </c>
      <c r="AJ489">
        <f>IF(AI489=1,SUM(AI$7:AI489),"")</f>
        <v/>
      </c>
      <c r="AK489">
        <f>IF(OR(N489="",N489="OK"),0,1)</f>
        <v/>
      </c>
    </row>
    <row r="490">
      <c r="B490" s="24" t="n"/>
      <c r="C490" s="14" t="n"/>
      <c r="D490" s="14" t="n"/>
      <c r="E490" s="20" t="n"/>
      <c r="F490" s="24" t="n"/>
      <c r="G490" s="14" t="n"/>
      <c r="H490" s="22" t="n"/>
      <c r="I490" s="25">
        <f>IF(Q490="D",N(H490),0)</f>
        <v/>
      </c>
      <c r="J490" s="25">
        <f>IF(Q490="C",N(H490),0)</f>
        <v/>
      </c>
      <c r="K490" s="26">
        <f>IF(Z490="","",Z490)</f>
        <v/>
      </c>
      <c r="L490" s="27">
        <f>W490</f>
        <v/>
      </c>
      <c r="M490" s="28">
        <f>AA490</f>
        <v/>
      </c>
      <c r="N490" s="23">
        <f>IF(AND(B490="",C490="",D490="",N(H490)=0),"",IF(B490="","Enter the date",IF(C490="","Pick the party",IF(P490="?","Add this party on the Parties sheet first",IF(D490="","Pick the entry type",IF(Q490="?","Pick the entry type from the list",IF(N(H490)=0,"Enter the amount",IF(AND(R490&lt;&gt;"Any",R490&lt;&gt;P490),"Sales, receipts and credit notes are for debtors; purchases, payments and debit notes for creditors",IF(AND(F490&lt;&gt;"",D490&lt;&gt;"Purchase bill"),"The received-on date is only for purchase bills",IF(AND(P490="Creditor",X490=1,AA490&gt;0),"Past due to a micro or small supplier: interest runs under MSMED s.16, and if unpaid at year end it is not deductible that year, s.37(2)(g)",IF(AND(P490="Debtor",X490=1,AA490&gt;0),"Past due to you: as a micro or small supplier you can claim interest under MSMED s.16","OK")))))))))))</f>
        <v/>
      </c>
      <c r="P490">
        <f>IF(C490="","",IFERROR(VLOOKUP(C490,'Example Parties'!$B$13:$Q$112,2,FALSE),"?"))</f>
        <v/>
      </c>
      <c r="Q490">
        <f>IF(D490="","",IFERROR(VLOOKUP(D490,Lists!$A$2:$D$9,3,FALSE),"?"))</f>
        <v/>
      </c>
      <c r="R490">
        <f>IF(D490="","",IFERROR(VLOOKUP(D490,Lists!$A$2:$D$9,4,FALSE),"?"))</f>
        <v/>
      </c>
      <c r="S490">
        <f>IF(P490="Debtor",I490,IF(P490="Creditor",J490,0))</f>
        <v/>
      </c>
      <c r="T490">
        <f>IF(P490="Debtor",J490,IF(P490="Creditor",I490,0))</f>
        <v/>
      </c>
      <c r="U490">
        <f>IF(OR(S490=0,B490=""),0,IFERROR(VLOOKUP(C490,'Example Parties'!$B$13:$Q$112,13,FALSE),0)+SUMIFS($S$7:$S$506,$C$7:$C$506,C490,$B$7:$B$506,"&lt;"&amp;B490)+SUMIFS(S$7:S490,C$7:C490,C490,B$7:B490,B490))</f>
        <v/>
      </c>
      <c r="V490">
        <f>IF(S490=0,0,IFERROR(VLOOKUP(C490,'Example Parties'!$B$13:$Q$112,14,FALSE),0)+SUMIFS($T$7:$T$506,$C$7:$C$506,C490,$B$7:$B$506,"&lt;="&amp;'Example Outstanding'!$E$5))</f>
        <v/>
      </c>
      <c r="W490">
        <f>IF(OR('Example Outstanding'!$E$5="",S490=0,B490="",B490&gt;'Example Outstanding'!$E$5),0,MAX(0,MIN(S490,U490-V490)))</f>
        <v/>
      </c>
      <c r="X490">
        <f>IF(C490="",0,IFERROR(VLOOKUP(C490,'Example Parties'!$B$13:$Q$112,15,FALSE),0))</f>
        <v/>
      </c>
      <c r="Y490">
        <f>IF(C490="","",IFERROR(VLOOKUP(C490,'Example Parties'!$B$13:$Q$112,16,FALSE),0))</f>
        <v/>
      </c>
      <c r="Z490">
        <f>IF(OR(S490=0,B490="",Y490=""),"",IF(AND(F490&lt;&gt;"",D490="Purchase bill"),F490,B490)+Y490)</f>
        <v/>
      </c>
      <c r="AA490">
        <f>IF(OR(W490=0,Z490=""),0,MAX(0,'Example Outstanding'!$E$5-Z490))</f>
        <v/>
      </c>
      <c r="AB490">
        <f>IF(AND(X490=1,AA490&gt;0),W490*((1+3*N('Example Parties'!$E$10)/12)^(AA490*12/365)-1),0)</f>
        <v/>
      </c>
      <c r="AC490">
        <f>IF(W490=0,"",'Example Outstanding'!$E$5-B490)</f>
        <v/>
      </c>
      <c r="AD490">
        <f>IF(S490=0,0,IFERROR(VLOOKUP(C490,'Example Parties'!$B$13:$Q$112,14,FALSE),0)+SUMIFS($T$7:$T$506,$C$7:$C$506,C490,$B$7:$B$506,"&lt;="&amp;'Example Parties'!$E$8))</f>
        <v/>
      </c>
      <c r="AE490">
        <f>IF(OR('Example Parties'!$E$8="",S490=0,B490="",B490&gt;'Example Parties'!$E$8),0,MAX(0,MIN(S490,U490-AD490)))</f>
        <v/>
      </c>
      <c r="AF490">
        <f>IF(AND(P490="Creditor",X490=1,AE490&gt;0,Z490&lt;&gt;""),IF(Z490&lt;='Example Parties'!$E$8,AE490,0),0)</f>
        <v/>
      </c>
      <c r="AG490">
        <f>IF(OR(AE490=0,Z490=""),0,MAX(0,'Example Parties'!$E$8-Z490))</f>
        <v/>
      </c>
      <c r="AH490">
        <f>IF(AND(P490="Creditor",X490=1,AG490&gt;0),AE490*((1+3*N('Example Parties'!$E$10)/12)^(AG490*12/365)-1),0)</f>
        <v/>
      </c>
      <c r="AI490">
        <f>IF(AND(C490&lt;&gt;"",C490='Example Ledger'!$D$4,B490&lt;&gt;"",B490&gt;='Example Ledger'!$D$5,B490&lt;='Example Ledger'!$D$6),1,0)</f>
        <v/>
      </c>
      <c r="AJ490">
        <f>IF(AI490=1,SUM(AI$7:AI490),"")</f>
        <v/>
      </c>
      <c r="AK490">
        <f>IF(OR(N490="",N490="OK"),0,1)</f>
        <v/>
      </c>
    </row>
    <row r="491">
      <c r="B491" s="24" t="n"/>
      <c r="C491" s="14" t="n"/>
      <c r="D491" s="14" t="n"/>
      <c r="E491" s="20" t="n"/>
      <c r="F491" s="24" t="n"/>
      <c r="G491" s="14" t="n"/>
      <c r="H491" s="22" t="n"/>
      <c r="I491" s="25">
        <f>IF(Q491="D",N(H491),0)</f>
        <v/>
      </c>
      <c r="J491" s="25">
        <f>IF(Q491="C",N(H491),0)</f>
        <v/>
      </c>
      <c r="K491" s="26">
        <f>IF(Z491="","",Z491)</f>
        <v/>
      </c>
      <c r="L491" s="27">
        <f>W491</f>
        <v/>
      </c>
      <c r="M491" s="28">
        <f>AA491</f>
        <v/>
      </c>
      <c r="N491" s="23">
        <f>IF(AND(B491="",C491="",D491="",N(H491)=0),"",IF(B491="","Enter the date",IF(C491="","Pick the party",IF(P491="?","Add this party on the Parties sheet first",IF(D491="","Pick the entry type",IF(Q491="?","Pick the entry type from the list",IF(N(H491)=0,"Enter the amount",IF(AND(R491&lt;&gt;"Any",R491&lt;&gt;P491),"Sales, receipts and credit notes are for debtors; purchases, payments and debit notes for creditors",IF(AND(F491&lt;&gt;"",D491&lt;&gt;"Purchase bill"),"The received-on date is only for purchase bills",IF(AND(P491="Creditor",X491=1,AA491&gt;0),"Past due to a micro or small supplier: interest runs under MSMED s.16, and if unpaid at year end it is not deductible that year, s.37(2)(g)",IF(AND(P491="Debtor",X491=1,AA491&gt;0),"Past due to you: as a micro or small supplier you can claim interest under MSMED s.16","OK")))))))))))</f>
        <v/>
      </c>
      <c r="P491">
        <f>IF(C491="","",IFERROR(VLOOKUP(C491,'Example Parties'!$B$13:$Q$112,2,FALSE),"?"))</f>
        <v/>
      </c>
      <c r="Q491">
        <f>IF(D491="","",IFERROR(VLOOKUP(D491,Lists!$A$2:$D$9,3,FALSE),"?"))</f>
        <v/>
      </c>
      <c r="R491">
        <f>IF(D491="","",IFERROR(VLOOKUP(D491,Lists!$A$2:$D$9,4,FALSE),"?"))</f>
        <v/>
      </c>
      <c r="S491">
        <f>IF(P491="Debtor",I491,IF(P491="Creditor",J491,0))</f>
        <v/>
      </c>
      <c r="T491">
        <f>IF(P491="Debtor",J491,IF(P491="Creditor",I491,0))</f>
        <v/>
      </c>
      <c r="U491">
        <f>IF(OR(S491=0,B491=""),0,IFERROR(VLOOKUP(C491,'Example Parties'!$B$13:$Q$112,13,FALSE),0)+SUMIFS($S$7:$S$506,$C$7:$C$506,C491,$B$7:$B$506,"&lt;"&amp;B491)+SUMIFS(S$7:S491,C$7:C491,C491,B$7:B491,B491))</f>
        <v/>
      </c>
      <c r="V491">
        <f>IF(S491=0,0,IFERROR(VLOOKUP(C491,'Example Parties'!$B$13:$Q$112,14,FALSE),0)+SUMIFS($T$7:$T$506,$C$7:$C$506,C491,$B$7:$B$506,"&lt;="&amp;'Example Outstanding'!$E$5))</f>
        <v/>
      </c>
      <c r="W491">
        <f>IF(OR('Example Outstanding'!$E$5="",S491=0,B491="",B491&gt;'Example Outstanding'!$E$5),0,MAX(0,MIN(S491,U491-V491)))</f>
        <v/>
      </c>
      <c r="X491">
        <f>IF(C491="",0,IFERROR(VLOOKUP(C491,'Example Parties'!$B$13:$Q$112,15,FALSE),0))</f>
        <v/>
      </c>
      <c r="Y491">
        <f>IF(C491="","",IFERROR(VLOOKUP(C491,'Example Parties'!$B$13:$Q$112,16,FALSE),0))</f>
        <v/>
      </c>
      <c r="Z491">
        <f>IF(OR(S491=0,B491="",Y491=""),"",IF(AND(F491&lt;&gt;"",D491="Purchase bill"),F491,B491)+Y491)</f>
        <v/>
      </c>
      <c r="AA491">
        <f>IF(OR(W491=0,Z491=""),0,MAX(0,'Example Outstanding'!$E$5-Z491))</f>
        <v/>
      </c>
      <c r="AB491">
        <f>IF(AND(X491=1,AA491&gt;0),W491*((1+3*N('Example Parties'!$E$10)/12)^(AA491*12/365)-1),0)</f>
        <v/>
      </c>
      <c r="AC491">
        <f>IF(W491=0,"",'Example Outstanding'!$E$5-B491)</f>
        <v/>
      </c>
      <c r="AD491">
        <f>IF(S491=0,0,IFERROR(VLOOKUP(C491,'Example Parties'!$B$13:$Q$112,14,FALSE),0)+SUMIFS($T$7:$T$506,$C$7:$C$506,C491,$B$7:$B$506,"&lt;="&amp;'Example Parties'!$E$8))</f>
        <v/>
      </c>
      <c r="AE491">
        <f>IF(OR('Example Parties'!$E$8="",S491=0,B491="",B491&gt;'Example Parties'!$E$8),0,MAX(0,MIN(S491,U491-AD491)))</f>
        <v/>
      </c>
      <c r="AF491">
        <f>IF(AND(P491="Creditor",X491=1,AE491&gt;0,Z491&lt;&gt;""),IF(Z491&lt;='Example Parties'!$E$8,AE491,0),0)</f>
        <v/>
      </c>
      <c r="AG491">
        <f>IF(OR(AE491=0,Z491=""),0,MAX(0,'Example Parties'!$E$8-Z491))</f>
        <v/>
      </c>
      <c r="AH491">
        <f>IF(AND(P491="Creditor",X491=1,AG491&gt;0),AE491*((1+3*N('Example Parties'!$E$10)/12)^(AG491*12/365)-1),0)</f>
        <v/>
      </c>
      <c r="AI491">
        <f>IF(AND(C491&lt;&gt;"",C491='Example Ledger'!$D$4,B491&lt;&gt;"",B491&gt;='Example Ledger'!$D$5,B491&lt;='Example Ledger'!$D$6),1,0)</f>
        <v/>
      </c>
      <c r="AJ491">
        <f>IF(AI491=1,SUM(AI$7:AI491),"")</f>
        <v/>
      </c>
      <c r="AK491">
        <f>IF(OR(N491="",N491="OK"),0,1)</f>
        <v/>
      </c>
    </row>
    <row r="492">
      <c r="B492" s="24" t="n"/>
      <c r="C492" s="14" t="n"/>
      <c r="D492" s="14" t="n"/>
      <c r="E492" s="20" t="n"/>
      <c r="F492" s="24" t="n"/>
      <c r="G492" s="14" t="n"/>
      <c r="H492" s="22" t="n"/>
      <c r="I492" s="25">
        <f>IF(Q492="D",N(H492),0)</f>
        <v/>
      </c>
      <c r="J492" s="25">
        <f>IF(Q492="C",N(H492),0)</f>
        <v/>
      </c>
      <c r="K492" s="26">
        <f>IF(Z492="","",Z492)</f>
        <v/>
      </c>
      <c r="L492" s="27">
        <f>W492</f>
        <v/>
      </c>
      <c r="M492" s="28">
        <f>AA492</f>
        <v/>
      </c>
      <c r="N492" s="23">
        <f>IF(AND(B492="",C492="",D492="",N(H492)=0),"",IF(B492="","Enter the date",IF(C492="","Pick the party",IF(P492="?","Add this party on the Parties sheet first",IF(D492="","Pick the entry type",IF(Q492="?","Pick the entry type from the list",IF(N(H492)=0,"Enter the amount",IF(AND(R492&lt;&gt;"Any",R492&lt;&gt;P492),"Sales, receipts and credit notes are for debtors; purchases, payments and debit notes for creditors",IF(AND(F492&lt;&gt;"",D492&lt;&gt;"Purchase bill"),"The received-on date is only for purchase bills",IF(AND(P492="Creditor",X492=1,AA492&gt;0),"Past due to a micro or small supplier: interest runs under MSMED s.16, and if unpaid at year end it is not deductible that year, s.37(2)(g)",IF(AND(P492="Debtor",X492=1,AA492&gt;0),"Past due to you: as a micro or small supplier you can claim interest under MSMED s.16","OK")))))))))))</f>
        <v/>
      </c>
      <c r="P492">
        <f>IF(C492="","",IFERROR(VLOOKUP(C492,'Example Parties'!$B$13:$Q$112,2,FALSE),"?"))</f>
        <v/>
      </c>
      <c r="Q492">
        <f>IF(D492="","",IFERROR(VLOOKUP(D492,Lists!$A$2:$D$9,3,FALSE),"?"))</f>
        <v/>
      </c>
      <c r="R492">
        <f>IF(D492="","",IFERROR(VLOOKUP(D492,Lists!$A$2:$D$9,4,FALSE),"?"))</f>
        <v/>
      </c>
      <c r="S492">
        <f>IF(P492="Debtor",I492,IF(P492="Creditor",J492,0))</f>
        <v/>
      </c>
      <c r="T492">
        <f>IF(P492="Debtor",J492,IF(P492="Creditor",I492,0))</f>
        <v/>
      </c>
      <c r="U492">
        <f>IF(OR(S492=0,B492=""),0,IFERROR(VLOOKUP(C492,'Example Parties'!$B$13:$Q$112,13,FALSE),0)+SUMIFS($S$7:$S$506,$C$7:$C$506,C492,$B$7:$B$506,"&lt;"&amp;B492)+SUMIFS(S$7:S492,C$7:C492,C492,B$7:B492,B492))</f>
        <v/>
      </c>
      <c r="V492">
        <f>IF(S492=0,0,IFERROR(VLOOKUP(C492,'Example Parties'!$B$13:$Q$112,14,FALSE),0)+SUMIFS($T$7:$T$506,$C$7:$C$506,C492,$B$7:$B$506,"&lt;="&amp;'Example Outstanding'!$E$5))</f>
        <v/>
      </c>
      <c r="W492">
        <f>IF(OR('Example Outstanding'!$E$5="",S492=0,B492="",B492&gt;'Example Outstanding'!$E$5),0,MAX(0,MIN(S492,U492-V492)))</f>
        <v/>
      </c>
      <c r="X492">
        <f>IF(C492="",0,IFERROR(VLOOKUP(C492,'Example Parties'!$B$13:$Q$112,15,FALSE),0))</f>
        <v/>
      </c>
      <c r="Y492">
        <f>IF(C492="","",IFERROR(VLOOKUP(C492,'Example Parties'!$B$13:$Q$112,16,FALSE),0))</f>
        <v/>
      </c>
      <c r="Z492">
        <f>IF(OR(S492=0,B492="",Y492=""),"",IF(AND(F492&lt;&gt;"",D492="Purchase bill"),F492,B492)+Y492)</f>
        <v/>
      </c>
      <c r="AA492">
        <f>IF(OR(W492=0,Z492=""),0,MAX(0,'Example Outstanding'!$E$5-Z492))</f>
        <v/>
      </c>
      <c r="AB492">
        <f>IF(AND(X492=1,AA492&gt;0),W492*((1+3*N('Example Parties'!$E$10)/12)^(AA492*12/365)-1),0)</f>
        <v/>
      </c>
      <c r="AC492">
        <f>IF(W492=0,"",'Example Outstanding'!$E$5-B492)</f>
        <v/>
      </c>
      <c r="AD492">
        <f>IF(S492=0,0,IFERROR(VLOOKUP(C492,'Example Parties'!$B$13:$Q$112,14,FALSE),0)+SUMIFS($T$7:$T$506,$C$7:$C$506,C492,$B$7:$B$506,"&lt;="&amp;'Example Parties'!$E$8))</f>
        <v/>
      </c>
      <c r="AE492">
        <f>IF(OR('Example Parties'!$E$8="",S492=0,B492="",B492&gt;'Example Parties'!$E$8),0,MAX(0,MIN(S492,U492-AD492)))</f>
        <v/>
      </c>
      <c r="AF492">
        <f>IF(AND(P492="Creditor",X492=1,AE492&gt;0,Z492&lt;&gt;""),IF(Z492&lt;='Example Parties'!$E$8,AE492,0),0)</f>
        <v/>
      </c>
      <c r="AG492">
        <f>IF(OR(AE492=0,Z492=""),0,MAX(0,'Example Parties'!$E$8-Z492))</f>
        <v/>
      </c>
      <c r="AH492">
        <f>IF(AND(P492="Creditor",X492=1,AG492&gt;0),AE492*((1+3*N('Example Parties'!$E$10)/12)^(AG492*12/365)-1),0)</f>
        <v/>
      </c>
      <c r="AI492">
        <f>IF(AND(C492&lt;&gt;"",C492='Example Ledger'!$D$4,B492&lt;&gt;"",B492&gt;='Example Ledger'!$D$5,B492&lt;='Example Ledger'!$D$6),1,0)</f>
        <v/>
      </c>
      <c r="AJ492">
        <f>IF(AI492=1,SUM(AI$7:AI492),"")</f>
        <v/>
      </c>
      <c r="AK492">
        <f>IF(OR(N492="",N492="OK"),0,1)</f>
        <v/>
      </c>
    </row>
    <row r="493">
      <c r="B493" s="24" t="n"/>
      <c r="C493" s="14" t="n"/>
      <c r="D493" s="14" t="n"/>
      <c r="E493" s="20" t="n"/>
      <c r="F493" s="24" t="n"/>
      <c r="G493" s="14" t="n"/>
      <c r="H493" s="22" t="n"/>
      <c r="I493" s="25">
        <f>IF(Q493="D",N(H493),0)</f>
        <v/>
      </c>
      <c r="J493" s="25">
        <f>IF(Q493="C",N(H493),0)</f>
        <v/>
      </c>
      <c r="K493" s="26">
        <f>IF(Z493="","",Z493)</f>
        <v/>
      </c>
      <c r="L493" s="27">
        <f>W493</f>
        <v/>
      </c>
      <c r="M493" s="28">
        <f>AA493</f>
        <v/>
      </c>
      <c r="N493" s="23">
        <f>IF(AND(B493="",C493="",D493="",N(H493)=0),"",IF(B493="","Enter the date",IF(C493="","Pick the party",IF(P493="?","Add this party on the Parties sheet first",IF(D493="","Pick the entry type",IF(Q493="?","Pick the entry type from the list",IF(N(H493)=0,"Enter the amount",IF(AND(R493&lt;&gt;"Any",R493&lt;&gt;P493),"Sales, receipts and credit notes are for debtors; purchases, payments and debit notes for creditors",IF(AND(F493&lt;&gt;"",D493&lt;&gt;"Purchase bill"),"The received-on date is only for purchase bills",IF(AND(P493="Creditor",X493=1,AA493&gt;0),"Past due to a micro or small supplier: interest runs under MSMED s.16, and if unpaid at year end it is not deductible that year, s.37(2)(g)",IF(AND(P493="Debtor",X493=1,AA493&gt;0),"Past due to you: as a micro or small supplier you can claim interest under MSMED s.16","OK")))))))))))</f>
        <v/>
      </c>
      <c r="P493">
        <f>IF(C493="","",IFERROR(VLOOKUP(C493,'Example Parties'!$B$13:$Q$112,2,FALSE),"?"))</f>
        <v/>
      </c>
      <c r="Q493">
        <f>IF(D493="","",IFERROR(VLOOKUP(D493,Lists!$A$2:$D$9,3,FALSE),"?"))</f>
        <v/>
      </c>
      <c r="R493">
        <f>IF(D493="","",IFERROR(VLOOKUP(D493,Lists!$A$2:$D$9,4,FALSE),"?"))</f>
        <v/>
      </c>
      <c r="S493">
        <f>IF(P493="Debtor",I493,IF(P493="Creditor",J493,0))</f>
        <v/>
      </c>
      <c r="T493">
        <f>IF(P493="Debtor",J493,IF(P493="Creditor",I493,0))</f>
        <v/>
      </c>
      <c r="U493">
        <f>IF(OR(S493=0,B493=""),0,IFERROR(VLOOKUP(C493,'Example Parties'!$B$13:$Q$112,13,FALSE),0)+SUMIFS($S$7:$S$506,$C$7:$C$506,C493,$B$7:$B$506,"&lt;"&amp;B493)+SUMIFS(S$7:S493,C$7:C493,C493,B$7:B493,B493))</f>
        <v/>
      </c>
      <c r="V493">
        <f>IF(S493=0,0,IFERROR(VLOOKUP(C493,'Example Parties'!$B$13:$Q$112,14,FALSE),0)+SUMIFS($T$7:$T$506,$C$7:$C$506,C493,$B$7:$B$506,"&lt;="&amp;'Example Outstanding'!$E$5))</f>
        <v/>
      </c>
      <c r="W493">
        <f>IF(OR('Example Outstanding'!$E$5="",S493=0,B493="",B493&gt;'Example Outstanding'!$E$5),0,MAX(0,MIN(S493,U493-V493)))</f>
        <v/>
      </c>
      <c r="X493">
        <f>IF(C493="",0,IFERROR(VLOOKUP(C493,'Example Parties'!$B$13:$Q$112,15,FALSE),0))</f>
        <v/>
      </c>
      <c r="Y493">
        <f>IF(C493="","",IFERROR(VLOOKUP(C493,'Example Parties'!$B$13:$Q$112,16,FALSE),0))</f>
        <v/>
      </c>
      <c r="Z493">
        <f>IF(OR(S493=0,B493="",Y493=""),"",IF(AND(F493&lt;&gt;"",D493="Purchase bill"),F493,B493)+Y493)</f>
        <v/>
      </c>
      <c r="AA493">
        <f>IF(OR(W493=0,Z493=""),0,MAX(0,'Example Outstanding'!$E$5-Z493))</f>
        <v/>
      </c>
      <c r="AB493">
        <f>IF(AND(X493=1,AA493&gt;0),W493*((1+3*N('Example Parties'!$E$10)/12)^(AA493*12/365)-1),0)</f>
        <v/>
      </c>
      <c r="AC493">
        <f>IF(W493=0,"",'Example Outstanding'!$E$5-B493)</f>
        <v/>
      </c>
      <c r="AD493">
        <f>IF(S493=0,0,IFERROR(VLOOKUP(C493,'Example Parties'!$B$13:$Q$112,14,FALSE),0)+SUMIFS($T$7:$T$506,$C$7:$C$506,C493,$B$7:$B$506,"&lt;="&amp;'Example Parties'!$E$8))</f>
        <v/>
      </c>
      <c r="AE493">
        <f>IF(OR('Example Parties'!$E$8="",S493=0,B493="",B493&gt;'Example Parties'!$E$8),0,MAX(0,MIN(S493,U493-AD493)))</f>
        <v/>
      </c>
      <c r="AF493">
        <f>IF(AND(P493="Creditor",X493=1,AE493&gt;0,Z493&lt;&gt;""),IF(Z493&lt;='Example Parties'!$E$8,AE493,0),0)</f>
        <v/>
      </c>
      <c r="AG493">
        <f>IF(OR(AE493=0,Z493=""),0,MAX(0,'Example Parties'!$E$8-Z493))</f>
        <v/>
      </c>
      <c r="AH493">
        <f>IF(AND(P493="Creditor",X493=1,AG493&gt;0),AE493*((1+3*N('Example Parties'!$E$10)/12)^(AG493*12/365)-1),0)</f>
        <v/>
      </c>
      <c r="AI493">
        <f>IF(AND(C493&lt;&gt;"",C493='Example Ledger'!$D$4,B493&lt;&gt;"",B493&gt;='Example Ledger'!$D$5,B493&lt;='Example Ledger'!$D$6),1,0)</f>
        <v/>
      </c>
      <c r="AJ493">
        <f>IF(AI493=1,SUM(AI$7:AI493),"")</f>
        <v/>
      </c>
      <c r="AK493">
        <f>IF(OR(N493="",N493="OK"),0,1)</f>
        <v/>
      </c>
    </row>
    <row r="494">
      <c r="B494" s="24" t="n"/>
      <c r="C494" s="14" t="n"/>
      <c r="D494" s="14" t="n"/>
      <c r="E494" s="20" t="n"/>
      <c r="F494" s="24" t="n"/>
      <c r="G494" s="14" t="n"/>
      <c r="H494" s="22" t="n"/>
      <c r="I494" s="25">
        <f>IF(Q494="D",N(H494),0)</f>
        <v/>
      </c>
      <c r="J494" s="25">
        <f>IF(Q494="C",N(H494),0)</f>
        <v/>
      </c>
      <c r="K494" s="26">
        <f>IF(Z494="","",Z494)</f>
        <v/>
      </c>
      <c r="L494" s="27">
        <f>W494</f>
        <v/>
      </c>
      <c r="M494" s="28">
        <f>AA494</f>
        <v/>
      </c>
      <c r="N494" s="23">
        <f>IF(AND(B494="",C494="",D494="",N(H494)=0),"",IF(B494="","Enter the date",IF(C494="","Pick the party",IF(P494="?","Add this party on the Parties sheet first",IF(D494="","Pick the entry type",IF(Q494="?","Pick the entry type from the list",IF(N(H494)=0,"Enter the amount",IF(AND(R494&lt;&gt;"Any",R494&lt;&gt;P494),"Sales, receipts and credit notes are for debtors; purchases, payments and debit notes for creditors",IF(AND(F494&lt;&gt;"",D494&lt;&gt;"Purchase bill"),"The received-on date is only for purchase bills",IF(AND(P494="Creditor",X494=1,AA494&gt;0),"Past due to a micro or small supplier: interest runs under MSMED s.16, and if unpaid at year end it is not deductible that year, s.37(2)(g)",IF(AND(P494="Debtor",X494=1,AA494&gt;0),"Past due to you: as a micro or small supplier you can claim interest under MSMED s.16","OK")))))))))))</f>
        <v/>
      </c>
      <c r="P494">
        <f>IF(C494="","",IFERROR(VLOOKUP(C494,'Example Parties'!$B$13:$Q$112,2,FALSE),"?"))</f>
        <v/>
      </c>
      <c r="Q494">
        <f>IF(D494="","",IFERROR(VLOOKUP(D494,Lists!$A$2:$D$9,3,FALSE),"?"))</f>
        <v/>
      </c>
      <c r="R494">
        <f>IF(D494="","",IFERROR(VLOOKUP(D494,Lists!$A$2:$D$9,4,FALSE),"?"))</f>
        <v/>
      </c>
      <c r="S494">
        <f>IF(P494="Debtor",I494,IF(P494="Creditor",J494,0))</f>
        <v/>
      </c>
      <c r="T494">
        <f>IF(P494="Debtor",J494,IF(P494="Creditor",I494,0))</f>
        <v/>
      </c>
      <c r="U494">
        <f>IF(OR(S494=0,B494=""),0,IFERROR(VLOOKUP(C494,'Example Parties'!$B$13:$Q$112,13,FALSE),0)+SUMIFS($S$7:$S$506,$C$7:$C$506,C494,$B$7:$B$506,"&lt;"&amp;B494)+SUMIFS(S$7:S494,C$7:C494,C494,B$7:B494,B494))</f>
        <v/>
      </c>
      <c r="V494">
        <f>IF(S494=0,0,IFERROR(VLOOKUP(C494,'Example Parties'!$B$13:$Q$112,14,FALSE),0)+SUMIFS($T$7:$T$506,$C$7:$C$506,C494,$B$7:$B$506,"&lt;="&amp;'Example Outstanding'!$E$5))</f>
        <v/>
      </c>
      <c r="W494">
        <f>IF(OR('Example Outstanding'!$E$5="",S494=0,B494="",B494&gt;'Example Outstanding'!$E$5),0,MAX(0,MIN(S494,U494-V494)))</f>
        <v/>
      </c>
      <c r="X494">
        <f>IF(C494="",0,IFERROR(VLOOKUP(C494,'Example Parties'!$B$13:$Q$112,15,FALSE),0))</f>
        <v/>
      </c>
      <c r="Y494">
        <f>IF(C494="","",IFERROR(VLOOKUP(C494,'Example Parties'!$B$13:$Q$112,16,FALSE),0))</f>
        <v/>
      </c>
      <c r="Z494">
        <f>IF(OR(S494=0,B494="",Y494=""),"",IF(AND(F494&lt;&gt;"",D494="Purchase bill"),F494,B494)+Y494)</f>
        <v/>
      </c>
      <c r="AA494">
        <f>IF(OR(W494=0,Z494=""),0,MAX(0,'Example Outstanding'!$E$5-Z494))</f>
        <v/>
      </c>
      <c r="AB494">
        <f>IF(AND(X494=1,AA494&gt;0),W494*((1+3*N('Example Parties'!$E$10)/12)^(AA494*12/365)-1),0)</f>
        <v/>
      </c>
      <c r="AC494">
        <f>IF(W494=0,"",'Example Outstanding'!$E$5-B494)</f>
        <v/>
      </c>
      <c r="AD494">
        <f>IF(S494=0,0,IFERROR(VLOOKUP(C494,'Example Parties'!$B$13:$Q$112,14,FALSE),0)+SUMIFS($T$7:$T$506,$C$7:$C$506,C494,$B$7:$B$506,"&lt;="&amp;'Example Parties'!$E$8))</f>
        <v/>
      </c>
      <c r="AE494">
        <f>IF(OR('Example Parties'!$E$8="",S494=0,B494="",B494&gt;'Example Parties'!$E$8),0,MAX(0,MIN(S494,U494-AD494)))</f>
        <v/>
      </c>
      <c r="AF494">
        <f>IF(AND(P494="Creditor",X494=1,AE494&gt;0,Z494&lt;&gt;""),IF(Z494&lt;='Example Parties'!$E$8,AE494,0),0)</f>
        <v/>
      </c>
      <c r="AG494">
        <f>IF(OR(AE494=0,Z494=""),0,MAX(0,'Example Parties'!$E$8-Z494))</f>
        <v/>
      </c>
      <c r="AH494">
        <f>IF(AND(P494="Creditor",X494=1,AG494&gt;0),AE494*((1+3*N('Example Parties'!$E$10)/12)^(AG494*12/365)-1),0)</f>
        <v/>
      </c>
      <c r="AI494">
        <f>IF(AND(C494&lt;&gt;"",C494='Example Ledger'!$D$4,B494&lt;&gt;"",B494&gt;='Example Ledger'!$D$5,B494&lt;='Example Ledger'!$D$6),1,0)</f>
        <v/>
      </c>
      <c r="AJ494">
        <f>IF(AI494=1,SUM(AI$7:AI494),"")</f>
        <v/>
      </c>
      <c r="AK494">
        <f>IF(OR(N494="",N494="OK"),0,1)</f>
        <v/>
      </c>
    </row>
    <row r="495">
      <c r="B495" s="24" t="n"/>
      <c r="C495" s="14" t="n"/>
      <c r="D495" s="14" t="n"/>
      <c r="E495" s="20" t="n"/>
      <c r="F495" s="24" t="n"/>
      <c r="G495" s="14" t="n"/>
      <c r="H495" s="22" t="n"/>
      <c r="I495" s="25">
        <f>IF(Q495="D",N(H495),0)</f>
        <v/>
      </c>
      <c r="J495" s="25">
        <f>IF(Q495="C",N(H495),0)</f>
        <v/>
      </c>
      <c r="K495" s="26">
        <f>IF(Z495="","",Z495)</f>
        <v/>
      </c>
      <c r="L495" s="27">
        <f>W495</f>
        <v/>
      </c>
      <c r="M495" s="28">
        <f>AA495</f>
        <v/>
      </c>
      <c r="N495" s="23">
        <f>IF(AND(B495="",C495="",D495="",N(H495)=0),"",IF(B495="","Enter the date",IF(C495="","Pick the party",IF(P495="?","Add this party on the Parties sheet first",IF(D495="","Pick the entry type",IF(Q495="?","Pick the entry type from the list",IF(N(H495)=0,"Enter the amount",IF(AND(R495&lt;&gt;"Any",R495&lt;&gt;P495),"Sales, receipts and credit notes are for debtors; purchases, payments and debit notes for creditors",IF(AND(F495&lt;&gt;"",D495&lt;&gt;"Purchase bill"),"The received-on date is only for purchase bills",IF(AND(P495="Creditor",X495=1,AA495&gt;0),"Past due to a micro or small supplier: interest runs under MSMED s.16, and if unpaid at year end it is not deductible that year, s.37(2)(g)",IF(AND(P495="Debtor",X495=1,AA495&gt;0),"Past due to you: as a micro or small supplier you can claim interest under MSMED s.16","OK")))))))))))</f>
        <v/>
      </c>
      <c r="P495">
        <f>IF(C495="","",IFERROR(VLOOKUP(C495,'Example Parties'!$B$13:$Q$112,2,FALSE),"?"))</f>
        <v/>
      </c>
      <c r="Q495">
        <f>IF(D495="","",IFERROR(VLOOKUP(D495,Lists!$A$2:$D$9,3,FALSE),"?"))</f>
        <v/>
      </c>
      <c r="R495">
        <f>IF(D495="","",IFERROR(VLOOKUP(D495,Lists!$A$2:$D$9,4,FALSE),"?"))</f>
        <v/>
      </c>
      <c r="S495">
        <f>IF(P495="Debtor",I495,IF(P495="Creditor",J495,0))</f>
        <v/>
      </c>
      <c r="T495">
        <f>IF(P495="Debtor",J495,IF(P495="Creditor",I495,0))</f>
        <v/>
      </c>
      <c r="U495">
        <f>IF(OR(S495=0,B495=""),0,IFERROR(VLOOKUP(C495,'Example Parties'!$B$13:$Q$112,13,FALSE),0)+SUMIFS($S$7:$S$506,$C$7:$C$506,C495,$B$7:$B$506,"&lt;"&amp;B495)+SUMIFS(S$7:S495,C$7:C495,C495,B$7:B495,B495))</f>
        <v/>
      </c>
      <c r="V495">
        <f>IF(S495=0,0,IFERROR(VLOOKUP(C495,'Example Parties'!$B$13:$Q$112,14,FALSE),0)+SUMIFS($T$7:$T$506,$C$7:$C$506,C495,$B$7:$B$506,"&lt;="&amp;'Example Outstanding'!$E$5))</f>
        <v/>
      </c>
      <c r="W495">
        <f>IF(OR('Example Outstanding'!$E$5="",S495=0,B495="",B495&gt;'Example Outstanding'!$E$5),0,MAX(0,MIN(S495,U495-V495)))</f>
        <v/>
      </c>
      <c r="X495">
        <f>IF(C495="",0,IFERROR(VLOOKUP(C495,'Example Parties'!$B$13:$Q$112,15,FALSE),0))</f>
        <v/>
      </c>
      <c r="Y495">
        <f>IF(C495="","",IFERROR(VLOOKUP(C495,'Example Parties'!$B$13:$Q$112,16,FALSE),0))</f>
        <v/>
      </c>
      <c r="Z495">
        <f>IF(OR(S495=0,B495="",Y495=""),"",IF(AND(F495&lt;&gt;"",D495="Purchase bill"),F495,B495)+Y495)</f>
        <v/>
      </c>
      <c r="AA495">
        <f>IF(OR(W495=0,Z495=""),0,MAX(0,'Example Outstanding'!$E$5-Z495))</f>
        <v/>
      </c>
      <c r="AB495">
        <f>IF(AND(X495=1,AA495&gt;0),W495*((1+3*N('Example Parties'!$E$10)/12)^(AA495*12/365)-1),0)</f>
        <v/>
      </c>
      <c r="AC495">
        <f>IF(W495=0,"",'Example Outstanding'!$E$5-B495)</f>
        <v/>
      </c>
      <c r="AD495">
        <f>IF(S495=0,0,IFERROR(VLOOKUP(C495,'Example Parties'!$B$13:$Q$112,14,FALSE),0)+SUMIFS($T$7:$T$506,$C$7:$C$506,C495,$B$7:$B$506,"&lt;="&amp;'Example Parties'!$E$8))</f>
        <v/>
      </c>
      <c r="AE495">
        <f>IF(OR('Example Parties'!$E$8="",S495=0,B495="",B495&gt;'Example Parties'!$E$8),0,MAX(0,MIN(S495,U495-AD495)))</f>
        <v/>
      </c>
      <c r="AF495">
        <f>IF(AND(P495="Creditor",X495=1,AE495&gt;0,Z495&lt;&gt;""),IF(Z495&lt;='Example Parties'!$E$8,AE495,0),0)</f>
        <v/>
      </c>
      <c r="AG495">
        <f>IF(OR(AE495=0,Z495=""),0,MAX(0,'Example Parties'!$E$8-Z495))</f>
        <v/>
      </c>
      <c r="AH495">
        <f>IF(AND(P495="Creditor",X495=1,AG495&gt;0),AE495*((1+3*N('Example Parties'!$E$10)/12)^(AG495*12/365)-1),0)</f>
        <v/>
      </c>
      <c r="AI495">
        <f>IF(AND(C495&lt;&gt;"",C495='Example Ledger'!$D$4,B495&lt;&gt;"",B495&gt;='Example Ledger'!$D$5,B495&lt;='Example Ledger'!$D$6),1,0)</f>
        <v/>
      </c>
      <c r="AJ495">
        <f>IF(AI495=1,SUM(AI$7:AI495),"")</f>
        <v/>
      </c>
      <c r="AK495">
        <f>IF(OR(N495="",N495="OK"),0,1)</f>
        <v/>
      </c>
    </row>
    <row r="496">
      <c r="B496" s="24" t="n"/>
      <c r="C496" s="14" t="n"/>
      <c r="D496" s="14" t="n"/>
      <c r="E496" s="20" t="n"/>
      <c r="F496" s="24" t="n"/>
      <c r="G496" s="14" t="n"/>
      <c r="H496" s="22" t="n"/>
      <c r="I496" s="25">
        <f>IF(Q496="D",N(H496),0)</f>
        <v/>
      </c>
      <c r="J496" s="25">
        <f>IF(Q496="C",N(H496),0)</f>
        <v/>
      </c>
      <c r="K496" s="26">
        <f>IF(Z496="","",Z496)</f>
        <v/>
      </c>
      <c r="L496" s="27">
        <f>W496</f>
        <v/>
      </c>
      <c r="M496" s="28">
        <f>AA496</f>
        <v/>
      </c>
      <c r="N496" s="23">
        <f>IF(AND(B496="",C496="",D496="",N(H496)=0),"",IF(B496="","Enter the date",IF(C496="","Pick the party",IF(P496="?","Add this party on the Parties sheet first",IF(D496="","Pick the entry type",IF(Q496="?","Pick the entry type from the list",IF(N(H496)=0,"Enter the amount",IF(AND(R496&lt;&gt;"Any",R496&lt;&gt;P496),"Sales, receipts and credit notes are for debtors; purchases, payments and debit notes for creditors",IF(AND(F496&lt;&gt;"",D496&lt;&gt;"Purchase bill"),"The received-on date is only for purchase bills",IF(AND(P496="Creditor",X496=1,AA496&gt;0),"Past due to a micro or small supplier: interest runs under MSMED s.16, and if unpaid at year end it is not deductible that year, s.37(2)(g)",IF(AND(P496="Debtor",X496=1,AA496&gt;0),"Past due to you: as a micro or small supplier you can claim interest under MSMED s.16","OK")))))))))))</f>
        <v/>
      </c>
      <c r="P496">
        <f>IF(C496="","",IFERROR(VLOOKUP(C496,'Example Parties'!$B$13:$Q$112,2,FALSE),"?"))</f>
        <v/>
      </c>
      <c r="Q496">
        <f>IF(D496="","",IFERROR(VLOOKUP(D496,Lists!$A$2:$D$9,3,FALSE),"?"))</f>
        <v/>
      </c>
      <c r="R496">
        <f>IF(D496="","",IFERROR(VLOOKUP(D496,Lists!$A$2:$D$9,4,FALSE),"?"))</f>
        <v/>
      </c>
      <c r="S496">
        <f>IF(P496="Debtor",I496,IF(P496="Creditor",J496,0))</f>
        <v/>
      </c>
      <c r="T496">
        <f>IF(P496="Debtor",J496,IF(P496="Creditor",I496,0))</f>
        <v/>
      </c>
      <c r="U496">
        <f>IF(OR(S496=0,B496=""),0,IFERROR(VLOOKUP(C496,'Example Parties'!$B$13:$Q$112,13,FALSE),0)+SUMIFS($S$7:$S$506,$C$7:$C$506,C496,$B$7:$B$506,"&lt;"&amp;B496)+SUMIFS(S$7:S496,C$7:C496,C496,B$7:B496,B496))</f>
        <v/>
      </c>
      <c r="V496">
        <f>IF(S496=0,0,IFERROR(VLOOKUP(C496,'Example Parties'!$B$13:$Q$112,14,FALSE),0)+SUMIFS($T$7:$T$506,$C$7:$C$506,C496,$B$7:$B$506,"&lt;="&amp;'Example Outstanding'!$E$5))</f>
        <v/>
      </c>
      <c r="W496">
        <f>IF(OR('Example Outstanding'!$E$5="",S496=0,B496="",B496&gt;'Example Outstanding'!$E$5),0,MAX(0,MIN(S496,U496-V496)))</f>
        <v/>
      </c>
      <c r="X496">
        <f>IF(C496="",0,IFERROR(VLOOKUP(C496,'Example Parties'!$B$13:$Q$112,15,FALSE),0))</f>
        <v/>
      </c>
      <c r="Y496">
        <f>IF(C496="","",IFERROR(VLOOKUP(C496,'Example Parties'!$B$13:$Q$112,16,FALSE),0))</f>
        <v/>
      </c>
      <c r="Z496">
        <f>IF(OR(S496=0,B496="",Y496=""),"",IF(AND(F496&lt;&gt;"",D496="Purchase bill"),F496,B496)+Y496)</f>
        <v/>
      </c>
      <c r="AA496">
        <f>IF(OR(W496=0,Z496=""),0,MAX(0,'Example Outstanding'!$E$5-Z496))</f>
        <v/>
      </c>
      <c r="AB496">
        <f>IF(AND(X496=1,AA496&gt;0),W496*((1+3*N('Example Parties'!$E$10)/12)^(AA496*12/365)-1),0)</f>
        <v/>
      </c>
      <c r="AC496">
        <f>IF(W496=0,"",'Example Outstanding'!$E$5-B496)</f>
        <v/>
      </c>
      <c r="AD496">
        <f>IF(S496=0,0,IFERROR(VLOOKUP(C496,'Example Parties'!$B$13:$Q$112,14,FALSE),0)+SUMIFS($T$7:$T$506,$C$7:$C$506,C496,$B$7:$B$506,"&lt;="&amp;'Example Parties'!$E$8))</f>
        <v/>
      </c>
      <c r="AE496">
        <f>IF(OR('Example Parties'!$E$8="",S496=0,B496="",B496&gt;'Example Parties'!$E$8),0,MAX(0,MIN(S496,U496-AD496)))</f>
        <v/>
      </c>
      <c r="AF496">
        <f>IF(AND(P496="Creditor",X496=1,AE496&gt;0,Z496&lt;&gt;""),IF(Z496&lt;='Example Parties'!$E$8,AE496,0),0)</f>
        <v/>
      </c>
      <c r="AG496">
        <f>IF(OR(AE496=0,Z496=""),0,MAX(0,'Example Parties'!$E$8-Z496))</f>
        <v/>
      </c>
      <c r="AH496">
        <f>IF(AND(P496="Creditor",X496=1,AG496&gt;0),AE496*((1+3*N('Example Parties'!$E$10)/12)^(AG496*12/365)-1),0)</f>
        <v/>
      </c>
      <c r="AI496">
        <f>IF(AND(C496&lt;&gt;"",C496='Example Ledger'!$D$4,B496&lt;&gt;"",B496&gt;='Example Ledger'!$D$5,B496&lt;='Example Ledger'!$D$6),1,0)</f>
        <v/>
      </c>
      <c r="AJ496">
        <f>IF(AI496=1,SUM(AI$7:AI496),"")</f>
        <v/>
      </c>
      <c r="AK496">
        <f>IF(OR(N496="",N496="OK"),0,1)</f>
        <v/>
      </c>
    </row>
    <row r="497">
      <c r="B497" s="24" t="n"/>
      <c r="C497" s="14" t="n"/>
      <c r="D497" s="14" t="n"/>
      <c r="E497" s="20" t="n"/>
      <c r="F497" s="24" t="n"/>
      <c r="G497" s="14" t="n"/>
      <c r="H497" s="22" t="n"/>
      <c r="I497" s="25">
        <f>IF(Q497="D",N(H497),0)</f>
        <v/>
      </c>
      <c r="J497" s="25">
        <f>IF(Q497="C",N(H497),0)</f>
        <v/>
      </c>
      <c r="K497" s="26">
        <f>IF(Z497="","",Z497)</f>
        <v/>
      </c>
      <c r="L497" s="27">
        <f>W497</f>
        <v/>
      </c>
      <c r="M497" s="28">
        <f>AA497</f>
        <v/>
      </c>
      <c r="N497" s="23">
        <f>IF(AND(B497="",C497="",D497="",N(H497)=0),"",IF(B497="","Enter the date",IF(C497="","Pick the party",IF(P497="?","Add this party on the Parties sheet first",IF(D497="","Pick the entry type",IF(Q497="?","Pick the entry type from the list",IF(N(H497)=0,"Enter the amount",IF(AND(R497&lt;&gt;"Any",R497&lt;&gt;P497),"Sales, receipts and credit notes are for debtors; purchases, payments and debit notes for creditors",IF(AND(F497&lt;&gt;"",D497&lt;&gt;"Purchase bill"),"The received-on date is only for purchase bills",IF(AND(P497="Creditor",X497=1,AA497&gt;0),"Past due to a micro or small supplier: interest runs under MSMED s.16, and if unpaid at year end it is not deductible that year, s.37(2)(g)",IF(AND(P497="Debtor",X497=1,AA497&gt;0),"Past due to you: as a micro or small supplier you can claim interest under MSMED s.16","OK")))))))))))</f>
        <v/>
      </c>
      <c r="P497">
        <f>IF(C497="","",IFERROR(VLOOKUP(C497,'Example Parties'!$B$13:$Q$112,2,FALSE),"?"))</f>
        <v/>
      </c>
      <c r="Q497">
        <f>IF(D497="","",IFERROR(VLOOKUP(D497,Lists!$A$2:$D$9,3,FALSE),"?"))</f>
        <v/>
      </c>
      <c r="R497">
        <f>IF(D497="","",IFERROR(VLOOKUP(D497,Lists!$A$2:$D$9,4,FALSE),"?"))</f>
        <v/>
      </c>
      <c r="S497">
        <f>IF(P497="Debtor",I497,IF(P497="Creditor",J497,0))</f>
        <v/>
      </c>
      <c r="T497">
        <f>IF(P497="Debtor",J497,IF(P497="Creditor",I497,0))</f>
        <v/>
      </c>
      <c r="U497">
        <f>IF(OR(S497=0,B497=""),0,IFERROR(VLOOKUP(C497,'Example Parties'!$B$13:$Q$112,13,FALSE),0)+SUMIFS($S$7:$S$506,$C$7:$C$506,C497,$B$7:$B$506,"&lt;"&amp;B497)+SUMIFS(S$7:S497,C$7:C497,C497,B$7:B497,B497))</f>
        <v/>
      </c>
      <c r="V497">
        <f>IF(S497=0,0,IFERROR(VLOOKUP(C497,'Example Parties'!$B$13:$Q$112,14,FALSE),0)+SUMIFS($T$7:$T$506,$C$7:$C$506,C497,$B$7:$B$506,"&lt;="&amp;'Example Outstanding'!$E$5))</f>
        <v/>
      </c>
      <c r="W497">
        <f>IF(OR('Example Outstanding'!$E$5="",S497=0,B497="",B497&gt;'Example Outstanding'!$E$5),0,MAX(0,MIN(S497,U497-V497)))</f>
        <v/>
      </c>
      <c r="X497">
        <f>IF(C497="",0,IFERROR(VLOOKUP(C497,'Example Parties'!$B$13:$Q$112,15,FALSE),0))</f>
        <v/>
      </c>
      <c r="Y497">
        <f>IF(C497="","",IFERROR(VLOOKUP(C497,'Example Parties'!$B$13:$Q$112,16,FALSE),0))</f>
        <v/>
      </c>
      <c r="Z497">
        <f>IF(OR(S497=0,B497="",Y497=""),"",IF(AND(F497&lt;&gt;"",D497="Purchase bill"),F497,B497)+Y497)</f>
        <v/>
      </c>
      <c r="AA497">
        <f>IF(OR(W497=0,Z497=""),0,MAX(0,'Example Outstanding'!$E$5-Z497))</f>
        <v/>
      </c>
      <c r="AB497">
        <f>IF(AND(X497=1,AA497&gt;0),W497*((1+3*N('Example Parties'!$E$10)/12)^(AA497*12/365)-1),0)</f>
        <v/>
      </c>
      <c r="AC497">
        <f>IF(W497=0,"",'Example Outstanding'!$E$5-B497)</f>
        <v/>
      </c>
      <c r="AD497">
        <f>IF(S497=0,0,IFERROR(VLOOKUP(C497,'Example Parties'!$B$13:$Q$112,14,FALSE),0)+SUMIFS($T$7:$T$506,$C$7:$C$506,C497,$B$7:$B$506,"&lt;="&amp;'Example Parties'!$E$8))</f>
        <v/>
      </c>
      <c r="AE497">
        <f>IF(OR('Example Parties'!$E$8="",S497=0,B497="",B497&gt;'Example Parties'!$E$8),0,MAX(0,MIN(S497,U497-AD497)))</f>
        <v/>
      </c>
      <c r="AF497">
        <f>IF(AND(P497="Creditor",X497=1,AE497&gt;0,Z497&lt;&gt;""),IF(Z497&lt;='Example Parties'!$E$8,AE497,0),0)</f>
        <v/>
      </c>
      <c r="AG497">
        <f>IF(OR(AE497=0,Z497=""),0,MAX(0,'Example Parties'!$E$8-Z497))</f>
        <v/>
      </c>
      <c r="AH497">
        <f>IF(AND(P497="Creditor",X497=1,AG497&gt;0),AE497*((1+3*N('Example Parties'!$E$10)/12)^(AG497*12/365)-1),0)</f>
        <v/>
      </c>
      <c r="AI497">
        <f>IF(AND(C497&lt;&gt;"",C497='Example Ledger'!$D$4,B497&lt;&gt;"",B497&gt;='Example Ledger'!$D$5,B497&lt;='Example Ledger'!$D$6),1,0)</f>
        <v/>
      </c>
      <c r="AJ497">
        <f>IF(AI497=1,SUM(AI$7:AI497),"")</f>
        <v/>
      </c>
      <c r="AK497">
        <f>IF(OR(N497="",N497="OK"),0,1)</f>
        <v/>
      </c>
    </row>
    <row r="498">
      <c r="B498" s="24" t="n"/>
      <c r="C498" s="14" t="n"/>
      <c r="D498" s="14" t="n"/>
      <c r="E498" s="20" t="n"/>
      <c r="F498" s="24" t="n"/>
      <c r="G498" s="14" t="n"/>
      <c r="H498" s="22" t="n"/>
      <c r="I498" s="25">
        <f>IF(Q498="D",N(H498),0)</f>
        <v/>
      </c>
      <c r="J498" s="25">
        <f>IF(Q498="C",N(H498),0)</f>
        <v/>
      </c>
      <c r="K498" s="26">
        <f>IF(Z498="","",Z498)</f>
        <v/>
      </c>
      <c r="L498" s="27">
        <f>W498</f>
        <v/>
      </c>
      <c r="M498" s="28">
        <f>AA498</f>
        <v/>
      </c>
      <c r="N498" s="23">
        <f>IF(AND(B498="",C498="",D498="",N(H498)=0),"",IF(B498="","Enter the date",IF(C498="","Pick the party",IF(P498="?","Add this party on the Parties sheet first",IF(D498="","Pick the entry type",IF(Q498="?","Pick the entry type from the list",IF(N(H498)=0,"Enter the amount",IF(AND(R498&lt;&gt;"Any",R498&lt;&gt;P498),"Sales, receipts and credit notes are for debtors; purchases, payments and debit notes for creditors",IF(AND(F498&lt;&gt;"",D498&lt;&gt;"Purchase bill"),"The received-on date is only for purchase bills",IF(AND(P498="Creditor",X498=1,AA498&gt;0),"Past due to a micro or small supplier: interest runs under MSMED s.16, and if unpaid at year end it is not deductible that year, s.37(2)(g)",IF(AND(P498="Debtor",X498=1,AA498&gt;0),"Past due to you: as a micro or small supplier you can claim interest under MSMED s.16","OK")))))))))))</f>
        <v/>
      </c>
      <c r="P498">
        <f>IF(C498="","",IFERROR(VLOOKUP(C498,'Example Parties'!$B$13:$Q$112,2,FALSE),"?"))</f>
        <v/>
      </c>
      <c r="Q498">
        <f>IF(D498="","",IFERROR(VLOOKUP(D498,Lists!$A$2:$D$9,3,FALSE),"?"))</f>
        <v/>
      </c>
      <c r="R498">
        <f>IF(D498="","",IFERROR(VLOOKUP(D498,Lists!$A$2:$D$9,4,FALSE),"?"))</f>
        <v/>
      </c>
      <c r="S498">
        <f>IF(P498="Debtor",I498,IF(P498="Creditor",J498,0))</f>
        <v/>
      </c>
      <c r="T498">
        <f>IF(P498="Debtor",J498,IF(P498="Creditor",I498,0))</f>
        <v/>
      </c>
      <c r="U498">
        <f>IF(OR(S498=0,B498=""),0,IFERROR(VLOOKUP(C498,'Example Parties'!$B$13:$Q$112,13,FALSE),0)+SUMIFS($S$7:$S$506,$C$7:$C$506,C498,$B$7:$B$506,"&lt;"&amp;B498)+SUMIFS(S$7:S498,C$7:C498,C498,B$7:B498,B498))</f>
        <v/>
      </c>
      <c r="V498">
        <f>IF(S498=0,0,IFERROR(VLOOKUP(C498,'Example Parties'!$B$13:$Q$112,14,FALSE),0)+SUMIFS($T$7:$T$506,$C$7:$C$506,C498,$B$7:$B$506,"&lt;="&amp;'Example Outstanding'!$E$5))</f>
        <v/>
      </c>
      <c r="W498">
        <f>IF(OR('Example Outstanding'!$E$5="",S498=0,B498="",B498&gt;'Example Outstanding'!$E$5),0,MAX(0,MIN(S498,U498-V498)))</f>
        <v/>
      </c>
      <c r="X498">
        <f>IF(C498="",0,IFERROR(VLOOKUP(C498,'Example Parties'!$B$13:$Q$112,15,FALSE),0))</f>
        <v/>
      </c>
      <c r="Y498">
        <f>IF(C498="","",IFERROR(VLOOKUP(C498,'Example Parties'!$B$13:$Q$112,16,FALSE),0))</f>
        <v/>
      </c>
      <c r="Z498">
        <f>IF(OR(S498=0,B498="",Y498=""),"",IF(AND(F498&lt;&gt;"",D498="Purchase bill"),F498,B498)+Y498)</f>
        <v/>
      </c>
      <c r="AA498">
        <f>IF(OR(W498=0,Z498=""),0,MAX(0,'Example Outstanding'!$E$5-Z498))</f>
        <v/>
      </c>
      <c r="AB498">
        <f>IF(AND(X498=1,AA498&gt;0),W498*((1+3*N('Example Parties'!$E$10)/12)^(AA498*12/365)-1),0)</f>
        <v/>
      </c>
      <c r="AC498">
        <f>IF(W498=0,"",'Example Outstanding'!$E$5-B498)</f>
        <v/>
      </c>
      <c r="AD498">
        <f>IF(S498=0,0,IFERROR(VLOOKUP(C498,'Example Parties'!$B$13:$Q$112,14,FALSE),0)+SUMIFS($T$7:$T$506,$C$7:$C$506,C498,$B$7:$B$506,"&lt;="&amp;'Example Parties'!$E$8))</f>
        <v/>
      </c>
      <c r="AE498">
        <f>IF(OR('Example Parties'!$E$8="",S498=0,B498="",B498&gt;'Example Parties'!$E$8),0,MAX(0,MIN(S498,U498-AD498)))</f>
        <v/>
      </c>
      <c r="AF498">
        <f>IF(AND(P498="Creditor",X498=1,AE498&gt;0,Z498&lt;&gt;""),IF(Z498&lt;='Example Parties'!$E$8,AE498,0),0)</f>
        <v/>
      </c>
      <c r="AG498">
        <f>IF(OR(AE498=0,Z498=""),0,MAX(0,'Example Parties'!$E$8-Z498))</f>
        <v/>
      </c>
      <c r="AH498">
        <f>IF(AND(P498="Creditor",X498=1,AG498&gt;0),AE498*((1+3*N('Example Parties'!$E$10)/12)^(AG498*12/365)-1),0)</f>
        <v/>
      </c>
      <c r="AI498">
        <f>IF(AND(C498&lt;&gt;"",C498='Example Ledger'!$D$4,B498&lt;&gt;"",B498&gt;='Example Ledger'!$D$5,B498&lt;='Example Ledger'!$D$6),1,0)</f>
        <v/>
      </c>
      <c r="AJ498">
        <f>IF(AI498=1,SUM(AI$7:AI498),"")</f>
        <v/>
      </c>
      <c r="AK498">
        <f>IF(OR(N498="",N498="OK"),0,1)</f>
        <v/>
      </c>
    </row>
    <row r="499">
      <c r="B499" s="24" t="n"/>
      <c r="C499" s="14" t="n"/>
      <c r="D499" s="14" t="n"/>
      <c r="E499" s="20" t="n"/>
      <c r="F499" s="24" t="n"/>
      <c r="G499" s="14" t="n"/>
      <c r="H499" s="22" t="n"/>
      <c r="I499" s="25">
        <f>IF(Q499="D",N(H499),0)</f>
        <v/>
      </c>
      <c r="J499" s="25">
        <f>IF(Q499="C",N(H499),0)</f>
        <v/>
      </c>
      <c r="K499" s="26">
        <f>IF(Z499="","",Z499)</f>
        <v/>
      </c>
      <c r="L499" s="27">
        <f>W499</f>
        <v/>
      </c>
      <c r="M499" s="28">
        <f>AA499</f>
        <v/>
      </c>
      <c r="N499" s="23">
        <f>IF(AND(B499="",C499="",D499="",N(H499)=0),"",IF(B499="","Enter the date",IF(C499="","Pick the party",IF(P499="?","Add this party on the Parties sheet first",IF(D499="","Pick the entry type",IF(Q499="?","Pick the entry type from the list",IF(N(H499)=0,"Enter the amount",IF(AND(R499&lt;&gt;"Any",R499&lt;&gt;P499),"Sales, receipts and credit notes are for debtors; purchases, payments and debit notes for creditors",IF(AND(F499&lt;&gt;"",D499&lt;&gt;"Purchase bill"),"The received-on date is only for purchase bills",IF(AND(P499="Creditor",X499=1,AA499&gt;0),"Past due to a micro or small supplier: interest runs under MSMED s.16, and if unpaid at year end it is not deductible that year, s.37(2)(g)",IF(AND(P499="Debtor",X499=1,AA499&gt;0),"Past due to you: as a micro or small supplier you can claim interest under MSMED s.16","OK")))))))))))</f>
        <v/>
      </c>
      <c r="P499">
        <f>IF(C499="","",IFERROR(VLOOKUP(C499,'Example Parties'!$B$13:$Q$112,2,FALSE),"?"))</f>
        <v/>
      </c>
      <c r="Q499">
        <f>IF(D499="","",IFERROR(VLOOKUP(D499,Lists!$A$2:$D$9,3,FALSE),"?"))</f>
        <v/>
      </c>
      <c r="R499">
        <f>IF(D499="","",IFERROR(VLOOKUP(D499,Lists!$A$2:$D$9,4,FALSE),"?"))</f>
        <v/>
      </c>
      <c r="S499">
        <f>IF(P499="Debtor",I499,IF(P499="Creditor",J499,0))</f>
        <v/>
      </c>
      <c r="T499">
        <f>IF(P499="Debtor",J499,IF(P499="Creditor",I499,0))</f>
        <v/>
      </c>
      <c r="U499">
        <f>IF(OR(S499=0,B499=""),0,IFERROR(VLOOKUP(C499,'Example Parties'!$B$13:$Q$112,13,FALSE),0)+SUMIFS($S$7:$S$506,$C$7:$C$506,C499,$B$7:$B$506,"&lt;"&amp;B499)+SUMIFS(S$7:S499,C$7:C499,C499,B$7:B499,B499))</f>
        <v/>
      </c>
      <c r="V499">
        <f>IF(S499=0,0,IFERROR(VLOOKUP(C499,'Example Parties'!$B$13:$Q$112,14,FALSE),0)+SUMIFS($T$7:$T$506,$C$7:$C$506,C499,$B$7:$B$506,"&lt;="&amp;'Example Outstanding'!$E$5))</f>
        <v/>
      </c>
      <c r="W499">
        <f>IF(OR('Example Outstanding'!$E$5="",S499=0,B499="",B499&gt;'Example Outstanding'!$E$5),0,MAX(0,MIN(S499,U499-V499)))</f>
        <v/>
      </c>
      <c r="X499">
        <f>IF(C499="",0,IFERROR(VLOOKUP(C499,'Example Parties'!$B$13:$Q$112,15,FALSE),0))</f>
        <v/>
      </c>
      <c r="Y499">
        <f>IF(C499="","",IFERROR(VLOOKUP(C499,'Example Parties'!$B$13:$Q$112,16,FALSE),0))</f>
        <v/>
      </c>
      <c r="Z499">
        <f>IF(OR(S499=0,B499="",Y499=""),"",IF(AND(F499&lt;&gt;"",D499="Purchase bill"),F499,B499)+Y499)</f>
        <v/>
      </c>
      <c r="AA499">
        <f>IF(OR(W499=0,Z499=""),0,MAX(0,'Example Outstanding'!$E$5-Z499))</f>
        <v/>
      </c>
      <c r="AB499">
        <f>IF(AND(X499=1,AA499&gt;0),W499*((1+3*N('Example Parties'!$E$10)/12)^(AA499*12/365)-1),0)</f>
        <v/>
      </c>
      <c r="AC499">
        <f>IF(W499=0,"",'Example Outstanding'!$E$5-B499)</f>
        <v/>
      </c>
      <c r="AD499">
        <f>IF(S499=0,0,IFERROR(VLOOKUP(C499,'Example Parties'!$B$13:$Q$112,14,FALSE),0)+SUMIFS($T$7:$T$506,$C$7:$C$506,C499,$B$7:$B$506,"&lt;="&amp;'Example Parties'!$E$8))</f>
        <v/>
      </c>
      <c r="AE499">
        <f>IF(OR('Example Parties'!$E$8="",S499=0,B499="",B499&gt;'Example Parties'!$E$8),0,MAX(0,MIN(S499,U499-AD499)))</f>
        <v/>
      </c>
      <c r="AF499">
        <f>IF(AND(P499="Creditor",X499=1,AE499&gt;0,Z499&lt;&gt;""),IF(Z499&lt;='Example Parties'!$E$8,AE499,0),0)</f>
        <v/>
      </c>
      <c r="AG499">
        <f>IF(OR(AE499=0,Z499=""),0,MAX(0,'Example Parties'!$E$8-Z499))</f>
        <v/>
      </c>
      <c r="AH499">
        <f>IF(AND(P499="Creditor",X499=1,AG499&gt;0),AE499*((1+3*N('Example Parties'!$E$10)/12)^(AG499*12/365)-1),0)</f>
        <v/>
      </c>
      <c r="AI499">
        <f>IF(AND(C499&lt;&gt;"",C499='Example Ledger'!$D$4,B499&lt;&gt;"",B499&gt;='Example Ledger'!$D$5,B499&lt;='Example Ledger'!$D$6),1,0)</f>
        <v/>
      </c>
      <c r="AJ499">
        <f>IF(AI499=1,SUM(AI$7:AI499),"")</f>
        <v/>
      </c>
      <c r="AK499">
        <f>IF(OR(N499="",N499="OK"),0,1)</f>
        <v/>
      </c>
    </row>
    <row r="500">
      <c r="B500" s="24" t="n"/>
      <c r="C500" s="14" t="n"/>
      <c r="D500" s="14" t="n"/>
      <c r="E500" s="20" t="n"/>
      <c r="F500" s="24" t="n"/>
      <c r="G500" s="14" t="n"/>
      <c r="H500" s="22" t="n"/>
      <c r="I500" s="25">
        <f>IF(Q500="D",N(H500),0)</f>
        <v/>
      </c>
      <c r="J500" s="25">
        <f>IF(Q500="C",N(H500),0)</f>
        <v/>
      </c>
      <c r="K500" s="26">
        <f>IF(Z500="","",Z500)</f>
        <v/>
      </c>
      <c r="L500" s="27">
        <f>W500</f>
        <v/>
      </c>
      <c r="M500" s="28">
        <f>AA500</f>
        <v/>
      </c>
      <c r="N500" s="23">
        <f>IF(AND(B500="",C500="",D500="",N(H500)=0),"",IF(B500="","Enter the date",IF(C500="","Pick the party",IF(P500="?","Add this party on the Parties sheet first",IF(D500="","Pick the entry type",IF(Q500="?","Pick the entry type from the list",IF(N(H500)=0,"Enter the amount",IF(AND(R500&lt;&gt;"Any",R500&lt;&gt;P500),"Sales, receipts and credit notes are for debtors; purchases, payments and debit notes for creditors",IF(AND(F500&lt;&gt;"",D500&lt;&gt;"Purchase bill"),"The received-on date is only for purchase bills",IF(AND(P500="Creditor",X500=1,AA500&gt;0),"Past due to a micro or small supplier: interest runs under MSMED s.16, and if unpaid at year end it is not deductible that year, s.37(2)(g)",IF(AND(P500="Debtor",X500=1,AA500&gt;0),"Past due to you: as a micro or small supplier you can claim interest under MSMED s.16","OK")))))))))))</f>
        <v/>
      </c>
      <c r="P500">
        <f>IF(C500="","",IFERROR(VLOOKUP(C500,'Example Parties'!$B$13:$Q$112,2,FALSE),"?"))</f>
        <v/>
      </c>
      <c r="Q500">
        <f>IF(D500="","",IFERROR(VLOOKUP(D500,Lists!$A$2:$D$9,3,FALSE),"?"))</f>
        <v/>
      </c>
      <c r="R500">
        <f>IF(D500="","",IFERROR(VLOOKUP(D500,Lists!$A$2:$D$9,4,FALSE),"?"))</f>
        <v/>
      </c>
      <c r="S500">
        <f>IF(P500="Debtor",I500,IF(P500="Creditor",J500,0))</f>
        <v/>
      </c>
      <c r="T500">
        <f>IF(P500="Debtor",J500,IF(P500="Creditor",I500,0))</f>
        <v/>
      </c>
      <c r="U500">
        <f>IF(OR(S500=0,B500=""),0,IFERROR(VLOOKUP(C500,'Example Parties'!$B$13:$Q$112,13,FALSE),0)+SUMIFS($S$7:$S$506,$C$7:$C$506,C500,$B$7:$B$506,"&lt;"&amp;B500)+SUMIFS(S$7:S500,C$7:C500,C500,B$7:B500,B500))</f>
        <v/>
      </c>
      <c r="V500">
        <f>IF(S500=0,0,IFERROR(VLOOKUP(C500,'Example Parties'!$B$13:$Q$112,14,FALSE),0)+SUMIFS($T$7:$T$506,$C$7:$C$506,C500,$B$7:$B$506,"&lt;="&amp;'Example Outstanding'!$E$5))</f>
        <v/>
      </c>
      <c r="W500">
        <f>IF(OR('Example Outstanding'!$E$5="",S500=0,B500="",B500&gt;'Example Outstanding'!$E$5),0,MAX(0,MIN(S500,U500-V500)))</f>
        <v/>
      </c>
      <c r="X500">
        <f>IF(C500="",0,IFERROR(VLOOKUP(C500,'Example Parties'!$B$13:$Q$112,15,FALSE),0))</f>
        <v/>
      </c>
      <c r="Y500">
        <f>IF(C500="","",IFERROR(VLOOKUP(C500,'Example Parties'!$B$13:$Q$112,16,FALSE),0))</f>
        <v/>
      </c>
      <c r="Z500">
        <f>IF(OR(S500=0,B500="",Y500=""),"",IF(AND(F500&lt;&gt;"",D500="Purchase bill"),F500,B500)+Y500)</f>
        <v/>
      </c>
      <c r="AA500">
        <f>IF(OR(W500=0,Z500=""),0,MAX(0,'Example Outstanding'!$E$5-Z500))</f>
        <v/>
      </c>
      <c r="AB500">
        <f>IF(AND(X500=1,AA500&gt;0),W500*((1+3*N('Example Parties'!$E$10)/12)^(AA500*12/365)-1),0)</f>
        <v/>
      </c>
      <c r="AC500">
        <f>IF(W500=0,"",'Example Outstanding'!$E$5-B500)</f>
        <v/>
      </c>
      <c r="AD500">
        <f>IF(S500=0,0,IFERROR(VLOOKUP(C500,'Example Parties'!$B$13:$Q$112,14,FALSE),0)+SUMIFS($T$7:$T$506,$C$7:$C$506,C500,$B$7:$B$506,"&lt;="&amp;'Example Parties'!$E$8))</f>
        <v/>
      </c>
      <c r="AE500">
        <f>IF(OR('Example Parties'!$E$8="",S500=0,B500="",B500&gt;'Example Parties'!$E$8),0,MAX(0,MIN(S500,U500-AD500)))</f>
        <v/>
      </c>
      <c r="AF500">
        <f>IF(AND(P500="Creditor",X500=1,AE500&gt;0,Z500&lt;&gt;""),IF(Z500&lt;='Example Parties'!$E$8,AE500,0),0)</f>
        <v/>
      </c>
      <c r="AG500">
        <f>IF(OR(AE500=0,Z500=""),0,MAX(0,'Example Parties'!$E$8-Z500))</f>
        <v/>
      </c>
      <c r="AH500">
        <f>IF(AND(P500="Creditor",X500=1,AG500&gt;0),AE500*((1+3*N('Example Parties'!$E$10)/12)^(AG500*12/365)-1),0)</f>
        <v/>
      </c>
      <c r="AI500">
        <f>IF(AND(C500&lt;&gt;"",C500='Example Ledger'!$D$4,B500&lt;&gt;"",B500&gt;='Example Ledger'!$D$5,B500&lt;='Example Ledger'!$D$6),1,0)</f>
        <v/>
      </c>
      <c r="AJ500">
        <f>IF(AI500=1,SUM(AI$7:AI500),"")</f>
        <v/>
      </c>
      <c r="AK500">
        <f>IF(OR(N500="",N500="OK"),0,1)</f>
        <v/>
      </c>
    </row>
    <row r="501">
      <c r="B501" s="24" t="n"/>
      <c r="C501" s="14" t="n"/>
      <c r="D501" s="14" t="n"/>
      <c r="E501" s="20" t="n"/>
      <c r="F501" s="24" t="n"/>
      <c r="G501" s="14" t="n"/>
      <c r="H501" s="22" t="n"/>
      <c r="I501" s="25">
        <f>IF(Q501="D",N(H501),0)</f>
        <v/>
      </c>
      <c r="J501" s="25">
        <f>IF(Q501="C",N(H501),0)</f>
        <v/>
      </c>
      <c r="K501" s="26">
        <f>IF(Z501="","",Z501)</f>
        <v/>
      </c>
      <c r="L501" s="27">
        <f>W501</f>
        <v/>
      </c>
      <c r="M501" s="28">
        <f>AA501</f>
        <v/>
      </c>
      <c r="N501" s="23">
        <f>IF(AND(B501="",C501="",D501="",N(H501)=0),"",IF(B501="","Enter the date",IF(C501="","Pick the party",IF(P501="?","Add this party on the Parties sheet first",IF(D501="","Pick the entry type",IF(Q501="?","Pick the entry type from the list",IF(N(H501)=0,"Enter the amount",IF(AND(R501&lt;&gt;"Any",R501&lt;&gt;P501),"Sales, receipts and credit notes are for debtors; purchases, payments and debit notes for creditors",IF(AND(F501&lt;&gt;"",D501&lt;&gt;"Purchase bill"),"The received-on date is only for purchase bills",IF(AND(P501="Creditor",X501=1,AA501&gt;0),"Past due to a micro or small supplier: interest runs under MSMED s.16, and if unpaid at year end it is not deductible that year, s.37(2)(g)",IF(AND(P501="Debtor",X501=1,AA501&gt;0),"Past due to you: as a micro or small supplier you can claim interest under MSMED s.16","OK")))))))))))</f>
        <v/>
      </c>
      <c r="P501">
        <f>IF(C501="","",IFERROR(VLOOKUP(C501,'Example Parties'!$B$13:$Q$112,2,FALSE),"?"))</f>
        <v/>
      </c>
      <c r="Q501">
        <f>IF(D501="","",IFERROR(VLOOKUP(D501,Lists!$A$2:$D$9,3,FALSE),"?"))</f>
        <v/>
      </c>
      <c r="R501">
        <f>IF(D501="","",IFERROR(VLOOKUP(D501,Lists!$A$2:$D$9,4,FALSE),"?"))</f>
        <v/>
      </c>
      <c r="S501">
        <f>IF(P501="Debtor",I501,IF(P501="Creditor",J501,0))</f>
        <v/>
      </c>
      <c r="T501">
        <f>IF(P501="Debtor",J501,IF(P501="Creditor",I501,0))</f>
        <v/>
      </c>
      <c r="U501">
        <f>IF(OR(S501=0,B501=""),0,IFERROR(VLOOKUP(C501,'Example Parties'!$B$13:$Q$112,13,FALSE),0)+SUMIFS($S$7:$S$506,$C$7:$C$506,C501,$B$7:$B$506,"&lt;"&amp;B501)+SUMIFS(S$7:S501,C$7:C501,C501,B$7:B501,B501))</f>
        <v/>
      </c>
      <c r="V501">
        <f>IF(S501=0,0,IFERROR(VLOOKUP(C501,'Example Parties'!$B$13:$Q$112,14,FALSE),0)+SUMIFS($T$7:$T$506,$C$7:$C$506,C501,$B$7:$B$506,"&lt;="&amp;'Example Outstanding'!$E$5))</f>
        <v/>
      </c>
      <c r="W501">
        <f>IF(OR('Example Outstanding'!$E$5="",S501=0,B501="",B501&gt;'Example Outstanding'!$E$5),0,MAX(0,MIN(S501,U501-V501)))</f>
        <v/>
      </c>
      <c r="X501">
        <f>IF(C501="",0,IFERROR(VLOOKUP(C501,'Example Parties'!$B$13:$Q$112,15,FALSE),0))</f>
        <v/>
      </c>
      <c r="Y501">
        <f>IF(C501="","",IFERROR(VLOOKUP(C501,'Example Parties'!$B$13:$Q$112,16,FALSE),0))</f>
        <v/>
      </c>
      <c r="Z501">
        <f>IF(OR(S501=0,B501="",Y501=""),"",IF(AND(F501&lt;&gt;"",D501="Purchase bill"),F501,B501)+Y501)</f>
        <v/>
      </c>
      <c r="AA501">
        <f>IF(OR(W501=0,Z501=""),0,MAX(0,'Example Outstanding'!$E$5-Z501))</f>
        <v/>
      </c>
      <c r="AB501">
        <f>IF(AND(X501=1,AA501&gt;0),W501*((1+3*N('Example Parties'!$E$10)/12)^(AA501*12/365)-1),0)</f>
        <v/>
      </c>
      <c r="AC501">
        <f>IF(W501=0,"",'Example Outstanding'!$E$5-B501)</f>
        <v/>
      </c>
      <c r="AD501">
        <f>IF(S501=0,0,IFERROR(VLOOKUP(C501,'Example Parties'!$B$13:$Q$112,14,FALSE),0)+SUMIFS($T$7:$T$506,$C$7:$C$506,C501,$B$7:$B$506,"&lt;="&amp;'Example Parties'!$E$8))</f>
        <v/>
      </c>
      <c r="AE501">
        <f>IF(OR('Example Parties'!$E$8="",S501=0,B501="",B501&gt;'Example Parties'!$E$8),0,MAX(0,MIN(S501,U501-AD501)))</f>
        <v/>
      </c>
      <c r="AF501">
        <f>IF(AND(P501="Creditor",X501=1,AE501&gt;0,Z501&lt;&gt;""),IF(Z501&lt;='Example Parties'!$E$8,AE501,0),0)</f>
        <v/>
      </c>
      <c r="AG501">
        <f>IF(OR(AE501=0,Z501=""),0,MAX(0,'Example Parties'!$E$8-Z501))</f>
        <v/>
      </c>
      <c r="AH501">
        <f>IF(AND(P501="Creditor",X501=1,AG501&gt;0),AE501*((1+3*N('Example Parties'!$E$10)/12)^(AG501*12/365)-1),0)</f>
        <v/>
      </c>
      <c r="AI501">
        <f>IF(AND(C501&lt;&gt;"",C501='Example Ledger'!$D$4,B501&lt;&gt;"",B501&gt;='Example Ledger'!$D$5,B501&lt;='Example Ledger'!$D$6),1,0)</f>
        <v/>
      </c>
      <c r="AJ501">
        <f>IF(AI501=1,SUM(AI$7:AI501),"")</f>
        <v/>
      </c>
      <c r="AK501">
        <f>IF(OR(N501="",N501="OK"),0,1)</f>
        <v/>
      </c>
    </row>
    <row r="502">
      <c r="B502" s="24" t="n"/>
      <c r="C502" s="14" t="n"/>
      <c r="D502" s="14" t="n"/>
      <c r="E502" s="20" t="n"/>
      <c r="F502" s="24" t="n"/>
      <c r="G502" s="14" t="n"/>
      <c r="H502" s="22" t="n"/>
      <c r="I502" s="25">
        <f>IF(Q502="D",N(H502),0)</f>
        <v/>
      </c>
      <c r="J502" s="25">
        <f>IF(Q502="C",N(H502),0)</f>
        <v/>
      </c>
      <c r="K502" s="26">
        <f>IF(Z502="","",Z502)</f>
        <v/>
      </c>
      <c r="L502" s="27">
        <f>W502</f>
        <v/>
      </c>
      <c r="M502" s="28">
        <f>AA502</f>
        <v/>
      </c>
      <c r="N502" s="23">
        <f>IF(AND(B502="",C502="",D502="",N(H502)=0),"",IF(B502="","Enter the date",IF(C502="","Pick the party",IF(P502="?","Add this party on the Parties sheet first",IF(D502="","Pick the entry type",IF(Q502="?","Pick the entry type from the list",IF(N(H502)=0,"Enter the amount",IF(AND(R502&lt;&gt;"Any",R502&lt;&gt;P502),"Sales, receipts and credit notes are for debtors; purchases, payments and debit notes for creditors",IF(AND(F502&lt;&gt;"",D502&lt;&gt;"Purchase bill"),"The received-on date is only for purchase bills",IF(AND(P502="Creditor",X502=1,AA502&gt;0),"Past due to a micro or small supplier: interest runs under MSMED s.16, and if unpaid at year end it is not deductible that year, s.37(2)(g)",IF(AND(P502="Debtor",X502=1,AA502&gt;0),"Past due to you: as a micro or small supplier you can claim interest under MSMED s.16","OK")))))))))))</f>
        <v/>
      </c>
      <c r="P502">
        <f>IF(C502="","",IFERROR(VLOOKUP(C502,'Example Parties'!$B$13:$Q$112,2,FALSE),"?"))</f>
        <v/>
      </c>
      <c r="Q502">
        <f>IF(D502="","",IFERROR(VLOOKUP(D502,Lists!$A$2:$D$9,3,FALSE),"?"))</f>
        <v/>
      </c>
      <c r="R502">
        <f>IF(D502="","",IFERROR(VLOOKUP(D502,Lists!$A$2:$D$9,4,FALSE),"?"))</f>
        <v/>
      </c>
      <c r="S502">
        <f>IF(P502="Debtor",I502,IF(P502="Creditor",J502,0))</f>
        <v/>
      </c>
      <c r="T502">
        <f>IF(P502="Debtor",J502,IF(P502="Creditor",I502,0))</f>
        <v/>
      </c>
      <c r="U502">
        <f>IF(OR(S502=0,B502=""),0,IFERROR(VLOOKUP(C502,'Example Parties'!$B$13:$Q$112,13,FALSE),0)+SUMIFS($S$7:$S$506,$C$7:$C$506,C502,$B$7:$B$506,"&lt;"&amp;B502)+SUMIFS(S$7:S502,C$7:C502,C502,B$7:B502,B502))</f>
        <v/>
      </c>
      <c r="V502">
        <f>IF(S502=0,0,IFERROR(VLOOKUP(C502,'Example Parties'!$B$13:$Q$112,14,FALSE),0)+SUMIFS($T$7:$T$506,$C$7:$C$506,C502,$B$7:$B$506,"&lt;="&amp;'Example Outstanding'!$E$5))</f>
        <v/>
      </c>
      <c r="W502">
        <f>IF(OR('Example Outstanding'!$E$5="",S502=0,B502="",B502&gt;'Example Outstanding'!$E$5),0,MAX(0,MIN(S502,U502-V502)))</f>
        <v/>
      </c>
      <c r="X502">
        <f>IF(C502="",0,IFERROR(VLOOKUP(C502,'Example Parties'!$B$13:$Q$112,15,FALSE),0))</f>
        <v/>
      </c>
      <c r="Y502">
        <f>IF(C502="","",IFERROR(VLOOKUP(C502,'Example Parties'!$B$13:$Q$112,16,FALSE),0))</f>
        <v/>
      </c>
      <c r="Z502">
        <f>IF(OR(S502=0,B502="",Y502=""),"",IF(AND(F502&lt;&gt;"",D502="Purchase bill"),F502,B502)+Y502)</f>
        <v/>
      </c>
      <c r="AA502">
        <f>IF(OR(W502=0,Z502=""),0,MAX(0,'Example Outstanding'!$E$5-Z502))</f>
        <v/>
      </c>
      <c r="AB502">
        <f>IF(AND(X502=1,AA502&gt;0),W502*((1+3*N('Example Parties'!$E$10)/12)^(AA502*12/365)-1),0)</f>
        <v/>
      </c>
      <c r="AC502">
        <f>IF(W502=0,"",'Example Outstanding'!$E$5-B502)</f>
        <v/>
      </c>
      <c r="AD502">
        <f>IF(S502=0,0,IFERROR(VLOOKUP(C502,'Example Parties'!$B$13:$Q$112,14,FALSE),0)+SUMIFS($T$7:$T$506,$C$7:$C$506,C502,$B$7:$B$506,"&lt;="&amp;'Example Parties'!$E$8))</f>
        <v/>
      </c>
      <c r="AE502">
        <f>IF(OR('Example Parties'!$E$8="",S502=0,B502="",B502&gt;'Example Parties'!$E$8),0,MAX(0,MIN(S502,U502-AD502)))</f>
        <v/>
      </c>
      <c r="AF502">
        <f>IF(AND(P502="Creditor",X502=1,AE502&gt;0,Z502&lt;&gt;""),IF(Z502&lt;='Example Parties'!$E$8,AE502,0),0)</f>
        <v/>
      </c>
      <c r="AG502">
        <f>IF(OR(AE502=0,Z502=""),0,MAX(0,'Example Parties'!$E$8-Z502))</f>
        <v/>
      </c>
      <c r="AH502">
        <f>IF(AND(P502="Creditor",X502=1,AG502&gt;0),AE502*((1+3*N('Example Parties'!$E$10)/12)^(AG502*12/365)-1),0)</f>
        <v/>
      </c>
      <c r="AI502">
        <f>IF(AND(C502&lt;&gt;"",C502='Example Ledger'!$D$4,B502&lt;&gt;"",B502&gt;='Example Ledger'!$D$5,B502&lt;='Example Ledger'!$D$6),1,0)</f>
        <v/>
      </c>
      <c r="AJ502">
        <f>IF(AI502=1,SUM(AI$7:AI502),"")</f>
        <v/>
      </c>
      <c r="AK502">
        <f>IF(OR(N502="",N502="OK"),0,1)</f>
        <v/>
      </c>
    </row>
    <row r="503">
      <c r="B503" s="24" t="n"/>
      <c r="C503" s="14" t="n"/>
      <c r="D503" s="14" t="n"/>
      <c r="E503" s="20" t="n"/>
      <c r="F503" s="24" t="n"/>
      <c r="G503" s="14" t="n"/>
      <c r="H503" s="22" t="n"/>
      <c r="I503" s="25">
        <f>IF(Q503="D",N(H503),0)</f>
        <v/>
      </c>
      <c r="J503" s="25">
        <f>IF(Q503="C",N(H503),0)</f>
        <v/>
      </c>
      <c r="K503" s="26">
        <f>IF(Z503="","",Z503)</f>
        <v/>
      </c>
      <c r="L503" s="27">
        <f>W503</f>
        <v/>
      </c>
      <c r="M503" s="28">
        <f>AA503</f>
        <v/>
      </c>
      <c r="N503" s="23">
        <f>IF(AND(B503="",C503="",D503="",N(H503)=0),"",IF(B503="","Enter the date",IF(C503="","Pick the party",IF(P503="?","Add this party on the Parties sheet first",IF(D503="","Pick the entry type",IF(Q503="?","Pick the entry type from the list",IF(N(H503)=0,"Enter the amount",IF(AND(R503&lt;&gt;"Any",R503&lt;&gt;P503),"Sales, receipts and credit notes are for debtors; purchases, payments and debit notes for creditors",IF(AND(F503&lt;&gt;"",D503&lt;&gt;"Purchase bill"),"The received-on date is only for purchase bills",IF(AND(P503="Creditor",X503=1,AA503&gt;0),"Past due to a micro or small supplier: interest runs under MSMED s.16, and if unpaid at year end it is not deductible that year, s.37(2)(g)",IF(AND(P503="Debtor",X503=1,AA503&gt;0),"Past due to you: as a micro or small supplier you can claim interest under MSMED s.16","OK")))))))))))</f>
        <v/>
      </c>
      <c r="P503">
        <f>IF(C503="","",IFERROR(VLOOKUP(C503,'Example Parties'!$B$13:$Q$112,2,FALSE),"?"))</f>
        <v/>
      </c>
      <c r="Q503">
        <f>IF(D503="","",IFERROR(VLOOKUP(D503,Lists!$A$2:$D$9,3,FALSE),"?"))</f>
        <v/>
      </c>
      <c r="R503">
        <f>IF(D503="","",IFERROR(VLOOKUP(D503,Lists!$A$2:$D$9,4,FALSE),"?"))</f>
        <v/>
      </c>
      <c r="S503">
        <f>IF(P503="Debtor",I503,IF(P503="Creditor",J503,0))</f>
        <v/>
      </c>
      <c r="T503">
        <f>IF(P503="Debtor",J503,IF(P503="Creditor",I503,0))</f>
        <v/>
      </c>
      <c r="U503">
        <f>IF(OR(S503=0,B503=""),0,IFERROR(VLOOKUP(C503,'Example Parties'!$B$13:$Q$112,13,FALSE),0)+SUMIFS($S$7:$S$506,$C$7:$C$506,C503,$B$7:$B$506,"&lt;"&amp;B503)+SUMIFS(S$7:S503,C$7:C503,C503,B$7:B503,B503))</f>
        <v/>
      </c>
      <c r="V503">
        <f>IF(S503=0,0,IFERROR(VLOOKUP(C503,'Example Parties'!$B$13:$Q$112,14,FALSE),0)+SUMIFS($T$7:$T$506,$C$7:$C$506,C503,$B$7:$B$506,"&lt;="&amp;'Example Outstanding'!$E$5))</f>
        <v/>
      </c>
      <c r="W503">
        <f>IF(OR('Example Outstanding'!$E$5="",S503=0,B503="",B503&gt;'Example Outstanding'!$E$5),0,MAX(0,MIN(S503,U503-V503)))</f>
        <v/>
      </c>
      <c r="X503">
        <f>IF(C503="",0,IFERROR(VLOOKUP(C503,'Example Parties'!$B$13:$Q$112,15,FALSE),0))</f>
        <v/>
      </c>
      <c r="Y503">
        <f>IF(C503="","",IFERROR(VLOOKUP(C503,'Example Parties'!$B$13:$Q$112,16,FALSE),0))</f>
        <v/>
      </c>
      <c r="Z503">
        <f>IF(OR(S503=0,B503="",Y503=""),"",IF(AND(F503&lt;&gt;"",D503="Purchase bill"),F503,B503)+Y503)</f>
        <v/>
      </c>
      <c r="AA503">
        <f>IF(OR(W503=0,Z503=""),0,MAX(0,'Example Outstanding'!$E$5-Z503))</f>
        <v/>
      </c>
      <c r="AB503">
        <f>IF(AND(X503=1,AA503&gt;0),W503*((1+3*N('Example Parties'!$E$10)/12)^(AA503*12/365)-1),0)</f>
        <v/>
      </c>
      <c r="AC503">
        <f>IF(W503=0,"",'Example Outstanding'!$E$5-B503)</f>
        <v/>
      </c>
      <c r="AD503">
        <f>IF(S503=0,0,IFERROR(VLOOKUP(C503,'Example Parties'!$B$13:$Q$112,14,FALSE),0)+SUMIFS($T$7:$T$506,$C$7:$C$506,C503,$B$7:$B$506,"&lt;="&amp;'Example Parties'!$E$8))</f>
        <v/>
      </c>
      <c r="AE503">
        <f>IF(OR('Example Parties'!$E$8="",S503=0,B503="",B503&gt;'Example Parties'!$E$8),0,MAX(0,MIN(S503,U503-AD503)))</f>
        <v/>
      </c>
      <c r="AF503">
        <f>IF(AND(P503="Creditor",X503=1,AE503&gt;0,Z503&lt;&gt;""),IF(Z503&lt;='Example Parties'!$E$8,AE503,0),0)</f>
        <v/>
      </c>
      <c r="AG503">
        <f>IF(OR(AE503=0,Z503=""),0,MAX(0,'Example Parties'!$E$8-Z503))</f>
        <v/>
      </c>
      <c r="AH503">
        <f>IF(AND(P503="Creditor",X503=1,AG503&gt;0),AE503*((1+3*N('Example Parties'!$E$10)/12)^(AG503*12/365)-1),0)</f>
        <v/>
      </c>
      <c r="AI503">
        <f>IF(AND(C503&lt;&gt;"",C503='Example Ledger'!$D$4,B503&lt;&gt;"",B503&gt;='Example Ledger'!$D$5,B503&lt;='Example Ledger'!$D$6),1,0)</f>
        <v/>
      </c>
      <c r="AJ503">
        <f>IF(AI503=1,SUM(AI$7:AI503),"")</f>
        <v/>
      </c>
      <c r="AK503">
        <f>IF(OR(N503="",N503="OK"),0,1)</f>
        <v/>
      </c>
    </row>
    <row r="504">
      <c r="B504" s="24" t="n"/>
      <c r="C504" s="14" t="n"/>
      <c r="D504" s="14" t="n"/>
      <c r="E504" s="20" t="n"/>
      <c r="F504" s="24" t="n"/>
      <c r="G504" s="14" t="n"/>
      <c r="H504" s="22" t="n"/>
      <c r="I504" s="25">
        <f>IF(Q504="D",N(H504),0)</f>
        <v/>
      </c>
      <c r="J504" s="25">
        <f>IF(Q504="C",N(H504),0)</f>
        <v/>
      </c>
      <c r="K504" s="26">
        <f>IF(Z504="","",Z504)</f>
        <v/>
      </c>
      <c r="L504" s="27">
        <f>W504</f>
        <v/>
      </c>
      <c r="M504" s="28">
        <f>AA504</f>
        <v/>
      </c>
      <c r="N504" s="23">
        <f>IF(AND(B504="",C504="",D504="",N(H504)=0),"",IF(B504="","Enter the date",IF(C504="","Pick the party",IF(P504="?","Add this party on the Parties sheet first",IF(D504="","Pick the entry type",IF(Q504="?","Pick the entry type from the list",IF(N(H504)=0,"Enter the amount",IF(AND(R504&lt;&gt;"Any",R504&lt;&gt;P504),"Sales, receipts and credit notes are for debtors; purchases, payments and debit notes for creditors",IF(AND(F504&lt;&gt;"",D504&lt;&gt;"Purchase bill"),"The received-on date is only for purchase bills",IF(AND(P504="Creditor",X504=1,AA504&gt;0),"Past due to a micro or small supplier: interest runs under MSMED s.16, and if unpaid at year end it is not deductible that year, s.37(2)(g)",IF(AND(P504="Debtor",X504=1,AA504&gt;0),"Past due to you: as a micro or small supplier you can claim interest under MSMED s.16","OK")))))))))))</f>
        <v/>
      </c>
      <c r="P504">
        <f>IF(C504="","",IFERROR(VLOOKUP(C504,'Example Parties'!$B$13:$Q$112,2,FALSE),"?"))</f>
        <v/>
      </c>
      <c r="Q504">
        <f>IF(D504="","",IFERROR(VLOOKUP(D504,Lists!$A$2:$D$9,3,FALSE),"?"))</f>
        <v/>
      </c>
      <c r="R504">
        <f>IF(D504="","",IFERROR(VLOOKUP(D504,Lists!$A$2:$D$9,4,FALSE),"?"))</f>
        <v/>
      </c>
      <c r="S504">
        <f>IF(P504="Debtor",I504,IF(P504="Creditor",J504,0))</f>
        <v/>
      </c>
      <c r="T504">
        <f>IF(P504="Debtor",J504,IF(P504="Creditor",I504,0))</f>
        <v/>
      </c>
      <c r="U504">
        <f>IF(OR(S504=0,B504=""),0,IFERROR(VLOOKUP(C504,'Example Parties'!$B$13:$Q$112,13,FALSE),0)+SUMIFS($S$7:$S$506,$C$7:$C$506,C504,$B$7:$B$506,"&lt;"&amp;B504)+SUMIFS(S$7:S504,C$7:C504,C504,B$7:B504,B504))</f>
        <v/>
      </c>
      <c r="V504">
        <f>IF(S504=0,0,IFERROR(VLOOKUP(C504,'Example Parties'!$B$13:$Q$112,14,FALSE),0)+SUMIFS($T$7:$T$506,$C$7:$C$506,C504,$B$7:$B$506,"&lt;="&amp;'Example Outstanding'!$E$5))</f>
        <v/>
      </c>
      <c r="W504">
        <f>IF(OR('Example Outstanding'!$E$5="",S504=0,B504="",B504&gt;'Example Outstanding'!$E$5),0,MAX(0,MIN(S504,U504-V504)))</f>
        <v/>
      </c>
      <c r="X504">
        <f>IF(C504="",0,IFERROR(VLOOKUP(C504,'Example Parties'!$B$13:$Q$112,15,FALSE),0))</f>
        <v/>
      </c>
      <c r="Y504">
        <f>IF(C504="","",IFERROR(VLOOKUP(C504,'Example Parties'!$B$13:$Q$112,16,FALSE),0))</f>
        <v/>
      </c>
      <c r="Z504">
        <f>IF(OR(S504=0,B504="",Y504=""),"",IF(AND(F504&lt;&gt;"",D504="Purchase bill"),F504,B504)+Y504)</f>
        <v/>
      </c>
      <c r="AA504">
        <f>IF(OR(W504=0,Z504=""),0,MAX(0,'Example Outstanding'!$E$5-Z504))</f>
        <v/>
      </c>
      <c r="AB504">
        <f>IF(AND(X504=1,AA504&gt;0),W504*((1+3*N('Example Parties'!$E$10)/12)^(AA504*12/365)-1),0)</f>
        <v/>
      </c>
      <c r="AC504">
        <f>IF(W504=0,"",'Example Outstanding'!$E$5-B504)</f>
        <v/>
      </c>
      <c r="AD504">
        <f>IF(S504=0,0,IFERROR(VLOOKUP(C504,'Example Parties'!$B$13:$Q$112,14,FALSE),0)+SUMIFS($T$7:$T$506,$C$7:$C$506,C504,$B$7:$B$506,"&lt;="&amp;'Example Parties'!$E$8))</f>
        <v/>
      </c>
      <c r="AE504">
        <f>IF(OR('Example Parties'!$E$8="",S504=0,B504="",B504&gt;'Example Parties'!$E$8),0,MAX(0,MIN(S504,U504-AD504)))</f>
        <v/>
      </c>
      <c r="AF504">
        <f>IF(AND(P504="Creditor",X504=1,AE504&gt;0,Z504&lt;&gt;""),IF(Z504&lt;='Example Parties'!$E$8,AE504,0),0)</f>
        <v/>
      </c>
      <c r="AG504">
        <f>IF(OR(AE504=0,Z504=""),0,MAX(0,'Example Parties'!$E$8-Z504))</f>
        <v/>
      </c>
      <c r="AH504">
        <f>IF(AND(P504="Creditor",X504=1,AG504&gt;0),AE504*((1+3*N('Example Parties'!$E$10)/12)^(AG504*12/365)-1),0)</f>
        <v/>
      </c>
      <c r="AI504">
        <f>IF(AND(C504&lt;&gt;"",C504='Example Ledger'!$D$4,B504&lt;&gt;"",B504&gt;='Example Ledger'!$D$5,B504&lt;='Example Ledger'!$D$6),1,0)</f>
        <v/>
      </c>
      <c r="AJ504">
        <f>IF(AI504=1,SUM(AI$7:AI504),"")</f>
        <v/>
      </c>
      <c r="AK504">
        <f>IF(OR(N504="",N504="OK"),0,1)</f>
        <v/>
      </c>
    </row>
    <row r="505">
      <c r="B505" s="24" t="n"/>
      <c r="C505" s="14" t="n"/>
      <c r="D505" s="14" t="n"/>
      <c r="E505" s="20" t="n"/>
      <c r="F505" s="24" t="n"/>
      <c r="G505" s="14" t="n"/>
      <c r="H505" s="22" t="n"/>
      <c r="I505" s="25">
        <f>IF(Q505="D",N(H505),0)</f>
        <v/>
      </c>
      <c r="J505" s="25">
        <f>IF(Q505="C",N(H505),0)</f>
        <v/>
      </c>
      <c r="K505" s="26">
        <f>IF(Z505="","",Z505)</f>
        <v/>
      </c>
      <c r="L505" s="27">
        <f>W505</f>
        <v/>
      </c>
      <c r="M505" s="28">
        <f>AA505</f>
        <v/>
      </c>
      <c r="N505" s="23">
        <f>IF(AND(B505="",C505="",D505="",N(H505)=0),"",IF(B505="","Enter the date",IF(C505="","Pick the party",IF(P505="?","Add this party on the Parties sheet first",IF(D505="","Pick the entry type",IF(Q505="?","Pick the entry type from the list",IF(N(H505)=0,"Enter the amount",IF(AND(R505&lt;&gt;"Any",R505&lt;&gt;P505),"Sales, receipts and credit notes are for debtors; purchases, payments and debit notes for creditors",IF(AND(F505&lt;&gt;"",D505&lt;&gt;"Purchase bill"),"The received-on date is only for purchase bills",IF(AND(P505="Creditor",X505=1,AA505&gt;0),"Past due to a micro or small supplier: interest runs under MSMED s.16, and if unpaid at year end it is not deductible that year, s.37(2)(g)",IF(AND(P505="Debtor",X505=1,AA505&gt;0),"Past due to you: as a micro or small supplier you can claim interest under MSMED s.16","OK")))))))))))</f>
        <v/>
      </c>
      <c r="P505">
        <f>IF(C505="","",IFERROR(VLOOKUP(C505,'Example Parties'!$B$13:$Q$112,2,FALSE),"?"))</f>
        <v/>
      </c>
      <c r="Q505">
        <f>IF(D505="","",IFERROR(VLOOKUP(D505,Lists!$A$2:$D$9,3,FALSE),"?"))</f>
        <v/>
      </c>
      <c r="R505">
        <f>IF(D505="","",IFERROR(VLOOKUP(D505,Lists!$A$2:$D$9,4,FALSE),"?"))</f>
        <v/>
      </c>
      <c r="S505">
        <f>IF(P505="Debtor",I505,IF(P505="Creditor",J505,0))</f>
        <v/>
      </c>
      <c r="T505">
        <f>IF(P505="Debtor",J505,IF(P505="Creditor",I505,0))</f>
        <v/>
      </c>
      <c r="U505">
        <f>IF(OR(S505=0,B505=""),0,IFERROR(VLOOKUP(C505,'Example Parties'!$B$13:$Q$112,13,FALSE),0)+SUMIFS($S$7:$S$506,$C$7:$C$506,C505,$B$7:$B$506,"&lt;"&amp;B505)+SUMIFS(S$7:S505,C$7:C505,C505,B$7:B505,B505))</f>
        <v/>
      </c>
      <c r="V505">
        <f>IF(S505=0,0,IFERROR(VLOOKUP(C505,'Example Parties'!$B$13:$Q$112,14,FALSE),0)+SUMIFS($T$7:$T$506,$C$7:$C$506,C505,$B$7:$B$506,"&lt;="&amp;'Example Outstanding'!$E$5))</f>
        <v/>
      </c>
      <c r="W505">
        <f>IF(OR('Example Outstanding'!$E$5="",S505=0,B505="",B505&gt;'Example Outstanding'!$E$5),0,MAX(0,MIN(S505,U505-V505)))</f>
        <v/>
      </c>
      <c r="X505">
        <f>IF(C505="",0,IFERROR(VLOOKUP(C505,'Example Parties'!$B$13:$Q$112,15,FALSE),0))</f>
        <v/>
      </c>
      <c r="Y505">
        <f>IF(C505="","",IFERROR(VLOOKUP(C505,'Example Parties'!$B$13:$Q$112,16,FALSE),0))</f>
        <v/>
      </c>
      <c r="Z505">
        <f>IF(OR(S505=0,B505="",Y505=""),"",IF(AND(F505&lt;&gt;"",D505="Purchase bill"),F505,B505)+Y505)</f>
        <v/>
      </c>
      <c r="AA505">
        <f>IF(OR(W505=0,Z505=""),0,MAX(0,'Example Outstanding'!$E$5-Z505))</f>
        <v/>
      </c>
      <c r="AB505">
        <f>IF(AND(X505=1,AA505&gt;0),W505*((1+3*N('Example Parties'!$E$10)/12)^(AA505*12/365)-1),0)</f>
        <v/>
      </c>
      <c r="AC505">
        <f>IF(W505=0,"",'Example Outstanding'!$E$5-B505)</f>
        <v/>
      </c>
      <c r="AD505">
        <f>IF(S505=0,0,IFERROR(VLOOKUP(C505,'Example Parties'!$B$13:$Q$112,14,FALSE),0)+SUMIFS($T$7:$T$506,$C$7:$C$506,C505,$B$7:$B$506,"&lt;="&amp;'Example Parties'!$E$8))</f>
        <v/>
      </c>
      <c r="AE505">
        <f>IF(OR('Example Parties'!$E$8="",S505=0,B505="",B505&gt;'Example Parties'!$E$8),0,MAX(0,MIN(S505,U505-AD505)))</f>
        <v/>
      </c>
      <c r="AF505">
        <f>IF(AND(P505="Creditor",X505=1,AE505&gt;0,Z505&lt;&gt;""),IF(Z505&lt;='Example Parties'!$E$8,AE505,0),0)</f>
        <v/>
      </c>
      <c r="AG505">
        <f>IF(OR(AE505=0,Z505=""),0,MAX(0,'Example Parties'!$E$8-Z505))</f>
        <v/>
      </c>
      <c r="AH505">
        <f>IF(AND(P505="Creditor",X505=1,AG505&gt;0),AE505*((1+3*N('Example Parties'!$E$10)/12)^(AG505*12/365)-1),0)</f>
        <v/>
      </c>
      <c r="AI505">
        <f>IF(AND(C505&lt;&gt;"",C505='Example Ledger'!$D$4,B505&lt;&gt;"",B505&gt;='Example Ledger'!$D$5,B505&lt;='Example Ledger'!$D$6),1,0)</f>
        <v/>
      </c>
      <c r="AJ505">
        <f>IF(AI505=1,SUM(AI$7:AI505),"")</f>
        <v/>
      </c>
      <c r="AK505">
        <f>IF(OR(N505="",N505="OK"),0,1)</f>
        <v/>
      </c>
    </row>
    <row r="506">
      <c r="B506" s="24" t="n"/>
      <c r="C506" s="14" t="n"/>
      <c r="D506" s="14" t="n"/>
      <c r="E506" s="20" t="n"/>
      <c r="F506" s="24" t="n"/>
      <c r="G506" s="14" t="n"/>
      <c r="H506" s="22" t="n"/>
      <c r="I506" s="25">
        <f>IF(Q506="D",N(H506),0)</f>
        <v/>
      </c>
      <c r="J506" s="25">
        <f>IF(Q506="C",N(H506),0)</f>
        <v/>
      </c>
      <c r="K506" s="26">
        <f>IF(Z506="","",Z506)</f>
        <v/>
      </c>
      <c r="L506" s="27">
        <f>W506</f>
        <v/>
      </c>
      <c r="M506" s="28">
        <f>AA506</f>
        <v/>
      </c>
      <c r="N506" s="23">
        <f>IF(AND(B506="",C506="",D506="",N(H506)=0),"",IF(B506="","Enter the date",IF(C506="","Pick the party",IF(P506="?","Add this party on the Parties sheet first",IF(D506="","Pick the entry type",IF(Q506="?","Pick the entry type from the list",IF(N(H506)=0,"Enter the amount",IF(AND(R506&lt;&gt;"Any",R506&lt;&gt;P506),"Sales, receipts and credit notes are for debtors; purchases, payments and debit notes for creditors",IF(AND(F506&lt;&gt;"",D506&lt;&gt;"Purchase bill"),"The received-on date is only for purchase bills",IF(AND(P506="Creditor",X506=1,AA506&gt;0),"Past due to a micro or small supplier: interest runs under MSMED s.16, and if unpaid at year end it is not deductible that year, s.37(2)(g)",IF(AND(P506="Debtor",X506=1,AA506&gt;0),"Past due to you: as a micro or small supplier you can claim interest under MSMED s.16","OK")))))))))))</f>
        <v/>
      </c>
      <c r="P506">
        <f>IF(C506="","",IFERROR(VLOOKUP(C506,'Example Parties'!$B$13:$Q$112,2,FALSE),"?"))</f>
        <v/>
      </c>
      <c r="Q506">
        <f>IF(D506="","",IFERROR(VLOOKUP(D506,Lists!$A$2:$D$9,3,FALSE),"?"))</f>
        <v/>
      </c>
      <c r="R506">
        <f>IF(D506="","",IFERROR(VLOOKUP(D506,Lists!$A$2:$D$9,4,FALSE),"?"))</f>
        <v/>
      </c>
      <c r="S506">
        <f>IF(P506="Debtor",I506,IF(P506="Creditor",J506,0))</f>
        <v/>
      </c>
      <c r="T506">
        <f>IF(P506="Debtor",J506,IF(P506="Creditor",I506,0))</f>
        <v/>
      </c>
      <c r="U506">
        <f>IF(OR(S506=0,B506=""),0,IFERROR(VLOOKUP(C506,'Example Parties'!$B$13:$Q$112,13,FALSE),0)+SUMIFS($S$7:$S$506,$C$7:$C$506,C506,$B$7:$B$506,"&lt;"&amp;B506)+SUMIFS(S$7:S506,C$7:C506,C506,B$7:B506,B506))</f>
        <v/>
      </c>
      <c r="V506">
        <f>IF(S506=0,0,IFERROR(VLOOKUP(C506,'Example Parties'!$B$13:$Q$112,14,FALSE),0)+SUMIFS($T$7:$T$506,$C$7:$C$506,C506,$B$7:$B$506,"&lt;="&amp;'Example Outstanding'!$E$5))</f>
        <v/>
      </c>
      <c r="W506">
        <f>IF(OR('Example Outstanding'!$E$5="",S506=0,B506="",B506&gt;'Example Outstanding'!$E$5),0,MAX(0,MIN(S506,U506-V506)))</f>
        <v/>
      </c>
      <c r="X506">
        <f>IF(C506="",0,IFERROR(VLOOKUP(C506,'Example Parties'!$B$13:$Q$112,15,FALSE),0))</f>
        <v/>
      </c>
      <c r="Y506">
        <f>IF(C506="","",IFERROR(VLOOKUP(C506,'Example Parties'!$B$13:$Q$112,16,FALSE),0))</f>
        <v/>
      </c>
      <c r="Z506">
        <f>IF(OR(S506=0,B506="",Y506=""),"",IF(AND(F506&lt;&gt;"",D506="Purchase bill"),F506,B506)+Y506)</f>
        <v/>
      </c>
      <c r="AA506">
        <f>IF(OR(W506=0,Z506=""),0,MAX(0,'Example Outstanding'!$E$5-Z506))</f>
        <v/>
      </c>
      <c r="AB506">
        <f>IF(AND(X506=1,AA506&gt;0),W506*((1+3*N('Example Parties'!$E$10)/12)^(AA506*12/365)-1),0)</f>
        <v/>
      </c>
      <c r="AC506">
        <f>IF(W506=0,"",'Example Outstanding'!$E$5-B506)</f>
        <v/>
      </c>
      <c r="AD506">
        <f>IF(S506=0,0,IFERROR(VLOOKUP(C506,'Example Parties'!$B$13:$Q$112,14,FALSE),0)+SUMIFS($T$7:$T$506,$C$7:$C$506,C506,$B$7:$B$506,"&lt;="&amp;'Example Parties'!$E$8))</f>
        <v/>
      </c>
      <c r="AE506">
        <f>IF(OR('Example Parties'!$E$8="",S506=0,B506="",B506&gt;'Example Parties'!$E$8),0,MAX(0,MIN(S506,U506-AD506)))</f>
        <v/>
      </c>
      <c r="AF506">
        <f>IF(AND(P506="Creditor",X506=1,AE506&gt;0,Z506&lt;&gt;""),IF(Z506&lt;='Example Parties'!$E$8,AE506,0),0)</f>
        <v/>
      </c>
      <c r="AG506">
        <f>IF(OR(AE506=0,Z506=""),0,MAX(0,'Example Parties'!$E$8-Z506))</f>
        <v/>
      </c>
      <c r="AH506">
        <f>IF(AND(P506="Creditor",X506=1,AG506&gt;0),AE506*((1+3*N('Example Parties'!$E$10)/12)^(AG506*12/365)-1),0)</f>
        <v/>
      </c>
      <c r="AI506">
        <f>IF(AND(C506&lt;&gt;"",C506='Example Ledger'!$D$4,B506&lt;&gt;"",B506&gt;='Example Ledger'!$D$5,B506&lt;='Example Ledger'!$D$6),1,0)</f>
        <v/>
      </c>
      <c r="AJ506">
        <f>IF(AI506=1,SUM(AI$7:AI506),"")</f>
        <v/>
      </c>
      <c r="AK506">
        <f>IF(OR(N506="",N506="OK"),0,1)</f>
        <v/>
      </c>
    </row>
    <row r="507" ht="18" customHeight="1">
      <c r="B507" s="29" t="inlineStr">
        <is>
          <t>Total</t>
        </is>
      </c>
      <c r="C507" s="30" t="n"/>
      <c r="D507" s="30" t="n"/>
      <c r="E507" s="30" t="n"/>
      <c r="F507" s="30" t="n"/>
      <c r="G507" s="30" t="n"/>
      <c r="H507" s="30" t="n"/>
      <c r="I507" s="31">
        <f>SUM($I$7:$I$506)</f>
        <v/>
      </c>
      <c r="J507" s="31">
        <f>SUM($J$7:$J$506)</f>
        <v/>
      </c>
      <c r="K507" s="30" t="n"/>
      <c r="L507" s="30" t="n"/>
      <c r="M507" s="30" t="n"/>
      <c r="N507" s="30" t="n"/>
    </row>
    <row r="508"/>
    <row r="509" ht="16" customHeight="1">
      <c r="B509" s="8" t="inlineStr">
        <is>
          <t>Unpaid bills are matched oldest first: a receipt or payment clears the earliest open bill of that party. Due dates follow the MSMED Act for micro and small suppliers (15 days from acceptance, or the written term up to 45). General guidance, not legal or tax advice.</t>
        </is>
      </c>
      <c r="C509" s="9" t="n"/>
      <c r="D509" s="9" t="n"/>
      <c r="E509" s="9" t="n"/>
      <c r="F509" s="9" t="n"/>
      <c r="G509" s="9" t="n"/>
      <c r="H509" s="9" t="n"/>
      <c r="I509" s="9" t="n"/>
      <c r="J509" s="9" t="n"/>
      <c r="K509" s="9" t="n"/>
      <c r="L509" s="9" t="n"/>
      <c r="M509" s="9" t="n"/>
      <c r="N509" s="9" t="n"/>
    </row>
    <row r="510"/>
    <row r="511" ht="16" customHeight="1">
      <c r="B511"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1"/>
  <mergeCells count="5">
    <mergeCell ref="B4:N4"/>
    <mergeCell ref="B509:N509"/>
    <mergeCell ref="B3:N3"/>
    <mergeCell ref="B2:N2"/>
    <mergeCell ref="B511:N511"/>
  </mergeCells>
  <dataValidations count="5">
    <dataValidation sqref="B7:B506" showDropDown="0" showInputMessage="0" showErrorMessage="1" allowBlank="1" errorTitle="Enter a date" error="Enter a date, for example 01-Apr-2026." type="date" operator="between">
      <formula1>DATE(2000,1,1)</formula1>
      <formula2>DATE(2100,12,31)</formula2>
    </dataValidation>
    <dataValidation sqref="F7:F506" showDropDown="0" showInputMessage="0" showErrorMessage="1" allowBlank="1" errorTitle="Enter a date" error="Enter a date, for example 01-Apr-2026." type="date" operator="between">
      <formula1>DATE(2000,1,1)</formula1>
      <formula2>DATE(2100,12,31)</formula2>
    </dataValidation>
    <dataValidation sqref="C7:C506" showDropDown="0" showInputMessage="0" showErrorMessage="1" allowBlank="1" errorTitle="Pick from the list" error="Pick an option from the drop-down list." type="list">
      <formula1>='Example Parties'!$B$13:$B$112</formula1>
    </dataValidation>
    <dataValidation sqref="D7:D506" showDropDown="0" showInputMessage="0" showErrorMessage="1" allowBlank="1" errorTitle="Pick from the list" error="Pick an option from the drop-down list." type="list">
      <formula1>=Lists!$A$2:$A$9</formula1>
    </dataValidation>
    <dataValidation sqref="H7:H506" showDropDown="0" showInputMessage="0" showErrorMessage="1" allowBlank="1" errorTitle="Enter an amount" error="Enter the amount in rupees as a number, with no minus sign." type="decimal" operator="greaterThanOrEqual">
      <formula1>0</formula1>
    </dataValidation>
  </dataValidations>
  <pageMargins left="0.3" right="0.3" top="0.4" bottom="0.4"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B2:I86"/>
  <sheetViews>
    <sheetView showGridLines="0" workbookViewId="0">
      <selection activeCell="A1" sqref="A1"/>
    </sheetView>
  </sheetViews>
  <sheetFormatPr baseColWidth="8" defaultRowHeight="15"/>
  <cols>
    <col width="2" customWidth="1" min="1" max="1"/>
    <col width="13" customWidth="1" min="2" max="2"/>
    <col width="44" customWidth="1" min="3" max="3"/>
    <col width="16" customWidth="1" min="4" max="4"/>
    <col width="14" customWidth="1" min="5" max="5"/>
    <col width="14" customWidth="1" min="6" max="6"/>
    <col width="17" customWidth="1" min="7" max="7"/>
    <col width="2" customWidth="1" min="8" max="8"/>
    <col hidden="1" width="10" customWidth="1" min="9" max="9"/>
    <col width="10" customWidth="1" min="10" max="10"/>
    <col width="10" customWidth="1" min="11" max="11"/>
  </cols>
  <sheetData>
    <row r="2">
      <c r="B2" s="1" t="inlineStr">
        <is>
          <t>LEDGER ACCOUNT</t>
        </is>
      </c>
    </row>
    <row r="3">
      <c r="B3" s="11" t="inlineStr">
        <is>
          <t>Pick a party and a period, then print. Rows 2 to 7 do not print.</t>
        </is>
      </c>
    </row>
    <row r="4">
      <c r="B4" s="12" t="inlineStr">
        <is>
          <t>Party</t>
        </is>
      </c>
      <c r="C4" s="13" t="n"/>
      <c r="D4" s="32" t="inlineStr">
        <is>
          <t>Packaging supplier</t>
        </is>
      </c>
      <c r="E4" s="15" t="n"/>
    </row>
    <row r="5">
      <c r="B5" s="12" t="inlineStr">
        <is>
          <t>From</t>
        </is>
      </c>
      <c r="C5" s="13" t="n"/>
      <c r="D5" s="33" t="n">
        <v>46113</v>
      </c>
      <c r="E5" s="15" t="n"/>
    </row>
    <row r="6">
      <c r="B6" s="12" t="inlineStr">
        <is>
          <t>To</t>
        </is>
      </c>
      <c r="C6" s="13" t="n"/>
      <c r="D6" s="33" t="n">
        <v>46326</v>
      </c>
      <c r="E6" s="15" t="n"/>
    </row>
    <row r="8">
      <c r="B8" s="34">
        <f>IF('Example Parties'!$E$6="","Name of the business",'Example Parties'!$E$6)</f>
        <v/>
      </c>
    </row>
    <row r="9" ht="22" customHeight="1">
      <c r="B9" s="35">
        <f>IF($D$4="","LEDGER ACCOUNT","LEDGER ACCOUNT: "&amp;UPPER($D$4))</f>
        <v/>
      </c>
      <c r="C9" s="4" t="n"/>
      <c r="D9" s="4" t="n"/>
      <c r="E9" s="4" t="n"/>
      <c r="F9" s="4" t="n"/>
      <c r="G9" s="4" t="n"/>
    </row>
    <row r="10">
      <c r="B10" s="36">
        <f>IF($D$4="","",IFERROR(VLOOKUP($D$4,'Example Parties'!$B$13:$Q$112,2,FALSE)&amp;"","")&amp;IF(IFERROR(VLOOKUP($D$4,'Example Parties'!$B$13:$Q$112,3,FALSE)&amp;"","")="","","  |  GSTIN: "&amp;VLOOKUP($D$4,'Example Parties'!$B$13:$Q$112,3,FALSE))&amp;IF(IFERROR(VLOOKUP($D$4,'Example Parties'!$B$13:$Q$112,5,FALSE)&amp;"","")="","","  |  Udyam: "&amp;VLOOKUP($D$4,'Example Parties'!$B$13:$Q$112,5,FALSE)))</f>
        <v/>
      </c>
    </row>
    <row r="11">
      <c r="B11" s="36">
        <f>IF(OR($D$5="",$D$6=""),"Set the period above","From "&amp;TEXT($D$5,"DD-MMM-YYYY")&amp;" to "&amp;TEXT($D$6,"DD-MMM-YYYY"))</f>
        <v/>
      </c>
    </row>
    <row r="13">
      <c r="B13" s="19" t="inlineStr">
        <is>
          <t>Date</t>
        </is>
      </c>
      <c r="C13" s="19" t="inlineStr">
        <is>
          <t>Particulars</t>
        </is>
      </c>
      <c r="D13" s="19" t="inlineStr">
        <is>
          <t>Bill or voucher no.</t>
        </is>
      </c>
      <c r="E13" s="19" t="inlineStr">
        <is>
          <t>Debit</t>
        </is>
      </c>
      <c r="F13" s="19" t="inlineStr">
        <is>
          <t>Credit</t>
        </is>
      </c>
      <c r="G13" s="19" t="inlineStr">
        <is>
          <t>Balance</t>
        </is>
      </c>
    </row>
    <row r="14">
      <c r="B14" s="26">
        <f>IF($D$5="","",$D$5)</f>
        <v/>
      </c>
      <c r="C14" s="37" t="inlineStr">
        <is>
          <t>Opening balance</t>
        </is>
      </c>
      <c r="D14" s="7" t="n"/>
      <c r="E14" s="7" t="n"/>
      <c r="F14" s="7" t="n"/>
      <c r="G14" s="38">
        <f>IF($D$4="","",IFERROR(VLOOKUP($D$4,'Example Parties'!$B$13:$Q$112,12,FALSE),0)+SUMIFS('Example Entries'!$I$7:$I$506,'Example Entries'!$C$7:$C$506,$D$4,'Example Entries'!$B$7:$B$506,"&lt;"&amp;$D$5)-SUMIFS('Example Entries'!$J$7:$J$506,'Example Entries'!$C$7:$C$506,$D$4,'Example Entries'!$B$7:$B$506,"&lt;"&amp;$D$5))</f>
        <v/>
      </c>
    </row>
    <row r="15">
      <c r="B15" s="26">
        <f>IF($I15="","",INDEX('Example Entries'!$B$7:$B$506,$I15))</f>
        <v/>
      </c>
      <c r="C15" s="39">
        <f>IF($I15="","",INDEX('Example Entries'!$D$7:$D$506,$I15)&amp;IF(INDEX('Example Entries'!$G$7:$G$506,$I15)="","",": "&amp;INDEX('Example Entries'!$G$7:$G$506,$I15)))</f>
        <v/>
      </c>
      <c r="D15" s="40">
        <f>IF($I15="","",INDEX('Example Entries'!$E$7:$E$506,$I15)&amp;"")</f>
        <v/>
      </c>
      <c r="E15" s="25">
        <f>IF($I15="","",INDEX('Example Entries'!$I$7:$I$506,$I15))</f>
        <v/>
      </c>
      <c r="F15" s="25">
        <f>IF($I15="","",INDEX('Example Entries'!$J$7:$J$506,$I15))</f>
        <v/>
      </c>
      <c r="G15" s="41">
        <f>IF($I15="","",N(G14)+N(E15)-N(F15))</f>
        <v/>
      </c>
      <c r="I15">
        <f>IF(1&gt;SUM('Example Entries'!$AI$7:$AI$506),"",IFERROR(MATCH(1,'Example Entries'!$AJ$7:$AJ$506,0),""))</f>
        <v/>
      </c>
    </row>
    <row r="16">
      <c r="B16" s="26">
        <f>IF($I16="","",INDEX('Example Entries'!$B$7:$B$506,$I16))</f>
        <v/>
      </c>
      <c r="C16" s="39">
        <f>IF($I16="","",INDEX('Example Entries'!$D$7:$D$506,$I16)&amp;IF(INDEX('Example Entries'!$G$7:$G$506,$I16)="","",": "&amp;INDEX('Example Entries'!$G$7:$G$506,$I16)))</f>
        <v/>
      </c>
      <c r="D16" s="40">
        <f>IF($I16="","",INDEX('Example Entries'!$E$7:$E$506,$I16)&amp;"")</f>
        <v/>
      </c>
      <c r="E16" s="25">
        <f>IF($I16="","",INDEX('Example Entries'!$I$7:$I$506,$I16))</f>
        <v/>
      </c>
      <c r="F16" s="25">
        <f>IF($I16="","",INDEX('Example Entries'!$J$7:$J$506,$I16))</f>
        <v/>
      </c>
      <c r="G16" s="41">
        <f>IF($I16="","",N(G15)+N(E16)-N(F16))</f>
        <v/>
      </c>
      <c r="I16">
        <f>IF(2&gt;SUM('Example Entries'!$AI$7:$AI$506),"",IFERROR(MATCH(2,'Example Entries'!$AJ$7:$AJ$506,0),""))</f>
        <v/>
      </c>
    </row>
    <row r="17">
      <c r="B17" s="26">
        <f>IF($I17="","",INDEX('Example Entries'!$B$7:$B$506,$I17))</f>
        <v/>
      </c>
      <c r="C17" s="39">
        <f>IF($I17="","",INDEX('Example Entries'!$D$7:$D$506,$I17)&amp;IF(INDEX('Example Entries'!$G$7:$G$506,$I17)="","",": "&amp;INDEX('Example Entries'!$G$7:$G$506,$I17)))</f>
        <v/>
      </c>
      <c r="D17" s="40">
        <f>IF($I17="","",INDEX('Example Entries'!$E$7:$E$506,$I17)&amp;"")</f>
        <v/>
      </c>
      <c r="E17" s="25">
        <f>IF($I17="","",INDEX('Example Entries'!$I$7:$I$506,$I17))</f>
        <v/>
      </c>
      <c r="F17" s="25">
        <f>IF($I17="","",INDEX('Example Entries'!$J$7:$J$506,$I17))</f>
        <v/>
      </c>
      <c r="G17" s="41">
        <f>IF($I17="","",N(G16)+N(E17)-N(F17))</f>
        <v/>
      </c>
      <c r="I17">
        <f>IF(3&gt;SUM('Example Entries'!$AI$7:$AI$506),"",IFERROR(MATCH(3,'Example Entries'!$AJ$7:$AJ$506,0),""))</f>
        <v/>
      </c>
    </row>
    <row r="18">
      <c r="B18" s="26">
        <f>IF($I18="","",INDEX('Example Entries'!$B$7:$B$506,$I18))</f>
        <v/>
      </c>
      <c r="C18" s="39">
        <f>IF($I18="","",INDEX('Example Entries'!$D$7:$D$506,$I18)&amp;IF(INDEX('Example Entries'!$G$7:$G$506,$I18)="","",": "&amp;INDEX('Example Entries'!$G$7:$G$506,$I18)))</f>
        <v/>
      </c>
      <c r="D18" s="40">
        <f>IF($I18="","",INDEX('Example Entries'!$E$7:$E$506,$I18)&amp;"")</f>
        <v/>
      </c>
      <c r="E18" s="25">
        <f>IF($I18="","",INDEX('Example Entries'!$I$7:$I$506,$I18))</f>
        <v/>
      </c>
      <c r="F18" s="25">
        <f>IF($I18="","",INDEX('Example Entries'!$J$7:$J$506,$I18))</f>
        <v/>
      </c>
      <c r="G18" s="41">
        <f>IF($I18="","",N(G17)+N(E18)-N(F18))</f>
        <v/>
      </c>
      <c r="I18">
        <f>IF(4&gt;SUM('Example Entries'!$AI$7:$AI$506),"",IFERROR(MATCH(4,'Example Entries'!$AJ$7:$AJ$506,0),""))</f>
        <v/>
      </c>
    </row>
    <row r="19">
      <c r="B19" s="26">
        <f>IF($I19="","",INDEX('Example Entries'!$B$7:$B$506,$I19))</f>
        <v/>
      </c>
      <c r="C19" s="39">
        <f>IF($I19="","",INDEX('Example Entries'!$D$7:$D$506,$I19)&amp;IF(INDEX('Example Entries'!$G$7:$G$506,$I19)="","",": "&amp;INDEX('Example Entries'!$G$7:$G$506,$I19)))</f>
        <v/>
      </c>
      <c r="D19" s="40">
        <f>IF($I19="","",INDEX('Example Entries'!$E$7:$E$506,$I19)&amp;"")</f>
        <v/>
      </c>
      <c r="E19" s="25">
        <f>IF($I19="","",INDEX('Example Entries'!$I$7:$I$506,$I19))</f>
        <v/>
      </c>
      <c r="F19" s="25">
        <f>IF($I19="","",INDEX('Example Entries'!$J$7:$J$506,$I19))</f>
        <v/>
      </c>
      <c r="G19" s="41">
        <f>IF($I19="","",N(G18)+N(E19)-N(F19))</f>
        <v/>
      </c>
      <c r="I19">
        <f>IF(5&gt;SUM('Example Entries'!$AI$7:$AI$506),"",IFERROR(MATCH(5,'Example Entries'!$AJ$7:$AJ$506,0),""))</f>
        <v/>
      </c>
    </row>
    <row r="20">
      <c r="B20" s="26">
        <f>IF($I20="","",INDEX('Example Entries'!$B$7:$B$506,$I20))</f>
        <v/>
      </c>
      <c r="C20" s="39">
        <f>IF($I20="","",INDEX('Example Entries'!$D$7:$D$506,$I20)&amp;IF(INDEX('Example Entries'!$G$7:$G$506,$I20)="","",": "&amp;INDEX('Example Entries'!$G$7:$G$506,$I20)))</f>
        <v/>
      </c>
      <c r="D20" s="40">
        <f>IF($I20="","",INDEX('Example Entries'!$E$7:$E$506,$I20)&amp;"")</f>
        <v/>
      </c>
      <c r="E20" s="25">
        <f>IF($I20="","",INDEX('Example Entries'!$I$7:$I$506,$I20))</f>
        <v/>
      </c>
      <c r="F20" s="25">
        <f>IF($I20="","",INDEX('Example Entries'!$J$7:$J$506,$I20))</f>
        <v/>
      </c>
      <c r="G20" s="41">
        <f>IF($I20="","",N(G19)+N(E20)-N(F20))</f>
        <v/>
      </c>
      <c r="I20">
        <f>IF(6&gt;SUM('Example Entries'!$AI$7:$AI$506),"",IFERROR(MATCH(6,'Example Entries'!$AJ$7:$AJ$506,0),""))</f>
        <v/>
      </c>
    </row>
    <row r="21">
      <c r="B21" s="26">
        <f>IF($I21="","",INDEX('Example Entries'!$B$7:$B$506,$I21))</f>
        <v/>
      </c>
      <c r="C21" s="39">
        <f>IF($I21="","",INDEX('Example Entries'!$D$7:$D$506,$I21)&amp;IF(INDEX('Example Entries'!$G$7:$G$506,$I21)="","",": "&amp;INDEX('Example Entries'!$G$7:$G$506,$I21)))</f>
        <v/>
      </c>
      <c r="D21" s="40">
        <f>IF($I21="","",INDEX('Example Entries'!$E$7:$E$506,$I21)&amp;"")</f>
        <v/>
      </c>
      <c r="E21" s="25">
        <f>IF($I21="","",INDEX('Example Entries'!$I$7:$I$506,$I21))</f>
        <v/>
      </c>
      <c r="F21" s="25">
        <f>IF($I21="","",INDEX('Example Entries'!$J$7:$J$506,$I21))</f>
        <v/>
      </c>
      <c r="G21" s="41">
        <f>IF($I21="","",N(G20)+N(E21)-N(F21))</f>
        <v/>
      </c>
      <c r="I21">
        <f>IF(7&gt;SUM('Example Entries'!$AI$7:$AI$506),"",IFERROR(MATCH(7,'Example Entries'!$AJ$7:$AJ$506,0),""))</f>
        <v/>
      </c>
    </row>
    <row r="22">
      <c r="B22" s="26">
        <f>IF($I22="","",INDEX('Example Entries'!$B$7:$B$506,$I22))</f>
        <v/>
      </c>
      <c r="C22" s="39">
        <f>IF($I22="","",INDEX('Example Entries'!$D$7:$D$506,$I22)&amp;IF(INDEX('Example Entries'!$G$7:$G$506,$I22)="","",": "&amp;INDEX('Example Entries'!$G$7:$G$506,$I22)))</f>
        <v/>
      </c>
      <c r="D22" s="40">
        <f>IF($I22="","",INDEX('Example Entries'!$E$7:$E$506,$I22)&amp;"")</f>
        <v/>
      </c>
      <c r="E22" s="25">
        <f>IF($I22="","",INDEX('Example Entries'!$I$7:$I$506,$I22))</f>
        <v/>
      </c>
      <c r="F22" s="25">
        <f>IF($I22="","",INDEX('Example Entries'!$J$7:$J$506,$I22))</f>
        <v/>
      </c>
      <c r="G22" s="41">
        <f>IF($I22="","",N(G21)+N(E22)-N(F22))</f>
        <v/>
      </c>
      <c r="I22">
        <f>IF(8&gt;SUM('Example Entries'!$AI$7:$AI$506),"",IFERROR(MATCH(8,'Example Entries'!$AJ$7:$AJ$506,0),""))</f>
        <v/>
      </c>
    </row>
    <row r="23">
      <c r="B23" s="26">
        <f>IF($I23="","",INDEX('Example Entries'!$B$7:$B$506,$I23))</f>
        <v/>
      </c>
      <c r="C23" s="39">
        <f>IF($I23="","",INDEX('Example Entries'!$D$7:$D$506,$I23)&amp;IF(INDEX('Example Entries'!$G$7:$G$506,$I23)="","",": "&amp;INDEX('Example Entries'!$G$7:$G$506,$I23)))</f>
        <v/>
      </c>
      <c r="D23" s="40">
        <f>IF($I23="","",INDEX('Example Entries'!$E$7:$E$506,$I23)&amp;"")</f>
        <v/>
      </c>
      <c r="E23" s="25">
        <f>IF($I23="","",INDEX('Example Entries'!$I$7:$I$506,$I23))</f>
        <v/>
      </c>
      <c r="F23" s="25">
        <f>IF($I23="","",INDEX('Example Entries'!$J$7:$J$506,$I23))</f>
        <v/>
      </c>
      <c r="G23" s="41">
        <f>IF($I23="","",N(G22)+N(E23)-N(F23))</f>
        <v/>
      </c>
      <c r="I23">
        <f>IF(9&gt;SUM('Example Entries'!$AI$7:$AI$506),"",IFERROR(MATCH(9,'Example Entries'!$AJ$7:$AJ$506,0),""))</f>
        <v/>
      </c>
    </row>
    <row r="24">
      <c r="B24" s="26">
        <f>IF($I24="","",INDEX('Example Entries'!$B$7:$B$506,$I24))</f>
        <v/>
      </c>
      <c r="C24" s="39">
        <f>IF($I24="","",INDEX('Example Entries'!$D$7:$D$506,$I24)&amp;IF(INDEX('Example Entries'!$G$7:$G$506,$I24)="","",": "&amp;INDEX('Example Entries'!$G$7:$G$506,$I24)))</f>
        <v/>
      </c>
      <c r="D24" s="40">
        <f>IF($I24="","",INDEX('Example Entries'!$E$7:$E$506,$I24)&amp;"")</f>
        <v/>
      </c>
      <c r="E24" s="25">
        <f>IF($I24="","",INDEX('Example Entries'!$I$7:$I$506,$I24))</f>
        <v/>
      </c>
      <c r="F24" s="25">
        <f>IF($I24="","",INDEX('Example Entries'!$J$7:$J$506,$I24))</f>
        <v/>
      </c>
      <c r="G24" s="41">
        <f>IF($I24="","",N(G23)+N(E24)-N(F24))</f>
        <v/>
      </c>
      <c r="I24">
        <f>IF(10&gt;SUM('Example Entries'!$AI$7:$AI$506),"",IFERROR(MATCH(10,'Example Entries'!$AJ$7:$AJ$506,0),""))</f>
        <v/>
      </c>
    </row>
    <row r="25">
      <c r="B25" s="26">
        <f>IF($I25="","",INDEX('Example Entries'!$B$7:$B$506,$I25))</f>
        <v/>
      </c>
      <c r="C25" s="39">
        <f>IF($I25="","",INDEX('Example Entries'!$D$7:$D$506,$I25)&amp;IF(INDEX('Example Entries'!$G$7:$G$506,$I25)="","",": "&amp;INDEX('Example Entries'!$G$7:$G$506,$I25)))</f>
        <v/>
      </c>
      <c r="D25" s="40">
        <f>IF($I25="","",INDEX('Example Entries'!$E$7:$E$506,$I25)&amp;"")</f>
        <v/>
      </c>
      <c r="E25" s="25">
        <f>IF($I25="","",INDEX('Example Entries'!$I$7:$I$506,$I25))</f>
        <v/>
      </c>
      <c r="F25" s="25">
        <f>IF($I25="","",INDEX('Example Entries'!$J$7:$J$506,$I25))</f>
        <v/>
      </c>
      <c r="G25" s="41">
        <f>IF($I25="","",N(G24)+N(E25)-N(F25))</f>
        <v/>
      </c>
      <c r="I25">
        <f>IF(11&gt;SUM('Example Entries'!$AI$7:$AI$506),"",IFERROR(MATCH(11,'Example Entries'!$AJ$7:$AJ$506,0),""))</f>
        <v/>
      </c>
    </row>
    <row r="26">
      <c r="B26" s="26">
        <f>IF($I26="","",INDEX('Example Entries'!$B$7:$B$506,$I26))</f>
        <v/>
      </c>
      <c r="C26" s="39">
        <f>IF($I26="","",INDEX('Example Entries'!$D$7:$D$506,$I26)&amp;IF(INDEX('Example Entries'!$G$7:$G$506,$I26)="","",": "&amp;INDEX('Example Entries'!$G$7:$G$506,$I26)))</f>
        <v/>
      </c>
      <c r="D26" s="40">
        <f>IF($I26="","",INDEX('Example Entries'!$E$7:$E$506,$I26)&amp;"")</f>
        <v/>
      </c>
      <c r="E26" s="25">
        <f>IF($I26="","",INDEX('Example Entries'!$I$7:$I$506,$I26))</f>
        <v/>
      </c>
      <c r="F26" s="25">
        <f>IF($I26="","",INDEX('Example Entries'!$J$7:$J$506,$I26))</f>
        <v/>
      </c>
      <c r="G26" s="41">
        <f>IF($I26="","",N(G25)+N(E26)-N(F26))</f>
        <v/>
      </c>
      <c r="I26">
        <f>IF(12&gt;SUM('Example Entries'!$AI$7:$AI$506),"",IFERROR(MATCH(12,'Example Entries'!$AJ$7:$AJ$506,0),""))</f>
        <v/>
      </c>
    </row>
    <row r="27">
      <c r="B27" s="26">
        <f>IF($I27="","",INDEX('Example Entries'!$B$7:$B$506,$I27))</f>
        <v/>
      </c>
      <c r="C27" s="39">
        <f>IF($I27="","",INDEX('Example Entries'!$D$7:$D$506,$I27)&amp;IF(INDEX('Example Entries'!$G$7:$G$506,$I27)="","",": "&amp;INDEX('Example Entries'!$G$7:$G$506,$I27)))</f>
        <v/>
      </c>
      <c r="D27" s="40">
        <f>IF($I27="","",INDEX('Example Entries'!$E$7:$E$506,$I27)&amp;"")</f>
        <v/>
      </c>
      <c r="E27" s="25">
        <f>IF($I27="","",INDEX('Example Entries'!$I$7:$I$506,$I27))</f>
        <v/>
      </c>
      <c r="F27" s="25">
        <f>IF($I27="","",INDEX('Example Entries'!$J$7:$J$506,$I27))</f>
        <v/>
      </c>
      <c r="G27" s="41">
        <f>IF($I27="","",N(G26)+N(E27)-N(F27))</f>
        <v/>
      </c>
      <c r="I27">
        <f>IF(13&gt;SUM('Example Entries'!$AI$7:$AI$506),"",IFERROR(MATCH(13,'Example Entries'!$AJ$7:$AJ$506,0),""))</f>
        <v/>
      </c>
    </row>
    <row r="28">
      <c r="B28" s="26">
        <f>IF($I28="","",INDEX('Example Entries'!$B$7:$B$506,$I28))</f>
        <v/>
      </c>
      <c r="C28" s="39">
        <f>IF($I28="","",INDEX('Example Entries'!$D$7:$D$506,$I28)&amp;IF(INDEX('Example Entries'!$G$7:$G$506,$I28)="","",": "&amp;INDEX('Example Entries'!$G$7:$G$506,$I28)))</f>
        <v/>
      </c>
      <c r="D28" s="40">
        <f>IF($I28="","",INDEX('Example Entries'!$E$7:$E$506,$I28)&amp;"")</f>
        <v/>
      </c>
      <c r="E28" s="25">
        <f>IF($I28="","",INDEX('Example Entries'!$I$7:$I$506,$I28))</f>
        <v/>
      </c>
      <c r="F28" s="25">
        <f>IF($I28="","",INDEX('Example Entries'!$J$7:$J$506,$I28))</f>
        <v/>
      </c>
      <c r="G28" s="41">
        <f>IF($I28="","",N(G27)+N(E28)-N(F28))</f>
        <v/>
      </c>
      <c r="I28">
        <f>IF(14&gt;SUM('Example Entries'!$AI$7:$AI$506),"",IFERROR(MATCH(14,'Example Entries'!$AJ$7:$AJ$506,0),""))</f>
        <v/>
      </c>
    </row>
    <row r="29">
      <c r="B29" s="26">
        <f>IF($I29="","",INDEX('Example Entries'!$B$7:$B$506,$I29))</f>
        <v/>
      </c>
      <c r="C29" s="39">
        <f>IF($I29="","",INDEX('Example Entries'!$D$7:$D$506,$I29)&amp;IF(INDEX('Example Entries'!$G$7:$G$506,$I29)="","",": "&amp;INDEX('Example Entries'!$G$7:$G$506,$I29)))</f>
        <v/>
      </c>
      <c r="D29" s="40">
        <f>IF($I29="","",INDEX('Example Entries'!$E$7:$E$506,$I29)&amp;"")</f>
        <v/>
      </c>
      <c r="E29" s="25">
        <f>IF($I29="","",INDEX('Example Entries'!$I$7:$I$506,$I29))</f>
        <v/>
      </c>
      <c r="F29" s="25">
        <f>IF($I29="","",INDEX('Example Entries'!$J$7:$J$506,$I29))</f>
        <v/>
      </c>
      <c r="G29" s="41">
        <f>IF($I29="","",N(G28)+N(E29)-N(F29))</f>
        <v/>
      </c>
      <c r="I29">
        <f>IF(15&gt;SUM('Example Entries'!$AI$7:$AI$506),"",IFERROR(MATCH(15,'Example Entries'!$AJ$7:$AJ$506,0),""))</f>
        <v/>
      </c>
    </row>
    <row r="30">
      <c r="B30" s="26">
        <f>IF($I30="","",INDEX('Example Entries'!$B$7:$B$506,$I30))</f>
        <v/>
      </c>
      <c r="C30" s="39">
        <f>IF($I30="","",INDEX('Example Entries'!$D$7:$D$506,$I30)&amp;IF(INDEX('Example Entries'!$G$7:$G$506,$I30)="","",": "&amp;INDEX('Example Entries'!$G$7:$G$506,$I30)))</f>
        <v/>
      </c>
      <c r="D30" s="40">
        <f>IF($I30="","",INDEX('Example Entries'!$E$7:$E$506,$I30)&amp;"")</f>
        <v/>
      </c>
      <c r="E30" s="25">
        <f>IF($I30="","",INDEX('Example Entries'!$I$7:$I$506,$I30))</f>
        <v/>
      </c>
      <c r="F30" s="25">
        <f>IF($I30="","",INDEX('Example Entries'!$J$7:$J$506,$I30))</f>
        <v/>
      </c>
      <c r="G30" s="41">
        <f>IF($I30="","",N(G29)+N(E30)-N(F30))</f>
        <v/>
      </c>
      <c r="I30">
        <f>IF(16&gt;SUM('Example Entries'!$AI$7:$AI$506),"",IFERROR(MATCH(16,'Example Entries'!$AJ$7:$AJ$506,0),""))</f>
        <v/>
      </c>
    </row>
    <row r="31">
      <c r="B31" s="26">
        <f>IF($I31="","",INDEX('Example Entries'!$B$7:$B$506,$I31))</f>
        <v/>
      </c>
      <c r="C31" s="39">
        <f>IF($I31="","",INDEX('Example Entries'!$D$7:$D$506,$I31)&amp;IF(INDEX('Example Entries'!$G$7:$G$506,$I31)="","",": "&amp;INDEX('Example Entries'!$G$7:$G$506,$I31)))</f>
        <v/>
      </c>
      <c r="D31" s="40">
        <f>IF($I31="","",INDEX('Example Entries'!$E$7:$E$506,$I31)&amp;"")</f>
        <v/>
      </c>
      <c r="E31" s="25">
        <f>IF($I31="","",INDEX('Example Entries'!$I$7:$I$506,$I31))</f>
        <v/>
      </c>
      <c r="F31" s="25">
        <f>IF($I31="","",INDEX('Example Entries'!$J$7:$J$506,$I31))</f>
        <v/>
      </c>
      <c r="G31" s="41">
        <f>IF($I31="","",N(G30)+N(E31)-N(F31))</f>
        <v/>
      </c>
      <c r="I31">
        <f>IF(17&gt;SUM('Example Entries'!$AI$7:$AI$506),"",IFERROR(MATCH(17,'Example Entries'!$AJ$7:$AJ$506,0),""))</f>
        <v/>
      </c>
    </row>
    <row r="32">
      <c r="B32" s="26">
        <f>IF($I32="","",INDEX('Example Entries'!$B$7:$B$506,$I32))</f>
        <v/>
      </c>
      <c r="C32" s="39">
        <f>IF($I32="","",INDEX('Example Entries'!$D$7:$D$506,$I32)&amp;IF(INDEX('Example Entries'!$G$7:$G$506,$I32)="","",": "&amp;INDEX('Example Entries'!$G$7:$G$506,$I32)))</f>
        <v/>
      </c>
      <c r="D32" s="40">
        <f>IF($I32="","",INDEX('Example Entries'!$E$7:$E$506,$I32)&amp;"")</f>
        <v/>
      </c>
      <c r="E32" s="25">
        <f>IF($I32="","",INDEX('Example Entries'!$I$7:$I$506,$I32))</f>
        <v/>
      </c>
      <c r="F32" s="25">
        <f>IF($I32="","",INDEX('Example Entries'!$J$7:$J$506,$I32))</f>
        <v/>
      </c>
      <c r="G32" s="41">
        <f>IF($I32="","",N(G31)+N(E32)-N(F32))</f>
        <v/>
      </c>
      <c r="I32">
        <f>IF(18&gt;SUM('Example Entries'!$AI$7:$AI$506),"",IFERROR(MATCH(18,'Example Entries'!$AJ$7:$AJ$506,0),""))</f>
        <v/>
      </c>
    </row>
    <row r="33">
      <c r="B33" s="26">
        <f>IF($I33="","",INDEX('Example Entries'!$B$7:$B$506,$I33))</f>
        <v/>
      </c>
      <c r="C33" s="39">
        <f>IF($I33="","",INDEX('Example Entries'!$D$7:$D$506,$I33)&amp;IF(INDEX('Example Entries'!$G$7:$G$506,$I33)="","",": "&amp;INDEX('Example Entries'!$G$7:$G$506,$I33)))</f>
        <v/>
      </c>
      <c r="D33" s="40">
        <f>IF($I33="","",INDEX('Example Entries'!$E$7:$E$506,$I33)&amp;"")</f>
        <v/>
      </c>
      <c r="E33" s="25">
        <f>IF($I33="","",INDEX('Example Entries'!$I$7:$I$506,$I33))</f>
        <v/>
      </c>
      <c r="F33" s="25">
        <f>IF($I33="","",INDEX('Example Entries'!$J$7:$J$506,$I33))</f>
        <v/>
      </c>
      <c r="G33" s="41">
        <f>IF($I33="","",N(G32)+N(E33)-N(F33))</f>
        <v/>
      </c>
      <c r="I33">
        <f>IF(19&gt;SUM('Example Entries'!$AI$7:$AI$506),"",IFERROR(MATCH(19,'Example Entries'!$AJ$7:$AJ$506,0),""))</f>
        <v/>
      </c>
    </row>
    <row r="34">
      <c r="B34" s="26">
        <f>IF($I34="","",INDEX('Example Entries'!$B$7:$B$506,$I34))</f>
        <v/>
      </c>
      <c r="C34" s="39">
        <f>IF($I34="","",INDEX('Example Entries'!$D$7:$D$506,$I34)&amp;IF(INDEX('Example Entries'!$G$7:$G$506,$I34)="","",": "&amp;INDEX('Example Entries'!$G$7:$G$506,$I34)))</f>
        <v/>
      </c>
      <c r="D34" s="40">
        <f>IF($I34="","",INDEX('Example Entries'!$E$7:$E$506,$I34)&amp;"")</f>
        <v/>
      </c>
      <c r="E34" s="25">
        <f>IF($I34="","",INDEX('Example Entries'!$I$7:$I$506,$I34))</f>
        <v/>
      </c>
      <c r="F34" s="25">
        <f>IF($I34="","",INDEX('Example Entries'!$J$7:$J$506,$I34))</f>
        <v/>
      </c>
      <c r="G34" s="41">
        <f>IF($I34="","",N(G33)+N(E34)-N(F34))</f>
        <v/>
      </c>
      <c r="I34">
        <f>IF(20&gt;SUM('Example Entries'!$AI$7:$AI$506),"",IFERROR(MATCH(20,'Example Entries'!$AJ$7:$AJ$506,0),""))</f>
        <v/>
      </c>
    </row>
    <row r="35">
      <c r="B35" s="26">
        <f>IF($I35="","",INDEX('Example Entries'!$B$7:$B$506,$I35))</f>
        <v/>
      </c>
      <c r="C35" s="39">
        <f>IF($I35="","",INDEX('Example Entries'!$D$7:$D$506,$I35)&amp;IF(INDEX('Example Entries'!$G$7:$G$506,$I35)="","",": "&amp;INDEX('Example Entries'!$G$7:$G$506,$I35)))</f>
        <v/>
      </c>
      <c r="D35" s="40">
        <f>IF($I35="","",INDEX('Example Entries'!$E$7:$E$506,$I35)&amp;"")</f>
        <v/>
      </c>
      <c r="E35" s="25">
        <f>IF($I35="","",INDEX('Example Entries'!$I$7:$I$506,$I35))</f>
        <v/>
      </c>
      <c r="F35" s="25">
        <f>IF($I35="","",INDEX('Example Entries'!$J$7:$J$506,$I35))</f>
        <v/>
      </c>
      <c r="G35" s="41">
        <f>IF($I35="","",N(G34)+N(E35)-N(F35))</f>
        <v/>
      </c>
      <c r="I35">
        <f>IF(21&gt;SUM('Example Entries'!$AI$7:$AI$506),"",IFERROR(MATCH(21,'Example Entries'!$AJ$7:$AJ$506,0),""))</f>
        <v/>
      </c>
    </row>
    <row r="36">
      <c r="B36" s="26">
        <f>IF($I36="","",INDEX('Example Entries'!$B$7:$B$506,$I36))</f>
        <v/>
      </c>
      <c r="C36" s="39">
        <f>IF($I36="","",INDEX('Example Entries'!$D$7:$D$506,$I36)&amp;IF(INDEX('Example Entries'!$G$7:$G$506,$I36)="","",": "&amp;INDEX('Example Entries'!$G$7:$G$506,$I36)))</f>
        <v/>
      </c>
      <c r="D36" s="40">
        <f>IF($I36="","",INDEX('Example Entries'!$E$7:$E$506,$I36)&amp;"")</f>
        <v/>
      </c>
      <c r="E36" s="25">
        <f>IF($I36="","",INDEX('Example Entries'!$I$7:$I$506,$I36))</f>
        <v/>
      </c>
      <c r="F36" s="25">
        <f>IF($I36="","",INDEX('Example Entries'!$J$7:$J$506,$I36))</f>
        <v/>
      </c>
      <c r="G36" s="41">
        <f>IF($I36="","",N(G35)+N(E36)-N(F36))</f>
        <v/>
      </c>
      <c r="I36">
        <f>IF(22&gt;SUM('Example Entries'!$AI$7:$AI$506),"",IFERROR(MATCH(22,'Example Entries'!$AJ$7:$AJ$506,0),""))</f>
        <v/>
      </c>
    </row>
    <row r="37">
      <c r="B37" s="26">
        <f>IF($I37="","",INDEX('Example Entries'!$B$7:$B$506,$I37))</f>
        <v/>
      </c>
      <c r="C37" s="39">
        <f>IF($I37="","",INDEX('Example Entries'!$D$7:$D$506,$I37)&amp;IF(INDEX('Example Entries'!$G$7:$G$506,$I37)="","",": "&amp;INDEX('Example Entries'!$G$7:$G$506,$I37)))</f>
        <v/>
      </c>
      <c r="D37" s="40">
        <f>IF($I37="","",INDEX('Example Entries'!$E$7:$E$506,$I37)&amp;"")</f>
        <v/>
      </c>
      <c r="E37" s="25">
        <f>IF($I37="","",INDEX('Example Entries'!$I$7:$I$506,$I37))</f>
        <v/>
      </c>
      <c r="F37" s="25">
        <f>IF($I37="","",INDEX('Example Entries'!$J$7:$J$506,$I37))</f>
        <v/>
      </c>
      <c r="G37" s="41">
        <f>IF($I37="","",N(G36)+N(E37)-N(F37))</f>
        <v/>
      </c>
      <c r="I37">
        <f>IF(23&gt;SUM('Example Entries'!$AI$7:$AI$506),"",IFERROR(MATCH(23,'Example Entries'!$AJ$7:$AJ$506,0),""))</f>
        <v/>
      </c>
    </row>
    <row r="38">
      <c r="B38" s="26">
        <f>IF($I38="","",INDEX('Example Entries'!$B$7:$B$506,$I38))</f>
        <v/>
      </c>
      <c r="C38" s="39">
        <f>IF($I38="","",INDEX('Example Entries'!$D$7:$D$506,$I38)&amp;IF(INDEX('Example Entries'!$G$7:$G$506,$I38)="","",": "&amp;INDEX('Example Entries'!$G$7:$G$506,$I38)))</f>
        <v/>
      </c>
      <c r="D38" s="40">
        <f>IF($I38="","",INDEX('Example Entries'!$E$7:$E$506,$I38)&amp;"")</f>
        <v/>
      </c>
      <c r="E38" s="25">
        <f>IF($I38="","",INDEX('Example Entries'!$I$7:$I$506,$I38))</f>
        <v/>
      </c>
      <c r="F38" s="25">
        <f>IF($I38="","",INDEX('Example Entries'!$J$7:$J$506,$I38))</f>
        <v/>
      </c>
      <c r="G38" s="41">
        <f>IF($I38="","",N(G37)+N(E38)-N(F38))</f>
        <v/>
      </c>
      <c r="I38">
        <f>IF(24&gt;SUM('Example Entries'!$AI$7:$AI$506),"",IFERROR(MATCH(24,'Example Entries'!$AJ$7:$AJ$506,0),""))</f>
        <v/>
      </c>
    </row>
    <row r="39">
      <c r="B39" s="26">
        <f>IF($I39="","",INDEX('Example Entries'!$B$7:$B$506,$I39))</f>
        <v/>
      </c>
      <c r="C39" s="39">
        <f>IF($I39="","",INDEX('Example Entries'!$D$7:$D$506,$I39)&amp;IF(INDEX('Example Entries'!$G$7:$G$506,$I39)="","",": "&amp;INDEX('Example Entries'!$G$7:$G$506,$I39)))</f>
        <v/>
      </c>
      <c r="D39" s="40">
        <f>IF($I39="","",INDEX('Example Entries'!$E$7:$E$506,$I39)&amp;"")</f>
        <v/>
      </c>
      <c r="E39" s="25">
        <f>IF($I39="","",INDEX('Example Entries'!$I$7:$I$506,$I39))</f>
        <v/>
      </c>
      <c r="F39" s="25">
        <f>IF($I39="","",INDEX('Example Entries'!$J$7:$J$506,$I39))</f>
        <v/>
      </c>
      <c r="G39" s="41">
        <f>IF($I39="","",N(G38)+N(E39)-N(F39))</f>
        <v/>
      </c>
      <c r="I39">
        <f>IF(25&gt;SUM('Example Entries'!$AI$7:$AI$506),"",IFERROR(MATCH(25,'Example Entries'!$AJ$7:$AJ$506,0),""))</f>
        <v/>
      </c>
    </row>
    <row r="40">
      <c r="B40" s="26">
        <f>IF($I40="","",INDEX('Example Entries'!$B$7:$B$506,$I40))</f>
        <v/>
      </c>
      <c r="C40" s="39">
        <f>IF($I40="","",INDEX('Example Entries'!$D$7:$D$506,$I40)&amp;IF(INDEX('Example Entries'!$G$7:$G$506,$I40)="","",": "&amp;INDEX('Example Entries'!$G$7:$G$506,$I40)))</f>
        <v/>
      </c>
      <c r="D40" s="40">
        <f>IF($I40="","",INDEX('Example Entries'!$E$7:$E$506,$I40)&amp;"")</f>
        <v/>
      </c>
      <c r="E40" s="25">
        <f>IF($I40="","",INDEX('Example Entries'!$I$7:$I$506,$I40))</f>
        <v/>
      </c>
      <c r="F40" s="25">
        <f>IF($I40="","",INDEX('Example Entries'!$J$7:$J$506,$I40))</f>
        <v/>
      </c>
      <c r="G40" s="41">
        <f>IF($I40="","",N(G39)+N(E40)-N(F40))</f>
        <v/>
      </c>
      <c r="I40">
        <f>IF(26&gt;SUM('Example Entries'!$AI$7:$AI$506),"",IFERROR(MATCH(26,'Example Entries'!$AJ$7:$AJ$506,0),""))</f>
        <v/>
      </c>
    </row>
    <row r="41">
      <c r="B41" s="26">
        <f>IF($I41="","",INDEX('Example Entries'!$B$7:$B$506,$I41))</f>
        <v/>
      </c>
      <c r="C41" s="39">
        <f>IF($I41="","",INDEX('Example Entries'!$D$7:$D$506,$I41)&amp;IF(INDEX('Example Entries'!$G$7:$G$506,$I41)="","",": "&amp;INDEX('Example Entries'!$G$7:$G$506,$I41)))</f>
        <v/>
      </c>
      <c r="D41" s="40">
        <f>IF($I41="","",INDEX('Example Entries'!$E$7:$E$506,$I41)&amp;"")</f>
        <v/>
      </c>
      <c r="E41" s="25">
        <f>IF($I41="","",INDEX('Example Entries'!$I$7:$I$506,$I41))</f>
        <v/>
      </c>
      <c r="F41" s="25">
        <f>IF($I41="","",INDEX('Example Entries'!$J$7:$J$506,$I41))</f>
        <v/>
      </c>
      <c r="G41" s="41">
        <f>IF($I41="","",N(G40)+N(E41)-N(F41))</f>
        <v/>
      </c>
      <c r="I41">
        <f>IF(27&gt;SUM('Example Entries'!$AI$7:$AI$506),"",IFERROR(MATCH(27,'Example Entries'!$AJ$7:$AJ$506,0),""))</f>
        <v/>
      </c>
    </row>
    <row r="42">
      <c r="B42" s="26">
        <f>IF($I42="","",INDEX('Example Entries'!$B$7:$B$506,$I42))</f>
        <v/>
      </c>
      <c r="C42" s="39">
        <f>IF($I42="","",INDEX('Example Entries'!$D$7:$D$506,$I42)&amp;IF(INDEX('Example Entries'!$G$7:$G$506,$I42)="","",": "&amp;INDEX('Example Entries'!$G$7:$G$506,$I42)))</f>
        <v/>
      </c>
      <c r="D42" s="40">
        <f>IF($I42="","",INDEX('Example Entries'!$E$7:$E$506,$I42)&amp;"")</f>
        <v/>
      </c>
      <c r="E42" s="25">
        <f>IF($I42="","",INDEX('Example Entries'!$I$7:$I$506,$I42))</f>
        <v/>
      </c>
      <c r="F42" s="25">
        <f>IF($I42="","",INDEX('Example Entries'!$J$7:$J$506,$I42))</f>
        <v/>
      </c>
      <c r="G42" s="41">
        <f>IF($I42="","",N(G41)+N(E42)-N(F42))</f>
        <v/>
      </c>
      <c r="I42">
        <f>IF(28&gt;SUM('Example Entries'!$AI$7:$AI$506),"",IFERROR(MATCH(28,'Example Entries'!$AJ$7:$AJ$506,0),""))</f>
        <v/>
      </c>
    </row>
    <row r="43">
      <c r="B43" s="26">
        <f>IF($I43="","",INDEX('Example Entries'!$B$7:$B$506,$I43))</f>
        <v/>
      </c>
      <c r="C43" s="39">
        <f>IF($I43="","",INDEX('Example Entries'!$D$7:$D$506,$I43)&amp;IF(INDEX('Example Entries'!$G$7:$G$506,$I43)="","",": "&amp;INDEX('Example Entries'!$G$7:$G$506,$I43)))</f>
        <v/>
      </c>
      <c r="D43" s="40">
        <f>IF($I43="","",INDEX('Example Entries'!$E$7:$E$506,$I43)&amp;"")</f>
        <v/>
      </c>
      <c r="E43" s="25">
        <f>IF($I43="","",INDEX('Example Entries'!$I$7:$I$506,$I43))</f>
        <v/>
      </c>
      <c r="F43" s="25">
        <f>IF($I43="","",INDEX('Example Entries'!$J$7:$J$506,$I43))</f>
        <v/>
      </c>
      <c r="G43" s="41">
        <f>IF($I43="","",N(G42)+N(E43)-N(F43))</f>
        <v/>
      </c>
      <c r="I43">
        <f>IF(29&gt;SUM('Example Entries'!$AI$7:$AI$506),"",IFERROR(MATCH(29,'Example Entries'!$AJ$7:$AJ$506,0),""))</f>
        <v/>
      </c>
    </row>
    <row r="44">
      <c r="B44" s="26">
        <f>IF($I44="","",INDEX('Example Entries'!$B$7:$B$506,$I44))</f>
        <v/>
      </c>
      <c r="C44" s="39">
        <f>IF($I44="","",INDEX('Example Entries'!$D$7:$D$506,$I44)&amp;IF(INDEX('Example Entries'!$G$7:$G$506,$I44)="","",": "&amp;INDEX('Example Entries'!$G$7:$G$506,$I44)))</f>
        <v/>
      </c>
      <c r="D44" s="40">
        <f>IF($I44="","",INDEX('Example Entries'!$E$7:$E$506,$I44)&amp;"")</f>
        <v/>
      </c>
      <c r="E44" s="25">
        <f>IF($I44="","",INDEX('Example Entries'!$I$7:$I$506,$I44))</f>
        <v/>
      </c>
      <c r="F44" s="25">
        <f>IF($I44="","",INDEX('Example Entries'!$J$7:$J$506,$I44))</f>
        <v/>
      </c>
      <c r="G44" s="41">
        <f>IF($I44="","",N(G43)+N(E44)-N(F44))</f>
        <v/>
      </c>
      <c r="I44">
        <f>IF(30&gt;SUM('Example Entries'!$AI$7:$AI$506),"",IFERROR(MATCH(30,'Example Entries'!$AJ$7:$AJ$506,0),""))</f>
        <v/>
      </c>
    </row>
    <row r="45">
      <c r="B45" s="26">
        <f>IF($I45="","",INDEX('Example Entries'!$B$7:$B$506,$I45))</f>
        <v/>
      </c>
      <c r="C45" s="39">
        <f>IF($I45="","",INDEX('Example Entries'!$D$7:$D$506,$I45)&amp;IF(INDEX('Example Entries'!$G$7:$G$506,$I45)="","",": "&amp;INDEX('Example Entries'!$G$7:$G$506,$I45)))</f>
        <v/>
      </c>
      <c r="D45" s="40">
        <f>IF($I45="","",INDEX('Example Entries'!$E$7:$E$506,$I45)&amp;"")</f>
        <v/>
      </c>
      <c r="E45" s="25">
        <f>IF($I45="","",INDEX('Example Entries'!$I$7:$I$506,$I45))</f>
        <v/>
      </c>
      <c r="F45" s="25">
        <f>IF($I45="","",INDEX('Example Entries'!$J$7:$J$506,$I45))</f>
        <v/>
      </c>
      <c r="G45" s="41">
        <f>IF($I45="","",N(G44)+N(E45)-N(F45))</f>
        <v/>
      </c>
      <c r="I45">
        <f>IF(31&gt;SUM('Example Entries'!$AI$7:$AI$506),"",IFERROR(MATCH(31,'Example Entries'!$AJ$7:$AJ$506,0),""))</f>
        <v/>
      </c>
    </row>
    <row r="46">
      <c r="B46" s="26">
        <f>IF($I46="","",INDEX('Example Entries'!$B$7:$B$506,$I46))</f>
        <v/>
      </c>
      <c r="C46" s="39">
        <f>IF($I46="","",INDEX('Example Entries'!$D$7:$D$506,$I46)&amp;IF(INDEX('Example Entries'!$G$7:$G$506,$I46)="","",": "&amp;INDEX('Example Entries'!$G$7:$G$506,$I46)))</f>
        <v/>
      </c>
      <c r="D46" s="40">
        <f>IF($I46="","",INDEX('Example Entries'!$E$7:$E$506,$I46)&amp;"")</f>
        <v/>
      </c>
      <c r="E46" s="25">
        <f>IF($I46="","",INDEX('Example Entries'!$I$7:$I$506,$I46))</f>
        <v/>
      </c>
      <c r="F46" s="25">
        <f>IF($I46="","",INDEX('Example Entries'!$J$7:$J$506,$I46))</f>
        <v/>
      </c>
      <c r="G46" s="41">
        <f>IF($I46="","",N(G45)+N(E46)-N(F46))</f>
        <v/>
      </c>
      <c r="I46">
        <f>IF(32&gt;SUM('Example Entries'!$AI$7:$AI$506),"",IFERROR(MATCH(32,'Example Entries'!$AJ$7:$AJ$506,0),""))</f>
        <v/>
      </c>
    </row>
    <row r="47">
      <c r="B47" s="26">
        <f>IF($I47="","",INDEX('Example Entries'!$B$7:$B$506,$I47))</f>
        <v/>
      </c>
      <c r="C47" s="39">
        <f>IF($I47="","",INDEX('Example Entries'!$D$7:$D$506,$I47)&amp;IF(INDEX('Example Entries'!$G$7:$G$506,$I47)="","",": "&amp;INDEX('Example Entries'!$G$7:$G$506,$I47)))</f>
        <v/>
      </c>
      <c r="D47" s="40">
        <f>IF($I47="","",INDEX('Example Entries'!$E$7:$E$506,$I47)&amp;"")</f>
        <v/>
      </c>
      <c r="E47" s="25">
        <f>IF($I47="","",INDEX('Example Entries'!$I$7:$I$506,$I47))</f>
        <v/>
      </c>
      <c r="F47" s="25">
        <f>IF($I47="","",INDEX('Example Entries'!$J$7:$J$506,$I47))</f>
        <v/>
      </c>
      <c r="G47" s="41">
        <f>IF($I47="","",N(G46)+N(E47)-N(F47))</f>
        <v/>
      </c>
      <c r="I47">
        <f>IF(33&gt;SUM('Example Entries'!$AI$7:$AI$506),"",IFERROR(MATCH(33,'Example Entries'!$AJ$7:$AJ$506,0),""))</f>
        <v/>
      </c>
    </row>
    <row r="48">
      <c r="B48" s="26">
        <f>IF($I48="","",INDEX('Example Entries'!$B$7:$B$506,$I48))</f>
        <v/>
      </c>
      <c r="C48" s="39">
        <f>IF($I48="","",INDEX('Example Entries'!$D$7:$D$506,$I48)&amp;IF(INDEX('Example Entries'!$G$7:$G$506,$I48)="","",": "&amp;INDEX('Example Entries'!$G$7:$G$506,$I48)))</f>
        <v/>
      </c>
      <c r="D48" s="40">
        <f>IF($I48="","",INDEX('Example Entries'!$E$7:$E$506,$I48)&amp;"")</f>
        <v/>
      </c>
      <c r="E48" s="25">
        <f>IF($I48="","",INDEX('Example Entries'!$I$7:$I$506,$I48))</f>
        <v/>
      </c>
      <c r="F48" s="25">
        <f>IF($I48="","",INDEX('Example Entries'!$J$7:$J$506,$I48))</f>
        <v/>
      </c>
      <c r="G48" s="41">
        <f>IF($I48="","",N(G47)+N(E48)-N(F48))</f>
        <v/>
      </c>
      <c r="I48">
        <f>IF(34&gt;SUM('Example Entries'!$AI$7:$AI$506),"",IFERROR(MATCH(34,'Example Entries'!$AJ$7:$AJ$506,0),""))</f>
        <v/>
      </c>
    </row>
    <row r="49">
      <c r="B49" s="26">
        <f>IF($I49="","",INDEX('Example Entries'!$B$7:$B$506,$I49))</f>
        <v/>
      </c>
      <c r="C49" s="39">
        <f>IF($I49="","",INDEX('Example Entries'!$D$7:$D$506,$I49)&amp;IF(INDEX('Example Entries'!$G$7:$G$506,$I49)="","",": "&amp;INDEX('Example Entries'!$G$7:$G$506,$I49)))</f>
        <v/>
      </c>
      <c r="D49" s="40">
        <f>IF($I49="","",INDEX('Example Entries'!$E$7:$E$506,$I49)&amp;"")</f>
        <v/>
      </c>
      <c r="E49" s="25">
        <f>IF($I49="","",INDEX('Example Entries'!$I$7:$I$506,$I49))</f>
        <v/>
      </c>
      <c r="F49" s="25">
        <f>IF($I49="","",INDEX('Example Entries'!$J$7:$J$506,$I49))</f>
        <v/>
      </c>
      <c r="G49" s="41">
        <f>IF($I49="","",N(G48)+N(E49)-N(F49))</f>
        <v/>
      </c>
      <c r="I49">
        <f>IF(35&gt;SUM('Example Entries'!$AI$7:$AI$506),"",IFERROR(MATCH(35,'Example Entries'!$AJ$7:$AJ$506,0),""))</f>
        <v/>
      </c>
    </row>
    <row r="50">
      <c r="B50" s="26">
        <f>IF($I50="","",INDEX('Example Entries'!$B$7:$B$506,$I50))</f>
        <v/>
      </c>
      <c r="C50" s="39">
        <f>IF($I50="","",INDEX('Example Entries'!$D$7:$D$506,$I50)&amp;IF(INDEX('Example Entries'!$G$7:$G$506,$I50)="","",": "&amp;INDEX('Example Entries'!$G$7:$G$506,$I50)))</f>
        <v/>
      </c>
      <c r="D50" s="40">
        <f>IF($I50="","",INDEX('Example Entries'!$E$7:$E$506,$I50)&amp;"")</f>
        <v/>
      </c>
      <c r="E50" s="25">
        <f>IF($I50="","",INDEX('Example Entries'!$I$7:$I$506,$I50))</f>
        <v/>
      </c>
      <c r="F50" s="25">
        <f>IF($I50="","",INDEX('Example Entries'!$J$7:$J$506,$I50))</f>
        <v/>
      </c>
      <c r="G50" s="41">
        <f>IF($I50="","",N(G49)+N(E50)-N(F50))</f>
        <v/>
      </c>
      <c r="I50">
        <f>IF(36&gt;SUM('Example Entries'!$AI$7:$AI$506),"",IFERROR(MATCH(36,'Example Entries'!$AJ$7:$AJ$506,0),""))</f>
        <v/>
      </c>
    </row>
    <row r="51">
      <c r="B51" s="26">
        <f>IF($I51="","",INDEX('Example Entries'!$B$7:$B$506,$I51))</f>
        <v/>
      </c>
      <c r="C51" s="39">
        <f>IF($I51="","",INDEX('Example Entries'!$D$7:$D$506,$I51)&amp;IF(INDEX('Example Entries'!$G$7:$G$506,$I51)="","",": "&amp;INDEX('Example Entries'!$G$7:$G$506,$I51)))</f>
        <v/>
      </c>
      <c r="D51" s="40">
        <f>IF($I51="","",INDEX('Example Entries'!$E$7:$E$506,$I51)&amp;"")</f>
        <v/>
      </c>
      <c r="E51" s="25">
        <f>IF($I51="","",INDEX('Example Entries'!$I$7:$I$506,$I51))</f>
        <v/>
      </c>
      <c r="F51" s="25">
        <f>IF($I51="","",INDEX('Example Entries'!$J$7:$J$506,$I51))</f>
        <v/>
      </c>
      <c r="G51" s="41">
        <f>IF($I51="","",N(G50)+N(E51)-N(F51))</f>
        <v/>
      </c>
      <c r="I51">
        <f>IF(37&gt;SUM('Example Entries'!$AI$7:$AI$506),"",IFERROR(MATCH(37,'Example Entries'!$AJ$7:$AJ$506,0),""))</f>
        <v/>
      </c>
    </row>
    <row r="52">
      <c r="B52" s="26">
        <f>IF($I52="","",INDEX('Example Entries'!$B$7:$B$506,$I52))</f>
        <v/>
      </c>
      <c r="C52" s="39">
        <f>IF($I52="","",INDEX('Example Entries'!$D$7:$D$506,$I52)&amp;IF(INDEX('Example Entries'!$G$7:$G$506,$I52)="","",": "&amp;INDEX('Example Entries'!$G$7:$G$506,$I52)))</f>
        <v/>
      </c>
      <c r="D52" s="40">
        <f>IF($I52="","",INDEX('Example Entries'!$E$7:$E$506,$I52)&amp;"")</f>
        <v/>
      </c>
      <c r="E52" s="25">
        <f>IF($I52="","",INDEX('Example Entries'!$I$7:$I$506,$I52))</f>
        <v/>
      </c>
      <c r="F52" s="25">
        <f>IF($I52="","",INDEX('Example Entries'!$J$7:$J$506,$I52))</f>
        <v/>
      </c>
      <c r="G52" s="41">
        <f>IF($I52="","",N(G51)+N(E52)-N(F52))</f>
        <v/>
      </c>
      <c r="I52">
        <f>IF(38&gt;SUM('Example Entries'!$AI$7:$AI$506),"",IFERROR(MATCH(38,'Example Entries'!$AJ$7:$AJ$506,0),""))</f>
        <v/>
      </c>
    </row>
    <row r="53">
      <c r="B53" s="26">
        <f>IF($I53="","",INDEX('Example Entries'!$B$7:$B$506,$I53))</f>
        <v/>
      </c>
      <c r="C53" s="39">
        <f>IF($I53="","",INDEX('Example Entries'!$D$7:$D$506,$I53)&amp;IF(INDEX('Example Entries'!$G$7:$G$506,$I53)="","",": "&amp;INDEX('Example Entries'!$G$7:$G$506,$I53)))</f>
        <v/>
      </c>
      <c r="D53" s="40">
        <f>IF($I53="","",INDEX('Example Entries'!$E$7:$E$506,$I53)&amp;"")</f>
        <v/>
      </c>
      <c r="E53" s="25">
        <f>IF($I53="","",INDEX('Example Entries'!$I$7:$I$506,$I53))</f>
        <v/>
      </c>
      <c r="F53" s="25">
        <f>IF($I53="","",INDEX('Example Entries'!$J$7:$J$506,$I53))</f>
        <v/>
      </c>
      <c r="G53" s="41">
        <f>IF($I53="","",N(G52)+N(E53)-N(F53))</f>
        <v/>
      </c>
      <c r="I53">
        <f>IF(39&gt;SUM('Example Entries'!$AI$7:$AI$506),"",IFERROR(MATCH(39,'Example Entries'!$AJ$7:$AJ$506,0),""))</f>
        <v/>
      </c>
    </row>
    <row r="54">
      <c r="B54" s="26">
        <f>IF($I54="","",INDEX('Example Entries'!$B$7:$B$506,$I54))</f>
        <v/>
      </c>
      <c r="C54" s="39">
        <f>IF($I54="","",INDEX('Example Entries'!$D$7:$D$506,$I54)&amp;IF(INDEX('Example Entries'!$G$7:$G$506,$I54)="","",": "&amp;INDEX('Example Entries'!$G$7:$G$506,$I54)))</f>
        <v/>
      </c>
      <c r="D54" s="40">
        <f>IF($I54="","",INDEX('Example Entries'!$E$7:$E$506,$I54)&amp;"")</f>
        <v/>
      </c>
      <c r="E54" s="25">
        <f>IF($I54="","",INDEX('Example Entries'!$I$7:$I$506,$I54))</f>
        <v/>
      </c>
      <c r="F54" s="25">
        <f>IF($I54="","",INDEX('Example Entries'!$J$7:$J$506,$I54))</f>
        <v/>
      </c>
      <c r="G54" s="41">
        <f>IF($I54="","",N(G53)+N(E54)-N(F54))</f>
        <v/>
      </c>
      <c r="I54">
        <f>IF(40&gt;SUM('Example Entries'!$AI$7:$AI$506),"",IFERROR(MATCH(40,'Example Entries'!$AJ$7:$AJ$506,0),""))</f>
        <v/>
      </c>
    </row>
    <row r="55">
      <c r="B55" s="26">
        <f>IF($I55="","",INDEX('Example Entries'!$B$7:$B$506,$I55))</f>
        <v/>
      </c>
      <c r="C55" s="39">
        <f>IF($I55="","",INDEX('Example Entries'!$D$7:$D$506,$I55)&amp;IF(INDEX('Example Entries'!$G$7:$G$506,$I55)="","",": "&amp;INDEX('Example Entries'!$G$7:$G$506,$I55)))</f>
        <v/>
      </c>
      <c r="D55" s="40">
        <f>IF($I55="","",INDEX('Example Entries'!$E$7:$E$506,$I55)&amp;"")</f>
        <v/>
      </c>
      <c r="E55" s="25">
        <f>IF($I55="","",INDEX('Example Entries'!$I$7:$I$506,$I55))</f>
        <v/>
      </c>
      <c r="F55" s="25">
        <f>IF($I55="","",INDEX('Example Entries'!$J$7:$J$506,$I55))</f>
        <v/>
      </c>
      <c r="G55" s="41">
        <f>IF($I55="","",N(G54)+N(E55)-N(F55))</f>
        <v/>
      </c>
      <c r="I55">
        <f>IF(41&gt;SUM('Example Entries'!$AI$7:$AI$506),"",IFERROR(MATCH(41,'Example Entries'!$AJ$7:$AJ$506,0),""))</f>
        <v/>
      </c>
    </row>
    <row r="56">
      <c r="B56" s="26">
        <f>IF($I56="","",INDEX('Example Entries'!$B$7:$B$506,$I56))</f>
        <v/>
      </c>
      <c r="C56" s="39">
        <f>IF($I56="","",INDEX('Example Entries'!$D$7:$D$506,$I56)&amp;IF(INDEX('Example Entries'!$G$7:$G$506,$I56)="","",": "&amp;INDEX('Example Entries'!$G$7:$G$506,$I56)))</f>
        <v/>
      </c>
      <c r="D56" s="40">
        <f>IF($I56="","",INDEX('Example Entries'!$E$7:$E$506,$I56)&amp;"")</f>
        <v/>
      </c>
      <c r="E56" s="25">
        <f>IF($I56="","",INDEX('Example Entries'!$I$7:$I$506,$I56))</f>
        <v/>
      </c>
      <c r="F56" s="25">
        <f>IF($I56="","",INDEX('Example Entries'!$J$7:$J$506,$I56))</f>
        <v/>
      </c>
      <c r="G56" s="41">
        <f>IF($I56="","",N(G55)+N(E56)-N(F56))</f>
        <v/>
      </c>
      <c r="I56">
        <f>IF(42&gt;SUM('Example Entries'!$AI$7:$AI$506),"",IFERROR(MATCH(42,'Example Entries'!$AJ$7:$AJ$506,0),""))</f>
        <v/>
      </c>
    </row>
    <row r="57">
      <c r="B57" s="26">
        <f>IF($I57="","",INDEX('Example Entries'!$B$7:$B$506,$I57))</f>
        <v/>
      </c>
      <c r="C57" s="39">
        <f>IF($I57="","",INDEX('Example Entries'!$D$7:$D$506,$I57)&amp;IF(INDEX('Example Entries'!$G$7:$G$506,$I57)="","",": "&amp;INDEX('Example Entries'!$G$7:$G$506,$I57)))</f>
        <v/>
      </c>
      <c r="D57" s="40">
        <f>IF($I57="","",INDEX('Example Entries'!$E$7:$E$506,$I57)&amp;"")</f>
        <v/>
      </c>
      <c r="E57" s="25">
        <f>IF($I57="","",INDEX('Example Entries'!$I$7:$I$506,$I57))</f>
        <v/>
      </c>
      <c r="F57" s="25">
        <f>IF($I57="","",INDEX('Example Entries'!$J$7:$J$506,$I57))</f>
        <v/>
      </c>
      <c r="G57" s="41">
        <f>IF($I57="","",N(G56)+N(E57)-N(F57))</f>
        <v/>
      </c>
      <c r="I57">
        <f>IF(43&gt;SUM('Example Entries'!$AI$7:$AI$506),"",IFERROR(MATCH(43,'Example Entries'!$AJ$7:$AJ$506,0),""))</f>
        <v/>
      </c>
    </row>
    <row r="58">
      <c r="B58" s="26">
        <f>IF($I58="","",INDEX('Example Entries'!$B$7:$B$506,$I58))</f>
        <v/>
      </c>
      <c r="C58" s="39">
        <f>IF($I58="","",INDEX('Example Entries'!$D$7:$D$506,$I58)&amp;IF(INDEX('Example Entries'!$G$7:$G$506,$I58)="","",": "&amp;INDEX('Example Entries'!$G$7:$G$506,$I58)))</f>
        <v/>
      </c>
      <c r="D58" s="40">
        <f>IF($I58="","",INDEX('Example Entries'!$E$7:$E$506,$I58)&amp;"")</f>
        <v/>
      </c>
      <c r="E58" s="25">
        <f>IF($I58="","",INDEX('Example Entries'!$I$7:$I$506,$I58))</f>
        <v/>
      </c>
      <c r="F58" s="25">
        <f>IF($I58="","",INDEX('Example Entries'!$J$7:$J$506,$I58))</f>
        <v/>
      </c>
      <c r="G58" s="41">
        <f>IF($I58="","",N(G57)+N(E58)-N(F58))</f>
        <v/>
      </c>
      <c r="I58">
        <f>IF(44&gt;SUM('Example Entries'!$AI$7:$AI$506),"",IFERROR(MATCH(44,'Example Entries'!$AJ$7:$AJ$506,0),""))</f>
        <v/>
      </c>
    </row>
    <row r="59">
      <c r="B59" s="26">
        <f>IF($I59="","",INDEX('Example Entries'!$B$7:$B$506,$I59))</f>
        <v/>
      </c>
      <c r="C59" s="39">
        <f>IF($I59="","",INDEX('Example Entries'!$D$7:$D$506,$I59)&amp;IF(INDEX('Example Entries'!$G$7:$G$506,$I59)="","",": "&amp;INDEX('Example Entries'!$G$7:$G$506,$I59)))</f>
        <v/>
      </c>
      <c r="D59" s="40">
        <f>IF($I59="","",INDEX('Example Entries'!$E$7:$E$506,$I59)&amp;"")</f>
        <v/>
      </c>
      <c r="E59" s="25">
        <f>IF($I59="","",INDEX('Example Entries'!$I$7:$I$506,$I59))</f>
        <v/>
      </c>
      <c r="F59" s="25">
        <f>IF($I59="","",INDEX('Example Entries'!$J$7:$J$506,$I59))</f>
        <v/>
      </c>
      <c r="G59" s="41">
        <f>IF($I59="","",N(G58)+N(E59)-N(F59))</f>
        <v/>
      </c>
      <c r="I59">
        <f>IF(45&gt;SUM('Example Entries'!$AI$7:$AI$506),"",IFERROR(MATCH(45,'Example Entries'!$AJ$7:$AJ$506,0),""))</f>
        <v/>
      </c>
    </row>
    <row r="60">
      <c r="B60" s="26">
        <f>IF($I60="","",INDEX('Example Entries'!$B$7:$B$506,$I60))</f>
        <v/>
      </c>
      <c r="C60" s="39">
        <f>IF($I60="","",INDEX('Example Entries'!$D$7:$D$506,$I60)&amp;IF(INDEX('Example Entries'!$G$7:$G$506,$I60)="","",": "&amp;INDEX('Example Entries'!$G$7:$G$506,$I60)))</f>
        <v/>
      </c>
      <c r="D60" s="40">
        <f>IF($I60="","",INDEX('Example Entries'!$E$7:$E$506,$I60)&amp;"")</f>
        <v/>
      </c>
      <c r="E60" s="25">
        <f>IF($I60="","",INDEX('Example Entries'!$I$7:$I$506,$I60))</f>
        <v/>
      </c>
      <c r="F60" s="25">
        <f>IF($I60="","",INDEX('Example Entries'!$J$7:$J$506,$I60))</f>
        <v/>
      </c>
      <c r="G60" s="41">
        <f>IF($I60="","",N(G59)+N(E60)-N(F60))</f>
        <v/>
      </c>
      <c r="I60">
        <f>IF(46&gt;SUM('Example Entries'!$AI$7:$AI$506),"",IFERROR(MATCH(46,'Example Entries'!$AJ$7:$AJ$506,0),""))</f>
        <v/>
      </c>
    </row>
    <row r="61">
      <c r="B61" s="26">
        <f>IF($I61="","",INDEX('Example Entries'!$B$7:$B$506,$I61))</f>
        <v/>
      </c>
      <c r="C61" s="39">
        <f>IF($I61="","",INDEX('Example Entries'!$D$7:$D$506,$I61)&amp;IF(INDEX('Example Entries'!$G$7:$G$506,$I61)="","",": "&amp;INDEX('Example Entries'!$G$7:$G$506,$I61)))</f>
        <v/>
      </c>
      <c r="D61" s="40">
        <f>IF($I61="","",INDEX('Example Entries'!$E$7:$E$506,$I61)&amp;"")</f>
        <v/>
      </c>
      <c r="E61" s="25">
        <f>IF($I61="","",INDEX('Example Entries'!$I$7:$I$506,$I61))</f>
        <v/>
      </c>
      <c r="F61" s="25">
        <f>IF($I61="","",INDEX('Example Entries'!$J$7:$J$506,$I61))</f>
        <v/>
      </c>
      <c r="G61" s="41">
        <f>IF($I61="","",N(G60)+N(E61)-N(F61))</f>
        <v/>
      </c>
      <c r="I61">
        <f>IF(47&gt;SUM('Example Entries'!$AI$7:$AI$506),"",IFERROR(MATCH(47,'Example Entries'!$AJ$7:$AJ$506,0),""))</f>
        <v/>
      </c>
    </row>
    <row r="62">
      <c r="B62" s="26">
        <f>IF($I62="","",INDEX('Example Entries'!$B$7:$B$506,$I62))</f>
        <v/>
      </c>
      <c r="C62" s="39">
        <f>IF($I62="","",INDEX('Example Entries'!$D$7:$D$506,$I62)&amp;IF(INDEX('Example Entries'!$G$7:$G$506,$I62)="","",": "&amp;INDEX('Example Entries'!$G$7:$G$506,$I62)))</f>
        <v/>
      </c>
      <c r="D62" s="40">
        <f>IF($I62="","",INDEX('Example Entries'!$E$7:$E$506,$I62)&amp;"")</f>
        <v/>
      </c>
      <c r="E62" s="25">
        <f>IF($I62="","",INDEX('Example Entries'!$I$7:$I$506,$I62))</f>
        <v/>
      </c>
      <c r="F62" s="25">
        <f>IF($I62="","",INDEX('Example Entries'!$J$7:$J$506,$I62))</f>
        <v/>
      </c>
      <c r="G62" s="41">
        <f>IF($I62="","",N(G61)+N(E62)-N(F62))</f>
        <v/>
      </c>
      <c r="I62">
        <f>IF(48&gt;SUM('Example Entries'!$AI$7:$AI$506),"",IFERROR(MATCH(48,'Example Entries'!$AJ$7:$AJ$506,0),""))</f>
        <v/>
      </c>
    </row>
    <row r="63">
      <c r="B63" s="26">
        <f>IF($I63="","",INDEX('Example Entries'!$B$7:$B$506,$I63))</f>
        <v/>
      </c>
      <c r="C63" s="39">
        <f>IF($I63="","",INDEX('Example Entries'!$D$7:$D$506,$I63)&amp;IF(INDEX('Example Entries'!$G$7:$G$506,$I63)="","",": "&amp;INDEX('Example Entries'!$G$7:$G$506,$I63)))</f>
        <v/>
      </c>
      <c r="D63" s="40">
        <f>IF($I63="","",INDEX('Example Entries'!$E$7:$E$506,$I63)&amp;"")</f>
        <v/>
      </c>
      <c r="E63" s="25">
        <f>IF($I63="","",INDEX('Example Entries'!$I$7:$I$506,$I63))</f>
        <v/>
      </c>
      <c r="F63" s="25">
        <f>IF($I63="","",INDEX('Example Entries'!$J$7:$J$506,$I63))</f>
        <v/>
      </c>
      <c r="G63" s="41">
        <f>IF($I63="","",N(G62)+N(E63)-N(F63))</f>
        <v/>
      </c>
      <c r="I63">
        <f>IF(49&gt;SUM('Example Entries'!$AI$7:$AI$506),"",IFERROR(MATCH(49,'Example Entries'!$AJ$7:$AJ$506,0),""))</f>
        <v/>
      </c>
    </row>
    <row r="64">
      <c r="B64" s="26">
        <f>IF($I64="","",INDEX('Example Entries'!$B$7:$B$506,$I64))</f>
        <v/>
      </c>
      <c r="C64" s="39">
        <f>IF($I64="","",INDEX('Example Entries'!$D$7:$D$506,$I64)&amp;IF(INDEX('Example Entries'!$G$7:$G$506,$I64)="","",": "&amp;INDEX('Example Entries'!$G$7:$G$506,$I64)))</f>
        <v/>
      </c>
      <c r="D64" s="40">
        <f>IF($I64="","",INDEX('Example Entries'!$E$7:$E$506,$I64)&amp;"")</f>
        <v/>
      </c>
      <c r="E64" s="25">
        <f>IF($I64="","",INDEX('Example Entries'!$I$7:$I$506,$I64))</f>
        <v/>
      </c>
      <c r="F64" s="25">
        <f>IF($I64="","",INDEX('Example Entries'!$J$7:$J$506,$I64))</f>
        <v/>
      </c>
      <c r="G64" s="41">
        <f>IF($I64="","",N(G63)+N(E64)-N(F64))</f>
        <v/>
      </c>
      <c r="I64">
        <f>IF(50&gt;SUM('Example Entries'!$AI$7:$AI$506),"",IFERROR(MATCH(50,'Example Entries'!$AJ$7:$AJ$506,0),""))</f>
        <v/>
      </c>
    </row>
    <row r="65">
      <c r="B65" s="26">
        <f>IF($I65="","",INDEX('Example Entries'!$B$7:$B$506,$I65))</f>
        <v/>
      </c>
      <c r="C65" s="39">
        <f>IF($I65="","",INDEX('Example Entries'!$D$7:$D$506,$I65)&amp;IF(INDEX('Example Entries'!$G$7:$G$506,$I65)="","",": "&amp;INDEX('Example Entries'!$G$7:$G$506,$I65)))</f>
        <v/>
      </c>
      <c r="D65" s="40">
        <f>IF($I65="","",INDEX('Example Entries'!$E$7:$E$506,$I65)&amp;"")</f>
        <v/>
      </c>
      <c r="E65" s="25">
        <f>IF($I65="","",INDEX('Example Entries'!$I$7:$I$506,$I65))</f>
        <v/>
      </c>
      <c r="F65" s="25">
        <f>IF($I65="","",INDEX('Example Entries'!$J$7:$J$506,$I65))</f>
        <v/>
      </c>
      <c r="G65" s="41">
        <f>IF($I65="","",N(G64)+N(E65)-N(F65))</f>
        <v/>
      </c>
      <c r="I65">
        <f>IF(51&gt;SUM('Example Entries'!$AI$7:$AI$506),"",IFERROR(MATCH(51,'Example Entries'!$AJ$7:$AJ$506,0),""))</f>
        <v/>
      </c>
    </row>
    <row r="66">
      <c r="B66" s="26">
        <f>IF($I66="","",INDEX('Example Entries'!$B$7:$B$506,$I66))</f>
        <v/>
      </c>
      <c r="C66" s="39">
        <f>IF($I66="","",INDEX('Example Entries'!$D$7:$D$506,$I66)&amp;IF(INDEX('Example Entries'!$G$7:$G$506,$I66)="","",": "&amp;INDEX('Example Entries'!$G$7:$G$506,$I66)))</f>
        <v/>
      </c>
      <c r="D66" s="40">
        <f>IF($I66="","",INDEX('Example Entries'!$E$7:$E$506,$I66)&amp;"")</f>
        <v/>
      </c>
      <c r="E66" s="25">
        <f>IF($I66="","",INDEX('Example Entries'!$I$7:$I$506,$I66))</f>
        <v/>
      </c>
      <c r="F66" s="25">
        <f>IF($I66="","",INDEX('Example Entries'!$J$7:$J$506,$I66))</f>
        <v/>
      </c>
      <c r="G66" s="41">
        <f>IF($I66="","",N(G65)+N(E66)-N(F66))</f>
        <v/>
      </c>
      <c r="I66">
        <f>IF(52&gt;SUM('Example Entries'!$AI$7:$AI$506),"",IFERROR(MATCH(52,'Example Entries'!$AJ$7:$AJ$506,0),""))</f>
        <v/>
      </c>
    </row>
    <row r="67">
      <c r="B67" s="26">
        <f>IF($I67="","",INDEX('Example Entries'!$B$7:$B$506,$I67))</f>
        <v/>
      </c>
      <c r="C67" s="39">
        <f>IF($I67="","",INDEX('Example Entries'!$D$7:$D$506,$I67)&amp;IF(INDEX('Example Entries'!$G$7:$G$506,$I67)="","",": "&amp;INDEX('Example Entries'!$G$7:$G$506,$I67)))</f>
        <v/>
      </c>
      <c r="D67" s="40">
        <f>IF($I67="","",INDEX('Example Entries'!$E$7:$E$506,$I67)&amp;"")</f>
        <v/>
      </c>
      <c r="E67" s="25">
        <f>IF($I67="","",INDEX('Example Entries'!$I$7:$I$506,$I67))</f>
        <v/>
      </c>
      <c r="F67" s="25">
        <f>IF($I67="","",INDEX('Example Entries'!$J$7:$J$506,$I67))</f>
        <v/>
      </c>
      <c r="G67" s="41">
        <f>IF($I67="","",N(G66)+N(E67)-N(F67))</f>
        <v/>
      </c>
      <c r="I67">
        <f>IF(53&gt;SUM('Example Entries'!$AI$7:$AI$506),"",IFERROR(MATCH(53,'Example Entries'!$AJ$7:$AJ$506,0),""))</f>
        <v/>
      </c>
    </row>
    <row r="68">
      <c r="B68" s="26">
        <f>IF($I68="","",INDEX('Example Entries'!$B$7:$B$506,$I68))</f>
        <v/>
      </c>
      <c r="C68" s="39">
        <f>IF($I68="","",INDEX('Example Entries'!$D$7:$D$506,$I68)&amp;IF(INDEX('Example Entries'!$G$7:$G$506,$I68)="","",": "&amp;INDEX('Example Entries'!$G$7:$G$506,$I68)))</f>
        <v/>
      </c>
      <c r="D68" s="40">
        <f>IF($I68="","",INDEX('Example Entries'!$E$7:$E$506,$I68)&amp;"")</f>
        <v/>
      </c>
      <c r="E68" s="25">
        <f>IF($I68="","",INDEX('Example Entries'!$I$7:$I$506,$I68))</f>
        <v/>
      </c>
      <c r="F68" s="25">
        <f>IF($I68="","",INDEX('Example Entries'!$J$7:$J$506,$I68))</f>
        <v/>
      </c>
      <c r="G68" s="41">
        <f>IF($I68="","",N(G67)+N(E68)-N(F68))</f>
        <v/>
      </c>
      <c r="I68">
        <f>IF(54&gt;SUM('Example Entries'!$AI$7:$AI$506),"",IFERROR(MATCH(54,'Example Entries'!$AJ$7:$AJ$506,0),""))</f>
        <v/>
      </c>
    </row>
    <row r="69">
      <c r="B69" s="26">
        <f>IF($I69="","",INDEX('Example Entries'!$B$7:$B$506,$I69))</f>
        <v/>
      </c>
      <c r="C69" s="39">
        <f>IF($I69="","",INDEX('Example Entries'!$D$7:$D$506,$I69)&amp;IF(INDEX('Example Entries'!$G$7:$G$506,$I69)="","",": "&amp;INDEX('Example Entries'!$G$7:$G$506,$I69)))</f>
        <v/>
      </c>
      <c r="D69" s="40">
        <f>IF($I69="","",INDEX('Example Entries'!$E$7:$E$506,$I69)&amp;"")</f>
        <v/>
      </c>
      <c r="E69" s="25">
        <f>IF($I69="","",INDEX('Example Entries'!$I$7:$I$506,$I69))</f>
        <v/>
      </c>
      <c r="F69" s="25">
        <f>IF($I69="","",INDEX('Example Entries'!$J$7:$J$506,$I69))</f>
        <v/>
      </c>
      <c r="G69" s="41">
        <f>IF($I69="","",N(G68)+N(E69)-N(F69))</f>
        <v/>
      </c>
      <c r="I69">
        <f>IF(55&gt;SUM('Example Entries'!$AI$7:$AI$506),"",IFERROR(MATCH(55,'Example Entries'!$AJ$7:$AJ$506,0),""))</f>
        <v/>
      </c>
    </row>
    <row r="70">
      <c r="B70" s="26">
        <f>IF($I70="","",INDEX('Example Entries'!$B$7:$B$506,$I70))</f>
        <v/>
      </c>
      <c r="C70" s="39">
        <f>IF($I70="","",INDEX('Example Entries'!$D$7:$D$506,$I70)&amp;IF(INDEX('Example Entries'!$G$7:$G$506,$I70)="","",": "&amp;INDEX('Example Entries'!$G$7:$G$506,$I70)))</f>
        <v/>
      </c>
      <c r="D70" s="40">
        <f>IF($I70="","",INDEX('Example Entries'!$E$7:$E$506,$I70)&amp;"")</f>
        <v/>
      </c>
      <c r="E70" s="25">
        <f>IF($I70="","",INDEX('Example Entries'!$I$7:$I$506,$I70))</f>
        <v/>
      </c>
      <c r="F70" s="25">
        <f>IF($I70="","",INDEX('Example Entries'!$J$7:$J$506,$I70))</f>
        <v/>
      </c>
      <c r="G70" s="41">
        <f>IF($I70="","",N(G69)+N(E70)-N(F70))</f>
        <v/>
      </c>
      <c r="I70">
        <f>IF(56&gt;SUM('Example Entries'!$AI$7:$AI$506),"",IFERROR(MATCH(56,'Example Entries'!$AJ$7:$AJ$506,0),""))</f>
        <v/>
      </c>
    </row>
    <row r="71">
      <c r="B71" s="26">
        <f>IF($I71="","",INDEX('Example Entries'!$B$7:$B$506,$I71))</f>
        <v/>
      </c>
      <c r="C71" s="39">
        <f>IF($I71="","",INDEX('Example Entries'!$D$7:$D$506,$I71)&amp;IF(INDEX('Example Entries'!$G$7:$G$506,$I71)="","",": "&amp;INDEX('Example Entries'!$G$7:$G$506,$I71)))</f>
        <v/>
      </c>
      <c r="D71" s="40">
        <f>IF($I71="","",INDEX('Example Entries'!$E$7:$E$506,$I71)&amp;"")</f>
        <v/>
      </c>
      <c r="E71" s="25">
        <f>IF($I71="","",INDEX('Example Entries'!$I$7:$I$506,$I71))</f>
        <v/>
      </c>
      <c r="F71" s="25">
        <f>IF($I71="","",INDEX('Example Entries'!$J$7:$J$506,$I71))</f>
        <v/>
      </c>
      <c r="G71" s="41">
        <f>IF($I71="","",N(G70)+N(E71)-N(F71))</f>
        <v/>
      </c>
      <c r="I71">
        <f>IF(57&gt;SUM('Example Entries'!$AI$7:$AI$506),"",IFERROR(MATCH(57,'Example Entries'!$AJ$7:$AJ$506,0),""))</f>
        <v/>
      </c>
    </row>
    <row r="72">
      <c r="B72" s="26">
        <f>IF($I72="","",INDEX('Example Entries'!$B$7:$B$506,$I72))</f>
        <v/>
      </c>
      <c r="C72" s="39">
        <f>IF($I72="","",INDEX('Example Entries'!$D$7:$D$506,$I72)&amp;IF(INDEX('Example Entries'!$G$7:$G$506,$I72)="","",": "&amp;INDEX('Example Entries'!$G$7:$G$506,$I72)))</f>
        <v/>
      </c>
      <c r="D72" s="40">
        <f>IF($I72="","",INDEX('Example Entries'!$E$7:$E$506,$I72)&amp;"")</f>
        <v/>
      </c>
      <c r="E72" s="25">
        <f>IF($I72="","",INDEX('Example Entries'!$I$7:$I$506,$I72))</f>
        <v/>
      </c>
      <c r="F72" s="25">
        <f>IF($I72="","",INDEX('Example Entries'!$J$7:$J$506,$I72))</f>
        <v/>
      </c>
      <c r="G72" s="41">
        <f>IF($I72="","",N(G71)+N(E72)-N(F72))</f>
        <v/>
      </c>
      <c r="I72">
        <f>IF(58&gt;SUM('Example Entries'!$AI$7:$AI$506),"",IFERROR(MATCH(58,'Example Entries'!$AJ$7:$AJ$506,0),""))</f>
        <v/>
      </c>
    </row>
    <row r="73">
      <c r="B73" s="26">
        <f>IF($I73="","",INDEX('Example Entries'!$B$7:$B$506,$I73))</f>
        <v/>
      </c>
      <c r="C73" s="39">
        <f>IF($I73="","",INDEX('Example Entries'!$D$7:$D$506,$I73)&amp;IF(INDEX('Example Entries'!$G$7:$G$506,$I73)="","",": "&amp;INDEX('Example Entries'!$G$7:$G$506,$I73)))</f>
        <v/>
      </c>
      <c r="D73" s="40">
        <f>IF($I73="","",INDEX('Example Entries'!$E$7:$E$506,$I73)&amp;"")</f>
        <v/>
      </c>
      <c r="E73" s="25">
        <f>IF($I73="","",INDEX('Example Entries'!$I$7:$I$506,$I73))</f>
        <v/>
      </c>
      <c r="F73" s="25">
        <f>IF($I73="","",INDEX('Example Entries'!$J$7:$J$506,$I73))</f>
        <v/>
      </c>
      <c r="G73" s="41">
        <f>IF($I73="","",N(G72)+N(E73)-N(F73))</f>
        <v/>
      </c>
      <c r="I73">
        <f>IF(59&gt;SUM('Example Entries'!$AI$7:$AI$506),"",IFERROR(MATCH(59,'Example Entries'!$AJ$7:$AJ$506,0),""))</f>
        <v/>
      </c>
    </row>
    <row r="74">
      <c r="B74" s="26">
        <f>IF($I74="","",INDEX('Example Entries'!$B$7:$B$506,$I74))</f>
        <v/>
      </c>
      <c r="C74" s="39">
        <f>IF($I74="","",INDEX('Example Entries'!$D$7:$D$506,$I74)&amp;IF(INDEX('Example Entries'!$G$7:$G$506,$I74)="","",": "&amp;INDEX('Example Entries'!$G$7:$G$506,$I74)))</f>
        <v/>
      </c>
      <c r="D74" s="40">
        <f>IF($I74="","",INDEX('Example Entries'!$E$7:$E$506,$I74)&amp;"")</f>
        <v/>
      </c>
      <c r="E74" s="25">
        <f>IF($I74="","",INDEX('Example Entries'!$I$7:$I$506,$I74))</f>
        <v/>
      </c>
      <c r="F74" s="25">
        <f>IF($I74="","",INDEX('Example Entries'!$J$7:$J$506,$I74))</f>
        <v/>
      </c>
      <c r="G74" s="41">
        <f>IF($I74="","",N(G73)+N(E74)-N(F74))</f>
        <v/>
      </c>
      <c r="I74">
        <f>IF(60&gt;SUM('Example Entries'!$AI$7:$AI$506),"",IFERROR(MATCH(60,'Example Entries'!$AJ$7:$AJ$506,0),""))</f>
        <v/>
      </c>
    </row>
    <row r="75">
      <c r="B75" s="42">
        <f>IF($D$6="","",$D$6)</f>
        <v/>
      </c>
      <c r="C75" s="29" t="inlineStr">
        <is>
          <t>Closing balance</t>
        </is>
      </c>
      <c r="D75" s="30" t="n"/>
      <c r="E75" s="31">
        <f>SUM(E15:E74)</f>
        <v/>
      </c>
      <c r="F75" s="31">
        <f>SUM(F15:F74)</f>
        <v/>
      </c>
      <c r="G75" s="43">
        <f>IF($D$4="","",N(G14)+E75-F75)</f>
        <v/>
      </c>
    </row>
    <row r="77" ht="30" customHeight="1">
      <c r="B77" s="44">
        <f>IF($D$4="","","Balance as per our books on "&amp;IF($D$6="","the date above",TEXT($D$6,"DD-MMM-YYYY"))&amp;": "&amp;"₹"&amp;TEXT(ABS(N(G75)),"#,##,##0")&amp;IF(N(G75)&gt;0," Dr",IF(N(G75)&lt;0," Cr",""))&amp;". Please confirm this balance, or send us your statement if it differs.")</f>
        <v/>
      </c>
    </row>
    <row r="79">
      <c r="B79" s="45">
        <f>"For "&amp;IF('Example Parties'!$E$6="","the business",'Example Parties'!$E$6)</f>
        <v/>
      </c>
      <c r="E79" s="45" t="inlineStr">
        <is>
          <t>Confirmed by the party</t>
        </is>
      </c>
    </row>
    <row r="80" ht="34" customHeight="1"/>
    <row r="81">
      <c r="B81" s="46" t="inlineStr">
        <is>
          <t>Authorised signatory</t>
        </is>
      </c>
      <c r="E81" s="46" t="inlineStr">
        <is>
          <t>Signature, name and date</t>
        </is>
      </c>
    </row>
    <row r="83">
      <c r="B83" s="47">
        <f>IF($D$4="","Pick a party above.",IF(ISNA(MATCH($D$4,'Example Parties'!$B$13:$B$112,0)),"That party is not on the Parties sheet.",IF(SUM('Example Entries'!$AI$7:$AI$506)&gt;60,"More than 60 entries in this period: shorten the period and print in parts.","Check: "&amp;SUM('Example Entries'!$AI$7:$AI$506)&amp;" entries in this period.")))</f>
        <v/>
      </c>
    </row>
    <row r="84">
      <c r="B84" s="11" t="inlineStr">
        <is>
          <t>The two lines above sit below the print area, so they never print.</t>
        </is>
      </c>
    </row>
    <row r="86">
      <c r="B86"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20">
    <mergeCell ref="B2:G2"/>
    <mergeCell ref="B81:C81"/>
    <mergeCell ref="B8:G8"/>
    <mergeCell ref="D6:E6"/>
    <mergeCell ref="B10:G10"/>
    <mergeCell ref="B84:G84"/>
    <mergeCell ref="B9:G9"/>
    <mergeCell ref="B83:G83"/>
    <mergeCell ref="E81:G81"/>
    <mergeCell ref="D4:E4"/>
    <mergeCell ref="B3:G3"/>
    <mergeCell ref="B6:C6"/>
    <mergeCell ref="B5:C5"/>
    <mergeCell ref="D5:E5"/>
    <mergeCell ref="E79:G79"/>
    <mergeCell ref="B79:C79"/>
    <mergeCell ref="B86:G86"/>
    <mergeCell ref="B4:C4"/>
    <mergeCell ref="B77:G77"/>
    <mergeCell ref="B11:G11"/>
  </mergeCells>
  <dataValidations count="3">
    <dataValidation sqref="D4" showDropDown="0" showInputMessage="0" showErrorMessage="1" allowBlank="1" errorTitle="Pick from the list" error="Pick an option from the drop-down list." type="list">
      <formula1>='Example Parties'!$B$13:$B$112</formula1>
    </dataValidation>
    <dataValidation sqref="D5" showDropDown="0" showInputMessage="0" showErrorMessage="1" allowBlank="1" errorTitle="Enter a date" error="Enter a date, for example 01-Apr-2026." type="date" operator="between">
      <formula1>DATE(2000,1,1)</formula1>
      <formula2>DATE(2100,12,31)</formula2>
    </dataValidation>
    <dataValidation sqref="D6" showDropDown="0" showInputMessage="0" showErrorMessage="1" allowBlank="1" errorTitle="Enter a date" error="Enter a date, for example 01-Apr-2026." type="date" operator="between">
      <formula1>DATE(2000,1,1)</formula1>
      <formula2>DATE(2100,12,31)</formula2>
    </dataValidation>
  </dataValidations>
  <pageMargins left="0.4" right="0.4" top="0.5" bottom="0.5" header="0.5" footer="0.5"/>
  <pageSetup orientation="portrait" paperSize="9" fitToHeight="0" fitToWidth="1"/>
</worksheet>
</file>

<file path=xl/worksheets/sheet10.xml><?xml version="1.0" encoding="utf-8"?>
<worksheet xmlns="http://schemas.openxmlformats.org/spreadsheetml/2006/main">
  <sheetPr>
    <outlinePr summaryBelow="1" summaryRight="1"/>
    <pageSetUpPr fitToPage="1"/>
  </sheetPr>
  <dimension ref="A1:M120"/>
  <sheetViews>
    <sheetView workbookViewId="0">
      <pane xSplit="2" ySplit="7" topLeftCell="C8" activePane="bottomRight" state="frozen"/>
      <selection pane="topRight"/>
      <selection pane="bottomLeft"/>
      <selection pane="bottomRight" activeCell="A1" sqref="A1"/>
    </sheetView>
  </sheetViews>
  <sheetFormatPr baseColWidth="8" defaultRowHeight="15"/>
  <cols>
    <col width="2" customWidth="1" min="1" max="1"/>
    <col width="28" customWidth="1" min="2" max="2"/>
    <col width="11" customWidth="1" min="3" max="3"/>
    <col width="26" customWidth="1" min="4" max="4"/>
    <col width="15" customWidth="1" min="5" max="5"/>
    <col width="13" customWidth="1" min="6" max="6"/>
    <col width="13" customWidth="1" min="7" max="7"/>
    <col width="13" customWidth="1" min="8" max="8"/>
    <col width="13" customWidth="1" min="9" max="9"/>
    <col width="14" customWidth="1" min="10" max="10"/>
    <col width="13" customWidth="1" min="11" max="11"/>
    <col width="15" customWidth="1" min="12" max="12"/>
    <col width="46" customWidth="1" min="13" max="13"/>
    <col width="2" customWidth="1" min="14" max="14"/>
  </cols>
  <sheetData>
    <row r="1"/>
    <row r="2" ht="26" customHeight="1">
      <c r="B2" s="1" t="inlineStr">
        <is>
          <t>OUTSTANDING  (what each party owes, or is owed, and how old it is)</t>
        </is>
      </c>
    </row>
    <row r="3" ht="16" customHeight="1">
      <c r="B3" s="11" t="inlineStr">
        <is>
          <t>EXAMPLE: the distributor's position on 31-Oct-2026, and the year end if nothing more is paid.</t>
        </is>
      </c>
    </row>
    <row r="4"/>
    <row r="5" ht="18" customHeight="1">
      <c r="B5" s="12" t="inlineStr">
        <is>
          <t>As at (the date the ages and overdue days count to)</t>
        </is>
      </c>
      <c r="C5" s="13" t="n"/>
      <c r="D5" s="13" t="n"/>
      <c r="E5" s="48" t="n">
        <v>46326</v>
      </c>
      <c r="F5" s="15" t="n"/>
    </row>
    <row r="6"/>
    <row r="7" ht="48" customHeight="1">
      <c r="B7" s="19" t="inlineStr">
        <is>
          <t>Party</t>
        </is>
      </c>
      <c r="C7" s="19" t="inlineStr">
        <is>
          <t>Debtor or creditor</t>
        </is>
      </c>
      <c r="D7" s="19" t="inlineStr">
        <is>
          <t>MSME status</t>
        </is>
      </c>
      <c r="E7" s="19" t="inlineStr">
        <is>
          <t>Balance</t>
        </is>
      </c>
      <c r="F7" s="19" t="inlineStr">
        <is>
          <t>Unpaid bills 0-30 days</t>
        </is>
      </c>
      <c r="G7" s="19" t="inlineStr">
        <is>
          <t>31-60 days</t>
        </is>
      </c>
      <c r="H7" s="19" t="inlineStr">
        <is>
          <t>61-90 days</t>
        </is>
      </c>
      <c r="I7" s="19" t="inlineStr">
        <is>
          <t>Over 90 days</t>
        </is>
      </c>
      <c r="J7" s="19" t="inlineStr">
        <is>
          <t>Past the due date</t>
        </is>
      </c>
      <c r="K7" s="19" t="inlineStr">
        <is>
          <t>MSMED interest (estimate)</t>
        </is>
      </c>
      <c r="L7" s="19" t="inlineStr">
        <is>
          <t>Not deductible if unpaid at year end</t>
        </is>
      </c>
      <c r="M7" s="19" t="inlineStr">
        <is>
          <t>Check</t>
        </is>
      </c>
    </row>
    <row r="8">
      <c r="B8" s="37">
        <f>IF('Example Parties'!$B$13="","",'Example Parties'!$B$13)</f>
        <v/>
      </c>
      <c r="C8" s="40">
        <f>IF(B8="","",'Example Parties'!$C$13&amp;"")</f>
        <v/>
      </c>
      <c r="D8" s="39">
        <f>IF(B8="","",'Example Parties'!$E$13&amp;"")</f>
        <v/>
      </c>
      <c r="E8" s="38">
        <f>IF(OR(B8="",$E$5=""),"",'Example Parties'!$M$13+SUMIFS('Example Entries'!$I$7:$I$506,'Example Entries'!$C$7:$C$506,B8,'Example Entries'!$B$7:$B$506,"&lt;="&amp;$E$5)-SUMIFS('Example Entries'!$J$7:$J$506,'Example Entries'!$C$7:$C$506,B8,'Example Entries'!$B$7:$B$506,"&lt;="&amp;$E$5))</f>
        <v/>
      </c>
      <c r="F8" s="49">
        <f>IF(B8="","",SUMIFS('Example Entries'!$W$7:$W$506,'Example Entries'!$C$7:$C$506,B8,'Example Entries'!$AC$7:$AC$506,"&gt;=0",'Example Entries'!$AC$7:$AC$506,"&lt;=30"))</f>
        <v/>
      </c>
      <c r="G8" s="49">
        <f>IF(B8="","",SUMIFS('Example Entries'!$W$7:$W$506,'Example Entries'!$C$7:$C$506,B8,'Example Entries'!$AC$7:$AC$506,"&gt;=31",'Example Entries'!$AC$7:$AC$506,"&lt;=60"))</f>
        <v/>
      </c>
      <c r="H8" s="49">
        <f>IF(B8="","",SUMIFS('Example Entries'!$W$7:$W$506,'Example Entries'!$C$7:$C$506,B8,'Example Entries'!$AC$7:$AC$506,"&gt;=61",'Example Entries'!$AC$7:$AC$506,"&lt;=90"))</f>
        <v/>
      </c>
      <c r="I8" s="49">
        <f>IF(B8="","",SUMIFS('Example Entries'!$W$7:$W$506,'Example Entries'!$C$7:$C$506,B8,'Example Entries'!$AC$7:$AC$506,"&gt;90"))</f>
        <v/>
      </c>
      <c r="J8" s="50">
        <f>IF(B8="","",SUMIFS('Example Entries'!$W$7:$W$506,'Example Entries'!$C$7:$C$506,B8,'Example Entries'!$AA$7:$AA$506,"&gt;0"))</f>
        <v/>
      </c>
      <c r="K8" s="49">
        <f>IF(B8="","",ROUND(SUMIFS('Example Entries'!$AB$7:$AB$506,'Example Entries'!$C$7:$C$506,B8),0))</f>
        <v/>
      </c>
      <c r="L8" s="49">
        <f>IF(B8="","",SUMIFS('Example Entries'!$AF$7:$AF$506,'Example Entries'!$C$7:$C$506,B8))</f>
        <v/>
      </c>
      <c r="M8" s="23">
        <f>IF(B8="","",IF(AND(C8="Debtor",N(E8)&lt;0),"Credit balance: an advance or an excess receipt",IF(AND(C8="Creditor",N(E8)&gt;0),"Debit balance: an advance paid to the supplier",IF(AND(C8="Creditor",N(L8)&gt;0),"Pay before the year end to keep the deduction, s.37(2)(g)",IF(N(J8)&gt;0,IF(C8="Creditor","Past due: pay, or confirm the terms in writing","Past due: follow up"),"OK")))))</f>
        <v/>
      </c>
    </row>
    <row r="9">
      <c r="B9" s="37">
        <f>IF('Example Parties'!$B$14="","",'Example Parties'!$B$14)</f>
        <v/>
      </c>
      <c r="C9" s="40">
        <f>IF(B9="","",'Example Parties'!$C$14&amp;"")</f>
        <v/>
      </c>
      <c r="D9" s="39">
        <f>IF(B9="","",'Example Parties'!$E$14&amp;"")</f>
        <v/>
      </c>
      <c r="E9" s="38">
        <f>IF(OR(B9="",$E$5=""),"",'Example Parties'!$M$14+SUMIFS('Example Entries'!$I$7:$I$506,'Example Entries'!$C$7:$C$506,B9,'Example Entries'!$B$7:$B$506,"&lt;="&amp;$E$5)-SUMIFS('Example Entries'!$J$7:$J$506,'Example Entries'!$C$7:$C$506,B9,'Example Entries'!$B$7:$B$506,"&lt;="&amp;$E$5))</f>
        <v/>
      </c>
      <c r="F9" s="49">
        <f>IF(B9="","",SUMIFS('Example Entries'!$W$7:$W$506,'Example Entries'!$C$7:$C$506,B9,'Example Entries'!$AC$7:$AC$506,"&gt;=0",'Example Entries'!$AC$7:$AC$506,"&lt;=30"))</f>
        <v/>
      </c>
      <c r="G9" s="49">
        <f>IF(B9="","",SUMIFS('Example Entries'!$W$7:$W$506,'Example Entries'!$C$7:$C$506,B9,'Example Entries'!$AC$7:$AC$506,"&gt;=31",'Example Entries'!$AC$7:$AC$506,"&lt;=60"))</f>
        <v/>
      </c>
      <c r="H9" s="49">
        <f>IF(B9="","",SUMIFS('Example Entries'!$W$7:$W$506,'Example Entries'!$C$7:$C$506,B9,'Example Entries'!$AC$7:$AC$506,"&gt;=61",'Example Entries'!$AC$7:$AC$506,"&lt;=90"))</f>
        <v/>
      </c>
      <c r="I9" s="49">
        <f>IF(B9="","",SUMIFS('Example Entries'!$W$7:$W$506,'Example Entries'!$C$7:$C$506,B9,'Example Entries'!$AC$7:$AC$506,"&gt;90"))</f>
        <v/>
      </c>
      <c r="J9" s="50">
        <f>IF(B9="","",SUMIFS('Example Entries'!$W$7:$W$506,'Example Entries'!$C$7:$C$506,B9,'Example Entries'!$AA$7:$AA$506,"&gt;0"))</f>
        <v/>
      </c>
      <c r="K9" s="49">
        <f>IF(B9="","",ROUND(SUMIFS('Example Entries'!$AB$7:$AB$506,'Example Entries'!$C$7:$C$506,B9),0))</f>
        <v/>
      </c>
      <c r="L9" s="49">
        <f>IF(B9="","",SUMIFS('Example Entries'!$AF$7:$AF$506,'Example Entries'!$C$7:$C$506,B9))</f>
        <v/>
      </c>
      <c r="M9" s="23">
        <f>IF(B9="","",IF(AND(C9="Debtor",N(E9)&lt;0),"Credit balance: an advance or an excess receipt",IF(AND(C9="Creditor",N(E9)&gt;0),"Debit balance: an advance paid to the supplier",IF(AND(C9="Creditor",N(L9)&gt;0),"Pay before the year end to keep the deduction, s.37(2)(g)",IF(N(J9)&gt;0,IF(C9="Creditor","Past due: pay, or confirm the terms in writing","Past due: follow up"),"OK")))))</f>
        <v/>
      </c>
    </row>
    <row r="10">
      <c r="B10" s="37">
        <f>IF('Example Parties'!$B$15="","",'Example Parties'!$B$15)</f>
        <v/>
      </c>
      <c r="C10" s="40">
        <f>IF(B10="","",'Example Parties'!$C$15&amp;"")</f>
        <v/>
      </c>
      <c r="D10" s="39">
        <f>IF(B10="","",'Example Parties'!$E$15&amp;"")</f>
        <v/>
      </c>
      <c r="E10" s="38">
        <f>IF(OR(B10="",$E$5=""),"",'Example Parties'!$M$15+SUMIFS('Example Entries'!$I$7:$I$506,'Example Entries'!$C$7:$C$506,B10,'Example Entries'!$B$7:$B$506,"&lt;="&amp;$E$5)-SUMIFS('Example Entries'!$J$7:$J$506,'Example Entries'!$C$7:$C$506,B10,'Example Entries'!$B$7:$B$506,"&lt;="&amp;$E$5))</f>
        <v/>
      </c>
      <c r="F10" s="49">
        <f>IF(B10="","",SUMIFS('Example Entries'!$W$7:$W$506,'Example Entries'!$C$7:$C$506,B10,'Example Entries'!$AC$7:$AC$506,"&gt;=0",'Example Entries'!$AC$7:$AC$506,"&lt;=30"))</f>
        <v/>
      </c>
      <c r="G10" s="49">
        <f>IF(B10="","",SUMIFS('Example Entries'!$W$7:$W$506,'Example Entries'!$C$7:$C$506,B10,'Example Entries'!$AC$7:$AC$506,"&gt;=31",'Example Entries'!$AC$7:$AC$506,"&lt;=60"))</f>
        <v/>
      </c>
      <c r="H10" s="49">
        <f>IF(B10="","",SUMIFS('Example Entries'!$W$7:$W$506,'Example Entries'!$C$7:$C$506,B10,'Example Entries'!$AC$7:$AC$506,"&gt;=61",'Example Entries'!$AC$7:$AC$506,"&lt;=90"))</f>
        <v/>
      </c>
      <c r="I10" s="49">
        <f>IF(B10="","",SUMIFS('Example Entries'!$W$7:$W$506,'Example Entries'!$C$7:$C$506,B10,'Example Entries'!$AC$7:$AC$506,"&gt;90"))</f>
        <v/>
      </c>
      <c r="J10" s="50">
        <f>IF(B10="","",SUMIFS('Example Entries'!$W$7:$W$506,'Example Entries'!$C$7:$C$506,B10,'Example Entries'!$AA$7:$AA$506,"&gt;0"))</f>
        <v/>
      </c>
      <c r="K10" s="49">
        <f>IF(B10="","",ROUND(SUMIFS('Example Entries'!$AB$7:$AB$506,'Example Entries'!$C$7:$C$506,B10),0))</f>
        <v/>
      </c>
      <c r="L10" s="49">
        <f>IF(B10="","",SUMIFS('Example Entries'!$AF$7:$AF$506,'Example Entries'!$C$7:$C$506,B10))</f>
        <v/>
      </c>
      <c r="M10" s="23">
        <f>IF(B10="","",IF(AND(C10="Debtor",N(E10)&lt;0),"Credit balance: an advance or an excess receipt",IF(AND(C10="Creditor",N(E10)&gt;0),"Debit balance: an advance paid to the supplier",IF(AND(C10="Creditor",N(L10)&gt;0),"Pay before the year end to keep the deduction, s.37(2)(g)",IF(N(J10)&gt;0,IF(C10="Creditor","Past due: pay, or confirm the terms in writing","Past due: follow up"),"OK")))))</f>
        <v/>
      </c>
    </row>
    <row r="11">
      <c r="B11" s="37">
        <f>IF('Example Parties'!$B$16="","",'Example Parties'!$B$16)</f>
        <v/>
      </c>
      <c r="C11" s="40">
        <f>IF(B11="","",'Example Parties'!$C$16&amp;"")</f>
        <v/>
      </c>
      <c r="D11" s="39">
        <f>IF(B11="","",'Example Parties'!$E$16&amp;"")</f>
        <v/>
      </c>
      <c r="E11" s="38">
        <f>IF(OR(B11="",$E$5=""),"",'Example Parties'!$M$16+SUMIFS('Example Entries'!$I$7:$I$506,'Example Entries'!$C$7:$C$506,B11,'Example Entries'!$B$7:$B$506,"&lt;="&amp;$E$5)-SUMIFS('Example Entries'!$J$7:$J$506,'Example Entries'!$C$7:$C$506,B11,'Example Entries'!$B$7:$B$506,"&lt;="&amp;$E$5))</f>
        <v/>
      </c>
      <c r="F11" s="49">
        <f>IF(B11="","",SUMIFS('Example Entries'!$W$7:$W$506,'Example Entries'!$C$7:$C$506,B11,'Example Entries'!$AC$7:$AC$506,"&gt;=0",'Example Entries'!$AC$7:$AC$506,"&lt;=30"))</f>
        <v/>
      </c>
      <c r="G11" s="49">
        <f>IF(B11="","",SUMIFS('Example Entries'!$W$7:$W$506,'Example Entries'!$C$7:$C$506,B11,'Example Entries'!$AC$7:$AC$506,"&gt;=31",'Example Entries'!$AC$7:$AC$506,"&lt;=60"))</f>
        <v/>
      </c>
      <c r="H11" s="49">
        <f>IF(B11="","",SUMIFS('Example Entries'!$W$7:$W$506,'Example Entries'!$C$7:$C$506,B11,'Example Entries'!$AC$7:$AC$506,"&gt;=61",'Example Entries'!$AC$7:$AC$506,"&lt;=90"))</f>
        <v/>
      </c>
      <c r="I11" s="49">
        <f>IF(B11="","",SUMIFS('Example Entries'!$W$7:$W$506,'Example Entries'!$C$7:$C$506,B11,'Example Entries'!$AC$7:$AC$506,"&gt;90"))</f>
        <v/>
      </c>
      <c r="J11" s="50">
        <f>IF(B11="","",SUMIFS('Example Entries'!$W$7:$W$506,'Example Entries'!$C$7:$C$506,B11,'Example Entries'!$AA$7:$AA$506,"&gt;0"))</f>
        <v/>
      </c>
      <c r="K11" s="49">
        <f>IF(B11="","",ROUND(SUMIFS('Example Entries'!$AB$7:$AB$506,'Example Entries'!$C$7:$C$506,B11),0))</f>
        <v/>
      </c>
      <c r="L11" s="49">
        <f>IF(B11="","",SUMIFS('Example Entries'!$AF$7:$AF$506,'Example Entries'!$C$7:$C$506,B11))</f>
        <v/>
      </c>
      <c r="M11" s="23">
        <f>IF(B11="","",IF(AND(C11="Debtor",N(E11)&lt;0),"Credit balance: an advance or an excess receipt",IF(AND(C11="Creditor",N(E11)&gt;0),"Debit balance: an advance paid to the supplier",IF(AND(C11="Creditor",N(L11)&gt;0),"Pay before the year end to keep the deduction, s.37(2)(g)",IF(N(J11)&gt;0,IF(C11="Creditor","Past due: pay, or confirm the terms in writing","Past due: follow up"),"OK")))))</f>
        <v/>
      </c>
    </row>
    <row r="12">
      <c r="B12" s="37">
        <f>IF('Example Parties'!$B$17="","",'Example Parties'!$B$17)</f>
        <v/>
      </c>
      <c r="C12" s="40">
        <f>IF(B12="","",'Example Parties'!$C$17&amp;"")</f>
        <v/>
      </c>
      <c r="D12" s="39">
        <f>IF(B12="","",'Example Parties'!$E$17&amp;"")</f>
        <v/>
      </c>
      <c r="E12" s="38">
        <f>IF(OR(B12="",$E$5=""),"",'Example Parties'!$M$17+SUMIFS('Example Entries'!$I$7:$I$506,'Example Entries'!$C$7:$C$506,B12,'Example Entries'!$B$7:$B$506,"&lt;="&amp;$E$5)-SUMIFS('Example Entries'!$J$7:$J$506,'Example Entries'!$C$7:$C$506,B12,'Example Entries'!$B$7:$B$506,"&lt;="&amp;$E$5))</f>
        <v/>
      </c>
      <c r="F12" s="49">
        <f>IF(B12="","",SUMIFS('Example Entries'!$W$7:$W$506,'Example Entries'!$C$7:$C$506,B12,'Example Entries'!$AC$7:$AC$506,"&gt;=0",'Example Entries'!$AC$7:$AC$506,"&lt;=30"))</f>
        <v/>
      </c>
      <c r="G12" s="49">
        <f>IF(B12="","",SUMIFS('Example Entries'!$W$7:$W$506,'Example Entries'!$C$7:$C$506,B12,'Example Entries'!$AC$7:$AC$506,"&gt;=31",'Example Entries'!$AC$7:$AC$506,"&lt;=60"))</f>
        <v/>
      </c>
      <c r="H12" s="49">
        <f>IF(B12="","",SUMIFS('Example Entries'!$W$7:$W$506,'Example Entries'!$C$7:$C$506,B12,'Example Entries'!$AC$7:$AC$506,"&gt;=61",'Example Entries'!$AC$7:$AC$506,"&lt;=90"))</f>
        <v/>
      </c>
      <c r="I12" s="49">
        <f>IF(B12="","",SUMIFS('Example Entries'!$W$7:$W$506,'Example Entries'!$C$7:$C$506,B12,'Example Entries'!$AC$7:$AC$506,"&gt;90"))</f>
        <v/>
      </c>
      <c r="J12" s="50">
        <f>IF(B12="","",SUMIFS('Example Entries'!$W$7:$W$506,'Example Entries'!$C$7:$C$506,B12,'Example Entries'!$AA$7:$AA$506,"&gt;0"))</f>
        <v/>
      </c>
      <c r="K12" s="49">
        <f>IF(B12="","",ROUND(SUMIFS('Example Entries'!$AB$7:$AB$506,'Example Entries'!$C$7:$C$506,B12),0))</f>
        <v/>
      </c>
      <c r="L12" s="49">
        <f>IF(B12="","",SUMIFS('Example Entries'!$AF$7:$AF$506,'Example Entries'!$C$7:$C$506,B12))</f>
        <v/>
      </c>
      <c r="M12" s="23">
        <f>IF(B12="","",IF(AND(C12="Debtor",N(E12)&lt;0),"Credit balance: an advance or an excess receipt",IF(AND(C12="Creditor",N(E12)&gt;0),"Debit balance: an advance paid to the supplier",IF(AND(C12="Creditor",N(L12)&gt;0),"Pay before the year end to keep the deduction, s.37(2)(g)",IF(N(J12)&gt;0,IF(C12="Creditor","Past due: pay, or confirm the terms in writing","Past due: follow up"),"OK")))))</f>
        <v/>
      </c>
    </row>
    <row r="13">
      <c r="B13" s="37">
        <f>IF('Example Parties'!$B$18="","",'Example Parties'!$B$18)</f>
        <v/>
      </c>
      <c r="C13" s="40">
        <f>IF(B13="","",'Example Parties'!$C$18&amp;"")</f>
        <v/>
      </c>
      <c r="D13" s="39">
        <f>IF(B13="","",'Example Parties'!$E$18&amp;"")</f>
        <v/>
      </c>
      <c r="E13" s="38">
        <f>IF(OR(B13="",$E$5=""),"",'Example Parties'!$M$18+SUMIFS('Example Entries'!$I$7:$I$506,'Example Entries'!$C$7:$C$506,B13,'Example Entries'!$B$7:$B$506,"&lt;="&amp;$E$5)-SUMIFS('Example Entries'!$J$7:$J$506,'Example Entries'!$C$7:$C$506,B13,'Example Entries'!$B$7:$B$506,"&lt;="&amp;$E$5))</f>
        <v/>
      </c>
      <c r="F13" s="49">
        <f>IF(B13="","",SUMIFS('Example Entries'!$W$7:$W$506,'Example Entries'!$C$7:$C$506,B13,'Example Entries'!$AC$7:$AC$506,"&gt;=0",'Example Entries'!$AC$7:$AC$506,"&lt;=30"))</f>
        <v/>
      </c>
      <c r="G13" s="49">
        <f>IF(B13="","",SUMIFS('Example Entries'!$W$7:$W$506,'Example Entries'!$C$7:$C$506,B13,'Example Entries'!$AC$7:$AC$506,"&gt;=31",'Example Entries'!$AC$7:$AC$506,"&lt;=60"))</f>
        <v/>
      </c>
      <c r="H13" s="49">
        <f>IF(B13="","",SUMIFS('Example Entries'!$W$7:$W$506,'Example Entries'!$C$7:$C$506,B13,'Example Entries'!$AC$7:$AC$506,"&gt;=61",'Example Entries'!$AC$7:$AC$506,"&lt;=90"))</f>
        <v/>
      </c>
      <c r="I13" s="49">
        <f>IF(B13="","",SUMIFS('Example Entries'!$W$7:$W$506,'Example Entries'!$C$7:$C$506,B13,'Example Entries'!$AC$7:$AC$506,"&gt;90"))</f>
        <v/>
      </c>
      <c r="J13" s="50">
        <f>IF(B13="","",SUMIFS('Example Entries'!$W$7:$W$506,'Example Entries'!$C$7:$C$506,B13,'Example Entries'!$AA$7:$AA$506,"&gt;0"))</f>
        <v/>
      </c>
      <c r="K13" s="49">
        <f>IF(B13="","",ROUND(SUMIFS('Example Entries'!$AB$7:$AB$506,'Example Entries'!$C$7:$C$506,B13),0))</f>
        <v/>
      </c>
      <c r="L13" s="49">
        <f>IF(B13="","",SUMIFS('Example Entries'!$AF$7:$AF$506,'Example Entries'!$C$7:$C$506,B13))</f>
        <v/>
      </c>
      <c r="M13" s="23">
        <f>IF(B13="","",IF(AND(C13="Debtor",N(E13)&lt;0),"Credit balance: an advance or an excess receipt",IF(AND(C13="Creditor",N(E13)&gt;0),"Debit balance: an advance paid to the supplier",IF(AND(C13="Creditor",N(L13)&gt;0),"Pay before the year end to keep the deduction, s.37(2)(g)",IF(N(J13)&gt;0,IF(C13="Creditor","Past due: pay, or confirm the terms in writing","Past due: follow up"),"OK")))))</f>
        <v/>
      </c>
    </row>
    <row r="14">
      <c r="B14" s="37">
        <f>IF('Example Parties'!$B$19="","",'Example Parties'!$B$19)</f>
        <v/>
      </c>
      <c r="C14" s="40">
        <f>IF(B14="","",'Example Parties'!$C$19&amp;"")</f>
        <v/>
      </c>
      <c r="D14" s="39">
        <f>IF(B14="","",'Example Parties'!$E$19&amp;"")</f>
        <v/>
      </c>
      <c r="E14" s="38">
        <f>IF(OR(B14="",$E$5=""),"",'Example Parties'!$M$19+SUMIFS('Example Entries'!$I$7:$I$506,'Example Entries'!$C$7:$C$506,B14,'Example Entries'!$B$7:$B$506,"&lt;="&amp;$E$5)-SUMIFS('Example Entries'!$J$7:$J$506,'Example Entries'!$C$7:$C$506,B14,'Example Entries'!$B$7:$B$506,"&lt;="&amp;$E$5))</f>
        <v/>
      </c>
      <c r="F14" s="49">
        <f>IF(B14="","",SUMIFS('Example Entries'!$W$7:$W$506,'Example Entries'!$C$7:$C$506,B14,'Example Entries'!$AC$7:$AC$506,"&gt;=0",'Example Entries'!$AC$7:$AC$506,"&lt;=30"))</f>
        <v/>
      </c>
      <c r="G14" s="49">
        <f>IF(B14="","",SUMIFS('Example Entries'!$W$7:$W$506,'Example Entries'!$C$7:$C$506,B14,'Example Entries'!$AC$7:$AC$506,"&gt;=31",'Example Entries'!$AC$7:$AC$506,"&lt;=60"))</f>
        <v/>
      </c>
      <c r="H14" s="49">
        <f>IF(B14="","",SUMIFS('Example Entries'!$W$7:$W$506,'Example Entries'!$C$7:$C$506,B14,'Example Entries'!$AC$7:$AC$506,"&gt;=61",'Example Entries'!$AC$7:$AC$506,"&lt;=90"))</f>
        <v/>
      </c>
      <c r="I14" s="49">
        <f>IF(B14="","",SUMIFS('Example Entries'!$W$7:$W$506,'Example Entries'!$C$7:$C$506,B14,'Example Entries'!$AC$7:$AC$506,"&gt;90"))</f>
        <v/>
      </c>
      <c r="J14" s="50">
        <f>IF(B14="","",SUMIFS('Example Entries'!$W$7:$W$506,'Example Entries'!$C$7:$C$506,B14,'Example Entries'!$AA$7:$AA$506,"&gt;0"))</f>
        <v/>
      </c>
      <c r="K14" s="49">
        <f>IF(B14="","",ROUND(SUMIFS('Example Entries'!$AB$7:$AB$506,'Example Entries'!$C$7:$C$506,B14),0))</f>
        <v/>
      </c>
      <c r="L14" s="49">
        <f>IF(B14="","",SUMIFS('Example Entries'!$AF$7:$AF$506,'Example Entries'!$C$7:$C$506,B14))</f>
        <v/>
      </c>
      <c r="M14" s="23">
        <f>IF(B14="","",IF(AND(C14="Debtor",N(E14)&lt;0),"Credit balance: an advance or an excess receipt",IF(AND(C14="Creditor",N(E14)&gt;0),"Debit balance: an advance paid to the supplier",IF(AND(C14="Creditor",N(L14)&gt;0),"Pay before the year end to keep the deduction, s.37(2)(g)",IF(N(J14)&gt;0,IF(C14="Creditor","Past due: pay, or confirm the terms in writing","Past due: follow up"),"OK")))))</f>
        <v/>
      </c>
    </row>
    <row r="15">
      <c r="B15" s="37">
        <f>IF('Example Parties'!$B$20="","",'Example Parties'!$B$20)</f>
        <v/>
      </c>
      <c r="C15" s="40">
        <f>IF(B15="","",'Example Parties'!$C$20&amp;"")</f>
        <v/>
      </c>
      <c r="D15" s="39">
        <f>IF(B15="","",'Example Parties'!$E$20&amp;"")</f>
        <v/>
      </c>
      <c r="E15" s="38">
        <f>IF(OR(B15="",$E$5=""),"",'Example Parties'!$M$20+SUMIFS('Example Entries'!$I$7:$I$506,'Example Entries'!$C$7:$C$506,B15,'Example Entries'!$B$7:$B$506,"&lt;="&amp;$E$5)-SUMIFS('Example Entries'!$J$7:$J$506,'Example Entries'!$C$7:$C$506,B15,'Example Entries'!$B$7:$B$506,"&lt;="&amp;$E$5))</f>
        <v/>
      </c>
      <c r="F15" s="49">
        <f>IF(B15="","",SUMIFS('Example Entries'!$W$7:$W$506,'Example Entries'!$C$7:$C$506,B15,'Example Entries'!$AC$7:$AC$506,"&gt;=0",'Example Entries'!$AC$7:$AC$506,"&lt;=30"))</f>
        <v/>
      </c>
      <c r="G15" s="49">
        <f>IF(B15="","",SUMIFS('Example Entries'!$W$7:$W$506,'Example Entries'!$C$7:$C$506,B15,'Example Entries'!$AC$7:$AC$506,"&gt;=31",'Example Entries'!$AC$7:$AC$506,"&lt;=60"))</f>
        <v/>
      </c>
      <c r="H15" s="49">
        <f>IF(B15="","",SUMIFS('Example Entries'!$W$7:$W$506,'Example Entries'!$C$7:$C$506,B15,'Example Entries'!$AC$7:$AC$506,"&gt;=61",'Example Entries'!$AC$7:$AC$506,"&lt;=90"))</f>
        <v/>
      </c>
      <c r="I15" s="49">
        <f>IF(B15="","",SUMIFS('Example Entries'!$W$7:$W$506,'Example Entries'!$C$7:$C$506,B15,'Example Entries'!$AC$7:$AC$506,"&gt;90"))</f>
        <v/>
      </c>
      <c r="J15" s="50">
        <f>IF(B15="","",SUMIFS('Example Entries'!$W$7:$W$506,'Example Entries'!$C$7:$C$506,B15,'Example Entries'!$AA$7:$AA$506,"&gt;0"))</f>
        <v/>
      </c>
      <c r="K15" s="49">
        <f>IF(B15="","",ROUND(SUMIFS('Example Entries'!$AB$7:$AB$506,'Example Entries'!$C$7:$C$506,B15),0))</f>
        <v/>
      </c>
      <c r="L15" s="49">
        <f>IF(B15="","",SUMIFS('Example Entries'!$AF$7:$AF$506,'Example Entries'!$C$7:$C$506,B15))</f>
        <v/>
      </c>
      <c r="M15" s="23">
        <f>IF(B15="","",IF(AND(C15="Debtor",N(E15)&lt;0),"Credit balance: an advance or an excess receipt",IF(AND(C15="Creditor",N(E15)&gt;0),"Debit balance: an advance paid to the supplier",IF(AND(C15="Creditor",N(L15)&gt;0),"Pay before the year end to keep the deduction, s.37(2)(g)",IF(N(J15)&gt;0,IF(C15="Creditor","Past due: pay, or confirm the terms in writing","Past due: follow up"),"OK")))))</f>
        <v/>
      </c>
    </row>
    <row r="16">
      <c r="B16" s="37">
        <f>IF('Example Parties'!$B$21="","",'Example Parties'!$B$21)</f>
        <v/>
      </c>
      <c r="C16" s="40">
        <f>IF(B16="","",'Example Parties'!$C$21&amp;"")</f>
        <v/>
      </c>
      <c r="D16" s="39">
        <f>IF(B16="","",'Example Parties'!$E$21&amp;"")</f>
        <v/>
      </c>
      <c r="E16" s="38">
        <f>IF(OR(B16="",$E$5=""),"",'Example Parties'!$M$21+SUMIFS('Example Entries'!$I$7:$I$506,'Example Entries'!$C$7:$C$506,B16,'Example Entries'!$B$7:$B$506,"&lt;="&amp;$E$5)-SUMIFS('Example Entries'!$J$7:$J$506,'Example Entries'!$C$7:$C$506,B16,'Example Entries'!$B$7:$B$506,"&lt;="&amp;$E$5))</f>
        <v/>
      </c>
      <c r="F16" s="49">
        <f>IF(B16="","",SUMIFS('Example Entries'!$W$7:$W$506,'Example Entries'!$C$7:$C$506,B16,'Example Entries'!$AC$7:$AC$506,"&gt;=0",'Example Entries'!$AC$7:$AC$506,"&lt;=30"))</f>
        <v/>
      </c>
      <c r="G16" s="49">
        <f>IF(B16="","",SUMIFS('Example Entries'!$W$7:$W$506,'Example Entries'!$C$7:$C$506,B16,'Example Entries'!$AC$7:$AC$506,"&gt;=31",'Example Entries'!$AC$7:$AC$506,"&lt;=60"))</f>
        <v/>
      </c>
      <c r="H16" s="49">
        <f>IF(B16="","",SUMIFS('Example Entries'!$W$7:$W$506,'Example Entries'!$C$7:$C$506,B16,'Example Entries'!$AC$7:$AC$506,"&gt;=61",'Example Entries'!$AC$7:$AC$506,"&lt;=90"))</f>
        <v/>
      </c>
      <c r="I16" s="49">
        <f>IF(B16="","",SUMIFS('Example Entries'!$W$7:$W$506,'Example Entries'!$C$7:$C$506,B16,'Example Entries'!$AC$7:$AC$506,"&gt;90"))</f>
        <v/>
      </c>
      <c r="J16" s="50">
        <f>IF(B16="","",SUMIFS('Example Entries'!$W$7:$W$506,'Example Entries'!$C$7:$C$506,B16,'Example Entries'!$AA$7:$AA$506,"&gt;0"))</f>
        <v/>
      </c>
      <c r="K16" s="49">
        <f>IF(B16="","",ROUND(SUMIFS('Example Entries'!$AB$7:$AB$506,'Example Entries'!$C$7:$C$506,B16),0))</f>
        <v/>
      </c>
      <c r="L16" s="49">
        <f>IF(B16="","",SUMIFS('Example Entries'!$AF$7:$AF$506,'Example Entries'!$C$7:$C$506,B16))</f>
        <v/>
      </c>
      <c r="M16" s="23">
        <f>IF(B16="","",IF(AND(C16="Debtor",N(E16)&lt;0),"Credit balance: an advance or an excess receipt",IF(AND(C16="Creditor",N(E16)&gt;0),"Debit balance: an advance paid to the supplier",IF(AND(C16="Creditor",N(L16)&gt;0),"Pay before the year end to keep the deduction, s.37(2)(g)",IF(N(J16)&gt;0,IF(C16="Creditor","Past due: pay, or confirm the terms in writing","Past due: follow up"),"OK")))))</f>
        <v/>
      </c>
    </row>
    <row r="17">
      <c r="B17" s="37">
        <f>IF('Example Parties'!$B$22="","",'Example Parties'!$B$22)</f>
        <v/>
      </c>
      <c r="C17" s="40">
        <f>IF(B17="","",'Example Parties'!$C$22&amp;"")</f>
        <v/>
      </c>
      <c r="D17" s="39">
        <f>IF(B17="","",'Example Parties'!$E$22&amp;"")</f>
        <v/>
      </c>
      <c r="E17" s="38">
        <f>IF(OR(B17="",$E$5=""),"",'Example Parties'!$M$22+SUMIFS('Example Entries'!$I$7:$I$506,'Example Entries'!$C$7:$C$506,B17,'Example Entries'!$B$7:$B$506,"&lt;="&amp;$E$5)-SUMIFS('Example Entries'!$J$7:$J$506,'Example Entries'!$C$7:$C$506,B17,'Example Entries'!$B$7:$B$506,"&lt;="&amp;$E$5))</f>
        <v/>
      </c>
      <c r="F17" s="49">
        <f>IF(B17="","",SUMIFS('Example Entries'!$W$7:$W$506,'Example Entries'!$C$7:$C$506,B17,'Example Entries'!$AC$7:$AC$506,"&gt;=0",'Example Entries'!$AC$7:$AC$506,"&lt;=30"))</f>
        <v/>
      </c>
      <c r="G17" s="49">
        <f>IF(B17="","",SUMIFS('Example Entries'!$W$7:$W$506,'Example Entries'!$C$7:$C$506,B17,'Example Entries'!$AC$7:$AC$506,"&gt;=31",'Example Entries'!$AC$7:$AC$506,"&lt;=60"))</f>
        <v/>
      </c>
      <c r="H17" s="49">
        <f>IF(B17="","",SUMIFS('Example Entries'!$W$7:$W$506,'Example Entries'!$C$7:$C$506,B17,'Example Entries'!$AC$7:$AC$506,"&gt;=61",'Example Entries'!$AC$7:$AC$506,"&lt;=90"))</f>
        <v/>
      </c>
      <c r="I17" s="49">
        <f>IF(B17="","",SUMIFS('Example Entries'!$W$7:$W$506,'Example Entries'!$C$7:$C$506,B17,'Example Entries'!$AC$7:$AC$506,"&gt;90"))</f>
        <v/>
      </c>
      <c r="J17" s="50">
        <f>IF(B17="","",SUMIFS('Example Entries'!$W$7:$W$506,'Example Entries'!$C$7:$C$506,B17,'Example Entries'!$AA$7:$AA$506,"&gt;0"))</f>
        <v/>
      </c>
      <c r="K17" s="49">
        <f>IF(B17="","",ROUND(SUMIFS('Example Entries'!$AB$7:$AB$506,'Example Entries'!$C$7:$C$506,B17),0))</f>
        <v/>
      </c>
      <c r="L17" s="49">
        <f>IF(B17="","",SUMIFS('Example Entries'!$AF$7:$AF$506,'Example Entries'!$C$7:$C$506,B17))</f>
        <v/>
      </c>
      <c r="M17" s="23">
        <f>IF(B17="","",IF(AND(C17="Debtor",N(E17)&lt;0),"Credit balance: an advance or an excess receipt",IF(AND(C17="Creditor",N(E17)&gt;0),"Debit balance: an advance paid to the supplier",IF(AND(C17="Creditor",N(L17)&gt;0),"Pay before the year end to keep the deduction, s.37(2)(g)",IF(N(J17)&gt;0,IF(C17="Creditor","Past due: pay, or confirm the terms in writing","Past due: follow up"),"OK")))))</f>
        <v/>
      </c>
    </row>
    <row r="18">
      <c r="B18" s="37">
        <f>IF('Example Parties'!$B$23="","",'Example Parties'!$B$23)</f>
        <v/>
      </c>
      <c r="C18" s="40">
        <f>IF(B18="","",'Example Parties'!$C$23&amp;"")</f>
        <v/>
      </c>
      <c r="D18" s="39">
        <f>IF(B18="","",'Example Parties'!$E$23&amp;"")</f>
        <v/>
      </c>
      <c r="E18" s="38">
        <f>IF(OR(B18="",$E$5=""),"",'Example Parties'!$M$23+SUMIFS('Example Entries'!$I$7:$I$506,'Example Entries'!$C$7:$C$506,B18,'Example Entries'!$B$7:$B$506,"&lt;="&amp;$E$5)-SUMIFS('Example Entries'!$J$7:$J$506,'Example Entries'!$C$7:$C$506,B18,'Example Entries'!$B$7:$B$506,"&lt;="&amp;$E$5))</f>
        <v/>
      </c>
      <c r="F18" s="49">
        <f>IF(B18="","",SUMIFS('Example Entries'!$W$7:$W$506,'Example Entries'!$C$7:$C$506,B18,'Example Entries'!$AC$7:$AC$506,"&gt;=0",'Example Entries'!$AC$7:$AC$506,"&lt;=30"))</f>
        <v/>
      </c>
      <c r="G18" s="49">
        <f>IF(B18="","",SUMIFS('Example Entries'!$W$7:$W$506,'Example Entries'!$C$7:$C$506,B18,'Example Entries'!$AC$7:$AC$506,"&gt;=31",'Example Entries'!$AC$7:$AC$506,"&lt;=60"))</f>
        <v/>
      </c>
      <c r="H18" s="49">
        <f>IF(B18="","",SUMIFS('Example Entries'!$W$7:$W$506,'Example Entries'!$C$7:$C$506,B18,'Example Entries'!$AC$7:$AC$506,"&gt;=61",'Example Entries'!$AC$7:$AC$506,"&lt;=90"))</f>
        <v/>
      </c>
      <c r="I18" s="49">
        <f>IF(B18="","",SUMIFS('Example Entries'!$W$7:$W$506,'Example Entries'!$C$7:$C$506,B18,'Example Entries'!$AC$7:$AC$506,"&gt;90"))</f>
        <v/>
      </c>
      <c r="J18" s="50">
        <f>IF(B18="","",SUMIFS('Example Entries'!$W$7:$W$506,'Example Entries'!$C$7:$C$506,B18,'Example Entries'!$AA$7:$AA$506,"&gt;0"))</f>
        <v/>
      </c>
      <c r="K18" s="49">
        <f>IF(B18="","",ROUND(SUMIFS('Example Entries'!$AB$7:$AB$506,'Example Entries'!$C$7:$C$506,B18),0))</f>
        <v/>
      </c>
      <c r="L18" s="49">
        <f>IF(B18="","",SUMIFS('Example Entries'!$AF$7:$AF$506,'Example Entries'!$C$7:$C$506,B18))</f>
        <v/>
      </c>
      <c r="M18" s="23">
        <f>IF(B18="","",IF(AND(C18="Debtor",N(E18)&lt;0),"Credit balance: an advance or an excess receipt",IF(AND(C18="Creditor",N(E18)&gt;0),"Debit balance: an advance paid to the supplier",IF(AND(C18="Creditor",N(L18)&gt;0),"Pay before the year end to keep the deduction, s.37(2)(g)",IF(N(J18)&gt;0,IF(C18="Creditor","Past due: pay, or confirm the terms in writing","Past due: follow up"),"OK")))))</f>
        <v/>
      </c>
    </row>
    <row r="19">
      <c r="B19" s="37">
        <f>IF('Example Parties'!$B$24="","",'Example Parties'!$B$24)</f>
        <v/>
      </c>
      <c r="C19" s="40">
        <f>IF(B19="","",'Example Parties'!$C$24&amp;"")</f>
        <v/>
      </c>
      <c r="D19" s="39">
        <f>IF(B19="","",'Example Parties'!$E$24&amp;"")</f>
        <v/>
      </c>
      <c r="E19" s="38">
        <f>IF(OR(B19="",$E$5=""),"",'Example Parties'!$M$24+SUMIFS('Example Entries'!$I$7:$I$506,'Example Entries'!$C$7:$C$506,B19,'Example Entries'!$B$7:$B$506,"&lt;="&amp;$E$5)-SUMIFS('Example Entries'!$J$7:$J$506,'Example Entries'!$C$7:$C$506,B19,'Example Entries'!$B$7:$B$506,"&lt;="&amp;$E$5))</f>
        <v/>
      </c>
      <c r="F19" s="49">
        <f>IF(B19="","",SUMIFS('Example Entries'!$W$7:$W$506,'Example Entries'!$C$7:$C$506,B19,'Example Entries'!$AC$7:$AC$506,"&gt;=0",'Example Entries'!$AC$7:$AC$506,"&lt;=30"))</f>
        <v/>
      </c>
      <c r="G19" s="49">
        <f>IF(B19="","",SUMIFS('Example Entries'!$W$7:$W$506,'Example Entries'!$C$7:$C$506,B19,'Example Entries'!$AC$7:$AC$506,"&gt;=31",'Example Entries'!$AC$7:$AC$506,"&lt;=60"))</f>
        <v/>
      </c>
      <c r="H19" s="49">
        <f>IF(B19="","",SUMIFS('Example Entries'!$W$7:$W$506,'Example Entries'!$C$7:$C$506,B19,'Example Entries'!$AC$7:$AC$506,"&gt;=61",'Example Entries'!$AC$7:$AC$506,"&lt;=90"))</f>
        <v/>
      </c>
      <c r="I19" s="49">
        <f>IF(B19="","",SUMIFS('Example Entries'!$W$7:$W$506,'Example Entries'!$C$7:$C$506,B19,'Example Entries'!$AC$7:$AC$506,"&gt;90"))</f>
        <v/>
      </c>
      <c r="J19" s="50">
        <f>IF(B19="","",SUMIFS('Example Entries'!$W$7:$W$506,'Example Entries'!$C$7:$C$506,B19,'Example Entries'!$AA$7:$AA$506,"&gt;0"))</f>
        <v/>
      </c>
      <c r="K19" s="49">
        <f>IF(B19="","",ROUND(SUMIFS('Example Entries'!$AB$7:$AB$506,'Example Entries'!$C$7:$C$506,B19),0))</f>
        <v/>
      </c>
      <c r="L19" s="49">
        <f>IF(B19="","",SUMIFS('Example Entries'!$AF$7:$AF$506,'Example Entries'!$C$7:$C$506,B19))</f>
        <v/>
      </c>
      <c r="M19" s="23">
        <f>IF(B19="","",IF(AND(C19="Debtor",N(E19)&lt;0),"Credit balance: an advance or an excess receipt",IF(AND(C19="Creditor",N(E19)&gt;0),"Debit balance: an advance paid to the supplier",IF(AND(C19="Creditor",N(L19)&gt;0),"Pay before the year end to keep the deduction, s.37(2)(g)",IF(N(J19)&gt;0,IF(C19="Creditor","Past due: pay, or confirm the terms in writing","Past due: follow up"),"OK")))))</f>
        <v/>
      </c>
    </row>
    <row r="20">
      <c r="B20" s="37">
        <f>IF('Example Parties'!$B$25="","",'Example Parties'!$B$25)</f>
        <v/>
      </c>
      <c r="C20" s="40">
        <f>IF(B20="","",'Example Parties'!$C$25&amp;"")</f>
        <v/>
      </c>
      <c r="D20" s="39">
        <f>IF(B20="","",'Example Parties'!$E$25&amp;"")</f>
        <v/>
      </c>
      <c r="E20" s="38">
        <f>IF(OR(B20="",$E$5=""),"",'Example Parties'!$M$25+SUMIFS('Example Entries'!$I$7:$I$506,'Example Entries'!$C$7:$C$506,B20,'Example Entries'!$B$7:$B$506,"&lt;="&amp;$E$5)-SUMIFS('Example Entries'!$J$7:$J$506,'Example Entries'!$C$7:$C$506,B20,'Example Entries'!$B$7:$B$506,"&lt;="&amp;$E$5))</f>
        <v/>
      </c>
      <c r="F20" s="49">
        <f>IF(B20="","",SUMIFS('Example Entries'!$W$7:$W$506,'Example Entries'!$C$7:$C$506,B20,'Example Entries'!$AC$7:$AC$506,"&gt;=0",'Example Entries'!$AC$7:$AC$506,"&lt;=30"))</f>
        <v/>
      </c>
      <c r="G20" s="49">
        <f>IF(B20="","",SUMIFS('Example Entries'!$W$7:$W$506,'Example Entries'!$C$7:$C$506,B20,'Example Entries'!$AC$7:$AC$506,"&gt;=31",'Example Entries'!$AC$7:$AC$506,"&lt;=60"))</f>
        <v/>
      </c>
      <c r="H20" s="49">
        <f>IF(B20="","",SUMIFS('Example Entries'!$W$7:$W$506,'Example Entries'!$C$7:$C$506,B20,'Example Entries'!$AC$7:$AC$506,"&gt;=61",'Example Entries'!$AC$7:$AC$506,"&lt;=90"))</f>
        <v/>
      </c>
      <c r="I20" s="49">
        <f>IF(B20="","",SUMIFS('Example Entries'!$W$7:$W$506,'Example Entries'!$C$7:$C$506,B20,'Example Entries'!$AC$7:$AC$506,"&gt;90"))</f>
        <v/>
      </c>
      <c r="J20" s="50">
        <f>IF(B20="","",SUMIFS('Example Entries'!$W$7:$W$506,'Example Entries'!$C$7:$C$506,B20,'Example Entries'!$AA$7:$AA$506,"&gt;0"))</f>
        <v/>
      </c>
      <c r="K20" s="49">
        <f>IF(B20="","",ROUND(SUMIFS('Example Entries'!$AB$7:$AB$506,'Example Entries'!$C$7:$C$506,B20),0))</f>
        <v/>
      </c>
      <c r="L20" s="49">
        <f>IF(B20="","",SUMIFS('Example Entries'!$AF$7:$AF$506,'Example Entries'!$C$7:$C$506,B20))</f>
        <v/>
      </c>
      <c r="M20" s="23">
        <f>IF(B20="","",IF(AND(C20="Debtor",N(E20)&lt;0),"Credit balance: an advance or an excess receipt",IF(AND(C20="Creditor",N(E20)&gt;0),"Debit balance: an advance paid to the supplier",IF(AND(C20="Creditor",N(L20)&gt;0),"Pay before the year end to keep the deduction, s.37(2)(g)",IF(N(J20)&gt;0,IF(C20="Creditor","Past due: pay, or confirm the terms in writing","Past due: follow up"),"OK")))))</f>
        <v/>
      </c>
    </row>
    <row r="21">
      <c r="B21" s="37">
        <f>IF('Example Parties'!$B$26="","",'Example Parties'!$B$26)</f>
        <v/>
      </c>
      <c r="C21" s="40">
        <f>IF(B21="","",'Example Parties'!$C$26&amp;"")</f>
        <v/>
      </c>
      <c r="D21" s="39">
        <f>IF(B21="","",'Example Parties'!$E$26&amp;"")</f>
        <v/>
      </c>
      <c r="E21" s="38">
        <f>IF(OR(B21="",$E$5=""),"",'Example Parties'!$M$26+SUMIFS('Example Entries'!$I$7:$I$506,'Example Entries'!$C$7:$C$506,B21,'Example Entries'!$B$7:$B$506,"&lt;="&amp;$E$5)-SUMIFS('Example Entries'!$J$7:$J$506,'Example Entries'!$C$7:$C$506,B21,'Example Entries'!$B$7:$B$506,"&lt;="&amp;$E$5))</f>
        <v/>
      </c>
      <c r="F21" s="49">
        <f>IF(B21="","",SUMIFS('Example Entries'!$W$7:$W$506,'Example Entries'!$C$7:$C$506,B21,'Example Entries'!$AC$7:$AC$506,"&gt;=0",'Example Entries'!$AC$7:$AC$506,"&lt;=30"))</f>
        <v/>
      </c>
      <c r="G21" s="49">
        <f>IF(B21="","",SUMIFS('Example Entries'!$W$7:$W$506,'Example Entries'!$C$7:$C$506,B21,'Example Entries'!$AC$7:$AC$506,"&gt;=31",'Example Entries'!$AC$7:$AC$506,"&lt;=60"))</f>
        <v/>
      </c>
      <c r="H21" s="49">
        <f>IF(B21="","",SUMIFS('Example Entries'!$W$7:$W$506,'Example Entries'!$C$7:$C$506,B21,'Example Entries'!$AC$7:$AC$506,"&gt;=61",'Example Entries'!$AC$7:$AC$506,"&lt;=90"))</f>
        <v/>
      </c>
      <c r="I21" s="49">
        <f>IF(B21="","",SUMIFS('Example Entries'!$W$7:$W$506,'Example Entries'!$C$7:$C$506,B21,'Example Entries'!$AC$7:$AC$506,"&gt;90"))</f>
        <v/>
      </c>
      <c r="J21" s="50">
        <f>IF(B21="","",SUMIFS('Example Entries'!$W$7:$W$506,'Example Entries'!$C$7:$C$506,B21,'Example Entries'!$AA$7:$AA$506,"&gt;0"))</f>
        <v/>
      </c>
      <c r="K21" s="49">
        <f>IF(B21="","",ROUND(SUMIFS('Example Entries'!$AB$7:$AB$506,'Example Entries'!$C$7:$C$506,B21),0))</f>
        <v/>
      </c>
      <c r="L21" s="49">
        <f>IF(B21="","",SUMIFS('Example Entries'!$AF$7:$AF$506,'Example Entries'!$C$7:$C$506,B21))</f>
        <v/>
      </c>
      <c r="M21" s="23">
        <f>IF(B21="","",IF(AND(C21="Debtor",N(E21)&lt;0),"Credit balance: an advance or an excess receipt",IF(AND(C21="Creditor",N(E21)&gt;0),"Debit balance: an advance paid to the supplier",IF(AND(C21="Creditor",N(L21)&gt;0),"Pay before the year end to keep the deduction, s.37(2)(g)",IF(N(J21)&gt;0,IF(C21="Creditor","Past due: pay, or confirm the terms in writing","Past due: follow up"),"OK")))))</f>
        <v/>
      </c>
    </row>
    <row r="22">
      <c r="B22" s="37">
        <f>IF('Example Parties'!$B$27="","",'Example Parties'!$B$27)</f>
        <v/>
      </c>
      <c r="C22" s="40">
        <f>IF(B22="","",'Example Parties'!$C$27&amp;"")</f>
        <v/>
      </c>
      <c r="D22" s="39">
        <f>IF(B22="","",'Example Parties'!$E$27&amp;"")</f>
        <v/>
      </c>
      <c r="E22" s="38">
        <f>IF(OR(B22="",$E$5=""),"",'Example Parties'!$M$27+SUMIFS('Example Entries'!$I$7:$I$506,'Example Entries'!$C$7:$C$506,B22,'Example Entries'!$B$7:$B$506,"&lt;="&amp;$E$5)-SUMIFS('Example Entries'!$J$7:$J$506,'Example Entries'!$C$7:$C$506,B22,'Example Entries'!$B$7:$B$506,"&lt;="&amp;$E$5))</f>
        <v/>
      </c>
      <c r="F22" s="49">
        <f>IF(B22="","",SUMIFS('Example Entries'!$W$7:$W$506,'Example Entries'!$C$7:$C$506,B22,'Example Entries'!$AC$7:$AC$506,"&gt;=0",'Example Entries'!$AC$7:$AC$506,"&lt;=30"))</f>
        <v/>
      </c>
      <c r="G22" s="49">
        <f>IF(B22="","",SUMIFS('Example Entries'!$W$7:$W$506,'Example Entries'!$C$7:$C$506,B22,'Example Entries'!$AC$7:$AC$506,"&gt;=31",'Example Entries'!$AC$7:$AC$506,"&lt;=60"))</f>
        <v/>
      </c>
      <c r="H22" s="49">
        <f>IF(B22="","",SUMIFS('Example Entries'!$W$7:$W$506,'Example Entries'!$C$7:$C$506,B22,'Example Entries'!$AC$7:$AC$506,"&gt;=61",'Example Entries'!$AC$7:$AC$506,"&lt;=90"))</f>
        <v/>
      </c>
      <c r="I22" s="49">
        <f>IF(B22="","",SUMIFS('Example Entries'!$W$7:$W$506,'Example Entries'!$C$7:$C$506,B22,'Example Entries'!$AC$7:$AC$506,"&gt;90"))</f>
        <v/>
      </c>
      <c r="J22" s="50">
        <f>IF(B22="","",SUMIFS('Example Entries'!$W$7:$W$506,'Example Entries'!$C$7:$C$506,B22,'Example Entries'!$AA$7:$AA$506,"&gt;0"))</f>
        <v/>
      </c>
      <c r="K22" s="49">
        <f>IF(B22="","",ROUND(SUMIFS('Example Entries'!$AB$7:$AB$506,'Example Entries'!$C$7:$C$506,B22),0))</f>
        <v/>
      </c>
      <c r="L22" s="49">
        <f>IF(B22="","",SUMIFS('Example Entries'!$AF$7:$AF$506,'Example Entries'!$C$7:$C$506,B22))</f>
        <v/>
      </c>
      <c r="M22" s="23">
        <f>IF(B22="","",IF(AND(C22="Debtor",N(E22)&lt;0),"Credit balance: an advance or an excess receipt",IF(AND(C22="Creditor",N(E22)&gt;0),"Debit balance: an advance paid to the supplier",IF(AND(C22="Creditor",N(L22)&gt;0),"Pay before the year end to keep the deduction, s.37(2)(g)",IF(N(J22)&gt;0,IF(C22="Creditor","Past due: pay, or confirm the terms in writing","Past due: follow up"),"OK")))))</f>
        <v/>
      </c>
    </row>
    <row r="23">
      <c r="B23" s="37">
        <f>IF('Example Parties'!$B$28="","",'Example Parties'!$B$28)</f>
        <v/>
      </c>
      <c r="C23" s="40">
        <f>IF(B23="","",'Example Parties'!$C$28&amp;"")</f>
        <v/>
      </c>
      <c r="D23" s="39">
        <f>IF(B23="","",'Example Parties'!$E$28&amp;"")</f>
        <v/>
      </c>
      <c r="E23" s="38">
        <f>IF(OR(B23="",$E$5=""),"",'Example Parties'!$M$28+SUMIFS('Example Entries'!$I$7:$I$506,'Example Entries'!$C$7:$C$506,B23,'Example Entries'!$B$7:$B$506,"&lt;="&amp;$E$5)-SUMIFS('Example Entries'!$J$7:$J$506,'Example Entries'!$C$7:$C$506,B23,'Example Entries'!$B$7:$B$506,"&lt;="&amp;$E$5))</f>
        <v/>
      </c>
      <c r="F23" s="49">
        <f>IF(B23="","",SUMIFS('Example Entries'!$W$7:$W$506,'Example Entries'!$C$7:$C$506,B23,'Example Entries'!$AC$7:$AC$506,"&gt;=0",'Example Entries'!$AC$7:$AC$506,"&lt;=30"))</f>
        <v/>
      </c>
      <c r="G23" s="49">
        <f>IF(B23="","",SUMIFS('Example Entries'!$W$7:$W$506,'Example Entries'!$C$7:$C$506,B23,'Example Entries'!$AC$7:$AC$506,"&gt;=31",'Example Entries'!$AC$7:$AC$506,"&lt;=60"))</f>
        <v/>
      </c>
      <c r="H23" s="49">
        <f>IF(B23="","",SUMIFS('Example Entries'!$W$7:$W$506,'Example Entries'!$C$7:$C$506,B23,'Example Entries'!$AC$7:$AC$506,"&gt;=61",'Example Entries'!$AC$7:$AC$506,"&lt;=90"))</f>
        <v/>
      </c>
      <c r="I23" s="49">
        <f>IF(B23="","",SUMIFS('Example Entries'!$W$7:$W$506,'Example Entries'!$C$7:$C$506,B23,'Example Entries'!$AC$7:$AC$506,"&gt;90"))</f>
        <v/>
      </c>
      <c r="J23" s="50">
        <f>IF(B23="","",SUMIFS('Example Entries'!$W$7:$W$506,'Example Entries'!$C$7:$C$506,B23,'Example Entries'!$AA$7:$AA$506,"&gt;0"))</f>
        <v/>
      </c>
      <c r="K23" s="49">
        <f>IF(B23="","",ROUND(SUMIFS('Example Entries'!$AB$7:$AB$506,'Example Entries'!$C$7:$C$506,B23),0))</f>
        <v/>
      </c>
      <c r="L23" s="49">
        <f>IF(B23="","",SUMIFS('Example Entries'!$AF$7:$AF$506,'Example Entries'!$C$7:$C$506,B23))</f>
        <v/>
      </c>
      <c r="M23" s="23">
        <f>IF(B23="","",IF(AND(C23="Debtor",N(E23)&lt;0),"Credit balance: an advance or an excess receipt",IF(AND(C23="Creditor",N(E23)&gt;0),"Debit balance: an advance paid to the supplier",IF(AND(C23="Creditor",N(L23)&gt;0),"Pay before the year end to keep the deduction, s.37(2)(g)",IF(N(J23)&gt;0,IF(C23="Creditor","Past due: pay, or confirm the terms in writing","Past due: follow up"),"OK")))))</f>
        <v/>
      </c>
    </row>
    <row r="24">
      <c r="B24" s="37">
        <f>IF('Example Parties'!$B$29="","",'Example Parties'!$B$29)</f>
        <v/>
      </c>
      <c r="C24" s="40">
        <f>IF(B24="","",'Example Parties'!$C$29&amp;"")</f>
        <v/>
      </c>
      <c r="D24" s="39">
        <f>IF(B24="","",'Example Parties'!$E$29&amp;"")</f>
        <v/>
      </c>
      <c r="E24" s="38">
        <f>IF(OR(B24="",$E$5=""),"",'Example Parties'!$M$29+SUMIFS('Example Entries'!$I$7:$I$506,'Example Entries'!$C$7:$C$506,B24,'Example Entries'!$B$7:$B$506,"&lt;="&amp;$E$5)-SUMIFS('Example Entries'!$J$7:$J$506,'Example Entries'!$C$7:$C$506,B24,'Example Entries'!$B$7:$B$506,"&lt;="&amp;$E$5))</f>
        <v/>
      </c>
      <c r="F24" s="49">
        <f>IF(B24="","",SUMIFS('Example Entries'!$W$7:$W$506,'Example Entries'!$C$7:$C$506,B24,'Example Entries'!$AC$7:$AC$506,"&gt;=0",'Example Entries'!$AC$7:$AC$506,"&lt;=30"))</f>
        <v/>
      </c>
      <c r="G24" s="49">
        <f>IF(B24="","",SUMIFS('Example Entries'!$W$7:$W$506,'Example Entries'!$C$7:$C$506,B24,'Example Entries'!$AC$7:$AC$506,"&gt;=31",'Example Entries'!$AC$7:$AC$506,"&lt;=60"))</f>
        <v/>
      </c>
      <c r="H24" s="49">
        <f>IF(B24="","",SUMIFS('Example Entries'!$W$7:$W$506,'Example Entries'!$C$7:$C$506,B24,'Example Entries'!$AC$7:$AC$506,"&gt;=61",'Example Entries'!$AC$7:$AC$506,"&lt;=90"))</f>
        <v/>
      </c>
      <c r="I24" s="49">
        <f>IF(B24="","",SUMIFS('Example Entries'!$W$7:$W$506,'Example Entries'!$C$7:$C$506,B24,'Example Entries'!$AC$7:$AC$506,"&gt;90"))</f>
        <v/>
      </c>
      <c r="J24" s="50">
        <f>IF(B24="","",SUMIFS('Example Entries'!$W$7:$W$506,'Example Entries'!$C$7:$C$506,B24,'Example Entries'!$AA$7:$AA$506,"&gt;0"))</f>
        <v/>
      </c>
      <c r="K24" s="49">
        <f>IF(B24="","",ROUND(SUMIFS('Example Entries'!$AB$7:$AB$506,'Example Entries'!$C$7:$C$506,B24),0))</f>
        <v/>
      </c>
      <c r="L24" s="49">
        <f>IF(B24="","",SUMIFS('Example Entries'!$AF$7:$AF$506,'Example Entries'!$C$7:$C$506,B24))</f>
        <v/>
      </c>
      <c r="M24" s="23">
        <f>IF(B24="","",IF(AND(C24="Debtor",N(E24)&lt;0),"Credit balance: an advance or an excess receipt",IF(AND(C24="Creditor",N(E24)&gt;0),"Debit balance: an advance paid to the supplier",IF(AND(C24="Creditor",N(L24)&gt;0),"Pay before the year end to keep the deduction, s.37(2)(g)",IF(N(J24)&gt;0,IF(C24="Creditor","Past due: pay, or confirm the terms in writing","Past due: follow up"),"OK")))))</f>
        <v/>
      </c>
    </row>
    <row r="25">
      <c r="B25" s="37">
        <f>IF('Example Parties'!$B$30="","",'Example Parties'!$B$30)</f>
        <v/>
      </c>
      <c r="C25" s="40">
        <f>IF(B25="","",'Example Parties'!$C$30&amp;"")</f>
        <v/>
      </c>
      <c r="D25" s="39">
        <f>IF(B25="","",'Example Parties'!$E$30&amp;"")</f>
        <v/>
      </c>
      <c r="E25" s="38">
        <f>IF(OR(B25="",$E$5=""),"",'Example Parties'!$M$30+SUMIFS('Example Entries'!$I$7:$I$506,'Example Entries'!$C$7:$C$506,B25,'Example Entries'!$B$7:$B$506,"&lt;="&amp;$E$5)-SUMIFS('Example Entries'!$J$7:$J$506,'Example Entries'!$C$7:$C$506,B25,'Example Entries'!$B$7:$B$506,"&lt;="&amp;$E$5))</f>
        <v/>
      </c>
      <c r="F25" s="49">
        <f>IF(B25="","",SUMIFS('Example Entries'!$W$7:$W$506,'Example Entries'!$C$7:$C$506,B25,'Example Entries'!$AC$7:$AC$506,"&gt;=0",'Example Entries'!$AC$7:$AC$506,"&lt;=30"))</f>
        <v/>
      </c>
      <c r="G25" s="49">
        <f>IF(B25="","",SUMIFS('Example Entries'!$W$7:$W$506,'Example Entries'!$C$7:$C$506,B25,'Example Entries'!$AC$7:$AC$506,"&gt;=31",'Example Entries'!$AC$7:$AC$506,"&lt;=60"))</f>
        <v/>
      </c>
      <c r="H25" s="49">
        <f>IF(B25="","",SUMIFS('Example Entries'!$W$7:$W$506,'Example Entries'!$C$7:$C$506,B25,'Example Entries'!$AC$7:$AC$506,"&gt;=61",'Example Entries'!$AC$7:$AC$506,"&lt;=90"))</f>
        <v/>
      </c>
      <c r="I25" s="49">
        <f>IF(B25="","",SUMIFS('Example Entries'!$W$7:$W$506,'Example Entries'!$C$7:$C$506,B25,'Example Entries'!$AC$7:$AC$506,"&gt;90"))</f>
        <v/>
      </c>
      <c r="J25" s="50">
        <f>IF(B25="","",SUMIFS('Example Entries'!$W$7:$W$506,'Example Entries'!$C$7:$C$506,B25,'Example Entries'!$AA$7:$AA$506,"&gt;0"))</f>
        <v/>
      </c>
      <c r="K25" s="49">
        <f>IF(B25="","",ROUND(SUMIFS('Example Entries'!$AB$7:$AB$506,'Example Entries'!$C$7:$C$506,B25),0))</f>
        <v/>
      </c>
      <c r="L25" s="49">
        <f>IF(B25="","",SUMIFS('Example Entries'!$AF$7:$AF$506,'Example Entries'!$C$7:$C$506,B25))</f>
        <v/>
      </c>
      <c r="M25" s="23">
        <f>IF(B25="","",IF(AND(C25="Debtor",N(E25)&lt;0),"Credit balance: an advance or an excess receipt",IF(AND(C25="Creditor",N(E25)&gt;0),"Debit balance: an advance paid to the supplier",IF(AND(C25="Creditor",N(L25)&gt;0),"Pay before the year end to keep the deduction, s.37(2)(g)",IF(N(J25)&gt;0,IF(C25="Creditor","Past due: pay, or confirm the terms in writing","Past due: follow up"),"OK")))))</f>
        <v/>
      </c>
    </row>
    <row r="26">
      <c r="B26" s="37">
        <f>IF('Example Parties'!$B$31="","",'Example Parties'!$B$31)</f>
        <v/>
      </c>
      <c r="C26" s="40">
        <f>IF(B26="","",'Example Parties'!$C$31&amp;"")</f>
        <v/>
      </c>
      <c r="D26" s="39">
        <f>IF(B26="","",'Example Parties'!$E$31&amp;"")</f>
        <v/>
      </c>
      <c r="E26" s="38">
        <f>IF(OR(B26="",$E$5=""),"",'Example Parties'!$M$31+SUMIFS('Example Entries'!$I$7:$I$506,'Example Entries'!$C$7:$C$506,B26,'Example Entries'!$B$7:$B$506,"&lt;="&amp;$E$5)-SUMIFS('Example Entries'!$J$7:$J$506,'Example Entries'!$C$7:$C$506,B26,'Example Entries'!$B$7:$B$506,"&lt;="&amp;$E$5))</f>
        <v/>
      </c>
      <c r="F26" s="49">
        <f>IF(B26="","",SUMIFS('Example Entries'!$W$7:$W$506,'Example Entries'!$C$7:$C$506,B26,'Example Entries'!$AC$7:$AC$506,"&gt;=0",'Example Entries'!$AC$7:$AC$506,"&lt;=30"))</f>
        <v/>
      </c>
      <c r="G26" s="49">
        <f>IF(B26="","",SUMIFS('Example Entries'!$W$7:$W$506,'Example Entries'!$C$7:$C$506,B26,'Example Entries'!$AC$7:$AC$506,"&gt;=31",'Example Entries'!$AC$7:$AC$506,"&lt;=60"))</f>
        <v/>
      </c>
      <c r="H26" s="49">
        <f>IF(B26="","",SUMIFS('Example Entries'!$W$7:$W$506,'Example Entries'!$C$7:$C$506,B26,'Example Entries'!$AC$7:$AC$506,"&gt;=61",'Example Entries'!$AC$7:$AC$506,"&lt;=90"))</f>
        <v/>
      </c>
      <c r="I26" s="49">
        <f>IF(B26="","",SUMIFS('Example Entries'!$W$7:$W$506,'Example Entries'!$C$7:$C$506,B26,'Example Entries'!$AC$7:$AC$506,"&gt;90"))</f>
        <v/>
      </c>
      <c r="J26" s="50">
        <f>IF(B26="","",SUMIFS('Example Entries'!$W$7:$W$506,'Example Entries'!$C$7:$C$506,B26,'Example Entries'!$AA$7:$AA$506,"&gt;0"))</f>
        <v/>
      </c>
      <c r="K26" s="49">
        <f>IF(B26="","",ROUND(SUMIFS('Example Entries'!$AB$7:$AB$506,'Example Entries'!$C$7:$C$506,B26),0))</f>
        <v/>
      </c>
      <c r="L26" s="49">
        <f>IF(B26="","",SUMIFS('Example Entries'!$AF$7:$AF$506,'Example Entries'!$C$7:$C$506,B26))</f>
        <v/>
      </c>
      <c r="M26" s="23">
        <f>IF(B26="","",IF(AND(C26="Debtor",N(E26)&lt;0),"Credit balance: an advance or an excess receipt",IF(AND(C26="Creditor",N(E26)&gt;0),"Debit balance: an advance paid to the supplier",IF(AND(C26="Creditor",N(L26)&gt;0),"Pay before the year end to keep the deduction, s.37(2)(g)",IF(N(J26)&gt;0,IF(C26="Creditor","Past due: pay, or confirm the terms in writing","Past due: follow up"),"OK")))))</f>
        <v/>
      </c>
    </row>
    <row r="27">
      <c r="B27" s="37">
        <f>IF('Example Parties'!$B$32="","",'Example Parties'!$B$32)</f>
        <v/>
      </c>
      <c r="C27" s="40">
        <f>IF(B27="","",'Example Parties'!$C$32&amp;"")</f>
        <v/>
      </c>
      <c r="D27" s="39">
        <f>IF(B27="","",'Example Parties'!$E$32&amp;"")</f>
        <v/>
      </c>
      <c r="E27" s="38">
        <f>IF(OR(B27="",$E$5=""),"",'Example Parties'!$M$32+SUMIFS('Example Entries'!$I$7:$I$506,'Example Entries'!$C$7:$C$506,B27,'Example Entries'!$B$7:$B$506,"&lt;="&amp;$E$5)-SUMIFS('Example Entries'!$J$7:$J$506,'Example Entries'!$C$7:$C$506,B27,'Example Entries'!$B$7:$B$506,"&lt;="&amp;$E$5))</f>
        <v/>
      </c>
      <c r="F27" s="49">
        <f>IF(B27="","",SUMIFS('Example Entries'!$W$7:$W$506,'Example Entries'!$C$7:$C$506,B27,'Example Entries'!$AC$7:$AC$506,"&gt;=0",'Example Entries'!$AC$7:$AC$506,"&lt;=30"))</f>
        <v/>
      </c>
      <c r="G27" s="49">
        <f>IF(B27="","",SUMIFS('Example Entries'!$W$7:$W$506,'Example Entries'!$C$7:$C$506,B27,'Example Entries'!$AC$7:$AC$506,"&gt;=31",'Example Entries'!$AC$7:$AC$506,"&lt;=60"))</f>
        <v/>
      </c>
      <c r="H27" s="49">
        <f>IF(B27="","",SUMIFS('Example Entries'!$W$7:$W$506,'Example Entries'!$C$7:$C$506,B27,'Example Entries'!$AC$7:$AC$506,"&gt;=61",'Example Entries'!$AC$7:$AC$506,"&lt;=90"))</f>
        <v/>
      </c>
      <c r="I27" s="49">
        <f>IF(B27="","",SUMIFS('Example Entries'!$W$7:$W$506,'Example Entries'!$C$7:$C$506,B27,'Example Entries'!$AC$7:$AC$506,"&gt;90"))</f>
        <v/>
      </c>
      <c r="J27" s="50">
        <f>IF(B27="","",SUMIFS('Example Entries'!$W$7:$W$506,'Example Entries'!$C$7:$C$506,B27,'Example Entries'!$AA$7:$AA$506,"&gt;0"))</f>
        <v/>
      </c>
      <c r="K27" s="49">
        <f>IF(B27="","",ROUND(SUMIFS('Example Entries'!$AB$7:$AB$506,'Example Entries'!$C$7:$C$506,B27),0))</f>
        <v/>
      </c>
      <c r="L27" s="49">
        <f>IF(B27="","",SUMIFS('Example Entries'!$AF$7:$AF$506,'Example Entries'!$C$7:$C$506,B27))</f>
        <v/>
      </c>
      <c r="M27" s="23">
        <f>IF(B27="","",IF(AND(C27="Debtor",N(E27)&lt;0),"Credit balance: an advance or an excess receipt",IF(AND(C27="Creditor",N(E27)&gt;0),"Debit balance: an advance paid to the supplier",IF(AND(C27="Creditor",N(L27)&gt;0),"Pay before the year end to keep the deduction, s.37(2)(g)",IF(N(J27)&gt;0,IF(C27="Creditor","Past due: pay, or confirm the terms in writing","Past due: follow up"),"OK")))))</f>
        <v/>
      </c>
    </row>
    <row r="28">
      <c r="B28" s="37">
        <f>IF('Example Parties'!$B$33="","",'Example Parties'!$B$33)</f>
        <v/>
      </c>
      <c r="C28" s="40">
        <f>IF(B28="","",'Example Parties'!$C$33&amp;"")</f>
        <v/>
      </c>
      <c r="D28" s="39">
        <f>IF(B28="","",'Example Parties'!$E$33&amp;"")</f>
        <v/>
      </c>
      <c r="E28" s="38">
        <f>IF(OR(B28="",$E$5=""),"",'Example Parties'!$M$33+SUMIFS('Example Entries'!$I$7:$I$506,'Example Entries'!$C$7:$C$506,B28,'Example Entries'!$B$7:$B$506,"&lt;="&amp;$E$5)-SUMIFS('Example Entries'!$J$7:$J$506,'Example Entries'!$C$7:$C$506,B28,'Example Entries'!$B$7:$B$506,"&lt;="&amp;$E$5))</f>
        <v/>
      </c>
      <c r="F28" s="49">
        <f>IF(B28="","",SUMIFS('Example Entries'!$W$7:$W$506,'Example Entries'!$C$7:$C$506,B28,'Example Entries'!$AC$7:$AC$506,"&gt;=0",'Example Entries'!$AC$7:$AC$506,"&lt;=30"))</f>
        <v/>
      </c>
      <c r="G28" s="49">
        <f>IF(B28="","",SUMIFS('Example Entries'!$W$7:$W$506,'Example Entries'!$C$7:$C$506,B28,'Example Entries'!$AC$7:$AC$506,"&gt;=31",'Example Entries'!$AC$7:$AC$506,"&lt;=60"))</f>
        <v/>
      </c>
      <c r="H28" s="49">
        <f>IF(B28="","",SUMIFS('Example Entries'!$W$7:$W$506,'Example Entries'!$C$7:$C$506,B28,'Example Entries'!$AC$7:$AC$506,"&gt;=61",'Example Entries'!$AC$7:$AC$506,"&lt;=90"))</f>
        <v/>
      </c>
      <c r="I28" s="49">
        <f>IF(B28="","",SUMIFS('Example Entries'!$W$7:$W$506,'Example Entries'!$C$7:$C$506,B28,'Example Entries'!$AC$7:$AC$506,"&gt;90"))</f>
        <v/>
      </c>
      <c r="J28" s="50">
        <f>IF(B28="","",SUMIFS('Example Entries'!$W$7:$W$506,'Example Entries'!$C$7:$C$506,B28,'Example Entries'!$AA$7:$AA$506,"&gt;0"))</f>
        <v/>
      </c>
      <c r="K28" s="49">
        <f>IF(B28="","",ROUND(SUMIFS('Example Entries'!$AB$7:$AB$506,'Example Entries'!$C$7:$C$506,B28),0))</f>
        <v/>
      </c>
      <c r="L28" s="49">
        <f>IF(B28="","",SUMIFS('Example Entries'!$AF$7:$AF$506,'Example Entries'!$C$7:$C$506,B28))</f>
        <v/>
      </c>
      <c r="M28" s="23">
        <f>IF(B28="","",IF(AND(C28="Debtor",N(E28)&lt;0),"Credit balance: an advance or an excess receipt",IF(AND(C28="Creditor",N(E28)&gt;0),"Debit balance: an advance paid to the supplier",IF(AND(C28="Creditor",N(L28)&gt;0),"Pay before the year end to keep the deduction, s.37(2)(g)",IF(N(J28)&gt;0,IF(C28="Creditor","Past due: pay, or confirm the terms in writing","Past due: follow up"),"OK")))))</f>
        <v/>
      </c>
    </row>
    <row r="29">
      <c r="B29" s="37">
        <f>IF('Example Parties'!$B$34="","",'Example Parties'!$B$34)</f>
        <v/>
      </c>
      <c r="C29" s="40">
        <f>IF(B29="","",'Example Parties'!$C$34&amp;"")</f>
        <v/>
      </c>
      <c r="D29" s="39">
        <f>IF(B29="","",'Example Parties'!$E$34&amp;"")</f>
        <v/>
      </c>
      <c r="E29" s="38">
        <f>IF(OR(B29="",$E$5=""),"",'Example Parties'!$M$34+SUMIFS('Example Entries'!$I$7:$I$506,'Example Entries'!$C$7:$C$506,B29,'Example Entries'!$B$7:$B$506,"&lt;="&amp;$E$5)-SUMIFS('Example Entries'!$J$7:$J$506,'Example Entries'!$C$7:$C$506,B29,'Example Entries'!$B$7:$B$506,"&lt;="&amp;$E$5))</f>
        <v/>
      </c>
      <c r="F29" s="49">
        <f>IF(B29="","",SUMIFS('Example Entries'!$W$7:$W$506,'Example Entries'!$C$7:$C$506,B29,'Example Entries'!$AC$7:$AC$506,"&gt;=0",'Example Entries'!$AC$7:$AC$506,"&lt;=30"))</f>
        <v/>
      </c>
      <c r="G29" s="49">
        <f>IF(B29="","",SUMIFS('Example Entries'!$W$7:$W$506,'Example Entries'!$C$7:$C$506,B29,'Example Entries'!$AC$7:$AC$506,"&gt;=31",'Example Entries'!$AC$7:$AC$506,"&lt;=60"))</f>
        <v/>
      </c>
      <c r="H29" s="49">
        <f>IF(B29="","",SUMIFS('Example Entries'!$W$7:$W$506,'Example Entries'!$C$7:$C$506,B29,'Example Entries'!$AC$7:$AC$506,"&gt;=61",'Example Entries'!$AC$7:$AC$506,"&lt;=90"))</f>
        <v/>
      </c>
      <c r="I29" s="49">
        <f>IF(B29="","",SUMIFS('Example Entries'!$W$7:$W$506,'Example Entries'!$C$7:$C$506,B29,'Example Entries'!$AC$7:$AC$506,"&gt;90"))</f>
        <v/>
      </c>
      <c r="J29" s="50">
        <f>IF(B29="","",SUMIFS('Example Entries'!$W$7:$W$506,'Example Entries'!$C$7:$C$506,B29,'Example Entries'!$AA$7:$AA$506,"&gt;0"))</f>
        <v/>
      </c>
      <c r="K29" s="49">
        <f>IF(B29="","",ROUND(SUMIFS('Example Entries'!$AB$7:$AB$506,'Example Entries'!$C$7:$C$506,B29),0))</f>
        <v/>
      </c>
      <c r="L29" s="49">
        <f>IF(B29="","",SUMIFS('Example Entries'!$AF$7:$AF$506,'Example Entries'!$C$7:$C$506,B29))</f>
        <v/>
      </c>
      <c r="M29" s="23">
        <f>IF(B29="","",IF(AND(C29="Debtor",N(E29)&lt;0),"Credit balance: an advance or an excess receipt",IF(AND(C29="Creditor",N(E29)&gt;0),"Debit balance: an advance paid to the supplier",IF(AND(C29="Creditor",N(L29)&gt;0),"Pay before the year end to keep the deduction, s.37(2)(g)",IF(N(J29)&gt;0,IF(C29="Creditor","Past due: pay, or confirm the terms in writing","Past due: follow up"),"OK")))))</f>
        <v/>
      </c>
    </row>
    <row r="30">
      <c r="B30" s="37">
        <f>IF('Example Parties'!$B$35="","",'Example Parties'!$B$35)</f>
        <v/>
      </c>
      <c r="C30" s="40">
        <f>IF(B30="","",'Example Parties'!$C$35&amp;"")</f>
        <v/>
      </c>
      <c r="D30" s="39">
        <f>IF(B30="","",'Example Parties'!$E$35&amp;"")</f>
        <v/>
      </c>
      <c r="E30" s="38">
        <f>IF(OR(B30="",$E$5=""),"",'Example Parties'!$M$35+SUMIFS('Example Entries'!$I$7:$I$506,'Example Entries'!$C$7:$C$506,B30,'Example Entries'!$B$7:$B$506,"&lt;="&amp;$E$5)-SUMIFS('Example Entries'!$J$7:$J$506,'Example Entries'!$C$7:$C$506,B30,'Example Entries'!$B$7:$B$506,"&lt;="&amp;$E$5))</f>
        <v/>
      </c>
      <c r="F30" s="49">
        <f>IF(B30="","",SUMIFS('Example Entries'!$W$7:$W$506,'Example Entries'!$C$7:$C$506,B30,'Example Entries'!$AC$7:$AC$506,"&gt;=0",'Example Entries'!$AC$7:$AC$506,"&lt;=30"))</f>
        <v/>
      </c>
      <c r="G30" s="49">
        <f>IF(B30="","",SUMIFS('Example Entries'!$W$7:$W$506,'Example Entries'!$C$7:$C$506,B30,'Example Entries'!$AC$7:$AC$506,"&gt;=31",'Example Entries'!$AC$7:$AC$506,"&lt;=60"))</f>
        <v/>
      </c>
      <c r="H30" s="49">
        <f>IF(B30="","",SUMIFS('Example Entries'!$W$7:$W$506,'Example Entries'!$C$7:$C$506,B30,'Example Entries'!$AC$7:$AC$506,"&gt;=61",'Example Entries'!$AC$7:$AC$506,"&lt;=90"))</f>
        <v/>
      </c>
      <c r="I30" s="49">
        <f>IF(B30="","",SUMIFS('Example Entries'!$W$7:$W$506,'Example Entries'!$C$7:$C$506,B30,'Example Entries'!$AC$7:$AC$506,"&gt;90"))</f>
        <v/>
      </c>
      <c r="J30" s="50">
        <f>IF(B30="","",SUMIFS('Example Entries'!$W$7:$W$506,'Example Entries'!$C$7:$C$506,B30,'Example Entries'!$AA$7:$AA$506,"&gt;0"))</f>
        <v/>
      </c>
      <c r="K30" s="49">
        <f>IF(B30="","",ROUND(SUMIFS('Example Entries'!$AB$7:$AB$506,'Example Entries'!$C$7:$C$506,B30),0))</f>
        <v/>
      </c>
      <c r="L30" s="49">
        <f>IF(B30="","",SUMIFS('Example Entries'!$AF$7:$AF$506,'Example Entries'!$C$7:$C$506,B30))</f>
        <v/>
      </c>
      <c r="M30" s="23">
        <f>IF(B30="","",IF(AND(C30="Debtor",N(E30)&lt;0),"Credit balance: an advance or an excess receipt",IF(AND(C30="Creditor",N(E30)&gt;0),"Debit balance: an advance paid to the supplier",IF(AND(C30="Creditor",N(L30)&gt;0),"Pay before the year end to keep the deduction, s.37(2)(g)",IF(N(J30)&gt;0,IF(C30="Creditor","Past due: pay, or confirm the terms in writing","Past due: follow up"),"OK")))))</f>
        <v/>
      </c>
    </row>
    <row r="31">
      <c r="B31" s="37">
        <f>IF('Example Parties'!$B$36="","",'Example Parties'!$B$36)</f>
        <v/>
      </c>
      <c r="C31" s="40">
        <f>IF(B31="","",'Example Parties'!$C$36&amp;"")</f>
        <v/>
      </c>
      <c r="D31" s="39">
        <f>IF(B31="","",'Example Parties'!$E$36&amp;"")</f>
        <v/>
      </c>
      <c r="E31" s="38">
        <f>IF(OR(B31="",$E$5=""),"",'Example Parties'!$M$36+SUMIFS('Example Entries'!$I$7:$I$506,'Example Entries'!$C$7:$C$506,B31,'Example Entries'!$B$7:$B$506,"&lt;="&amp;$E$5)-SUMIFS('Example Entries'!$J$7:$J$506,'Example Entries'!$C$7:$C$506,B31,'Example Entries'!$B$7:$B$506,"&lt;="&amp;$E$5))</f>
        <v/>
      </c>
      <c r="F31" s="49">
        <f>IF(B31="","",SUMIFS('Example Entries'!$W$7:$W$506,'Example Entries'!$C$7:$C$506,B31,'Example Entries'!$AC$7:$AC$506,"&gt;=0",'Example Entries'!$AC$7:$AC$506,"&lt;=30"))</f>
        <v/>
      </c>
      <c r="G31" s="49">
        <f>IF(B31="","",SUMIFS('Example Entries'!$W$7:$W$506,'Example Entries'!$C$7:$C$506,B31,'Example Entries'!$AC$7:$AC$506,"&gt;=31",'Example Entries'!$AC$7:$AC$506,"&lt;=60"))</f>
        <v/>
      </c>
      <c r="H31" s="49">
        <f>IF(B31="","",SUMIFS('Example Entries'!$W$7:$W$506,'Example Entries'!$C$7:$C$506,B31,'Example Entries'!$AC$7:$AC$506,"&gt;=61",'Example Entries'!$AC$7:$AC$506,"&lt;=90"))</f>
        <v/>
      </c>
      <c r="I31" s="49">
        <f>IF(B31="","",SUMIFS('Example Entries'!$W$7:$W$506,'Example Entries'!$C$7:$C$506,B31,'Example Entries'!$AC$7:$AC$506,"&gt;90"))</f>
        <v/>
      </c>
      <c r="J31" s="50">
        <f>IF(B31="","",SUMIFS('Example Entries'!$W$7:$W$506,'Example Entries'!$C$7:$C$506,B31,'Example Entries'!$AA$7:$AA$506,"&gt;0"))</f>
        <v/>
      </c>
      <c r="K31" s="49">
        <f>IF(B31="","",ROUND(SUMIFS('Example Entries'!$AB$7:$AB$506,'Example Entries'!$C$7:$C$506,B31),0))</f>
        <v/>
      </c>
      <c r="L31" s="49">
        <f>IF(B31="","",SUMIFS('Example Entries'!$AF$7:$AF$506,'Example Entries'!$C$7:$C$506,B31))</f>
        <v/>
      </c>
      <c r="M31" s="23">
        <f>IF(B31="","",IF(AND(C31="Debtor",N(E31)&lt;0),"Credit balance: an advance or an excess receipt",IF(AND(C31="Creditor",N(E31)&gt;0),"Debit balance: an advance paid to the supplier",IF(AND(C31="Creditor",N(L31)&gt;0),"Pay before the year end to keep the deduction, s.37(2)(g)",IF(N(J31)&gt;0,IF(C31="Creditor","Past due: pay, or confirm the terms in writing","Past due: follow up"),"OK")))))</f>
        <v/>
      </c>
    </row>
    <row r="32">
      <c r="B32" s="37">
        <f>IF('Example Parties'!$B$37="","",'Example Parties'!$B$37)</f>
        <v/>
      </c>
      <c r="C32" s="40">
        <f>IF(B32="","",'Example Parties'!$C$37&amp;"")</f>
        <v/>
      </c>
      <c r="D32" s="39">
        <f>IF(B32="","",'Example Parties'!$E$37&amp;"")</f>
        <v/>
      </c>
      <c r="E32" s="38">
        <f>IF(OR(B32="",$E$5=""),"",'Example Parties'!$M$37+SUMIFS('Example Entries'!$I$7:$I$506,'Example Entries'!$C$7:$C$506,B32,'Example Entries'!$B$7:$B$506,"&lt;="&amp;$E$5)-SUMIFS('Example Entries'!$J$7:$J$506,'Example Entries'!$C$7:$C$506,B32,'Example Entries'!$B$7:$B$506,"&lt;="&amp;$E$5))</f>
        <v/>
      </c>
      <c r="F32" s="49">
        <f>IF(B32="","",SUMIFS('Example Entries'!$W$7:$W$506,'Example Entries'!$C$7:$C$506,B32,'Example Entries'!$AC$7:$AC$506,"&gt;=0",'Example Entries'!$AC$7:$AC$506,"&lt;=30"))</f>
        <v/>
      </c>
      <c r="G32" s="49">
        <f>IF(B32="","",SUMIFS('Example Entries'!$W$7:$W$506,'Example Entries'!$C$7:$C$506,B32,'Example Entries'!$AC$7:$AC$506,"&gt;=31",'Example Entries'!$AC$7:$AC$506,"&lt;=60"))</f>
        <v/>
      </c>
      <c r="H32" s="49">
        <f>IF(B32="","",SUMIFS('Example Entries'!$W$7:$W$506,'Example Entries'!$C$7:$C$506,B32,'Example Entries'!$AC$7:$AC$506,"&gt;=61",'Example Entries'!$AC$7:$AC$506,"&lt;=90"))</f>
        <v/>
      </c>
      <c r="I32" s="49">
        <f>IF(B32="","",SUMIFS('Example Entries'!$W$7:$W$506,'Example Entries'!$C$7:$C$506,B32,'Example Entries'!$AC$7:$AC$506,"&gt;90"))</f>
        <v/>
      </c>
      <c r="J32" s="50">
        <f>IF(B32="","",SUMIFS('Example Entries'!$W$7:$W$506,'Example Entries'!$C$7:$C$506,B32,'Example Entries'!$AA$7:$AA$506,"&gt;0"))</f>
        <v/>
      </c>
      <c r="K32" s="49">
        <f>IF(B32="","",ROUND(SUMIFS('Example Entries'!$AB$7:$AB$506,'Example Entries'!$C$7:$C$506,B32),0))</f>
        <v/>
      </c>
      <c r="L32" s="49">
        <f>IF(B32="","",SUMIFS('Example Entries'!$AF$7:$AF$506,'Example Entries'!$C$7:$C$506,B32))</f>
        <v/>
      </c>
      <c r="M32" s="23">
        <f>IF(B32="","",IF(AND(C32="Debtor",N(E32)&lt;0),"Credit balance: an advance or an excess receipt",IF(AND(C32="Creditor",N(E32)&gt;0),"Debit balance: an advance paid to the supplier",IF(AND(C32="Creditor",N(L32)&gt;0),"Pay before the year end to keep the deduction, s.37(2)(g)",IF(N(J32)&gt;0,IF(C32="Creditor","Past due: pay, or confirm the terms in writing","Past due: follow up"),"OK")))))</f>
        <v/>
      </c>
    </row>
    <row r="33">
      <c r="B33" s="37">
        <f>IF('Example Parties'!$B$38="","",'Example Parties'!$B$38)</f>
        <v/>
      </c>
      <c r="C33" s="40">
        <f>IF(B33="","",'Example Parties'!$C$38&amp;"")</f>
        <v/>
      </c>
      <c r="D33" s="39">
        <f>IF(B33="","",'Example Parties'!$E$38&amp;"")</f>
        <v/>
      </c>
      <c r="E33" s="38">
        <f>IF(OR(B33="",$E$5=""),"",'Example Parties'!$M$38+SUMIFS('Example Entries'!$I$7:$I$506,'Example Entries'!$C$7:$C$506,B33,'Example Entries'!$B$7:$B$506,"&lt;="&amp;$E$5)-SUMIFS('Example Entries'!$J$7:$J$506,'Example Entries'!$C$7:$C$506,B33,'Example Entries'!$B$7:$B$506,"&lt;="&amp;$E$5))</f>
        <v/>
      </c>
      <c r="F33" s="49">
        <f>IF(B33="","",SUMIFS('Example Entries'!$W$7:$W$506,'Example Entries'!$C$7:$C$506,B33,'Example Entries'!$AC$7:$AC$506,"&gt;=0",'Example Entries'!$AC$7:$AC$506,"&lt;=30"))</f>
        <v/>
      </c>
      <c r="G33" s="49">
        <f>IF(B33="","",SUMIFS('Example Entries'!$W$7:$W$506,'Example Entries'!$C$7:$C$506,B33,'Example Entries'!$AC$7:$AC$506,"&gt;=31",'Example Entries'!$AC$7:$AC$506,"&lt;=60"))</f>
        <v/>
      </c>
      <c r="H33" s="49">
        <f>IF(B33="","",SUMIFS('Example Entries'!$W$7:$W$506,'Example Entries'!$C$7:$C$506,B33,'Example Entries'!$AC$7:$AC$506,"&gt;=61",'Example Entries'!$AC$7:$AC$506,"&lt;=90"))</f>
        <v/>
      </c>
      <c r="I33" s="49">
        <f>IF(B33="","",SUMIFS('Example Entries'!$W$7:$W$506,'Example Entries'!$C$7:$C$506,B33,'Example Entries'!$AC$7:$AC$506,"&gt;90"))</f>
        <v/>
      </c>
      <c r="J33" s="50">
        <f>IF(B33="","",SUMIFS('Example Entries'!$W$7:$W$506,'Example Entries'!$C$7:$C$506,B33,'Example Entries'!$AA$7:$AA$506,"&gt;0"))</f>
        <v/>
      </c>
      <c r="K33" s="49">
        <f>IF(B33="","",ROUND(SUMIFS('Example Entries'!$AB$7:$AB$506,'Example Entries'!$C$7:$C$506,B33),0))</f>
        <v/>
      </c>
      <c r="L33" s="49">
        <f>IF(B33="","",SUMIFS('Example Entries'!$AF$7:$AF$506,'Example Entries'!$C$7:$C$506,B33))</f>
        <v/>
      </c>
      <c r="M33" s="23">
        <f>IF(B33="","",IF(AND(C33="Debtor",N(E33)&lt;0),"Credit balance: an advance or an excess receipt",IF(AND(C33="Creditor",N(E33)&gt;0),"Debit balance: an advance paid to the supplier",IF(AND(C33="Creditor",N(L33)&gt;0),"Pay before the year end to keep the deduction, s.37(2)(g)",IF(N(J33)&gt;0,IF(C33="Creditor","Past due: pay, or confirm the terms in writing","Past due: follow up"),"OK")))))</f>
        <v/>
      </c>
    </row>
    <row r="34">
      <c r="B34" s="37">
        <f>IF('Example Parties'!$B$39="","",'Example Parties'!$B$39)</f>
        <v/>
      </c>
      <c r="C34" s="40">
        <f>IF(B34="","",'Example Parties'!$C$39&amp;"")</f>
        <v/>
      </c>
      <c r="D34" s="39">
        <f>IF(B34="","",'Example Parties'!$E$39&amp;"")</f>
        <v/>
      </c>
      <c r="E34" s="38">
        <f>IF(OR(B34="",$E$5=""),"",'Example Parties'!$M$39+SUMIFS('Example Entries'!$I$7:$I$506,'Example Entries'!$C$7:$C$506,B34,'Example Entries'!$B$7:$B$506,"&lt;="&amp;$E$5)-SUMIFS('Example Entries'!$J$7:$J$506,'Example Entries'!$C$7:$C$506,B34,'Example Entries'!$B$7:$B$506,"&lt;="&amp;$E$5))</f>
        <v/>
      </c>
      <c r="F34" s="49">
        <f>IF(B34="","",SUMIFS('Example Entries'!$W$7:$W$506,'Example Entries'!$C$7:$C$506,B34,'Example Entries'!$AC$7:$AC$506,"&gt;=0",'Example Entries'!$AC$7:$AC$506,"&lt;=30"))</f>
        <v/>
      </c>
      <c r="G34" s="49">
        <f>IF(B34="","",SUMIFS('Example Entries'!$W$7:$W$506,'Example Entries'!$C$7:$C$506,B34,'Example Entries'!$AC$7:$AC$506,"&gt;=31",'Example Entries'!$AC$7:$AC$506,"&lt;=60"))</f>
        <v/>
      </c>
      <c r="H34" s="49">
        <f>IF(B34="","",SUMIFS('Example Entries'!$W$7:$W$506,'Example Entries'!$C$7:$C$506,B34,'Example Entries'!$AC$7:$AC$506,"&gt;=61",'Example Entries'!$AC$7:$AC$506,"&lt;=90"))</f>
        <v/>
      </c>
      <c r="I34" s="49">
        <f>IF(B34="","",SUMIFS('Example Entries'!$W$7:$W$506,'Example Entries'!$C$7:$C$506,B34,'Example Entries'!$AC$7:$AC$506,"&gt;90"))</f>
        <v/>
      </c>
      <c r="J34" s="50">
        <f>IF(B34="","",SUMIFS('Example Entries'!$W$7:$W$506,'Example Entries'!$C$7:$C$506,B34,'Example Entries'!$AA$7:$AA$506,"&gt;0"))</f>
        <v/>
      </c>
      <c r="K34" s="49">
        <f>IF(B34="","",ROUND(SUMIFS('Example Entries'!$AB$7:$AB$506,'Example Entries'!$C$7:$C$506,B34),0))</f>
        <v/>
      </c>
      <c r="L34" s="49">
        <f>IF(B34="","",SUMIFS('Example Entries'!$AF$7:$AF$506,'Example Entries'!$C$7:$C$506,B34))</f>
        <v/>
      </c>
      <c r="M34" s="23">
        <f>IF(B34="","",IF(AND(C34="Debtor",N(E34)&lt;0),"Credit balance: an advance or an excess receipt",IF(AND(C34="Creditor",N(E34)&gt;0),"Debit balance: an advance paid to the supplier",IF(AND(C34="Creditor",N(L34)&gt;0),"Pay before the year end to keep the deduction, s.37(2)(g)",IF(N(J34)&gt;0,IF(C34="Creditor","Past due: pay, or confirm the terms in writing","Past due: follow up"),"OK")))))</f>
        <v/>
      </c>
    </row>
    <row r="35">
      <c r="B35" s="37">
        <f>IF('Example Parties'!$B$40="","",'Example Parties'!$B$40)</f>
        <v/>
      </c>
      <c r="C35" s="40">
        <f>IF(B35="","",'Example Parties'!$C$40&amp;"")</f>
        <v/>
      </c>
      <c r="D35" s="39">
        <f>IF(B35="","",'Example Parties'!$E$40&amp;"")</f>
        <v/>
      </c>
      <c r="E35" s="38">
        <f>IF(OR(B35="",$E$5=""),"",'Example Parties'!$M$40+SUMIFS('Example Entries'!$I$7:$I$506,'Example Entries'!$C$7:$C$506,B35,'Example Entries'!$B$7:$B$506,"&lt;="&amp;$E$5)-SUMIFS('Example Entries'!$J$7:$J$506,'Example Entries'!$C$7:$C$506,B35,'Example Entries'!$B$7:$B$506,"&lt;="&amp;$E$5))</f>
        <v/>
      </c>
      <c r="F35" s="49">
        <f>IF(B35="","",SUMIFS('Example Entries'!$W$7:$W$506,'Example Entries'!$C$7:$C$506,B35,'Example Entries'!$AC$7:$AC$506,"&gt;=0",'Example Entries'!$AC$7:$AC$506,"&lt;=30"))</f>
        <v/>
      </c>
      <c r="G35" s="49">
        <f>IF(B35="","",SUMIFS('Example Entries'!$W$7:$W$506,'Example Entries'!$C$7:$C$506,B35,'Example Entries'!$AC$7:$AC$506,"&gt;=31",'Example Entries'!$AC$7:$AC$506,"&lt;=60"))</f>
        <v/>
      </c>
      <c r="H35" s="49">
        <f>IF(B35="","",SUMIFS('Example Entries'!$W$7:$W$506,'Example Entries'!$C$7:$C$506,B35,'Example Entries'!$AC$7:$AC$506,"&gt;=61",'Example Entries'!$AC$7:$AC$506,"&lt;=90"))</f>
        <v/>
      </c>
      <c r="I35" s="49">
        <f>IF(B35="","",SUMIFS('Example Entries'!$W$7:$W$506,'Example Entries'!$C$7:$C$506,B35,'Example Entries'!$AC$7:$AC$506,"&gt;90"))</f>
        <v/>
      </c>
      <c r="J35" s="50">
        <f>IF(B35="","",SUMIFS('Example Entries'!$W$7:$W$506,'Example Entries'!$C$7:$C$506,B35,'Example Entries'!$AA$7:$AA$506,"&gt;0"))</f>
        <v/>
      </c>
      <c r="K35" s="49">
        <f>IF(B35="","",ROUND(SUMIFS('Example Entries'!$AB$7:$AB$506,'Example Entries'!$C$7:$C$506,B35),0))</f>
        <v/>
      </c>
      <c r="L35" s="49">
        <f>IF(B35="","",SUMIFS('Example Entries'!$AF$7:$AF$506,'Example Entries'!$C$7:$C$506,B35))</f>
        <v/>
      </c>
      <c r="M35" s="23">
        <f>IF(B35="","",IF(AND(C35="Debtor",N(E35)&lt;0),"Credit balance: an advance or an excess receipt",IF(AND(C35="Creditor",N(E35)&gt;0),"Debit balance: an advance paid to the supplier",IF(AND(C35="Creditor",N(L35)&gt;0),"Pay before the year end to keep the deduction, s.37(2)(g)",IF(N(J35)&gt;0,IF(C35="Creditor","Past due: pay, or confirm the terms in writing","Past due: follow up"),"OK")))))</f>
        <v/>
      </c>
    </row>
    <row r="36">
      <c r="B36" s="37">
        <f>IF('Example Parties'!$B$41="","",'Example Parties'!$B$41)</f>
        <v/>
      </c>
      <c r="C36" s="40">
        <f>IF(B36="","",'Example Parties'!$C$41&amp;"")</f>
        <v/>
      </c>
      <c r="D36" s="39">
        <f>IF(B36="","",'Example Parties'!$E$41&amp;"")</f>
        <v/>
      </c>
      <c r="E36" s="38">
        <f>IF(OR(B36="",$E$5=""),"",'Example Parties'!$M$41+SUMIFS('Example Entries'!$I$7:$I$506,'Example Entries'!$C$7:$C$506,B36,'Example Entries'!$B$7:$B$506,"&lt;="&amp;$E$5)-SUMIFS('Example Entries'!$J$7:$J$506,'Example Entries'!$C$7:$C$506,B36,'Example Entries'!$B$7:$B$506,"&lt;="&amp;$E$5))</f>
        <v/>
      </c>
      <c r="F36" s="49">
        <f>IF(B36="","",SUMIFS('Example Entries'!$W$7:$W$506,'Example Entries'!$C$7:$C$506,B36,'Example Entries'!$AC$7:$AC$506,"&gt;=0",'Example Entries'!$AC$7:$AC$506,"&lt;=30"))</f>
        <v/>
      </c>
      <c r="G36" s="49">
        <f>IF(B36="","",SUMIFS('Example Entries'!$W$7:$W$506,'Example Entries'!$C$7:$C$506,B36,'Example Entries'!$AC$7:$AC$506,"&gt;=31",'Example Entries'!$AC$7:$AC$506,"&lt;=60"))</f>
        <v/>
      </c>
      <c r="H36" s="49">
        <f>IF(B36="","",SUMIFS('Example Entries'!$W$7:$W$506,'Example Entries'!$C$7:$C$506,B36,'Example Entries'!$AC$7:$AC$506,"&gt;=61",'Example Entries'!$AC$7:$AC$506,"&lt;=90"))</f>
        <v/>
      </c>
      <c r="I36" s="49">
        <f>IF(B36="","",SUMIFS('Example Entries'!$W$7:$W$506,'Example Entries'!$C$7:$C$506,B36,'Example Entries'!$AC$7:$AC$506,"&gt;90"))</f>
        <v/>
      </c>
      <c r="J36" s="50">
        <f>IF(B36="","",SUMIFS('Example Entries'!$W$7:$W$506,'Example Entries'!$C$7:$C$506,B36,'Example Entries'!$AA$7:$AA$506,"&gt;0"))</f>
        <v/>
      </c>
      <c r="K36" s="49">
        <f>IF(B36="","",ROUND(SUMIFS('Example Entries'!$AB$7:$AB$506,'Example Entries'!$C$7:$C$506,B36),0))</f>
        <v/>
      </c>
      <c r="L36" s="49">
        <f>IF(B36="","",SUMIFS('Example Entries'!$AF$7:$AF$506,'Example Entries'!$C$7:$C$506,B36))</f>
        <v/>
      </c>
      <c r="M36" s="23">
        <f>IF(B36="","",IF(AND(C36="Debtor",N(E36)&lt;0),"Credit balance: an advance or an excess receipt",IF(AND(C36="Creditor",N(E36)&gt;0),"Debit balance: an advance paid to the supplier",IF(AND(C36="Creditor",N(L36)&gt;0),"Pay before the year end to keep the deduction, s.37(2)(g)",IF(N(J36)&gt;0,IF(C36="Creditor","Past due: pay, or confirm the terms in writing","Past due: follow up"),"OK")))))</f>
        <v/>
      </c>
    </row>
    <row r="37">
      <c r="B37" s="37">
        <f>IF('Example Parties'!$B$42="","",'Example Parties'!$B$42)</f>
        <v/>
      </c>
      <c r="C37" s="40">
        <f>IF(B37="","",'Example Parties'!$C$42&amp;"")</f>
        <v/>
      </c>
      <c r="D37" s="39">
        <f>IF(B37="","",'Example Parties'!$E$42&amp;"")</f>
        <v/>
      </c>
      <c r="E37" s="38">
        <f>IF(OR(B37="",$E$5=""),"",'Example Parties'!$M$42+SUMIFS('Example Entries'!$I$7:$I$506,'Example Entries'!$C$7:$C$506,B37,'Example Entries'!$B$7:$B$506,"&lt;="&amp;$E$5)-SUMIFS('Example Entries'!$J$7:$J$506,'Example Entries'!$C$7:$C$506,B37,'Example Entries'!$B$7:$B$506,"&lt;="&amp;$E$5))</f>
        <v/>
      </c>
      <c r="F37" s="49">
        <f>IF(B37="","",SUMIFS('Example Entries'!$W$7:$W$506,'Example Entries'!$C$7:$C$506,B37,'Example Entries'!$AC$7:$AC$506,"&gt;=0",'Example Entries'!$AC$7:$AC$506,"&lt;=30"))</f>
        <v/>
      </c>
      <c r="G37" s="49">
        <f>IF(B37="","",SUMIFS('Example Entries'!$W$7:$W$506,'Example Entries'!$C$7:$C$506,B37,'Example Entries'!$AC$7:$AC$506,"&gt;=31",'Example Entries'!$AC$7:$AC$506,"&lt;=60"))</f>
        <v/>
      </c>
      <c r="H37" s="49">
        <f>IF(B37="","",SUMIFS('Example Entries'!$W$7:$W$506,'Example Entries'!$C$7:$C$506,B37,'Example Entries'!$AC$7:$AC$506,"&gt;=61",'Example Entries'!$AC$7:$AC$506,"&lt;=90"))</f>
        <v/>
      </c>
      <c r="I37" s="49">
        <f>IF(B37="","",SUMIFS('Example Entries'!$W$7:$W$506,'Example Entries'!$C$7:$C$506,B37,'Example Entries'!$AC$7:$AC$506,"&gt;90"))</f>
        <v/>
      </c>
      <c r="J37" s="50">
        <f>IF(B37="","",SUMIFS('Example Entries'!$W$7:$W$506,'Example Entries'!$C$7:$C$506,B37,'Example Entries'!$AA$7:$AA$506,"&gt;0"))</f>
        <v/>
      </c>
      <c r="K37" s="49">
        <f>IF(B37="","",ROUND(SUMIFS('Example Entries'!$AB$7:$AB$506,'Example Entries'!$C$7:$C$506,B37),0))</f>
        <v/>
      </c>
      <c r="L37" s="49">
        <f>IF(B37="","",SUMIFS('Example Entries'!$AF$7:$AF$506,'Example Entries'!$C$7:$C$506,B37))</f>
        <v/>
      </c>
      <c r="M37" s="23">
        <f>IF(B37="","",IF(AND(C37="Debtor",N(E37)&lt;0),"Credit balance: an advance or an excess receipt",IF(AND(C37="Creditor",N(E37)&gt;0),"Debit balance: an advance paid to the supplier",IF(AND(C37="Creditor",N(L37)&gt;0),"Pay before the year end to keep the deduction, s.37(2)(g)",IF(N(J37)&gt;0,IF(C37="Creditor","Past due: pay, or confirm the terms in writing","Past due: follow up"),"OK")))))</f>
        <v/>
      </c>
    </row>
    <row r="38">
      <c r="B38" s="37">
        <f>IF('Example Parties'!$B$43="","",'Example Parties'!$B$43)</f>
        <v/>
      </c>
      <c r="C38" s="40">
        <f>IF(B38="","",'Example Parties'!$C$43&amp;"")</f>
        <v/>
      </c>
      <c r="D38" s="39">
        <f>IF(B38="","",'Example Parties'!$E$43&amp;"")</f>
        <v/>
      </c>
      <c r="E38" s="38">
        <f>IF(OR(B38="",$E$5=""),"",'Example Parties'!$M$43+SUMIFS('Example Entries'!$I$7:$I$506,'Example Entries'!$C$7:$C$506,B38,'Example Entries'!$B$7:$B$506,"&lt;="&amp;$E$5)-SUMIFS('Example Entries'!$J$7:$J$506,'Example Entries'!$C$7:$C$506,B38,'Example Entries'!$B$7:$B$506,"&lt;="&amp;$E$5))</f>
        <v/>
      </c>
      <c r="F38" s="49">
        <f>IF(B38="","",SUMIFS('Example Entries'!$W$7:$W$506,'Example Entries'!$C$7:$C$506,B38,'Example Entries'!$AC$7:$AC$506,"&gt;=0",'Example Entries'!$AC$7:$AC$506,"&lt;=30"))</f>
        <v/>
      </c>
      <c r="G38" s="49">
        <f>IF(B38="","",SUMIFS('Example Entries'!$W$7:$W$506,'Example Entries'!$C$7:$C$506,B38,'Example Entries'!$AC$7:$AC$506,"&gt;=31",'Example Entries'!$AC$7:$AC$506,"&lt;=60"))</f>
        <v/>
      </c>
      <c r="H38" s="49">
        <f>IF(B38="","",SUMIFS('Example Entries'!$W$7:$W$506,'Example Entries'!$C$7:$C$506,B38,'Example Entries'!$AC$7:$AC$506,"&gt;=61",'Example Entries'!$AC$7:$AC$506,"&lt;=90"))</f>
        <v/>
      </c>
      <c r="I38" s="49">
        <f>IF(B38="","",SUMIFS('Example Entries'!$W$7:$W$506,'Example Entries'!$C$7:$C$506,B38,'Example Entries'!$AC$7:$AC$506,"&gt;90"))</f>
        <v/>
      </c>
      <c r="J38" s="50">
        <f>IF(B38="","",SUMIFS('Example Entries'!$W$7:$W$506,'Example Entries'!$C$7:$C$506,B38,'Example Entries'!$AA$7:$AA$506,"&gt;0"))</f>
        <v/>
      </c>
      <c r="K38" s="49">
        <f>IF(B38="","",ROUND(SUMIFS('Example Entries'!$AB$7:$AB$506,'Example Entries'!$C$7:$C$506,B38),0))</f>
        <v/>
      </c>
      <c r="L38" s="49">
        <f>IF(B38="","",SUMIFS('Example Entries'!$AF$7:$AF$506,'Example Entries'!$C$7:$C$506,B38))</f>
        <v/>
      </c>
      <c r="M38" s="23">
        <f>IF(B38="","",IF(AND(C38="Debtor",N(E38)&lt;0),"Credit balance: an advance or an excess receipt",IF(AND(C38="Creditor",N(E38)&gt;0),"Debit balance: an advance paid to the supplier",IF(AND(C38="Creditor",N(L38)&gt;0),"Pay before the year end to keep the deduction, s.37(2)(g)",IF(N(J38)&gt;0,IF(C38="Creditor","Past due: pay, or confirm the terms in writing","Past due: follow up"),"OK")))))</f>
        <v/>
      </c>
    </row>
    <row r="39">
      <c r="B39" s="37">
        <f>IF('Example Parties'!$B$44="","",'Example Parties'!$B$44)</f>
        <v/>
      </c>
      <c r="C39" s="40">
        <f>IF(B39="","",'Example Parties'!$C$44&amp;"")</f>
        <v/>
      </c>
      <c r="D39" s="39">
        <f>IF(B39="","",'Example Parties'!$E$44&amp;"")</f>
        <v/>
      </c>
      <c r="E39" s="38">
        <f>IF(OR(B39="",$E$5=""),"",'Example Parties'!$M$44+SUMIFS('Example Entries'!$I$7:$I$506,'Example Entries'!$C$7:$C$506,B39,'Example Entries'!$B$7:$B$506,"&lt;="&amp;$E$5)-SUMIFS('Example Entries'!$J$7:$J$506,'Example Entries'!$C$7:$C$506,B39,'Example Entries'!$B$7:$B$506,"&lt;="&amp;$E$5))</f>
        <v/>
      </c>
      <c r="F39" s="49">
        <f>IF(B39="","",SUMIFS('Example Entries'!$W$7:$W$506,'Example Entries'!$C$7:$C$506,B39,'Example Entries'!$AC$7:$AC$506,"&gt;=0",'Example Entries'!$AC$7:$AC$506,"&lt;=30"))</f>
        <v/>
      </c>
      <c r="G39" s="49">
        <f>IF(B39="","",SUMIFS('Example Entries'!$W$7:$W$506,'Example Entries'!$C$7:$C$506,B39,'Example Entries'!$AC$7:$AC$506,"&gt;=31",'Example Entries'!$AC$7:$AC$506,"&lt;=60"))</f>
        <v/>
      </c>
      <c r="H39" s="49">
        <f>IF(B39="","",SUMIFS('Example Entries'!$W$7:$W$506,'Example Entries'!$C$7:$C$506,B39,'Example Entries'!$AC$7:$AC$506,"&gt;=61",'Example Entries'!$AC$7:$AC$506,"&lt;=90"))</f>
        <v/>
      </c>
      <c r="I39" s="49">
        <f>IF(B39="","",SUMIFS('Example Entries'!$W$7:$W$506,'Example Entries'!$C$7:$C$506,B39,'Example Entries'!$AC$7:$AC$506,"&gt;90"))</f>
        <v/>
      </c>
      <c r="J39" s="50">
        <f>IF(B39="","",SUMIFS('Example Entries'!$W$7:$W$506,'Example Entries'!$C$7:$C$506,B39,'Example Entries'!$AA$7:$AA$506,"&gt;0"))</f>
        <v/>
      </c>
      <c r="K39" s="49">
        <f>IF(B39="","",ROUND(SUMIFS('Example Entries'!$AB$7:$AB$506,'Example Entries'!$C$7:$C$506,B39),0))</f>
        <v/>
      </c>
      <c r="L39" s="49">
        <f>IF(B39="","",SUMIFS('Example Entries'!$AF$7:$AF$506,'Example Entries'!$C$7:$C$506,B39))</f>
        <v/>
      </c>
      <c r="M39" s="23">
        <f>IF(B39="","",IF(AND(C39="Debtor",N(E39)&lt;0),"Credit balance: an advance or an excess receipt",IF(AND(C39="Creditor",N(E39)&gt;0),"Debit balance: an advance paid to the supplier",IF(AND(C39="Creditor",N(L39)&gt;0),"Pay before the year end to keep the deduction, s.37(2)(g)",IF(N(J39)&gt;0,IF(C39="Creditor","Past due: pay, or confirm the terms in writing","Past due: follow up"),"OK")))))</f>
        <v/>
      </c>
    </row>
    <row r="40">
      <c r="B40" s="37">
        <f>IF('Example Parties'!$B$45="","",'Example Parties'!$B$45)</f>
        <v/>
      </c>
      <c r="C40" s="40">
        <f>IF(B40="","",'Example Parties'!$C$45&amp;"")</f>
        <v/>
      </c>
      <c r="D40" s="39">
        <f>IF(B40="","",'Example Parties'!$E$45&amp;"")</f>
        <v/>
      </c>
      <c r="E40" s="38">
        <f>IF(OR(B40="",$E$5=""),"",'Example Parties'!$M$45+SUMIFS('Example Entries'!$I$7:$I$506,'Example Entries'!$C$7:$C$506,B40,'Example Entries'!$B$7:$B$506,"&lt;="&amp;$E$5)-SUMIFS('Example Entries'!$J$7:$J$506,'Example Entries'!$C$7:$C$506,B40,'Example Entries'!$B$7:$B$506,"&lt;="&amp;$E$5))</f>
        <v/>
      </c>
      <c r="F40" s="49">
        <f>IF(B40="","",SUMIFS('Example Entries'!$W$7:$W$506,'Example Entries'!$C$7:$C$506,B40,'Example Entries'!$AC$7:$AC$506,"&gt;=0",'Example Entries'!$AC$7:$AC$506,"&lt;=30"))</f>
        <v/>
      </c>
      <c r="G40" s="49">
        <f>IF(B40="","",SUMIFS('Example Entries'!$W$7:$W$506,'Example Entries'!$C$7:$C$506,B40,'Example Entries'!$AC$7:$AC$506,"&gt;=31",'Example Entries'!$AC$7:$AC$506,"&lt;=60"))</f>
        <v/>
      </c>
      <c r="H40" s="49">
        <f>IF(B40="","",SUMIFS('Example Entries'!$W$7:$W$506,'Example Entries'!$C$7:$C$506,B40,'Example Entries'!$AC$7:$AC$506,"&gt;=61",'Example Entries'!$AC$7:$AC$506,"&lt;=90"))</f>
        <v/>
      </c>
      <c r="I40" s="49">
        <f>IF(B40="","",SUMIFS('Example Entries'!$W$7:$W$506,'Example Entries'!$C$7:$C$506,B40,'Example Entries'!$AC$7:$AC$506,"&gt;90"))</f>
        <v/>
      </c>
      <c r="J40" s="50">
        <f>IF(B40="","",SUMIFS('Example Entries'!$W$7:$W$506,'Example Entries'!$C$7:$C$506,B40,'Example Entries'!$AA$7:$AA$506,"&gt;0"))</f>
        <v/>
      </c>
      <c r="K40" s="49">
        <f>IF(B40="","",ROUND(SUMIFS('Example Entries'!$AB$7:$AB$506,'Example Entries'!$C$7:$C$506,B40),0))</f>
        <v/>
      </c>
      <c r="L40" s="49">
        <f>IF(B40="","",SUMIFS('Example Entries'!$AF$7:$AF$506,'Example Entries'!$C$7:$C$506,B40))</f>
        <v/>
      </c>
      <c r="M40" s="23">
        <f>IF(B40="","",IF(AND(C40="Debtor",N(E40)&lt;0),"Credit balance: an advance or an excess receipt",IF(AND(C40="Creditor",N(E40)&gt;0),"Debit balance: an advance paid to the supplier",IF(AND(C40="Creditor",N(L40)&gt;0),"Pay before the year end to keep the deduction, s.37(2)(g)",IF(N(J40)&gt;0,IF(C40="Creditor","Past due: pay, or confirm the terms in writing","Past due: follow up"),"OK")))))</f>
        <v/>
      </c>
    </row>
    <row r="41">
      <c r="B41" s="37">
        <f>IF('Example Parties'!$B$46="","",'Example Parties'!$B$46)</f>
        <v/>
      </c>
      <c r="C41" s="40">
        <f>IF(B41="","",'Example Parties'!$C$46&amp;"")</f>
        <v/>
      </c>
      <c r="D41" s="39">
        <f>IF(B41="","",'Example Parties'!$E$46&amp;"")</f>
        <v/>
      </c>
      <c r="E41" s="38">
        <f>IF(OR(B41="",$E$5=""),"",'Example Parties'!$M$46+SUMIFS('Example Entries'!$I$7:$I$506,'Example Entries'!$C$7:$C$506,B41,'Example Entries'!$B$7:$B$506,"&lt;="&amp;$E$5)-SUMIFS('Example Entries'!$J$7:$J$506,'Example Entries'!$C$7:$C$506,B41,'Example Entries'!$B$7:$B$506,"&lt;="&amp;$E$5))</f>
        <v/>
      </c>
      <c r="F41" s="49">
        <f>IF(B41="","",SUMIFS('Example Entries'!$W$7:$W$506,'Example Entries'!$C$7:$C$506,B41,'Example Entries'!$AC$7:$AC$506,"&gt;=0",'Example Entries'!$AC$7:$AC$506,"&lt;=30"))</f>
        <v/>
      </c>
      <c r="G41" s="49">
        <f>IF(B41="","",SUMIFS('Example Entries'!$W$7:$W$506,'Example Entries'!$C$7:$C$506,B41,'Example Entries'!$AC$7:$AC$506,"&gt;=31",'Example Entries'!$AC$7:$AC$506,"&lt;=60"))</f>
        <v/>
      </c>
      <c r="H41" s="49">
        <f>IF(B41="","",SUMIFS('Example Entries'!$W$7:$W$506,'Example Entries'!$C$7:$C$506,B41,'Example Entries'!$AC$7:$AC$506,"&gt;=61",'Example Entries'!$AC$7:$AC$506,"&lt;=90"))</f>
        <v/>
      </c>
      <c r="I41" s="49">
        <f>IF(B41="","",SUMIFS('Example Entries'!$W$7:$W$506,'Example Entries'!$C$7:$C$506,B41,'Example Entries'!$AC$7:$AC$506,"&gt;90"))</f>
        <v/>
      </c>
      <c r="J41" s="50">
        <f>IF(B41="","",SUMIFS('Example Entries'!$W$7:$W$506,'Example Entries'!$C$7:$C$506,B41,'Example Entries'!$AA$7:$AA$506,"&gt;0"))</f>
        <v/>
      </c>
      <c r="K41" s="49">
        <f>IF(B41="","",ROUND(SUMIFS('Example Entries'!$AB$7:$AB$506,'Example Entries'!$C$7:$C$506,B41),0))</f>
        <v/>
      </c>
      <c r="L41" s="49">
        <f>IF(B41="","",SUMIFS('Example Entries'!$AF$7:$AF$506,'Example Entries'!$C$7:$C$506,B41))</f>
        <v/>
      </c>
      <c r="M41" s="23">
        <f>IF(B41="","",IF(AND(C41="Debtor",N(E41)&lt;0),"Credit balance: an advance or an excess receipt",IF(AND(C41="Creditor",N(E41)&gt;0),"Debit balance: an advance paid to the supplier",IF(AND(C41="Creditor",N(L41)&gt;0),"Pay before the year end to keep the deduction, s.37(2)(g)",IF(N(J41)&gt;0,IF(C41="Creditor","Past due: pay, or confirm the terms in writing","Past due: follow up"),"OK")))))</f>
        <v/>
      </c>
    </row>
    <row r="42">
      <c r="B42" s="37">
        <f>IF('Example Parties'!$B$47="","",'Example Parties'!$B$47)</f>
        <v/>
      </c>
      <c r="C42" s="40">
        <f>IF(B42="","",'Example Parties'!$C$47&amp;"")</f>
        <v/>
      </c>
      <c r="D42" s="39">
        <f>IF(B42="","",'Example Parties'!$E$47&amp;"")</f>
        <v/>
      </c>
      <c r="E42" s="38">
        <f>IF(OR(B42="",$E$5=""),"",'Example Parties'!$M$47+SUMIFS('Example Entries'!$I$7:$I$506,'Example Entries'!$C$7:$C$506,B42,'Example Entries'!$B$7:$B$506,"&lt;="&amp;$E$5)-SUMIFS('Example Entries'!$J$7:$J$506,'Example Entries'!$C$7:$C$506,B42,'Example Entries'!$B$7:$B$506,"&lt;="&amp;$E$5))</f>
        <v/>
      </c>
      <c r="F42" s="49">
        <f>IF(B42="","",SUMIFS('Example Entries'!$W$7:$W$506,'Example Entries'!$C$7:$C$506,B42,'Example Entries'!$AC$7:$AC$506,"&gt;=0",'Example Entries'!$AC$7:$AC$506,"&lt;=30"))</f>
        <v/>
      </c>
      <c r="G42" s="49">
        <f>IF(B42="","",SUMIFS('Example Entries'!$W$7:$W$506,'Example Entries'!$C$7:$C$506,B42,'Example Entries'!$AC$7:$AC$506,"&gt;=31",'Example Entries'!$AC$7:$AC$506,"&lt;=60"))</f>
        <v/>
      </c>
      <c r="H42" s="49">
        <f>IF(B42="","",SUMIFS('Example Entries'!$W$7:$W$506,'Example Entries'!$C$7:$C$506,B42,'Example Entries'!$AC$7:$AC$506,"&gt;=61",'Example Entries'!$AC$7:$AC$506,"&lt;=90"))</f>
        <v/>
      </c>
      <c r="I42" s="49">
        <f>IF(B42="","",SUMIFS('Example Entries'!$W$7:$W$506,'Example Entries'!$C$7:$C$506,B42,'Example Entries'!$AC$7:$AC$506,"&gt;90"))</f>
        <v/>
      </c>
      <c r="J42" s="50">
        <f>IF(B42="","",SUMIFS('Example Entries'!$W$7:$W$506,'Example Entries'!$C$7:$C$506,B42,'Example Entries'!$AA$7:$AA$506,"&gt;0"))</f>
        <v/>
      </c>
      <c r="K42" s="49">
        <f>IF(B42="","",ROUND(SUMIFS('Example Entries'!$AB$7:$AB$506,'Example Entries'!$C$7:$C$506,B42),0))</f>
        <v/>
      </c>
      <c r="L42" s="49">
        <f>IF(B42="","",SUMIFS('Example Entries'!$AF$7:$AF$506,'Example Entries'!$C$7:$C$506,B42))</f>
        <v/>
      </c>
      <c r="M42" s="23">
        <f>IF(B42="","",IF(AND(C42="Debtor",N(E42)&lt;0),"Credit balance: an advance or an excess receipt",IF(AND(C42="Creditor",N(E42)&gt;0),"Debit balance: an advance paid to the supplier",IF(AND(C42="Creditor",N(L42)&gt;0),"Pay before the year end to keep the deduction, s.37(2)(g)",IF(N(J42)&gt;0,IF(C42="Creditor","Past due: pay, or confirm the terms in writing","Past due: follow up"),"OK")))))</f>
        <v/>
      </c>
    </row>
    <row r="43">
      <c r="B43" s="37">
        <f>IF('Example Parties'!$B$48="","",'Example Parties'!$B$48)</f>
        <v/>
      </c>
      <c r="C43" s="40">
        <f>IF(B43="","",'Example Parties'!$C$48&amp;"")</f>
        <v/>
      </c>
      <c r="D43" s="39">
        <f>IF(B43="","",'Example Parties'!$E$48&amp;"")</f>
        <v/>
      </c>
      <c r="E43" s="38">
        <f>IF(OR(B43="",$E$5=""),"",'Example Parties'!$M$48+SUMIFS('Example Entries'!$I$7:$I$506,'Example Entries'!$C$7:$C$506,B43,'Example Entries'!$B$7:$B$506,"&lt;="&amp;$E$5)-SUMIFS('Example Entries'!$J$7:$J$506,'Example Entries'!$C$7:$C$506,B43,'Example Entries'!$B$7:$B$506,"&lt;="&amp;$E$5))</f>
        <v/>
      </c>
      <c r="F43" s="49">
        <f>IF(B43="","",SUMIFS('Example Entries'!$W$7:$W$506,'Example Entries'!$C$7:$C$506,B43,'Example Entries'!$AC$7:$AC$506,"&gt;=0",'Example Entries'!$AC$7:$AC$506,"&lt;=30"))</f>
        <v/>
      </c>
      <c r="G43" s="49">
        <f>IF(B43="","",SUMIFS('Example Entries'!$W$7:$W$506,'Example Entries'!$C$7:$C$506,B43,'Example Entries'!$AC$7:$AC$506,"&gt;=31",'Example Entries'!$AC$7:$AC$506,"&lt;=60"))</f>
        <v/>
      </c>
      <c r="H43" s="49">
        <f>IF(B43="","",SUMIFS('Example Entries'!$W$7:$W$506,'Example Entries'!$C$7:$C$506,B43,'Example Entries'!$AC$7:$AC$506,"&gt;=61",'Example Entries'!$AC$7:$AC$506,"&lt;=90"))</f>
        <v/>
      </c>
      <c r="I43" s="49">
        <f>IF(B43="","",SUMIFS('Example Entries'!$W$7:$W$506,'Example Entries'!$C$7:$C$506,B43,'Example Entries'!$AC$7:$AC$506,"&gt;90"))</f>
        <v/>
      </c>
      <c r="J43" s="50">
        <f>IF(B43="","",SUMIFS('Example Entries'!$W$7:$W$506,'Example Entries'!$C$7:$C$506,B43,'Example Entries'!$AA$7:$AA$506,"&gt;0"))</f>
        <v/>
      </c>
      <c r="K43" s="49">
        <f>IF(B43="","",ROUND(SUMIFS('Example Entries'!$AB$7:$AB$506,'Example Entries'!$C$7:$C$506,B43),0))</f>
        <v/>
      </c>
      <c r="L43" s="49">
        <f>IF(B43="","",SUMIFS('Example Entries'!$AF$7:$AF$506,'Example Entries'!$C$7:$C$506,B43))</f>
        <v/>
      </c>
      <c r="M43" s="23">
        <f>IF(B43="","",IF(AND(C43="Debtor",N(E43)&lt;0),"Credit balance: an advance or an excess receipt",IF(AND(C43="Creditor",N(E43)&gt;0),"Debit balance: an advance paid to the supplier",IF(AND(C43="Creditor",N(L43)&gt;0),"Pay before the year end to keep the deduction, s.37(2)(g)",IF(N(J43)&gt;0,IF(C43="Creditor","Past due: pay, or confirm the terms in writing","Past due: follow up"),"OK")))))</f>
        <v/>
      </c>
    </row>
    <row r="44">
      <c r="B44" s="37">
        <f>IF('Example Parties'!$B$49="","",'Example Parties'!$B$49)</f>
        <v/>
      </c>
      <c r="C44" s="40">
        <f>IF(B44="","",'Example Parties'!$C$49&amp;"")</f>
        <v/>
      </c>
      <c r="D44" s="39">
        <f>IF(B44="","",'Example Parties'!$E$49&amp;"")</f>
        <v/>
      </c>
      <c r="E44" s="38">
        <f>IF(OR(B44="",$E$5=""),"",'Example Parties'!$M$49+SUMIFS('Example Entries'!$I$7:$I$506,'Example Entries'!$C$7:$C$506,B44,'Example Entries'!$B$7:$B$506,"&lt;="&amp;$E$5)-SUMIFS('Example Entries'!$J$7:$J$506,'Example Entries'!$C$7:$C$506,B44,'Example Entries'!$B$7:$B$506,"&lt;="&amp;$E$5))</f>
        <v/>
      </c>
      <c r="F44" s="49">
        <f>IF(B44="","",SUMIFS('Example Entries'!$W$7:$W$506,'Example Entries'!$C$7:$C$506,B44,'Example Entries'!$AC$7:$AC$506,"&gt;=0",'Example Entries'!$AC$7:$AC$506,"&lt;=30"))</f>
        <v/>
      </c>
      <c r="G44" s="49">
        <f>IF(B44="","",SUMIFS('Example Entries'!$W$7:$W$506,'Example Entries'!$C$7:$C$506,B44,'Example Entries'!$AC$7:$AC$506,"&gt;=31",'Example Entries'!$AC$7:$AC$506,"&lt;=60"))</f>
        <v/>
      </c>
      <c r="H44" s="49">
        <f>IF(B44="","",SUMIFS('Example Entries'!$W$7:$W$506,'Example Entries'!$C$7:$C$506,B44,'Example Entries'!$AC$7:$AC$506,"&gt;=61",'Example Entries'!$AC$7:$AC$506,"&lt;=90"))</f>
        <v/>
      </c>
      <c r="I44" s="49">
        <f>IF(B44="","",SUMIFS('Example Entries'!$W$7:$W$506,'Example Entries'!$C$7:$C$506,B44,'Example Entries'!$AC$7:$AC$506,"&gt;90"))</f>
        <v/>
      </c>
      <c r="J44" s="50">
        <f>IF(B44="","",SUMIFS('Example Entries'!$W$7:$W$506,'Example Entries'!$C$7:$C$506,B44,'Example Entries'!$AA$7:$AA$506,"&gt;0"))</f>
        <v/>
      </c>
      <c r="K44" s="49">
        <f>IF(B44="","",ROUND(SUMIFS('Example Entries'!$AB$7:$AB$506,'Example Entries'!$C$7:$C$506,B44),0))</f>
        <v/>
      </c>
      <c r="L44" s="49">
        <f>IF(B44="","",SUMIFS('Example Entries'!$AF$7:$AF$506,'Example Entries'!$C$7:$C$506,B44))</f>
        <v/>
      </c>
      <c r="M44" s="23">
        <f>IF(B44="","",IF(AND(C44="Debtor",N(E44)&lt;0),"Credit balance: an advance or an excess receipt",IF(AND(C44="Creditor",N(E44)&gt;0),"Debit balance: an advance paid to the supplier",IF(AND(C44="Creditor",N(L44)&gt;0),"Pay before the year end to keep the deduction, s.37(2)(g)",IF(N(J44)&gt;0,IF(C44="Creditor","Past due: pay, or confirm the terms in writing","Past due: follow up"),"OK")))))</f>
        <v/>
      </c>
    </row>
    <row r="45">
      <c r="B45" s="37">
        <f>IF('Example Parties'!$B$50="","",'Example Parties'!$B$50)</f>
        <v/>
      </c>
      <c r="C45" s="40">
        <f>IF(B45="","",'Example Parties'!$C$50&amp;"")</f>
        <v/>
      </c>
      <c r="D45" s="39">
        <f>IF(B45="","",'Example Parties'!$E$50&amp;"")</f>
        <v/>
      </c>
      <c r="E45" s="38">
        <f>IF(OR(B45="",$E$5=""),"",'Example Parties'!$M$50+SUMIFS('Example Entries'!$I$7:$I$506,'Example Entries'!$C$7:$C$506,B45,'Example Entries'!$B$7:$B$506,"&lt;="&amp;$E$5)-SUMIFS('Example Entries'!$J$7:$J$506,'Example Entries'!$C$7:$C$506,B45,'Example Entries'!$B$7:$B$506,"&lt;="&amp;$E$5))</f>
        <v/>
      </c>
      <c r="F45" s="49">
        <f>IF(B45="","",SUMIFS('Example Entries'!$W$7:$W$506,'Example Entries'!$C$7:$C$506,B45,'Example Entries'!$AC$7:$AC$506,"&gt;=0",'Example Entries'!$AC$7:$AC$506,"&lt;=30"))</f>
        <v/>
      </c>
      <c r="G45" s="49">
        <f>IF(B45="","",SUMIFS('Example Entries'!$W$7:$W$506,'Example Entries'!$C$7:$C$506,B45,'Example Entries'!$AC$7:$AC$506,"&gt;=31",'Example Entries'!$AC$7:$AC$506,"&lt;=60"))</f>
        <v/>
      </c>
      <c r="H45" s="49">
        <f>IF(B45="","",SUMIFS('Example Entries'!$W$7:$W$506,'Example Entries'!$C$7:$C$506,B45,'Example Entries'!$AC$7:$AC$506,"&gt;=61",'Example Entries'!$AC$7:$AC$506,"&lt;=90"))</f>
        <v/>
      </c>
      <c r="I45" s="49">
        <f>IF(B45="","",SUMIFS('Example Entries'!$W$7:$W$506,'Example Entries'!$C$7:$C$506,B45,'Example Entries'!$AC$7:$AC$506,"&gt;90"))</f>
        <v/>
      </c>
      <c r="J45" s="50">
        <f>IF(B45="","",SUMIFS('Example Entries'!$W$7:$W$506,'Example Entries'!$C$7:$C$506,B45,'Example Entries'!$AA$7:$AA$506,"&gt;0"))</f>
        <v/>
      </c>
      <c r="K45" s="49">
        <f>IF(B45="","",ROUND(SUMIFS('Example Entries'!$AB$7:$AB$506,'Example Entries'!$C$7:$C$506,B45),0))</f>
        <v/>
      </c>
      <c r="L45" s="49">
        <f>IF(B45="","",SUMIFS('Example Entries'!$AF$7:$AF$506,'Example Entries'!$C$7:$C$506,B45))</f>
        <v/>
      </c>
      <c r="M45" s="23">
        <f>IF(B45="","",IF(AND(C45="Debtor",N(E45)&lt;0),"Credit balance: an advance or an excess receipt",IF(AND(C45="Creditor",N(E45)&gt;0),"Debit balance: an advance paid to the supplier",IF(AND(C45="Creditor",N(L45)&gt;0),"Pay before the year end to keep the deduction, s.37(2)(g)",IF(N(J45)&gt;0,IF(C45="Creditor","Past due: pay, or confirm the terms in writing","Past due: follow up"),"OK")))))</f>
        <v/>
      </c>
    </row>
    <row r="46">
      <c r="B46" s="37">
        <f>IF('Example Parties'!$B$51="","",'Example Parties'!$B$51)</f>
        <v/>
      </c>
      <c r="C46" s="40">
        <f>IF(B46="","",'Example Parties'!$C$51&amp;"")</f>
        <v/>
      </c>
      <c r="D46" s="39">
        <f>IF(B46="","",'Example Parties'!$E$51&amp;"")</f>
        <v/>
      </c>
      <c r="E46" s="38">
        <f>IF(OR(B46="",$E$5=""),"",'Example Parties'!$M$51+SUMIFS('Example Entries'!$I$7:$I$506,'Example Entries'!$C$7:$C$506,B46,'Example Entries'!$B$7:$B$506,"&lt;="&amp;$E$5)-SUMIFS('Example Entries'!$J$7:$J$506,'Example Entries'!$C$7:$C$506,B46,'Example Entries'!$B$7:$B$506,"&lt;="&amp;$E$5))</f>
        <v/>
      </c>
      <c r="F46" s="49">
        <f>IF(B46="","",SUMIFS('Example Entries'!$W$7:$W$506,'Example Entries'!$C$7:$C$506,B46,'Example Entries'!$AC$7:$AC$506,"&gt;=0",'Example Entries'!$AC$7:$AC$506,"&lt;=30"))</f>
        <v/>
      </c>
      <c r="G46" s="49">
        <f>IF(B46="","",SUMIFS('Example Entries'!$W$7:$W$506,'Example Entries'!$C$7:$C$506,B46,'Example Entries'!$AC$7:$AC$506,"&gt;=31",'Example Entries'!$AC$7:$AC$506,"&lt;=60"))</f>
        <v/>
      </c>
      <c r="H46" s="49">
        <f>IF(B46="","",SUMIFS('Example Entries'!$W$7:$W$506,'Example Entries'!$C$7:$C$506,B46,'Example Entries'!$AC$7:$AC$506,"&gt;=61",'Example Entries'!$AC$7:$AC$506,"&lt;=90"))</f>
        <v/>
      </c>
      <c r="I46" s="49">
        <f>IF(B46="","",SUMIFS('Example Entries'!$W$7:$W$506,'Example Entries'!$C$7:$C$506,B46,'Example Entries'!$AC$7:$AC$506,"&gt;90"))</f>
        <v/>
      </c>
      <c r="J46" s="50">
        <f>IF(B46="","",SUMIFS('Example Entries'!$W$7:$W$506,'Example Entries'!$C$7:$C$506,B46,'Example Entries'!$AA$7:$AA$506,"&gt;0"))</f>
        <v/>
      </c>
      <c r="K46" s="49">
        <f>IF(B46="","",ROUND(SUMIFS('Example Entries'!$AB$7:$AB$506,'Example Entries'!$C$7:$C$506,B46),0))</f>
        <v/>
      </c>
      <c r="L46" s="49">
        <f>IF(B46="","",SUMIFS('Example Entries'!$AF$7:$AF$506,'Example Entries'!$C$7:$C$506,B46))</f>
        <v/>
      </c>
      <c r="M46" s="23">
        <f>IF(B46="","",IF(AND(C46="Debtor",N(E46)&lt;0),"Credit balance: an advance or an excess receipt",IF(AND(C46="Creditor",N(E46)&gt;0),"Debit balance: an advance paid to the supplier",IF(AND(C46="Creditor",N(L46)&gt;0),"Pay before the year end to keep the deduction, s.37(2)(g)",IF(N(J46)&gt;0,IF(C46="Creditor","Past due: pay, or confirm the terms in writing","Past due: follow up"),"OK")))))</f>
        <v/>
      </c>
    </row>
    <row r="47">
      <c r="B47" s="37">
        <f>IF('Example Parties'!$B$52="","",'Example Parties'!$B$52)</f>
        <v/>
      </c>
      <c r="C47" s="40">
        <f>IF(B47="","",'Example Parties'!$C$52&amp;"")</f>
        <v/>
      </c>
      <c r="D47" s="39">
        <f>IF(B47="","",'Example Parties'!$E$52&amp;"")</f>
        <v/>
      </c>
      <c r="E47" s="38">
        <f>IF(OR(B47="",$E$5=""),"",'Example Parties'!$M$52+SUMIFS('Example Entries'!$I$7:$I$506,'Example Entries'!$C$7:$C$506,B47,'Example Entries'!$B$7:$B$506,"&lt;="&amp;$E$5)-SUMIFS('Example Entries'!$J$7:$J$506,'Example Entries'!$C$7:$C$506,B47,'Example Entries'!$B$7:$B$506,"&lt;="&amp;$E$5))</f>
        <v/>
      </c>
      <c r="F47" s="49">
        <f>IF(B47="","",SUMIFS('Example Entries'!$W$7:$W$506,'Example Entries'!$C$7:$C$506,B47,'Example Entries'!$AC$7:$AC$506,"&gt;=0",'Example Entries'!$AC$7:$AC$506,"&lt;=30"))</f>
        <v/>
      </c>
      <c r="G47" s="49">
        <f>IF(B47="","",SUMIFS('Example Entries'!$W$7:$W$506,'Example Entries'!$C$7:$C$506,B47,'Example Entries'!$AC$7:$AC$506,"&gt;=31",'Example Entries'!$AC$7:$AC$506,"&lt;=60"))</f>
        <v/>
      </c>
      <c r="H47" s="49">
        <f>IF(B47="","",SUMIFS('Example Entries'!$W$7:$W$506,'Example Entries'!$C$7:$C$506,B47,'Example Entries'!$AC$7:$AC$506,"&gt;=61",'Example Entries'!$AC$7:$AC$506,"&lt;=90"))</f>
        <v/>
      </c>
      <c r="I47" s="49">
        <f>IF(B47="","",SUMIFS('Example Entries'!$W$7:$W$506,'Example Entries'!$C$7:$C$506,B47,'Example Entries'!$AC$7:$AC$506,"&gt;90"))</f>
        <v/>
      </c>
      <c r="J47" s="50">
        <f>IF(B47="","",SUMIFS('Example Entries'!$W$7:$W$506,'Example Entries'!$C$7:$C$506,B47,'Example Entries'!$AA$7:$AA$506,"&gt;0"))</f>
        <v/>
      </c>
      <c r="K47" s="49">
        <f>IF(B47="","",ROUND(SUMIFS('Example Entries'!$AB$7:$AB$506,'Example Entries'!$C$7:$C$506,B47),0))</f>
        <v/>
      </c>
      <c r="L47" s="49">
        <f>IF(B47="","",SUMIFS('Example Entries'!$AF$7:$AF$506,'Example Entries'!$C$7:$C$506,B47))</f>
        <v/>
      </c>
      <c r="M47" s="23">
        <f>IF(B47="","",IF(AND(C47="Debtor",N(E47)&lt;0),"Credit balance: an advance or an excess receipt",IF(AND(C47="Creditor",N(E47)&gt;0),"Debit balance: an advance paid to the supplier",IF(AND(C47="Creditor",N(L47)&gt;0),"Pay before the year end to keep the deduction, s.37(2)(g)",IF(N(J47)&gt;0,IF(C47="Creditor","Past due: pay, or confirm the terms in writing","Past due: follow up"),"OK")))))</f>
        <v/>
      </c>
    </row>
    <row r="48">
      <c r="B48" s="37">
        <f>IF('Example Parties'!$B$53="","",'Example Parties'!$B$53)</f>
        <v/>
      </c>
      <c r="C48" s="40">
        <f>IF(B48="","",'Example Parties'!$C$53&amp;"")</f>
        <v/>
      </c>
      <c r="D48" s="39">
        <f>IF(B48="","",'Example Parties'!$E$53&amp;"")</f>
        <v/>
      </c>
      <c r="E48" s="38">
        <f>IF(OR(B48="",$E$5=""),"",'Example Parties'!$M$53+SUMIFS('Example Entries'!$I$7:$I$506,'Example Entries'!$C$7:$C$506,B48,'Example Entries'!$B$7:$B$506,"&lt;="&amp;$E$5)-SUMIFS('Example Entries'!$J$7:$J$506,'Example Entries'!$C$7:$C$506,B48,'Example Entries'!$B$7:$B$506,"&lt;="&amp;$E$5))</f>
        <v/>
      </c>
      <c r="F48" s="49">
        <f>IF(B48="","",SUMIFS('Example Entries'!$W$7:$W$506,'Example Entries'!$C$7:$C$506,B48,'Example Entries'!$AC$7:$AC$506,"&gt;=0",'Example Entries'!$AC$7:$AC$506,"&lt;=30"))</f>
        <v/>
      </c>
      <c r="G48" s="49">
        <f>IF(B48="","",SUMIFS('Example Entries'!$W$7:$W$506,'Example Entries'!$C$7:$C$506,B48,'Example Entries'!$AC$7:$AC$506,"&gt;=31",'Example Entries'!$AC$7:$AC$506,"&lt;=60"))</f>
        <v/>
      </c>
      <c r="H48" s="49">
        <f>IF(B48="","",SUMIFS('Example Entries'!$W$7:$W$506,'Example Entries'!$C$7:$C$506,B48,'Example Entries'!$AC$7:$AC$506,"&gt;=61",'Example Entries'!$AC$7:$AC$506,"&lt;=90"))</f>
        <v/>
      </c>
      <c r="I48" s="49">
        <f>IF(B48="","",SUMIFS('Example Entries'!$W$7:$W$506,'Example Entries'!$C$7:$C$506,B48,'Example Entries'!$AC$7:$AC$506,"&gt;90"))</f>
        <v/>
      </c>
      <c r="J48" s="50">
        <f>IF(B48="","",SUMIFS('Example Entries'!$W$7:$W$506,'Example Entries'!$C$7:$C$506,B48,'Example Entries'!$AA$7:$AA$506,"&gt;0"))</f>
        <v/>
      </c>
      <c r="K48" s="49">
        <f>IF(B48="","",ROUND(SUMIFS('Example Entries'!$AB$7:$AB$506,'Example Entries'!$C$7:$C$506,B48),0))</f>
        <v/>
      </c>
      <c r="L48" s="49">
        <f>IF(B48="","",SUMIFS('Example Entries'!$AF$7:$AF$506,'Example Entries'!$C$7:$C$506,B48))</f>
        <v/>
      </c>
      <c r="M48" s="23">
        <f>IF(B48="","",IF(AND(C48="Debtor",N(E48)&lt;0),"Credit balance: an advance or an excess receipt",IF(AND(C48="Creditor",N(E48)&gt;0),"Debit balance: an advance paid to the supplier",IF(AND(C48="Creditor",N(L48)&gt;0),"Pay before the year end to keep the deduction, s.37(2)(g)",IF(N(J48)&gt;0,IF(C48="Creditor","Past due: pay, or confirm the terms in writing","Past due: follow up"),"OK")))))</f>
        <v/>
      </c>
    </row>
    <row r="49">
      <c r="B49" s="37">
        <f>IF('Example Parties'!$B$54="","",'Example Parties'!$B$54)</f>
        <v/>
      </c>
      <c r="C49" s="40">
        <f>IF(B49="","",'Example Parties'!$C$54&amp;"")</f>
        <v/>
      </c>
      <c r="D49" s="39">
        <f>IF(B49="","",'Example Parties'!$E$54&amp;"")</f>
        <v/>
      </c>
      <c r="E49" s="38">
        <f>IF(OR(B49="",$E$5=""),"",'Example Parties'!$M$54+SUMIFS('Example Entries'!$I$7:$I$506,'Example Entries'!$C$7:$C$506,B49,'Example Entries'!$B$7:$B$506,"&lt;="&amp;$E$5)-SUMIFS('Example Entries'!$J$7:$J$506,'Example Entries'!$C$7:$C$506,B49,'Example Entries'!$B$7:$B$506,"&lt;="&amp;$E$5))</f>
        <v/>
      </c>
      <c r="F49" s="49">
        <f>IF(B49="","",SUMIFS('Example Entries'!$W$7:$W$506,'Example Entries'!$C$7:$C$506,B49,'Example Entries'!$AC$7:$AC$506,"&gt;=0",'Example Entries'!$AC$7:$AC$506,"&lt;=30"))</f>
        <v/>
      </c>
      <c r="G49" s="49">
        <f>IF(B49="","",SUMIFS('Example Entries'!$W$7:$W$506,'Example Entries'!$C$7:$C$506,B49,'Example Entries'!$AC$7:$AC$506,"&gt;=31",'Example Entries'!$AC$7:$AC$506,"&lt;=60"))</f>
        <v/>
      </c>
      <c r="H49" s="49">
        <f>IF(B49="","",SUMIFS('Example Entries'!$W$7:$W$506,'Example Entries'!$C$7:$C$506,B49,'Example Entries'!$AC$7:$AC$506,"&gt;=61",'Example Entries'!$AC$7:$AC$506,"&lt;=90"))</f>
        <v/>
      </c>
      <c r="I49" s="49">
        <f>IF(B49="","",SUMIFS('Example Entries'!$W$7:$W$506,'Example Entries'!$C$7:$C$506,B49,'Example Entries'!$AC$7:$AC$506,"&gt;90"))</f>
        <v/>
      </c>
      <c r="J49" s="50">
        <f>IF(B49="","",SUMIFS('Example Entries'!$W$7:$W$506,'Example Entries'!$C$7:$C$506,B49,'Example Entries'!$AA$7:$AA$506,"&gt;0"))</f>
        <v/>
      </c>
      <c r="K49" s="49">
        <f>IF(B49="","",ROUND(SUMIFS('Example Entries'!$AB$7:$AB$506,'Example Entries'!$C$7:$C$506,B49),0))</f>
        <v/>
      </c>
      <c r="L49" s="49">
        <f>IF(B49="","",SUMIFS('Example Entries'!$AF$7:$AF$506,'Example Entries'!$C$7:$C$506,B49))</f>
        <v/>
      </c>
      <c r="M49" s="23">
        <f>IF(B49="","",IF(AND(C49="Debtor",N(E49)&lt;0),"Credit balance: an advance or an excess receipt",IF(AND(C49="Creditor",N(E49)&gt;0),"Debit balance: an advance paid to the supplier",IF(AND(C49="Creditor",N(L49)&gt;0),"Pay before the year end to keep the deduction, s.37(2)(g)",IF(N(J49)&gt;0,IF(C49="Creditor","Past due: pay, or confirm the terms in writing","Past due: follow up"),"OK")))))</f>
        <v/>
      </c>
    </row>
    <row r="50">
      <c r="B50" s="37">
        <f>IF('Example Parties'!$B$55="","",'Example Parties'!$B$55)</f>
        <v/>
      </c>
      <c r="C50" s="40">
        <f>IF(B50="","",'Example Parties'!$C$55&amp;"")</f>
        <v/>
      </c>
      <c r="D50" s="39">
        <f>IF(B50="","",'Example Parties'!$E$55&amp;"")</f>
        <v/>
      </c>
      <c r="E50" s="38">
        <f>IF(OR(B50="",$E$5=""),"",'Example Parties'!$M$55+SUMIFS('Example Entries'!$I$7:$I$506,'Example Entries'!$C$7:$C$506,B50,'Example Entries'!$B$7:$B$506,"&lt;="&amp;$E$5)-SUMIFS('Example Entries'!$J$7:$J$506,'Example Entries'!$C$7:$C$506,B50,'Example Entries'!$B$7:$B$506,"&lt;="&amp;$E$5))</f>
        <v/>
      </c>
      <c r="F50" s="49">
        <f>IF(B50="","",SUMIFS('Example Entries'!$W$7:$W$506,'Example Entries'!$C$7:$C$506,B50,'Example Entries'!$AC$7:$AC$506,"&gt;=0",'Example Entries'!$AC$7:$AC$506,"&lt;=30"))</f>
        <v/>
      </c>
      <c r="G50" s="49">
        <f>IF(B50="","",SUMIFS('Example Entries'!$W$7:$W$506,'Example Entries'!$C$7:$C$506,B50,'Example Entries'!$AC$7:$AC$506,"&gt;=31",'Example Entries'!$AC$7:$AC$506,"&lt;=60"))</f>
        <v/>
      </c>
      <c r="H50" s="49">
        <f>IF(B50="","",SUMIFS('Example Entries'!$W$7:$W$506,'Example Entries'!$C$7:$C$506,B50,'Example Entries'!$AC$7:$AC$506,"&gt;=61",'Example Entries'!$AC$7:$AC$506,"&lt;=90"))</f>
        <v/>
      </c>
      <c r="I50" s="49">
        <f>IF(B50="","",SUMIFS('Example Entries'!$W$7:$W$506,'Example Entries'!$C$7:$C$506,B50,'Example Entries'!$AC$7:$AC$506,"&gt;90"))</f>
        <v/>
      </c>
      <c r="J50" s="50">
        <f>IF(B50="","",SUMIFS('Example Entries'!$W$7:$W$506,'Example Entries'!$C$7:$C$506,B50,'Example Entries'!$AA$7:$AA$506,"&gt;0"))</f>
        <v/>
      </c>
      <c r="K50" s="49">
        <f>IF(B50="","",ROUND(SUMIFS('Example Entries'!$AB$7:$AB$506,'Example Entries'!$C$7:$C$506,B50),0))</f>
        <v/>
      </c>
      <c r="L50" s="49">
        <f>IF(B50="","",SUMIFS('Example Entries'!$AF$7:$AF$506,'Example Entries'!$C$7:$C$506,B50))</f>
        <v/>
      </c>
      <c r="M50" s="23">
        <f>IF(B50="","",IF(AND(C50="Debtor",N(E50)&lt;0),"Credit balance: an advance or an excess receipt",IF(AND(C50="Creditor",N(E50)&gt;0),"Debit balance: an advance paid to the supplier",IF(AND(C50="Creditor",N(L50)&gt;0),"Pay before the year end to keep the deduction, s.37(2)(g)",IF(N(J50)&gt;0,IF(C50="Creditor","Past due: pay, or confirm the terms in writing","Past due: follow up"),"OK")))))</f>
        <v/>
      </c>
    </row>
    <row r="51">
      <c r="B51" s="37">
        <f>IF('Example Parties'!$B$56="","",'Example Parties'!$B$56)</f>
        <v/>
      </c>
      <c r="C51" s="40">
        <f>IF(B51="","",'Example Parties'!$C$56&amp;"")</f>
        <v/>
      </c>
      <c r="D51" s="39">
        <f>IF(B51="","",'Example Parties'!$E$56&amp;"")</f>
        <v/>
      </c>
      <c r="E51" s="38">
        <f>IF(OR(B51="",$E$5=""),"",'Example Parties'!$M$56+SUMIFS('Example Entries'!$I$7:$I$506,'Example Entries'!$C$7:$C$506,B51,'Example Entries'!$B$7:$B$506,"&lt;="&amp;$E$5)-SUMIFS('Example Entries'!$J$7:$J$506,'Example Entries'!$C$7:$C$506,B51,'Example Entries'!$B$7:$B$506,"&lt;="&amp;$E$5))</f>
        <v/>
      </c>
      <c r="F51" s="49">
        <f>IF(B51="","",SUMIFS('Example Entries'!$W$7:$W$506,'Example Entries'!$C$7:$C$506,B51,'Example Entries'!$AC$7:$AC$506,"&gt;=0",'Example Entries'!$AC$7:$AC$506,"&lt;=30"))</f>
        <v/>
      </c>
      <c r="G51" s="49">
        <f>IF(B51="","",SUMIFS('Example Entries'!$W$7:$W$506,'Example Entries'!$C$7:$C$506,B51,'Example Entries'!$AC$7:$AC$506,"&gt;=31",'Example Entries'!$AC$7:$AC$506,"&lt;=60"))</f>
        <v/>
      </c>
      <c r="H51" s="49">
        <f>IF(B51="","",SUMIFS('Example Entries'!$W$7:$W$506,'Example Entries'!$C$7:$C$506,B51,'Example Entries'!$AC$7:$AC$506,"&gt;=61",'Example Entries'!$AC$7:$AC$506,"&lt;=90"))</f>
        <v/>
      </c>
      <c r="I51" s="49">
        <f>IF(B51="","",SUMIFS('Example Entries'!$W$7:$W$506,'Example Entries'!$C$7:$C$506,B51,'Example Entries'!$AC$7:$AC$506,"&gt;90"))</f>
        <v/>
      </c>
      <c r="J51" s="50">
        <f>IF(B51="","",SUMIFS('Example Entries'!$W$7:$W$506,'Example Entries'!$C$7:$C$506,B51,'Example Entries'!$AA$7:$AA$506,"&gt;0"))</f>
        <v/>
      </c>
      <c r="K51" s="49">
        <f>IF(B51="","",ROUND(SUMIFS('Example Entries'!$AB$7:$AB$506,'Example Entries'!$C$7:$C$506,B51),0))</f>
        <v/>
      </c>
      <c r="L51" s="49">
        <f>IF(B51="","",SUMIFS('Example Entries'!$AF$7:$AF$506,'Example Entries'!$C$7:$C$506,B51))</f>
        <v/>
      </c>
      <c r="M51" s="23">
        <f>IF(B51="","",IF(AND(C51="Debtor",N(E51)&lt;0),"Credit balance: an advance or an excess receipt",IF(AND(C51="Creditor",N(E51)&gt;0),"Debit balance: an advance paid to the supplier",IF(AND(C51="Creditor",N(L51)&gt;0),"Pay before the year end to keep the deduction, s.37(2)(g)",IF(N(J51)&gt;0,IF(C51="Creditor","Past due: pay, or confirm the terms in writing","Past due: follow up"),"OK")))))</f>
        <v/>
      </c>
    </row>
    <row r="52">
      <c r="B52" s="37">
        <f>IF('Example Parties'!$B$57="","",'Example Parties'!$B$57)</f>
        <v/>
      </c>
      <c r="C52" s="40">
        <f>IF(B52="","",'Example Parties'!$C$57&amp;"")</f>
        <v/>
      </c>
      <c r="D52" s="39">
        <f>IF(B52="","",'Example Parties'!$E$57&amp;"")</f>
        <v/>
      </c>
      <c r="E52" s="38">
        <f>IF(OR(B52="",$E$5=""),"",'Example Parties'!$M$57+SUMIFS('Example Entries'!$I$7:$I$506,'Example Entries'!$C$7:$C$506,B52,'Example Entries'!$B$7:$B$506,"&lt;="&amp;$E$5)-SUMIFS('Example Entries'!$J$7:$J$506,'Example Entries'!$C$7:$C$506,B52,'Example Entries'!$B$7:$B$506,"&lt;="&amp;$E$5))</f>
        <v/>
      </c>
      <c r="F52" s="49">
        <f>IF(B52="","",SUMIFS('Example Entries'!$W$7:$W$506,'Example Entries'!$C$7:$C$506,B52,'Example Entries'!$AC$7:$AC$506,"&gt;=0",'Example Entries'!$AC$7:$AC$506,"&lt;=30"))</f>
        <v/>
      </c>
      <c r="G52" s="49">
        <f>IF(B52="","",SUMIFS('Example Entries'!$W$7:$W$506,'Example Entries'!$C$7:$C$506,B52,'Example Entries'!$AC$7:$AC$506,"&gt;=31",'Example Entries'!$AC$7:$AC$506,"&lt;=60"))</f>
        <v/>
      </c>
      <c r="H52" s="49">
        <f>IF(B52="","",SUMIFS('Example Entries'!$W$7:$W$506,'Example Entries'!$C$7:$C$506,B52,'Example Entries'!$AC$7:$AC$506,"&gt;=61",'Example Entries'!$AC$7:$AC$506,"&lt;=90"))</f>
        <v/>
      </c>
      <c r="I52" s="49">
        <f>IF(B52="","",SUMIFS('Example Entries'!$W$7:$W$506,'Example Entries'!$C$7:$C$506,B52,'Example Entries'!$AC$7:$AC$506,"&gt;90"))</f>
        <v/>
      </c>
      <c r="J52" s="50">
        <f>IF(B52="","",SUMIFS('Example Entries'!$W$7:$W$506,'Example Entries'!$C$7:$C$506,B52,'Example Entries'!$AA$7:$AA$506,"&gt;0"))</f>
        <v/>
      </c>
      <c r="K52" s="49">
        <f>IF(B52="","",ROUND(SUMIFS('Example Entries'!$AB$7:$AB$506,'Example Entries'!$C$7:$C$506,B52),0))</f>
        <v/>
      </c>
      <c r="L52" s="49">
        <f>IF(B52="","",SUMIFS('Example Entries'!$AF$7:$AF$506,'Example Entries'!$C$7:$C$506,B52))</f>
        <v/>
      </c>
      <c r="M52" s="23">
        <f>IF(B52="","",IF(AND(C52="Debtor",N(E52)&lt;0),"Credit balance: an advance or an excess receipt",IF(AND(C52="Creditor",N(E52)&gt;0),"Debit balance: an advance paid to the supplier",IF(AND(C52="Creditor",N(L52)&gt;0),"Pay before the year end to keep the deduction, s.37(2)(g)",IF(N(J52)&gt;0,IF(C52="Creditor","Past due: pay, or confirm the terms in writing","Past due: follow up"),"OK")))))</f>
        <v/>
      </c>
    </row>
    <row r="53">
      <c r="B53" s="37">
        <f>IF('Example Parties'!$B$58="","",'Example Parties'!$B$58)</f>
        <v/>
      </c>
      <c r="C53" s="40">
        <f>IF(B53="","",'Example Parties'!$C$58&amp;"")</f>
        <v/>
      </c>
      <c r="D53" s="39">
        <f>IF(B53="","",'Example Parties'!$E$58&amp;"")</f>
        <v/>
      </c>
      <c r="E53" s="38">
        <f>IF(OR(B53="",$E$5=""),"",'Example Parties'!$M$58+SUMIFS('Example Entries'!$I$7:$I$506,'Example Entries'!$C$7:$C$506,B53,'Example Entries'!$B$7:$B$506,"&lt;="&amp;$E$5)-SUMIFS('Example Entries'!$J$7:$J$506,'Example Entries'!$C$7:$C$506,B53,'Example Entries'!$B$7:$B$506,"&lt;="&amp;$E$5))</f>
        <v/>
      </c>
      <c r="F53" s="49">
        <f>IF(B53="","",SUMIFS('Example Entries'!$W$7:$W$506,'Example Entries'!$C$7:$C$506,B53,'Example Entries'!$AC$7:$AC$506,"&gt;=0",'Example Entries'!$AC$7:$AC$506,"&lt;=30"))</f>
        <v/>
      </c>
      <c r="G53" s="49">
        <f>IF(B53="","",SUMIFS('Example Entries'!$W$7:$W$506,'Example Entries'!$C$7:$C$506,B53,'Example Entries'!$AC$7:$AC$506,"&gt;=31",'Example Entries'!$AC$7:$AC$506,"&lt;=60"))</f>
        <v/>
      </c>
      <c r="H53" s="49">
        <f>IF(B53="","",SUMIFS('Example Entries'!$W$7:$W$506,'Example Entries'!$C$7:$C$506,B53,'Example Entries'!$AC$7:$AC$506,"&gt;=61",'Example Entries'!$AC$7:$AC$506,"&lt;=90"))</f>
        <v/>
      </c>
      <c r="I53" s="49">
        <f>IF(B53="","",SUMIFS('Example Entries'!$W$7:$W$506,'Example Entries'!$C$7:$C$506,B53,'Example Entries'!$AC$7:$AC$506,"&gt;90"))</f>
        <v/>
      </c>
      <c r="J53" s="50">
        <f>IF(B53="","",SUMIFS('Example Entries'!$W$7:$W$506,'Example Entries'!$C$7:$C$506,B53,'Example Entries'!$AA$7:$AA$506,"&gt;0"))</f>
        <v/>
      </c>
      <c r="K53" s="49">
        <f>IF(B53="","",ROUND(SUMIFS('Example Entries'!$AB$7:$AB$506,'Example Entries'!$C$7:$C$506,B53),0))</f>
        <v/>
      </c>
      <c r="L53" s="49">
        <f>IF(B53="","",SUMIFS('Example Entries'!$AF$7:$AF$506,'Example Entries'!$C$7:$C$506,B53))</f>
        <v/>
      </c>
      <c r="M53" s="23">
        <f>IF(B53="","",IF(AND(C53="Debtor",N(E53)&lt;0),"Credit balance: an advance or an excess receipt",IF(AND(C53="Creditor",N(E53)&gt;0),"Debit balance: an advance paid to the supplier",IF(AND(C53="Creditor",N(L53)&gt;0),"Pay before the year end to keep the deduction, s.37(2)(g)",IF(N(J53)&gt;0,IF(C53="Creditor","Past due: pay, or confirm the terms in writing","Past due: follow up"),"OK")))))</f>
        <v/>
      </c>
    </row>
    <row r="54">
      <c r="B54" s="37">
        <f>IF('Example Parties'!$B$59="","",'Example Parties'!$B$59)</f>
        <v/>
      </c>
      <c r="C54" s="40">
        <f>IF(B54="","",'Example Parties'!$C$59&amp;"")</f>
        <v/>
      </c>
      <c r="D54" s="39">
        <f>IF(B54="","",'Example Parties'!$E$59&amp;"")</f>
        <v/>
      </c>
      <c r="E54" s="38">
        <f>IF(OR(B54="",$E$5=""),"",'Example Parties'!$M$59+SUMIFS('Example Entries'!$I$7:$I$506,'Example Entries'!$C$7:$C$506,B54,'Example Entries'!$B$7:$B$506,"&lt;="&amp;$E$5)-SUMIFS('Example Entries'!$J$7:$J$506,'Example Entries'!$C$7:$C$506,B54,'Example Entries'!$B$7:$B$506,"&lt;="&amp;$E$5))</f>
        <v/>
      </c>
      <c r="F54" s="49">
        <f>IF(B54="","",SUMIFS('Example Entries'!$W$7:$W$506,'Example Entries'!$C$7:$C$506,B54,'Example Entries'!$AC$7:$AC$506,"&gt;=0",'Example Entries'!$AC$7:$AC$506,"&lt;=30"))</f>
        <v/>
      </c>
      <c r="G54" s="49">
        <f>IF(B54="","",SUMIFS('Example Entries'!$W$7:$W$506,'Example Entries'!$C$7:$C$506,B54,'Example Entries'!$AC$7:$AC$506,"&gt;=31",'Example Entries'!$AC$7:$AC$506,"&lt;=60"))</f>
        <v/>
      </c>
      <c r="H54" s="49">
        <f>IF(B54="","",SUMIFS('Example Entries'!$W$7:$W$506,'Example Entries'!$C$7:$C$506,B54,'Example Entries'!$AC$7:$AC$506,"&gt;=61",'Example Entries'!$AC$7:$AC$506,"&lt;=90"))</f>
        <v/>
      </c>
      <c r="I54" s="49">
        <f>IF(B54="","",SUMIFS('Example Entries'!$W$7:$W$506,'Example Entries'!$C$7:$C$506,B54,'Example Entries'!$AC$7:$AC$506,"&gt;90"))</f>
        <v/>
      </c>
      <c r="J54" s="50">
        <f>IF(B54="","",SUMIFS('Example Entries'!$W$7:$W$506,'Example Entries'!$C$7:$C$506,B54,'Example Entries'!$AA$7:$AA$506,"&gt;0"))</f>
        <v/>
      </c>
      <c r="K54" s="49">
        <f>IF(B54="","",ROUND(SUMIFS('Example Entries'!$AB$7:$AB$506,'Example Entries'!$C$7:$C$506,B54),0))</f>
        <v/>
      </c>
      <c r="L54" s="49">
        <f>IF(B54="","",SUMIFS('Example Entries'!$AF$7:$AF$506,'Example Entries'!$C$7:$C$506,B54))</f>
        <v/>
      </c>
      <c r="M54" s="23">
        <f>IF(B54="","",IF(AND(C54="Debtor",N(E54)&lt;0),"Credit balance: an advance or an excess receipt",IF(AND(C54="Creditor",N(E54)&gt;0),"Debit balance: an advance paid to the supplier",IF(AND(C54="Creditor",N(L54)&gt;0),"Pay before the year end to keep the deduction, s.37(2)(g)",IF(N(J54)&gt;0,IF(C54="Creditor","Past due: pay, or confirm the terms in writing","Past due: follow up"),"OK")))))</f>
        <v/>
      </c>
    </row>
    <row r="55">
      <c r="B55" s="37">
        <f>IF('Example Parties'!$B$60="","",'Example Parties'!$B$60)</f>
        <v/>
      </c>
      <c r="C55" s="40">
        <f>IF(B55="","",'Example Parties'!$C$60&amp;"")</f>
        <v/>
      </c>
      <c r="D55" s="39">
        <f>IF(B55="","",'Example Parties'!$E$60&amp;"")</f>
        <v/>
      </c>
      <c r="E55" s="38">
        <f>IF(OR(B55="",$E$5=""),"",'Example Parties'!$M$60+SUMIFS('Example Entries'!$I$7:$I$506,'Example Entries'!$C$7:$C$506,B55,'Example Entries'!$B$7:$B$506,"&lt;="&amp;$E$5)-SUMIFS('Example Entries'!$J$7:$J$506,'Example Entries'!$C$7:$C$506,B55,'Example Entries'!$B$7:$B$506,"&lt;="&amp;$E$5))</f>
        <v/>
      </c>
      <c r="F55" s="49">
        <f>IF(B55="","",SUMIFS('Example Entries'!$W$7:$W$506,'Example Entries'!$C$7:$C$506,B55,'Example Entries'!$AC$7:$AC$506,"&gt;=0",'Example Entries'!$AC$7:$AC$506,"&lt;=30"))</f>
        <v/>
      </c>
      <c r="G55" s="49">
        <f>IF(B55="","",SUMIFS('Example Entries'!$W$7:$W$506,'Example Entries'!$C$7:$C$506,B55,'Example Entries'!$AC$7:$AC$506,"&gt;=31",'Example Entries'!$AC$7:$AC$506,"&lt;=60"))</f>
        <v/>
      </c>
      <c r="H55" s="49">
        <f>IF(B55="","",SUMIFS('Example Entries'!$W$7:$W$506,'Example Entries'!$C$7:$C$506,B55,'Example Entries'!$AC$7:$AC$506,"&gt;=61",'Example Entries'!$AC$7:$AC$506,"&lt;=90"))</f>
        <v/>
      </c>
      <c r="I55" s="49">
        <f>IF(B55="","",SUMIFS('Example Entries'!$W$7:$W$506,'Example Entries'!$C$7:$C$506,B55,'Example Entries'!$AC$7:$AC$506,"&gt;90"))</f>
        <v/>
      </c>
      <c r="J55" s="50">
        <f>IF(B55="","",SUMIFS('Example Entries'!$W$7:$W$506,'Example Entries'!$C$7:$C$506,B55,'Example Entries'!$AA$7:$AA$506,"&gt;0"))</f>
        <v/>
      </c>
      <c r="K55" s="49">
        <f>IF(B55="","",ROUND(SUMIFS('Example Entries'!$AB$7:$AB$506,'Example Entries'!$C$7:$C$506,B55),0))</f>
        <v/>
      </c>
      <c r="L55" s="49">
        <f>IF(B55="","",SUMIFS('Example Entries'!$AF$7:$AF$506,'Example Entries'!$C$7:$C$506,B55))</f>
        <v/>
      </c>
      <c r="M55" s="23">
        <f>IF(B55="","",IF(AND(C55="Debtor",N(E55)&lt;0),"Credit balance: an advance or an excess receipt",IF(AND(C55="Creditor",N(E55)&gt;0),"Debit balance: an advance paid to the supplier",IF(AND(C55="Creditor",N(L55)&gt;0),"Pay before the year end to keep the deduction, s.37(2)(g)",IF(N(J55)&gt;0,IF(C55="Creditor","Past due: pay, or confirm the terms in writing","Past due: follow up"),"OK")))))</f>
        <v/>
      </c>
    </row>
    <row r="56">
      <c r="B56" s="37">
        <f>IF('Example Parties'!$B$61="","",'Example Parties'!$B$61)</f>
        <v/>
      </c>
      <c r="C56" s="40">
        <f>IF(B56="","",'Example Parties'!$C$61&amp;"")</f>
        <v/>
      </c>
      <c r="D56" s="39">
        <f>IF(B56="","",'Example Parties'!$E$61&amp;"")</f>
        <v/>
      </c>
      <c r="E56" s="38">
        <f>IF(OR(B56="",$E$5=""),"",'Example Parties'!$M$61+SUMIFS('Example Entries'!$I$7:$I$506,'Example Entries'!$C$7:$C$506,B56,'Example Entries'!$B$7:$B$506,"&lt;="&amp;$E$5)-SUMIFS('Example Entries'!$J$7:$J$506,'Example Entries'!$C$7:$C$506,B56,'Example Entries'!$B$7:$B$506,"&lt;="&amp;$E$5))</f>
        <v/>
      </c>
      <c r="F56" s="49">
        <f>IF(B56="","",SUMIFS('Example Entries'!$W$7:$W$506,'Example Entries'!$C$7:$C$506,B56,'Example Entries'!$AC$7:$AC$506,"&gt;=0",'Example Entries'!$AC$7:$AC$506,"&lt;=30"))</f>
        <v/>
      </c>
      <c r="G56" s="49">
        <f>IF(B56="","",SUMIFS('Example Entries'!$W$7:$W$506,'Example Entries'!$C$7:$C$506,B56,'Example Entries'!$AC$7:$AC$506,"&gt;=31",'Example Entries'!$AC$7:$AC$506,"&lt;=60"))</f>
        <v/>
      </c>
      <c r="H56" s="49">
        <f>IF(B56="","",SUMIFS('Example Entries'!$W$7:$W$506,'Example Entries'!$C$7:$C$506,B56,'Example Entries'!$AC$7:$AC$506,"&gt;=61",'Example Entries'!$AC$7:$AC$506,"&lt;=90"))</f>
        <v/>
      </c>
      <c r="I56" s="49">
        <f>IF(B56="","",SUMIFS('Example Entries'!$W$7:$W$506,'Example Entries'!$C$7:$C$506,B56,'Example Entries'!$AC$7:$AC$506,"&gt;90"))</f>
        <v/>
      </c>
      <c r="J56" s="50">
        <f>IF(B56="","",SUMIFS('Example Entries'!$W$7:$W$506,'Example Entries'!$C$7:$C$506,B56,'Example Entries'!$AA$7:$AA$506,"&gt;0"))</f>
        <v/>
      </c>
      <c r="K56" s="49">
        <f>IF(B56="","",ROUND(SUMIFS('Example Entries'!$AB$7:$AB$506,'Example Entries'!$C$7:$C$506,B56),0))</f>
        <v/>
      </c>
      <c r="L56" s="49">
        <f>IF(B56="","",SUMIFS('Example Entries'!$AF$7:$AF$506,'Example Entries'!$C$7:$C$506,B56))</f>
        <v/>
      </c>
      <c r="M56" s="23">
        <f>IF(B56="","",IF(AND(C56="Debtor",N(E56)&lt;0),"Credit balance: an advance or an excess receipt",IF(AND(C56="Creditor",N(E56)&gt;0),"Debit balance: an advance paid to the supplier",IF(AND(C56="Creditor",N(L56)&gt;0),"Pay before the year end to keep the deduction, s.37(2)(g)",IF(N(J56)&gt;0,IF(C56="Creditor","Past due: pay, or confirm the terms in writing","Past due: follow up"),"OK")))))</f>
        <v/>
      </c>
    </row>
    <row r="57">
      <c r="B57" s="37">
        <f>IF('Example Parties'!$B$62="","",'Example Parties'!$B$62)</f>
        <v/>
      </c>
      <c r="C57" s="40">
        <f>IF(B57="","",'Example Parties'!$C$62&amp;"")</f>
        <v/>
      </c>
      <c r="D57" s="39">
        <f>IF(B57="","",'Example Parties'!$E$62&amp;"")</f>
        <v/>
      </c>
      <c r="E57" s="38">
        <f>IF(OR(B57="",$E$5=""),"",'Example Parties'!$M$62+SUMIFS('Example Entries'!$I$7:$I$506,'Example Entries'!$C$7:$C$506,B57,'Example Entries'!$B$7:$B$506,"&lt;="&amp;$E$5)-SUMIFS('Example Entries'!$J$7:$J$506,'Example Entries'!$C$7:$C$506,B57,'Example Entries'!$B$7:$B$506,"&lt;="&amp;$E$5))</f>
        <v/>
      </c>
      <c r="F57" s="49">
        <f>IF(B57="","",SUMIFS('Example Entries'!$W$7:$W$506,'Example Entries'!$C$7:$C$506,B57,'Example Entries'!$AC$7:$AC$506,"&gt;=0",'Example Entries'!$AC$7:$AC$506,"&lt;=30"))</f>
        <v/>
      </c>
      <c r="G57" s="49">
        <f>IF(B57="","",SUMIFS('Example Entries'!$W$7:$W$506,'Example Entries'!$C$7:$C$506,B57,'Example Entries'!$AC$7:$AC$506,"&gt;=31",'Example Entries'!$AC$7:$AC$506,"&lt;=60"))</f>
        <v/>
      </c>
      <c r="H57" s="49">
        <f>IF(B57="","",SUMIFS('Example Entries'!$W$7:$W$506,'Example Entries'!$C$7:$C$506,B57,'Example Entries'!$AC$7:$AC$506,"&gt;=61",'Example Entries'!$AC$7:$AC$506,"&lt;=90"))</f>
        <v/>
      </c>
      <c r="I57" s="49">
        <f>IF(B57="","",SUMIFS('Example Entries'!$W$7:$W$506,'Example Entries'!$C$7:$C$506,B57,'Example Entries'!$AC$7:$AC$506,"&gt;90"))</f>
        <v/>
      </c>
      <c r="J57" s="50">
        <f>IF(B57="","",SUMIFS('Example Entries'!$W$7:$W$506,'Example Entries'!$C$7:$C$506,B57,'Example Entries'!$AA$7:$AA$506,"&gt;0"))</f>
        <v/>
      </c>
      <c r="K57" s="49">
        <f>IF(B57="","",ROUND(SUMIFS('Example Entries'!$AB$7:$AB$506,'Example Entries'!$C$7:$C$506,B57),0))</f>
        <v/>
      </c>
      <c r="L57" s="49">
        <f>IF(B57="","",SUMIFS('Example Entries'!$AF$7:$AF$506,'Example Entries'!$C$7:$C$506,B57))</f>
        <v/>
      </c>
      <c r="M57" s="23">
        <f>IF(B57="","",IF(AND(C57="Debtor",N(E57)&lt;0),"Credit balance: an advance or an excess receipt",IF(AND(C57="Creditor",N(E57)&gt;0),"Debit balance: an advance paid to the supplier",IF(AND(C57="Creditor",N(L57)&gt;0),"Pay before the year end to keep the deduction, s.37(2)(g)",IF(N(J57)&gt;0,IF(C57="Creditor","Past due: pay, or confirm the terms in writing","Past due: follow up"),"OK")))))</f>
        <v/>
      </c>
    </row>
    <row r="58">
      <c r="B58" s="37">
        <f>IF('Example Parties'!$B$63="","",'Example Parties'!$B$63)</f>
        <v/>
      </c>
      <c r="C58" s="40">
        <f>IF(B58="","",'Example Parties'!$C$63&amp;"")</f>
        <v/>
      </c>
      <c r="D58" s="39">
        <f>IF(B58="","",'Example Parties'!$E$63&amp;"")</f>
        <v/>
      </c>
      <c r="E58" s="38">
        <f>IF(OR(B58="",$E$5=""),"",'Example Parties'!$M$63+SUMIFS('Example Entries'!$I$7:$I$506,'Example Entries'!$C$7:$C$506,B58,'Example Entries'!$B$7:$B$506,"&lt;="&amp;$E$5)-SUMIFS('Example Entries'!$J$7:$J$506,'Example Entries'!$C$7:$C$506,B58,'Example Entries'!$B$7:$B$506,"&lt;="&amp;$E$5))</f>
        <v/>
      </c>
      <c r="F58" s="49">
        <f>IF(B58="","",SUMIFS('Example Entries'!$W$7:$W$506,'Example Entries'!$C$7:$C$506,B58,'Example Entries'!$AC$7:$AC$506,"&gt;=0",'Example Entries'!$AC$7:$AC$506,"&lt;=30"))</f>
        <v/>
      </c>
      <c r="G58" s="49">
        <f>IF(B58="","",SUMIFS('Example Entries'!$W$7:$W$506,'Example Entries'!$C$7:$C$506,B58,'Example Entries'!$AC$7:$AC$506,"&gt;=31",'Example Entries'!$AC$7:$AC$506,"&lt;=60"))</f>
        <v/>
      </c>
      <c r="H58" s="49">
        <f>IF(B58="","",SUMIFS('Example Entries'!$W$7:$W$506,'Example Entries'!$C$7:$C$506,B58,'Example Entries'!$AC$7:$AC$506,"&gt;=61",'Example Entries'!$AC$7:$AC$506,"&lt;=90"))</f>
        <v/>
      </c>
      <c r="I58" s="49">
        <f>IF(B58="","",SUMIFS('Example Entries'!$W$7:$W$506,'Example Entries'!$C$7:$C$506,B58,'Example Entries'!$AC$7:$AC$506,"&gt;90"))</f>
        <v/>
      </c>
      <c r="J58" s="50">
        <f>IF(B58="","",SUMIFS('Example Entries'!$W$7:$W$506,'Example Entries'!$C$7:$C$506,B58,'Example Entries'!$AA$7:$AA$506,"&gt;0"))</f>
        <v/>
      </c>
      <c r="K58" s="49">
        <f>IF(B58="","",ROUND(SUMIFS('Example Entries'!$AB$7:$AB$506,'Example Entries'!$C$7:$C$506,B58),0))</f>
        <v/>
      </c>
      <c r="L58" s="49">
        <f>IF(B58="","",SUMIFS('Example Entries'!$AF$7:$AF$506,'Example Entries'!$C$7:$C$506,B58))</f>
        <v/>
      </c>
      <c r="M58" s="23">
        <f>IF(B58="","",IF(AND(C58="Debtor",N(E58)&lt;0),"Credit balance: an advance or an excess receipt",IF(AND(C58="Creditor",N(E58)&gt;0),"Debit balance: an advance paid to the supplier",IF(AND(C58="Creditor",N(L58)&gt;0),"Pay before the year end to keep the deduction, s.37(2)(g)",IF(N(J58)&gt;0,IF(C58="Creditor","Past due: pay, or confirm the terms in writing","Past due: follow up"),"OK")))))</f>
        <v/>
      </c>
    </row>
    <row r="59">
      <c r="B59" s="37">
        <f>IF('Example Parties'!$B$64="","",'Example Parties'!$B$64)</f>
        <v/>
      </c>
      <c r="C59" s="40">
        <f>IF(B59="","",'Example Parties'!$C$64&amp;"")</f>
        <v/>
      </c>
      <c r="D59" s="39">
        <f>IF(B59="","",'Example Parties'!$E$64&amp;"")</f>
        <v/>
      </c>
      <c r="E59" s="38">
        <f>IF(OR(B59="",$E$5=""),"",'Example Parties'!$M$64+SUMIFS('Example Entries'!$I$7:$I$506,'Example Entries'!$C$7:$C$506,B59,'Example Entries'!$B$7:$B$506,"&lt;="&amp;$E$5)-SUMIFS('Example Entries'!$J$7:$J$506,'Example Entries'!$C$7:$C$506,B59,'Example Entries'!$B$7:$B$506,"&lt;="&amp;$E$5))</f>
        <v/>
      </c>
      <c r="F59" s="49">
        <f>IF(B59="","",SUMIFS('Example Entries'!$W$7:$W$506,'Example Entries'!$C$7:$C$506,B59,'Example Entries'!$AC$7:$AC$506,"&gt;=0",'Example Entries'!$AC$7:$AC$506,"&lt;=30"))</f>
        <v/>
      </c>
      <c r="G59" s="49">
        <f>IF(B59="","",SUMIFS('Example Entries'!$W$7:$W$506,'Example Entries'!$C$7:$C$506,B59,'Example Entries'!$AC$7:$AC$506,"&gt;=31",'Example Entries'!$AC$7:$AC$506,"&lt;=60"))</f>
        <v/>
      </c>
      <c r="H59" s="49">
        <f>IF(B59="","",SUMIFS('Example Entries'!$W$7:$W$506,'Example Entries'!$C$7:$C$506,B59,'Example Entries'!$AC$7:$AC$506,"&gt;=61",'Example Entries'!$AC$7:$AC$506,"&lt;=90"))</f>
        <v/>
      </c>
      <c r="I59" s="49">
        <f>IF(B59="","",SUMIFS('Example Entries'!$W$7:$W$506,'Example Entries'!$C$7:$C$506,B59,'Example Entries'!$AC$7:$AC$506,"&gt;90"))</f>
        <v/>
      </c>
      <c r="J59" s="50">
        <f>IF(B59="","",SUMIFS('Example Entries'!$W$7:$W$506,'Example Entries'!$C$7:$C$506,B59,'Example Entries'!$AA$7:$AA$506,"&gt;0"))</f>
        <v/>
      </c>
      <c r="K59" s="49">
        <f>IF(B59="","",ROUND(SUMIFS('Example Entries'!$AB$7:$AB$506,'Example Entries'!$C$7:$C$506,B59),0))</f>
        <v/>
      </c>
      <c r="L59" s="49">
        <f>IF(B59="","",SUMIFS('Example Entries'!$AF$7:$AF$506,'Example Entries'!$C$7:$C$506,B59))</f>
        <v/>
      </c>
      <c r="M59" s="23">
        <f>IF(B59="","",IF(AND(C59="Debtor",N(E59)&lt;0),"Credit balance: an advance or an excess receipt",IF(AND(C59="Creditor",N(E59)&gt;0),"Debit balance: an advance paid to the supplier",IF(AND(C59="Creditor",N(L59)&gt;0),"Pay before the year end to keep the deduction, s.37(2)(g)",IF(N(J59)&gt;0,IF(C59="Creditor","Past due: pay, or confirm the terms in writing","Past due: follow up"),"OK")))))</f>
        <v/>
      </c>
    </row>
    <row r="60">
      <c r="B60" s="37">
        <f>IF('Example Parties'!$B$65="","",'Example Parties'!$B$65)</f>
        <v/>
      </c>
      <c r="C60" s="40">
        <f>IF(B60="","",'Example Parties'!$C$65&amp;"")</f>
        <v/>
      </c>
      <c r="D60" s="39">
        <f>IF(B60="","",'Example Parties'!$E$65&amp;"")</f>
        <v/>
      </c>
      <c r="E60" s="38">
        <f>IF(OR(B60="",$E$5=""),"",'Example Parties'!$M$65+SUMIFS('Example Entries'!$I$7:$I$506,'Example Entries'!$C$7:$C$506,B60,'Example Entries'!$B$7:$B$506,"&lt;="&amp;$E$5)-SUMIFS('Example Entries'!$J$7:$J$506,'Example Entries'!$C$7:$C$506,B60,'Example Entries'!$B$7:$B$506,"&lt;="&amp;$E$5))</f>
        <v/>
      </c>
      <c r="F60" s="49">
        <f>IF(B60="","",SUMIFS('Example Entries'!$W$7:$W$506,'Example Entries'!$C$7:$C$506,B60,'Example Entries'!$AC$7:$AC$506,"&gt;=0",'Example Entries'!$AC$7:$AC$506,"&lt;=30"))</f>
        <v/>
      </c>
      <c r="G60" s="49">
        <f>IF(B60="","",SUMIFS('Example Entries'!$W$7:$W$506,'Example Entries'!$C$7:$C$506,B60,'Example Entries'!$AC$7:$AC$506,"&gt;=31",'Example Entries'!$AC$7:$AC$506,"&lt;=60"))</f>
        <v/>
      </c>
      <c r="H60" s="49">
        <f>IF(B60="","",SUMIFS('Example Entries'!$W$7:$W$506,'Example Entries'!$C$7:$C$506,B60,'Example Entries'!$AC$7:$AC$506,"&gt;=61",'Example Entries'!$AC$7:$AC$506,"&lt;=90"))</f>
        <v/>
      </c>
      <c r="I60" s="49">
        <f>IF(B60="","",SUMIFS('Example Entries'!$W$7:$W$506,'Example Entries'!$C$7:$C$506,B60,'Example Entries'!$AC$7:$AC$506,"&gt;90"))</f>
        <v/>
      </c>
      <c r="J60" s="50">
        <f>IF(B60="","",SUMIFS('Example Entries'!$W$7:$W$506,'Example Entries'!$C$7:$C$506,B60,'Example Entries'!$AA$7:$AA$506,"&gt;0"))</f>
        <v/>
      </c>
      <c r="K60" s="49">
        <f>IF(B60="","",ROUND(SUMIFS('Example Entries'!$AB$7:$AB$506,'Example Entries'!$C$7:$C$506,B60),0))</f>
        <v/>
      </c>
      <c r="L60" s="49">
        <f>IF(B60="","",SUMIFS('Example Entries'!$AF$7:$AF$506,'Example Entries'!$C$7:$C$506,B60))</f>
        <v/>
      </c>
      <c r="M60" s="23">
        <f>IF(B60="","",IF(AND(C60="Debtor",N(E60)&lt;0),"Credit balance: an advance or an excess receipt",IF(AND(C60="Creditor",N(E60)&gt;0),"Debit balance: an advance paid to the supplier",IF(AND(C60="Creditor",N(L60)&gt;0),"Pay before the year end to keep the deduction, s.37(2)(g)",IF(N(J60)&gt;0,IF(C60="Creditor","Past due: pay, or confirm the terms in writing","Past due: follow up"),"OK")))))</f>
        <v/>
      </c>
    </row>
    <row r="61">
      <c r="B61" s="37">
        <f>IF('Example Parties'!$B$66="","",'Example Parties'!$B$66)</f>
        <v/>
      </c>
      <c r="C61" s="40">
        <f>IF(B61="","",'Example Parties'!$C$66&amp;"")</f>
        <v/>
      </c>
      <c r="D61" s="39">
        <f>IF(B61="","",'Example Parties'!$E$66&amp;"")</f>
        <v/>
      </c>
      <c r="E61" s="38">
        <f>IF(OR(B61="",$E$5=""),"",'Example Parties'!$M$66+SUMIFS('Example Entries'!$I$7:$I$506,'Example Entries'!$C$7:$C$506,B61,'Example Entries'!$B$7:$B$506,"&lt;="&amp;$E$5)-SUMIFS('Example Entries'!$J$7:$J$506,'Example Entries'!$C$7:$C$506,B61,'Example Entries'!$B$7:$B$506,"&lt;="&amp;$E$5))</f>
        <v/>
      </c>
      <c r="F61" s="49">
        <f>IF(B61="","",SUMIFS('Example Entries'!$W$7:$W$506,'Example Entries'!$C$7:$C$506,B61,'Example Entries'!$AC$7:$AC$506,"&gt;=0",'Example Entries'!$AC$7:$AC$506,"&lt;=30"))</f>
        <v/>
      </c>
      <c r="G61" s="49">
        <f>IF(B61="","",SUMIFS('Example Entries'!$W$7:$W$506,'Example Entries'!$C$7:$C$506,B61,'Example Entries'!$AC$7:$AC$506,"&gt;=31",'Example Entries'!$AC$7:$AC$506,"&lt;=60"))</f>
        <v/>
      </c>
      <c r="H61" s="49">
        <f>IF(B61="","",SUMIFS('Example Entries'!$W$7:$W$506,'Example Entries'!$C$7:$C$506,B61,'Example Entries'!$AC$7:$AC$506,"&gt;=61",'Example Entries'!$AC$7:$AC$506,"&lt;=90"))</f>
        <v/>
      </c>
      <c r="I61" s="49">
        <f>IF(B61="","",SUMIFS('Example Entries'!$W$7:$W$506,'Example Entries'!$C$7:$C$506,B61,'Example Entries'!$AC$7:$AC$506,"&gt;90"))</f>
        <v/>
      </c>
      <c r="J61" s="50">
        <f>IF(B61="","",SUMIFS('Example Entries'!$W$7:$W$506,'Example Entries'!$C$7:$C$506,B61,'Example Entries'!$AA$7:$AA$506,"&gt;0"))</f>
        <v/>
      </c>
      <c r="K61" s="49">
        <f>IF(B61="","",ROUND(SUMIFS('Example Entries'!$AB$7:$AB$506,'Example Entries'!$C$7:$C$506,B61),0))</f>
        <v/>
      </c>
      <c r="L61" s="49">
        <f>IF(B61="","",SUMIFS('Example Entries'!$AF$7:$AF$506,'Example Entries'!$C$7:$C$506,B61))</f>
        <v/>
      </c>
      <c r="M61" s="23">
        <f>IF(B61="","",IF(AND(C61="Debtor",N(E61)&lt;0),"Credit balance: an advance or an excess receipt",IF(AND(C61="Creditor",N(E61)&gt;0),"Debit balance: an advance paid to the supplier",IF(AND(C61="Creditor",N(L61)&gt;0),"Pay before the year end to keep the deduction, s.37(2)(g)",IF(N(J61)&gt;0,IF(C61="Creditor","Past due: pay, or confirm the terms in writing","Past due: follow up"),"OK")))))</f>
        <v/>
      </c>
    </row>
    <row r="62">
      <c r="B62" s="37">
        <f>IF('Example Parties'!$B$67="","",'Example Parties'!$B$67)</f>
        <v/>
      </c>
      <c r="C62" s="40">
        <f>IF(B62="","",'Example Parties'!$C$67&amp;"")</f>
        <v/>
      </c>
      <c r="D62" s="39">
        <f>IF(B62="","",'Example Parties'!$E$67&amp;"")</f>
        <v/>
      </c>
      <c r="E62" s="38">
        <f>IF(OR(B62="",$E$5=""),"",'Example Parties'!$M$67+SUMIFS('Example Entries'!$I$7:$I$506,'Example Entries'!$C$7:$C$506,B62,'Example Entries'!$B$7:$B$506,"&lt;="&amp;$E$5)-SUMIFS('Example Entries'!$J$7:$J$506,'Example Entries'!$C$7:$C$506,B62,'Example Entries'!$B$7:$B$506,"&lt;="&amp;$E$5))</f>
        <v/>
      </c>
      <c r="F62" s="49">
        <f>IF(B62="","",SUMIFS('Example Entries'!$W$7:$W$506,'Example Entries'!$C$7:$C$506,B62,'Example Entries'!$AC$7:$AC$506,"&gt;=0",'Example Entries'!$AC$7:$AC$506,"&lt;=30"))</f>
        <v/>
      </c>
      <c r="G62" s="49">
        <f>IF(B62="","",SUMIFS('Example Entries'!$W$7:$W$506,'Example Entries'!$C$7:$C$506,B62,'Example Entries'!$AC$7:$AC$506,"&gt;=31",'Example Entries'!$AC$7:$AC$506,"&lt;=60"))</f>
        <v/>
      </c>
      <c r="H62" s="49">
        <f>IF(B62="","",SUMIFS('Example Entries'!$W$7:$W$506,'Example Entries'!$C$7:$C$506,B62,'Example Entries'!$AC$7:$AC$506,"&gt;=61",'Example Entries'!$AC$7:$AC$506,"&lt;=90"))</f>
        <v/>
      </c>
      <c r="I62" s="49">
        <f>IF(B62="","",SUMIFS('Example Entries'!$W$7:$W$506,'Example Entries'!$C$7:$C$506,B62,'Example Entries'!$AC$7:$AC$506,"&gt;90"))</f>
        <v/>
      </c>
      <c r="J62" s="50">
        <f>IF(B62="","",SUMIFS('Example Entries'!$W$7:$W$506,'Example Entries'!$C$7:$C$506,B62,'Example Entries'!$AA$7:$AA$506,"&gt;0"))</f>
        <v/>
      </c>
      <c r="K62" s="49">
        <f>IF(B62="","",ROUND(SUMIFS('Example Entries'!$AB$7:$AB$506,'Example Entries'!$C$7:$C$506,B62),0))</f>
        <v/>
      </c>
      <c r="L62" s="49">
        <f>IF(B62="","",SUMIFS('Example Entries'!$AF$7:$AF$506,'Example Entries'!$C$7:$C$506,B62))</f>
        <v/>
      </c>
      <c r="M62" s="23">
        <f>IF(B62="","",IF(AND(C62="Debtor",N(E62)&lt;0),"Credit balance: an advance or an excess receipt",IF(AND(C62="Creditor",N(E62)&gt;0),"Debit balance: an advance paid to the supplier",IF(AND(C62="Creditor",N(L62)&gt;0),"Pay before the year end to keep the deduction, s.37(2)(g)",IF(N(J62)&gt;0,IF(C62="Creditor","Past due: pay, or confirm the terms in writing","Past due: follow up"),"OK")))))</f>
        <v/>
      </c>
    </row>
    <row r="63">
      <c r="B63" s="37">
        <f>IF('Example Parties'!$B$68="","",'Example Parties'!$B$68)</f>
        <v/>
      </c>
      <c r="C63" s="40">
        <f>IF(B63="","",'Example Parties'!$C$68&amp;"")</f>
        <v/>
      </c>
      <c r="D63" s="39">
        <f>IF(B63="","",'Example Parties'!$E$68&amp;"")</f>
        <v/>
      </c>
      <c r="E63" s="38">
        <f>IF(OR(B63="",$E$5=""),"",'Example Parties'!$M$68+SUMIFS('Example Entries'!$I$7:$I$506,'Example Entries'!$C$7:$C$506,B63,'Example Entries'!$B$7:$B$506,"&lt;="&amp;$E$5)-SUMIFS('Example Entries'!$J$7:$J$506,'Example Entries'!$C$7:$C$506,B63,'Example Entries'!$B$7:$B$506,"&lt;="&amp;$E$5))</f>
        <v/>
      </c>
      <c r="F63" s="49">
        <f>IF(B63="","",SUMIFS('Example Entries'!$W$7:$W$506,'Example Entries'!$C$7:$C$506,B63,'Example Entries'!$AC$7:$AC$506,"&gt;=0",'Example Entries'!$AC$7:$AC$506,"&lt;=30"))</f>
        <v/>
      </c>
      <c r="G63" s="49">
        <f>IF(B63="","",SUMIFS('Example Entries'!$W$7:$W$506,'Example Entries'!$C$7:$C$506,B63,'Example Entries'!$AC$7:$AC$506,"&gt;=31",'Example Entries'!$AC$7:$AC$506,"&lt;=60"))</f>
        <v/>
      </c>
      <c r="H63" s="49">
        <f>IF(B63="","",SUMIFS('Example Entries'!$W$7:$W$506,'Example Entries'!$C$7:$C$506,B63,'Example Entries'!$AC$7:$AC$506,"&gt;=61",'Example Entries'!$AC$7:$AC$506,"&lt;=90"))</f>
        <v/>
      </c>
      <c r="I63" s="49">
        <f>IF(B63="","",SUMIFS('Example Entries'!$W$7:$W$506,'Example Entries'!$C$7:$C$506,B63,'Example Entries'!$AC$7:$AC$506,"&gt;90"))</f>
        <v/>
      </c>
      <c r="J63" s="50">
        <f>IF(B63="","",SUMIFS('Example Entries'!$W$7:$W$506,'Example Entries'!$C$7:$C$506,B63,'Example Entries'!$AA$7:$AA$506,"&gt;0"))</f>
        <v/>
      </c>
      <c r="K63" s="49">
        <f>IF(B63="","",ROUND(SUMIFS('Example Entries'!$AB$7:$AB$506,'Example Entries'!$C$7:$C$506,B63),0))</f>
        <v/>
      </c>
      <c r="L63" s="49">
        <f>IF(B63="","",SUMIFS('Example Entries'!$AF$7:$AF$506,'Example Entries'!$C$7:$C$506,B63))</f>
        <v/>
      </c>
      <c r="M63" s="23">
        <f>IF(B63="","",IF(AND(C63="Debtor",N(E63)&lt;0),"Credit balance: an advance or an excess receipt",IF(AND(C63="Creditor",N(E63)&gt;0),"Debit balance: an advance paid to the supplier",IF(AND(C63="Creditor",N(L63)&gt;0),"Pay before the year end to keep the deduction, s.37(2)(g)",IF(N(J63)&gt;0,IF(C63="Creditor","Past due: pay, or confirm the terms in writing","Past due: follow up"),"OK")))))</f>
        <v/>
      </c>
    </row>
    <row r="64">
      <c r="B64" s="37">
        <f>IF('Example Parties'!$B$69="","",'Example Parties'!$B$69)</f>
        <v/>
      </c>
      <c r="C64" s="40">
        <f>IF(B64="","",'Example Parties'!$C$69&amp;"")</f>
        <v/>
      </c>
      <c r="D64" s="39">
        <f>IF(B64="","",'Example Parties'!$E$69&amp;"")</f>
        <v/>
      </c>
      <c r="E64" s="38">
        <f>IF(OR(B64="",$E$5=""),"",'Example Parties'!$M$69+SUMIFS('Example Entries'!$I$7:$I$506,'Example Entries'!$C$7:$C$506,B64,'Example Entries'!$B$7:$B$506,"&lt;="&amp;$E$5)-SUMIFS('Example Entries'!$J$7:$J$506,'Example Entries'!$C$7:$C$506,B64,'Example Entries'!$B$7:$B$506,"&lt;="&amp;$E$5))</f>
        <v/>
      </c>
      <c r="F64" s="49">
        <f>IF(B64="","",SUMIFS('Example Entries'!$W$7:$W$506,'Example Entries'!$C$7:$C$506,B64,'Example Entries'!$AC$7:$AC$506,"&gt;=0",'Example Entries'!$AC$7:$AC$506,"&lt;=30"))</f>
        <v/>
      </c>
      <c r="G64" s="49">
        <f>IF(B64="","",SUMIFS('Example Entries'!$W$7:$W$506,'Example Entries'!$C$7:$C$506,B64,'Example Entries'!$AC$7:$AC$506,"&gt;=31",'Example Entries'!$AC$7:$AC$506,"&lt;=60"))</f>
        <v/>
      </c>
      <c r="H64" s="49">
        <f>IF(B64="","",SUMIFS('Example Entries'!$W$7:$W$506,'Example Entries'!$C$7:$C$506,B64,'Example Entries'!$AC$7:$AC$506,"&gt;=61",'Example Entries'!$AC$7:$AC$506,"&lt;=90"))</f>
        <v/>
      </c>
      <c r="I64" s="49">
        <f>IF(B64="","",SUMIFS('Example Entries'!$W$7:$W$506,'Example Entries'!$C$7:$C$506,B64,'Example Entries'!$AC$7:$AC$506,"&gt;90"))</f>
        <v/>
      </c>
      <c r="J64" s="50">
        <f>IF(B64="","",SUMIFS('Example Entries'!$W$7:$W$506,'Example Entries'!$C$7:$C$506,B64,'Example Entries'!$AA$7:$AA$506,"&gt;0"))</f>
        <v/>
      </c>
      <c r="K64" s="49">
        <f>IF(B64="","",ROUND(SUMIFS('Example Entries'!$AB$7:$AB$506,'Example Entries'!$C$7:$C$506,B64),0))</f>
        <v/>
      </c>
      <c r="L64" s="49">
        <f>IF(B64="","",SUMIFS('Example Entries'!$AF$7:$AF$506,'Example Entries'!$C$7:$C$506,B64))</f>
        <v/>
      </c>
      <c r="M64" s="23">
        <f>IF(B64="","",IF(AND(C64="Debtor",N(E64)&lt;0),"Credit balance: an advance or an excess receipt",IF(AND(C64="Creditor",N(E64)&gt;0),"Debit balance: an advance paid to the supplier",IF(AND(C64="Creditor",N(L64)&gt;0),"Pay before the year end to keep the deduction, s.37(2)(g)",IF(N(J64)&gt;0,IF(C64="Creditor","Past due: pay, or confirm the terms in writing","Past due: follow up"),"OK")))))</f>
        <v/>
      </c>
    </row>
    <row r="65">
      <c r="B65" s="37">
        <f>IF('Example Parties'!$B$70="","",'Example Parties'!$B$70)</f>
        <v/>
      </c>
      <c r="C65" s="40">
        <f>IF(B65="","",'Example Parties'!$C$70&amp;"")</f>
        <v/>
      </c>
      <c r="D65" s="39">
        <f>IF(B65="","",'Example Parties'!$E$70&amp;"")</f>
        <v/>
      </c>
      <c r="E65" s="38">
        <f>IF(OR(B65="",$E$5=""),"",'Example Parties'!$M$70+SUMIFS('Example Entries'!$I$7:$I$506,'Example Entries'!$C$7:$C$506,B65,'Example Entries'!$B$7:$B$506,"&lt;="&amp;$E$5)-SUMIFS('Example Entries'!$J$7:$J$506,'Example Entries'!$C$7:$C$506,B65,'Example Entries'!$B$7:$B$506,"&lt;="&amp;$E$5))</f>
        <v/>
      </c>
      <c r="F65" s="49">
        <f>IF(B65="","",SUMIFS('Example Entries'!$W$7:$W$506,'Example Entries'!$C$7:$C$506,B65,'Example Entries'!$AC$7:$AC$506,"&gt;=0",'Example Entries'!$AC$7:$AC$506,"&lt;=30"))</f>
        <v/>
      </c>
      <c r="G65" s="49">
        <f>IF(B65="","",SUMIFS('Example Entries'!$W$7:$W$506,'Example Entries'!$C$7:$C$506,B65,'Example Entries'!$AC$7:$AC$506,"&gt;=31",'Example Entries'!$AC$7:$AC$506,"&lt;=60"))</f>
        <v/>
      </c>
      <c r="H65" s="49">
        <f>IF(B65="","",SUMIFS('Example Entries'!$W$7:$W$506,'Example Entries'!$C$7:$C$506,B65,'Example Entries'!$AC$7:$AC$506,"&gt;=61",'Example Entries'!$AC$7:$AC$506,"&lt;=90"))</f>
        <v/>
      </c>
      <c r="I65" s="49">
        <f>IF(B65="","",SUMIFS('Example Entries'!$W$7:$W$506,'Example Entries'!$C$7:$C$506,B65,'Example Entries'!$AC$7:$AC$506,"&gt;90"))</f>
        <v/>
      </c>
      <c r="J65" s="50">
        <f>IF(B65="","",SUMIFS('Example Entries'!$W$7:$W$506,'Example Entries'!$C$7:$C$506,B65,'Example Entries'!$AA$7:$AA$506,"&gt;0"))</f>
        <v/>
      </c>
      <c r="K65" s="49">
        <f>IF(B65="","",ROUND(SUMIFS('Example Entries'!$AB$7:$AB$506,'Example Entries'!$C$7:$C$506,B65),0))</f>
        <v/>
      </c>
      <c r="L65" s="49">
        <f>IF(B65="","",SUMIFS('Example Entries'!$AF$7:$AF$506,'Example Entries'!$C$7:$C$506,B65))</f>
        <v/>
      </c>
      <c r="M65" s="23">
        <f>IF(B65="","",IF(AND(C65="Debtor",N(E65)&lt;0),"Credit balance: an advance or an excess receipt",IF(AND(C65="Creditor",N(E65)&gt;0),"Debit balance: an advance paid to the supplier",IF(AND(C65="Creditor",N(L65)&gt;0),"Pay before the year end to keep the deduction, s.37(2)(g)",IF(N(J65)&gt;0,IF(C65="Creditor","Past due: pay, or confirm the terms in writing","Past due: follow up"),"OK")))))</f>
        <v/>
      </c>
    </row>
    <row r="66">
      <c r="B66" s="37">
        <f>IF('Example Parties'!$B$71="","",'Example Parties'!$B$71)</f>
        <v/>
      </c>
      <c r="C66" s="40">
        <f>IF(B66="","",'Example Parties'!$C$71&amp;"")</f>
        <v/>
      </c>
      <c r="D66" s="39">
        <f>IF(B66="","",'Example Parties'!$E$71&amp;"")</f>
        <v/>
      </c>
      <c r="E66" s="38">
        <f>IF(OR(B66="",$E$5=""),"",'Example Parties'!$M$71+SUMIFS('Example Entries'!$I$7:$I$506,'Example Entries'!$C$7:$C$506,B66,'Example Entries'!$B$7:$B$506,"&lt;="&amp;$E$5)-SUMIFS('Example Entries'!$J$7:$J$506,'Example Entries'!$C$7:$C$506,B66,'Example Entries'!$B$7:$B$506,"&lt;="&amp;$E$5))</f>
        <v/>
      </c>
      <c r="F66" s="49">
        <f>IF(B66="","",SUMIFS('Example Entries'!$W$7:$W$506,'Example Entries'!$C$7:$C$506,B66,'Example Entries'!$AC$7:$AC$506,"&gt;=0",'Example Entries'!$AC$7:$AC$506,"&lt;=30"))</f>
        <v/>
      </c>
      <c r="G66" s="49">
        <f>IF(B66="","",SUMIFS('Example Entries'!$W$7:$W$506,'Example Entries'!$C$7:$C$506,B66,'Example Entries'!$AC$7:$AC$506,"&gt;=31",'Example Entries'!$AC$7:$AC$506,"&lt;=60"))</f>
        <v/>
      </c>
      <c r="H66" s="49">
        <f>IF(B66="","",SUMIFS('Example Entries'!$W$7:$W$506,'Example Entries'!$C$7:$C$506,B66,'Example Entries'!$AC$7:$AC$506,"&gt;=61",'Example Entries'!$AC$7:$AC$506,"&lt;=90"))</f>
        <v/>
      </c>
      <c r="I66" s="49">
        <f>IF(B66="","",SUMIFS('Example Entries'!$W$7:$W$506,'Example Entries'!$C$7:$C$506,B66,'Example Entries'!$AC$7:$AC$506,"&gt;90"))</f>
        <v/>
      </c>
      <c r="J66" s="50">
        <f>IF(B66="","",SUMIFS('Example Entries'!$W$7:$W$506,'Example Entries'!$C$7:$C$506,B66,'Example Entries'!$AA$7:$AA$506,"&gt;0"))</f>
        <v/>
      </c>
      <c r="K66" s="49">
        <f>IF(B66="","",ROUND(SUMIFS('Example Entries'!$AB$7:$AB$506,'Example Entries'!$C$7:$C$506,B66),0))</f>
        <v/>
      </c>
      <c r="L66" s="49">
        <f>IF(B66="","",SUMIFS('Example Entries'!$AF$7:$AF$506,'Example Entries'!$C$7:$C$506,B66))</f>
        <v/>
      </c>
      <c r="M66" s="23">
        <f>IF(B66="","",IF(AND(C66="Debtor",N(E66)&lt;0),"Credit balance: an advance or an excess receipt",IF(AND(C66="Creditor",N(E66)&gt;0),"Debit balance: an advance paid to the supplier",IF(AND(C66="Creditor",N(L66)&gt;0),"Pay before the year end to keep the deduction, s.37(2)(g)",IF(N(J66)&gt;0,IF(C66="Creditor","Past due: pay, or confirm the terms in writing","Past due: follow up"),"OK")))))</f>
        <v/>
      </c>
    </row>
    <row r="67">
      <c r="B67" s="37">
        <f>IF('Example Parties'!$B$72="","",'Example Parties'!$B$72)</f>
        <v/>
      </c>
      <c r="C67" s="40">
        <f>IF(B67="","",'Example Parties'!$C$72&amp;"")</f>
        <v/>
      </c>
      <c r="D67" s="39">
        <f>IF(B67="","",'Example Parties'!$E$72&amp;"")</f>
        <v/>
      </c>
      <c r="E67" s="38">
        <f>IF(OR(B67="",$E$5=""),"",'Example Parties'!$M$72+SUMIFS('Example Entries'!$I$7:$I$506,'Example Entries'!$C$7:$C$506,B67,'Example Entries'!$B$7:$B$506,"&lt;="&amp;$E$5)-SUMIFS('Example Entries'!$J$7:$J$506,'Example Entries'!$C$7:$C$506,B67,'Example Entries'!$B$7:$B$506,"&lt;="&amp;$E$5))</f>
        <v/>
      </c>
      <c r="F67" s="49">
        <f>IF(B67="","",SUMIFS('Example Entries'!$W$7:$W$506,'Example Entries'!$C$7:$C$506,B67,'Example Entries'!$AC$7:$AC$506,"&gt;=0",'Example Entries'!$AC$7:$AC$506,"&lt;=30"))</f>
        <v/>
      </c>
      <c r="G67" s="49">
        <f>IF(B67="","",SUMIFS('Example Entries'!$W$7:$W$506,'Example Entries'!$C$7:$C$506,B67,'Example Entries'!$AC$7:$AC$506,"&gt;=31",'Example Entries'!$AC$7:$AC$506,"&lt;=60"))</f>
        <v/>
      </c>
      <c r="H67" s="49">
        <f>IF(B67="","",SUMIFS('Example Entries'!$W$7:$W$506,'Example Entries'!$C$7:$C$506,B67,'Example Entries'!$AC$7:$AC$506,"&gt;=61",'Example Entries'!$AC$7:$AC$506,"&lt;=90"))</f>
        <v/>
      </c>
      <c r="I67" s="49">
        <f>IF(B67="","",SUMIFS('Example Entries'!$W$7:$W$506,'Example Entries'!$C$7:$C$506,B67,'Example Entries'!$AC$7:$AC$506,"&gt;90"))</f>
        <v/>
      </c>
      <c r="J67" s="50">
        <f>IF(B67="","",SUMIFS('Example Entries'!$W$7:$W$506,'Example Entries'!$C$7:$C$506,B67,'Example Entries'!$AA$7:$AA$506,"&gt;0"))</f>
        <v/>
      </c>
      <c r="K67" s="49">
        <f>IF(B67="","",ROUND(SUMIFS('Example Entries'!$AB$7:$AB$506,'Example Entries'!$C$7:$C$506,B67),0))</f>
        <v/>
      </c>
      <c r="L67" s="49">
        <f>IF(B67="","",SUMIFS('Example Entries'!$AF$7:$AF$506,'Example Entries'!$C$7:$C$506,B67))</f>
        <v/>
      </c>
      <c r="M67" s="23">
        <f>IF(B67="","",IF(AND(C67="Debtor",N(E67)&lt;0),"Credit balance: an advance or an excess receipt",IF(AND(C67="Creditor",N(E67)&gt;0),"Debit balance: an advance paid to the supplier",IF(AND(C67="Creditor",N(L67)&gt;0),"Pay before the year end to keep the deduction, s.37(2)(g)",IF(N(J67)&gt;0,IF(C67="Creditor","Past due: pay, or confirm the terms in writing","Past due: follow up"),"OK")))))</f>
        <v/>
      </c>
    </row>
    <row r="68">
      <c r="B68" s="37">
        <f>IF('Example Parties'!$B$73="","",'Example Parties'!$B$73)</f>
        <v/>
      </c>
      <c r="C68" s="40">
        <f>IF(B68="","",'Example Parties'!$C$73&amp;"")</f>
        <v/>
      </c>
      <c r="D68" s="39">
        <f>IF(B68="","",'Example Parties'!$E$73&amp;"")</f>
        <v/>
      </c>
      <c r="E68" s="38">
        <f>IF(OR(B68="",$E$5=""),"",'Example Parties'!$M$73+SUMIFS('Example Entries'!$I$7:$I$506,'Example Entries'!$C$7:$C$506,B68,'Example Entries'!$B$7:$B$506,"&lt;="&amp;$E$5)-SUMIFS('Example Entries'!$J$7:$J$506,'Example Entries'!$C$7:$C$506,B68,'Example Entries'!$B$7:$B$506,"&lt;="&amp;$E$5))</f>
        <v/>
      </c>
      <c r="F68" s="49">
        <f>IF(B68="","",SUMIFS('Example Entries'!$W$7:$W$506,'Example Entries'!$C$7:$C$506,B68,'Example Entries'!$AC$7:$AC$506,"&gt;=0",'Example Entries'!$AC$7:$AC$506,"&lt;=30"))</f>
        <v/>
      </c>
      <c r="G68" s="49">
        <f>IF(B68="","",SUMIFS('Example Entries'!$W$7:$W$506,'Example Entries'!$C$7:$C$506,B68,'Example Entries'!$AC$7:$AC$506,"&gt;=31",'Example Entries'!$AC$7:$AC$506,"&lt;=60"))</f>
        <v/>
      </c>
      <c r="H68" s="49">
        <f>IF(B68="","",SUMIFS('Example Entries'!$W$7:$W$506,'Example Entries'!$C$7:$C$506,B68,'Example Entries'!$AC$7:$AC$506,"&gt;=61",'Example Entries'!$AC$7:$AC$506,"&lt;=90"))</f>
        <v/>
      </c>
      <c r="I68" s="49">
        <f>IF(B68="","",SUMIFS('Example Entries'!$W$7:$W$506,'Example Entries'!$C$7:$C$506,B68,'Example Entries'!$AC$7:$AC$506,"&gt;90"))</f>
        <v/>
      </c>
      <c r="J68" s="50">
        <f>IF(B68="","",SUMIFS('Example Entries'!$W$7:$W$506,'Example Entries'!$C$7:$C$506,B68,'Example Entries'!$AA$7:$AA$506,"&gt;0"))</f>
        <v/>
      </c>
      <c r="K68" s="49">
        <f>IF(B68="","",ROUND(SUMIFS('Example Entries'!$AB$7:$AB$506,'Example Entries'!$C$7:$C$506,B68),0))</f>
        <v/>
      </c>
      <c r="L68" s="49">
        <f>IF(B68="","",SUMIFS('Example Entries'!$AF$7:$AF$506,'Example Entries'!$C$7:$C$506,B68))</f>
        <v/>
      </c>
      <c r="M68" s="23">
        <f>IF(B68="","",IF(AND(C68="Debtor",N(E68)&lt;0),"Credit balance: an advance or an excess receipt",IF(AND(C68="Creditor",N(E68)&gt;0),"Debit balance: an advance paid to the supplier",IF(AND(C68="Creditor",N(L68)&gt;0),"Pay before the year end to keep the deduction, s.37(2)(g)",IF(N(J68)&gt;0,IF(C68="Creditor","Past due: pay, or confirm the terms in writing","Past due: follow up"),"OK")))))</f>
        <v/>
      </c>
    </row>
    <row r="69">
      <c r="B69" s="37">
        <f>IF('Example Parties'!$B$74="","",'Example Parties'!$B$74)</f>
        <v/>
      </c>
      <c r="C69" s="40">
        <f>IF(B69="","",'Example Parties'!$C$74&amp;"")</f>
        <v/>
      </c>
      <c r="D69" s="39">
        <f>IF(B69="","",'Example Parties'!$E$74&amp;"")</f>
        <v/>
      </c>
      <c r="E69" s="38">
        <f>IF(OR(B69="",$E$5=""),"",'Example Parties'!$M$74+SUMIFS('Example Entries'!$I$7:$I$506,'Example Entries'!$C$7:$C$506,B69,'Example Entries'!$B$7:$B$506,"&lt;="&amp;$E$5)-SUMIFS('Example Entries'!$J$7:$J$506,'Example Entries'!$C$7:$C$506,B69,'Example Entries'!$B$7:$B$506,"&lt;="&amp;$E$5))</f>
        <v/>
      </c>
      <c r="F69" s="49">
        <f>IF(B69="","",SUMIFS('Example Entries'!$W$7:$W$506,'Example Entries'!$C$7:$C$506,B69,'Example Entries'!$AC$7:$AC$506,"&gt;=0",'Example Entries'!$AC$7:$AC$506,"&lt;=30"))</f>
        <v/>
      </c>
      <c r="G69" s="49">
        <f>IF(B69="","",SUMIFS('Example Entries'!$W$7:$W$506,'Example Entries'!$C$7:$C$506,B69,'Example Entries'!$AC$7:$AC$506,"&gt;=31",'Example Entries'!$AC$7:$AC$506,"&lt;=60"))</f>
        <v/>
      </c>
      <c r="H69" s="49">
        <f>IF(B69="","",SUMIFS('Example Entries'!$W$7:$W$506,'Example Entries'!$C$7:$C$506,B69,'Example Entries'!$AC$7:$AC$506,"&gt;=61",'Example Entries'!$AC$7:$AC$506,"&lt;=90"))</f>
        <v/>
      </c>
      <c r="I69" s="49">
        <f>IF(B69="","",SUMIFS('Example Entries'!$W$7:$W$506,'Example Entries'!$C$7:$C$506,B69,'Example Entries'!$AC$7:$AC$506,"&gt;90"))</f>
        <v/>
      </c>
      <c r="J69" s="50">
        <f>IF(B69="","",SUMIFS('Example Entries'!$W$7:$W$506,'Example Entries'!$C$7:$C$506,B69,'Example Entries'!$AA$7:$AA$506,"&gt;0"))</f>
        <v/>
      </c>
      <c r="K69" s="49">
        <f>IF(B69="","",ROUND(SUMIFS('Example Entries'!$AB$7:$AB$506,'Example Entries'!$C$7:$C$506,B69),0))</f>
        <v/>
      </c>
      <c r="L69" s="49">
        <f>IF(B69="","",SUMIFS('Example Entries'!$AF$7:$AF$506,'Example Entries'!$C$7:$C$506,B69))</f>
        <v/>
      </c>
      <c r="M69" s="23">
        <f>IF(B69="","",IF(AND(C69="Debtor",N(E69)&lt;0),"Credit balance: an advance or an excess receipt",IF(AND(C69="Creditor",N(E69)&gt;0),"Debit balance: an advance paid to the supplier",IF(AND(C69="Creditor",N(L69)&gt;0),"Pay before the year end to keep the deduction, s.37(2)(g)",IF(N(J69)&gt;0,IF(C69="Creditor","Past due: pay, or confirm the terms in writing","Past due: follow up"),"OK")))))</f>
        <v/>
      </c>
    </row>
    <row r="70">
      <c r="B70" s="37">
        <f>IF('Example Parties'!$B$75="","",'Example Parties'!$B$75)</f>
        <v/>
      </c>
      <c r="C70" s="40">
        <f>IF(B70="","",'Example Parties'!$C$75&amp;"")</f>
        <v/>
      </c>
      <c r="D70" s="39">
        <f>IF(B70="","",'Example Parties'!$E$75&amp;"")</f>
        <v/>
      </c>
      <c r="E70" s="38">
        <f>IF(OR(B70="",$E$5=""),"",'Example Parties'!$M$75+SUMIFS('Example Entries'!$I$7:$I$506,'Example Entries'!$C$7:$C$506,B70,'Example Entries'!$B$7:$B$506,"&lt;="&amp;$E$5)-SUMIFS('Example Entries'!$J$7:$J$506,'Example Entries'!$C$7:$C$506,B70,'Example Entries'!$B$7:$B$506,"&lt;="&amp;$E$5))</f>
        <v/>
      </c>
      <c r="F70" s="49">
        <f>IF(B70="","",SUMIFS('Example Entries'!$W$7:$W$506,'Example Entries'!$C$7:$C$506,B70,'Example Entries'!$AC$7:$AC$506,"&gt;=0",'Example Entries'!$AC$7:$AC$506,"&lt;=30"))</f>
        <v/>
      </c>
      <c r="G70" s="49">
        <f>IF(B70="","",SUMIFS('Example Entries'!$W$7:$W$506,'Example Entries'!$C$7:$C$506,B70,'Example Entries'!$AC$7:$AC$506,"&gt;=31",'Example Entries'!$AC$7:$AC$506,"&lt;=60"))</f>
        <v/>
      </c>
      <c r="H70" s="49">
        <f>IF(B70="","",SUMIFS('Example Entries'!$W$7:$W$506,'Example Entries'!$C$7:$C$506,B70,'Example Entries'!$AC$7:$AC$506,"&gt;=61",'Example Entries'!$AC$7:$AC$506,"&lt;=90"))</f>
        <v/>
      </c>
      <c r="I70" s="49">
        <f>IF(B70="","",SUMIFS('Example Entries'!$W$7:$W$506,'Example Entries'!$C$7:$C$506,B70,'Example Entries'!$AC$7:$AC$506,"&gt;90"))</f>
        <v/>
      </c>
      <c r="J70" s="50">
        <f>IF(B70="","",SUMIFS('Example Entries'!$W$7:$W$506,'Example Entries'!$C$7:$C$506,B70,'Example Entries'!$AA$7:$AA$506,"&gt;0"))</f>
        <v/>
      </c>
      <c r="K70" s="49">
        <f>IF(B70="","",ROUND(SUMIFS('Example Entries'!$AB$7:$AB$506,'Example Entries'!$C$7:$C$506,B70),0))</f>
        <v/>
      </c>
      <c r="L70" s="49">
        <f>IF(B70="","",SUMIFS('Example Entries'!$AF$7:$AF$506,'Example Entries'!$C$7:$C$506,B70))</f>
        <v/>
      </c>
      <c r="M70" s="23">
        <f>IF(B70="","",IF(AND(C70="Debtor",N(E70)&lt;0),"Credit balance: an advance or an excess receipt",IF(AND(C70="Creditor",N(E70)&gt;0),"Debit balance: an advance paid to the supplier",IF(AND(C70="Creditor",N(L70)&gt;0),"Pay before the year end to keep the deduction, s.37(2)(g)",IF(N(J70)&gt;0,IF(C70="Creditor","Past due: pay, or confirm the terms in writing","Past due: follow up"),"OK")))))</f>
        <v/>
      </c>
    </row>
    <row r="71">
      <c r="B71" s="37">
        <f>IF('Example Parties'!$B$76="","",'Example Parties'!$B$76)</f>
        <v/>
      </c>
      <c r="C71" s="40">
        <f>IF(B71="","",'Example Parties'!$C$76&amp;"")</f>
        <v/>
      </c>
      <c r="D71" s="39">
        <f>IF(B71="","",'Example Parties'!$E$76&amp;"")</f>
        <v/>
      </c>
      <c r="E71" s="38">
        <f>IF(OR(B71="",$E$5=""),"",'Example Parties'!$M$76+SUMIFS('Example Entries'!$I$7:$I$506,'Example Entries'!$C$7:$C$506,B71,'Example Entries'!$B$7:$B$506,"&lt;="&amp;$E$5)-SUMIFS('Example Entries'!$J$7:$J$506,'Example Entries'!$C$7:$C$506,B71,'Example Entries'!$B$7:$B$506,"&lt;="&amp;$E$5))</f>
        <v/>
      </c>
      <c r="F71" s="49">
        <f>IF(B71="","",SUMIFS('Example Entries'!$W$7:$W$506,'Example Entries'!$C$7:$C$506,B71,'Example Entries'!$AC$7:$AC$506,"&gt;=0",'Example Entries'!$AC$7:$AC$506,"&lt;=30"))</f>
        <v/>
      </c>
      <c r="G71" s="49">
        <f>IF(B71="","",SUMIFS('Example Entries'!$W$7:$W$506,'Example Entries'!$C$7:$C$506,B71,'Example Entries'!$AC$7:$AC$506,"&gt;=31",'Example Entries'!$AC$7:$AC$506,"&lt;=60"))</f>
        <v/>
      </c>
      <c r="H71" s="49">
        <f>IF(B71="","",SUMIFS('Example Entries'!$W$7:$W$506,'Example Entries'!$C$7:$C$506,B71,'Example Entries'!$AC$7:$AC$506,"&gt;=61",'Example Entries'!$AC$7:$AC$506,"&lt;=90"))</f>
        <v/>
      </c>
      <c r="I71" s="49">
        <f>IF(B71="","",SUMIFS('Example Entries'!$W$7:$W$506,'Example Entries'!$C$7:$C$506,B71,'Example Entries'!$AC$7:$AC$506,"&gt;90"))</f>
        <v/>
      </c>
      <c r="J71" s="50">
        <f>IF(B71="","",SUMIFS('Example Entries'!$W$7:$W$506,'Example Entries'!$C$7:$C$506,B71,'Example Entries'!$AA$7:$AA$506,"&gt;0"))</f>
        <v/>
      </c>
      <c r="K71" s="49">
        <f>IF(B71="","",ROUND(SUMIFS('Example Entries'!$AB$7:$AB$506,'Example Entries'!$C$7:$C$506,B71),0))</f>
        <v/>
      </c>
      <c r="L71" s="49">
        <f>IF(B71="","",SUMIFS('Example Entries'!$AF$7:$AF$506,'Example Entries'!$C$7:$C$506,B71))</f>
        <v/>
      </c>
      <c r="M71" s="23">
        <f>IF(B71="","",IF(AND(C71="Debtor",N(E71)&lt;0),"Credit balance: an advance or an excess receipt",IF(AND(C71="Creditor",N(E71)&gt;0),"Debit balance: an advance paid to the supplier",IF(AND(C71="Creditor",N(L71)&gt;0),"Pay before the year end to keep the deduction, s.37(2)(g)",IF(N(J71)&gt;0,IF(C71="Creditor","Past due: pay, or confirm the terms in writing","Past due: follow up"),"OK")))))</f>
        <v/>
      </c>
    </row>
    <row r="72">
      <c r="B72" s="37">
        <f>IF('Example Parties'!$B$77="","",'Example Parties'!$B$77)</f>
        <v/>
      </c>
      <c r="C72" s="40">
        <f>IF(B72="","",'Example Parties'!$C$77&amp;"")</f>
        <v/>
      </c>
      <c r="D72" s="39">
        <f>IF(B72="","",'Example Parties'!$E$77&amp;"")</f>
        <v/>
      </c>
      <c r="E72" s="38">
        <f>IF(OR(B72="",$E$5=""),"",'Example Parties'!$M$77+SUMIFS('Example Entries'!$I$7:$I$506,'Example Entries'!$C$7:$C$506,B72,'Example Entries'!$B$7:$B$506,"&lt;="&amp;$E$5)-SUMIFS('Example Entries'!$J$7:$J$506,'Example Entries'!$C$7:$C$506,B72,'Example Entries'!$B$7:$B$506,"&lt;="&amp;$E$5))</f>
        <v/>
      </c>
      <c r="F72" s="49">
        <f>IF(B72="","",SUMIFS('Example Entries'!$W$7:$W$506,'Example Entries'!$C$7:$C$506,B72,'Example Entries'!$AC$7:$AC$506,"&gt;=0",'Example Entries'!$AC$7:$AC$506,"&lt;=30"))</f>
        <v/>
      </c>
      <c r="G72" s="49">
        <f>IF(B72="","",SUMIFS('Example Entries'!$W$7:$W$506,'Example Entries'!$C$7:$C$506,B72,'Example Entries'!$AC$7:$AC$506,"&gt;=31",'Example Entries'!$AC$7:$AC$506,"&lt;=60"))</f>
        <v/>
      </c>
      <c r="H72" s="49">
        <f>IF(B72="","",SUMIFS('Example Entries'!$W$7:$W$506,'Example Entries'!$C$7:$C$506,B72,'Example Entries'!$AC$7:$AC$506,"&gt;=61",'Example Entries'!$AC$7:$AC$506,"&lt;=90"))</f>
        <v/>
      </c>
      <c r="I72" s="49">
        <f>IF(B72="","",SUMIFS('Example Entries'!$W$7:$W$506,'Example Entries'!$C$7:$C$506,B72,'Example Entries'!$AC$7:$AC$506,"&gt;90"))</f>
        <v/>
      </c>
      <c r="J72" s="50">
        <f>IF(B72="","",SUMIFS('Example Entries'!$W$7:$W$506,'Example Entries'!$C$7:$C$506,B72,'Example Entries'!$AA$7:$AA$506,"&gt;0"))</f>
        <v/>
      </c>
      <c r="K72" s="49">
        <f>IF(B72="","",ROUND(SUMIFS('Example Entries'!$AB$7:$AB$506,'Example Entries'!$C$7:$C$506,B72),0))</f>
        <v/>
      </c>
      <c r="L72" s="49">
        <f>IF(B72="","",SUMIFS('Example Entries'!$AF$7:$AF$506,'Example Entries'!$C$7:$C$506,B72))</f>
        <v/>
      </c>
      <c r="M72" s="23">
        <f>IF(B72="","",IF(AND(C72="Debtor",N(E72)&lt;0),"Credit balance: an advance or an excess receipt",IF(AND(C72="Creditor",N(E72)&gt;0),"Debit balance: an advance paid to the supplier",IF(AND(C72="Creditor",N(L72)&gt;0),"Pay before the year end to keep the deduction, s.37(2)(g)",IF(N(J72)&gt;0,IF(C72="Creditor","Past due: pay, or confirm the terms in writing","Past due: follow up"),"OK")))))</f>
        <v/>
      </c>
    </row>
    <row r="73">
      <c r="B73" s="37">
        <f>IF('Example Parties'!$B$78="","",'Example Parties'!$B$78)</f>
        <v/>
      </c>
      <c r="C73" s="40">
        <f>IF(B73="","",'Example Parties'!$C$78&amp;"")</f>
        <v/>
      </c>
      <c r="D73" s="39">
        <f>IF(B73="","",'Example Parties'!$E$78&amp;"")</f>
        <v/>
      </c>
      <c r="E73" s="38">
        <f>IF(OR(B73="",$E$5=""),"",'Example Parties'!$M$78+SUMIFS('Example Entries'!$I$7:$I$506,'Example Entries'!$C$7:$C$506,B73,'Example Entries'!$B$7:$B$506,"&lt;="&amp;$E$5)-SUMIFS('Example Entries'!$J$7:$J$506,'Example Entries'!$C$7:$C$506,B73,'Example Entries'!$B$7:$B$506,"&lt;="&amp;$E$5))</f>
        <v/>
      </c>
      <c r="F73" s="49">
        <f>IF(B73="","",SUMIFS('Example Entries'!$W$7:$W$506,'Example Entries'!$C$7:$C$506,B73,'Example Entries'!$AC$7:$AC$506,"&gt;=0",'Example Entries'!$AC$7:$AC$506,"&lt;=30"))</f>
        <v/>
      </c>
      <c r="G73" s="49">
        <f>IF(B73="","",SUMIFS('Example Entries'!$W$7:$W$506,'Example Entries'!$C$7:$C$506,B73,'Example Entries'!$AC$7:$AC$506,"&gt;=31",'Example Entries'!$AC$7:$AC$506,"&lt;=60"))</f>
        <v/>
      </c>
      <c r="H73" s="49">
        <f>IF(B73="","",SUMIFS('Example Entries'!$W$7:$W$506,'Example Entries'!$C$7:$C$506,B73,'Example Entries'!$AC$7:$AC$506,"&gt;=61",'Example Entries'!$AC$7:$AC$506,"&lt;=90"))</f>
        <v/>
      </c>
      <c r="I73" s="49">
        <f>IF(B73="","",SUMIFS('Example Entries'!$W$7:$W$506,'Example Entries'!$C$7:$C$506,B73,'Example Entries'!$AC$7:$AC$506,"&gt;90"))</f>
        <v/>
      </c>
      <c r="J73" s="50">
        <f>IF(B73="","",SUMIFS('Example Entries'!$W$7:$W$506,'Example Entries'!$C$7:$C$506,B73,'Example Entries'!$AA$7:$AA$506,"&gt;0"))</f>
        <v/>
      </c>
      <c r="K73" s="49">
        <f>IF(B73="","",ROUND(SUMIFS('Example Entries'!$AB$7:$AB$506,'Example Entries'!$C$7:$C$506,B73),0))</f>
        <v/>
      </c>
      <c r="L73" s="49">
        <f>IF(B73="","",SUMIFS('Example Entries'!$AF$7:$AF$506,'Example Entries'!$C$7:$C$506,B73))</f>
        <v/>
      </c>
      <c r="M73" s="23">
        <f>IF(B73="","",IF(AND(C73="Debtor",N(E73)&lt;0),"Credit balance: an advance or an excess receipt",IF(AND(C73="Creditor",N(E73)&gt;0),"Debit balance: an advance paid to the supplier",IF(AND(C73="Creditor",N(L73)&gt;0),"Pay before the year end to keep the deduction, s.37(2)(g)",IF(N(J73)&gt;0,IF(C73="Creditor","Past due: pay, or confirm the terms in writing","Past due: follow up"),"OK")))))</f>
        <v/>
      </c>
    </row>
    <row r="74">
      <c r="B74" s="37">
        <f>IF('Example Parties'!$B$79="","",'Example Parties'!$B$79)</f>
        <v/>
      </c>
      <c r="C74" s="40">
        <f>IF(B74="","",'Example Parties'!$C$79&amp;"")</f>
        <v/>
      </c>
      <c r="D74" s="39">
        <f>IF(B74="","",'Example Parties'!$E$79&amp;"")</f>
        <v/>
      </c>
      <c r="E74" s="38">
        <f>IF(OR(B74="",$E$5=""),"",'Example Parties'!$M$79+SUMIFS('Example Entries'!$I$7:$I$506,'Example Entries'!$C$7:$C$506,B74,'Example Entries'!$B$7:$B$506,"&lt;="&amp;$E$5)-SUMIFS('Example Entries'!$J$7:$J$506,'Example Entries'!$C$7:$C$506,B74,'Example Entries'!$B$7:$B$506,"&lt;="&amp;$E$5))</f>
        <v/>
      </c>
      <c r="F74" s="49">
        <f>IF(B74="","",SUMIFS('Example Entries'!$W$7:$W$506,'Example Entries'!$C$7:$C$506,B74,'Example Entries'!$AC$7:$AC$506,"&gt;=0",'Example Entries'!$AC$7:$AC$506,"&lt;=30"))</f>
        <v/>
      </c>
      <c r="G74" s="49">
        <f>IF(B74="","",SUMIFS('Example Entries'!$W$7:$W$506,'Example Entries'!$C$7:$C$506,B74,'Example Entries'!$AC$7:$AC$506,"&gt;=31",'Example Entries'!$AC$7:$AC$506,"&lt;=60"))</f>
        <v/>
      </c>
      <c r="H74" s="49">
        <f>IF(B74="","",SUMIFS('Example Entries'!$W$7:$W$506,'Example Entries'!$C$7:$C$506,B74,'Example Entries'!$AC$7:$AC$506,"&gt;=61",'Example Entries'!$AC$7:$AC$506,"&lt;=90"))</f>
        <v/>
      </c>
      <c r="I74" s="49">
        <f>IF(B74="","",SUMIFS('Example Entries'!$W$7:$W$506,'Example Entries'!$C$7:$C$506,B74,'Example Entries'!$AC$7:$AC$506,"&gt;90"))</f>
        <v/>
      </c>
      <c r="J74" s="50">
        <f>IF(B74="","",SUMIFS('Example Entries'!$W$7:$W$506,'Example Entries'!$C$7:$C$506,B74,'Example Entries'!$AA$7:$AA$506,"&gt;0"))</f>
        <v/>
      </c>
      <c r="K74" s="49">
        <f>IF(B74="","",ROUND(SUMIFS('Example Entries'!$AB$7:$AB$506,'Example Entries'!$C$7:$C$506,B74),0))</f>
        <v/>
      </c>
      <c r="L74" s="49">
        <f>IF(B74="","",SUMIFS('Example Entries'!$AF$7:$AF$506,'Example Entries'!$C$7:$C$506,B74))</f>
        <v/>
      </c>
      <c r="M74" s="23">
        <f>IF(B74="","",IF(AND(C74="Debtor",N(E74)&lt;0),"Credit balance: an advance or an excess receipt",IF(AND(C74="Creditor",N(E74)&gt;0),"Debit balance: an advance paid to the supplier",IF(AND(C74="Creditor",N(L74)&gt;0),"Pay before the year end to keep the deduction, s.37(2)(g)",IF(N(J74)&gt;0,IF(C74="Creditor","Past due: pay, or confirm the terms in writing","Past due: follow up"),"OK")))))</f>
        <v/>
      </c>
    </row>
    <row r="75">
      <c r="B75" s="37">
        <f>IF('Example Parties'!$B$80="","",'Example Parties'!$B$80)</f>
        <v/>
      </c>
      <c r="C75" s="40">
        <f>IF(B75="","",'Example Parties'!$C$80&amp;"")</f>
        <v/>
      </c>
      <c r="D75" s="39">
        <f>IF(B75="","",'Example Parties'!$E$80&amp;"")</f>
        <v/>
      </c>
      <c r="E75" s="38">
        <f>IF(OR(B75="",$E$5=""),"",'Example Parties'!$M$80+SUMIFS('Example Entries'!$I$7:$I$506,'Example Entries'!$C$7:$C$506,B75,'Example Entries'!$B$7:$B$506,"&lt;="&amp;$E$5)-SUMIFS('Example Entries'!$J$7:$J$506,'Example Entries'!$C$7:$C$506,B75,'Example Entries'!$B$7:$B$506,"&lt;="&amp;$E$5))</f>
        <v/>
      </c>
      <c r="F75" s="49">
        <f>IF(B75="","",SUMIFS('Example Entries'!$W$7:$W$506,'Example Entries'!$C$7:$C$506,B75,'Example Entries'!$AC$7:$AC$506,"&gt;=0",'Example Entries'!$AC$7:$AC$506,"&lt;=30"))</f>
        <v/>
      </c>
      <c r="G75" s="49">
        <f>IF(B75="","",SUMIFS('Example Entries'!$W$7:$W$506,'Example Entries'!$C$7:$C$506,B75,'Example Entries'!$AC$7:$AC$506,"&gt;=31",'Example Entries'!$AC$7:$AC$506,"&lt;=60"))</f>
        <v/>
      </c>
      <c r="H75" s="49">
        <f>IF(B75="","",SUMIFS('Example Entries'!$W$7:$W$506,'Example Entries'!$C$7:$C$506,B75,'Example Entries'!$AC$7:$AC$506,"&gt;=61",'Example Entries'!$AC$7:$AC$506,"&lt;=90"))</f>
        <v/>
      </c>
      <c r="I75" s="49">
        <f>IF(B75="","",SUMIFS('Example Entries'!$W$7:$W$506,'Example Entries'!$C$7:$C$506,B75,'Example Entries'!$AC$7:$AC$506,"&gt;90"))</f>
        <v/>
      </c>
      <c r="J75" s="50">
        <f>IF(B75="","",SUMIFS('Example Entries'!$W$7:$W$506,'Example Entries'!$C$7:$C$506,B75,'Example Entries'!$AA$7:$AA$506,"&gt;0"))</f>
        <v/>
      </c>
      <c r="K75" s="49">
        <f>IF(B75="","",ROUND(SUMIFS('Example Entries'!$AB$7:$AB$506,'Example Entries'!$C$7:$C$506,B75),0))</f>
        <v/>
      </c>
      <c r="L75" s="49">
        <f>IF(B75="","",SUMIFS('Example Entries'!$AF$7:$AF$506,'Example Entries'!$C$7:$C$506,B75))</f>
        <v/>
      </c>
      <c r="M75" s="23">
        <f>IF(B75="","",IF(AND(C75="Debtor",N(E75)&lt;0),"Credit balance: an advance or an excess receipt",IF(AND(C75="Creditor",N(E75)&gt;0),"Debit balance: an advance paid to the supplier",IF(AND(C75="Creditor",N(L75)&gt;0),"Pay before the year end to keep the deduction, s.37(2)(g)",IF(N(J75)&gt;0,IF(C75="Creditor","Past due: pay, or confirm the terms in writing","Past due: follow up"),"OK")))))</f>
        <v/>
      </c>
    </row>
    <row r="76">
      <c r="B76" s="37">
        <f>IF('Example Parties'!$B$81="","",'Example Parties'!$B$81)</f>
        <v/>
      </c>
      <c r="C76" s="40">
        <f>IF(B76="","",'Example Parties'!$C$81&amp;"")</f>
        <v/>
      </c>
      <c r="D76" s="39">
        <f>IF(B76="","",'Example Parties'!$E$81&amp;"")</f>
        <v/>
      </c>
      <c r="E76" s="38">
        <f>IF(OR(B76="",$E$5=""),"",'Example Parties'!$M$81+SUMIFS('Example Entries'!$I$7:$I$506,'Example Entries'!$C$7:$C$506,B76,'Example Entries'!$B$7:$B$506,"&lt;="&amp;$E$5)-SUMIFS('Example Entries'!$J$7:$J$506,'Example Entries'!$C$7:$C$506,B76,'Example Entries'!$B$7:$B$506,"&lt;="&amp;$E$5))</f>
        <v/>
      </c>
      <c r="F76" s="49">
        <f>IF(B76="","",SUMIFS('Example Entries'!$W$7:$W$506,'Example Entries'!$C$7:$C$506,B76,'Example Entries'!$AC$7:$AC$506,"&gt;=0",'Example Entries'!$AC$7:$AC$506,"&lt;=30"))</f>
        <v/>
      </c>
      <c r="G76" s="49">
        <f>IF(B76="","",SUMIFS('Example Entries'!$W$7:$W$506,'Example Entries'!$C$7:$C$506,B76,'Example Entries'!$AC$7:$AC$506,"&gt;=31",'Example Entries'!$AC$7:$AC$506,"&lt;=60"))</f>
        <v/>
      </c>
      <c r="H76" s="49">
        <f>IF(B76="","",SUMIFS('Example Entries'!$W$7:$W$506,'Example Entries'!$C$7:$C$506,B76,'Example Entries'!$AC$7:$AC$506,"&gt;=61",'Example Entries'!$AC$7:$AC$506,"&lt;=90"))</f>
        <v/>
      </c>
      <c r="I76" s="49">
        <f>IF(B76="","",SUMIFS('Example Entries'!$W$7:$W$506,'Example Entries'!$C$7:$C$506,B76,'Example Entries'!$AC$7:$AC$506,"&gt;90"))</f>
        <v/>
      </c>
      <c r="J76" s="50">
        <f>IF(B76="","",SUMIFS('Example Entries'!$W$7:$W$506,'Example Entries'!$C$7:$C$506,B76,'Example Entries'!$AA$7:$AA$506,"&gt;0"))</f>
        <v/>
      </c>
      <c r="K76" s="49">
        <f>IF(B76="","",ROUND(SUMIFS('Example Entries'!$AB$7:$AB$506,'Example Entries'!$C$7:$C$506,B76),0))</f>
        <v/>
      </c>
      <c r="L76" s="49">
        <f>IF(B76="","",SUMIFS('Example Entries'!$AF$7:$AF$506,'Example Entries'!$C$7:$C$506,B76))</f>
        <v/>
      </c>
      <c r="M76" s="23">
        <f>IF(B76="","",IF(AND(C76="Debtor",N(E76)&lt;0),"Credit balance: an advance or an excess receipt",IF(AND(C76="Creditor",N(E76)&gt;0),"Debit balance: an advance paid to the supplier",IF(AND(C76="Creditor",N(L76)&gt;0),"Pay before the year end to keep the deduction, s.37(2)(g)",IF(N(J76)&gt;0,IF(C76="Creditor","Past due: pay, or confirm the terms in writing","Past due: follow up"),"OK")))))</f>
        <v/>
      </c>
    </row>
    <row r="77">
      <c r="B77" s="37">
        <f>IF('Example Parties'!$B$82="","",'Example Parties'!$B$82)</f>
        <v/>
      </c>
      <c r="C77" s="40">
        <f>IF(B77="","",'Example Parties'!$C$82&amp;"")</f>
        <v/>
      </c>
      <c r="D77" s="39">
        <f>IF(B77="","",'Example Parties'!$E$82&amp;"")</f>
        <v/>
      </c>
      <c r="E77" s="38">
        <f>IF(OR(B77="",$E$5=""),"",'Example Parties'!$M$82+SUMIFS('Example Entries'!$I$7:$I$506,'Example Entries'!$C$7:$C$506,B77,'Example Entries'!$B$7:$B$506,"&lt;="&amp;$E$5)-SUMIFS('Example Entries'!$J$7:$J$506,'Example Entries'!$C$7:$C$506,B77,'Example Entries'!$B$7:$B$506,"&lt;="&amp;$E$5))</f>
        <v/>
      </c>
      <c r="F77" s="49">
        <f>IF(B77="","",SUMIFS('Example Entries'!$W$7:$W$506,'Example Entries'!$C$7:$C$506,B77,'Example Entries'!$AC$7:$AC$506,"&gt;=0",'Example Entries'!$AC$7:$AC$506,"&lt;=30"))</f>
        <v/>
      </c>
      <c r="G77" s="49">
        <f>IF(B77="","",SUMIFS('Example Entries'!$W$7:$W$506,'Example Entries'!$C$7:$C$506,B77,'Example Entries'!$AC$7:$AC$506,"&gt;=31",'Example Entries'!$AC$7:$AC$506,"&lt;=60"))</f>
        <v/>
      </c>
      <c r="H77" s="49">
        <f>IF(B77="","",SUMIFS('Example Entries'!$W$7:$W$506,'Example Entries'!$C$7:$C$506,B77,'Example Entries'!$AC$7:$AC$506,"&gt;=61",'Example Entries'!$AC$7:$AC$506,"&lt;=90"))</f>
        <v/>
      </c>
      <c r="I77" s="49">
        <f>IF(B77="","",SUMIFS('Example Entries'!$W$7:$W$506,'Example Entries'!$C$7:$C$506,B77,'Example Entries'!$AC$7:$AC$506,"&gt;90"))</f>
        <v/>
      </c>
      <c r="J77" s="50">
        <f>IF(B77="","",SUMIFS('Example Entries'!$W$7:$W$506,'Example Entries'!$C$7:$C$506,B77,'Example Entries'!$AA$7:$AA$506,"&gt;0"))</f>
        <v/>
      </c>
      <c r="K77" s="49">
        <f>IF(B77="","",ROUND(SUMIFS('Example Entries'!$AB$7:$AB$506,'Example Entries'!$C$7:$C$506,B77),0))</f>
        <v/>
      </c>
      <c r="L77" s="49">
        <f>IF(B77="","",SUMIFS('Example Entries'!$AF$7:$AF$506,'Example Entries'!$C$7:$C$506,B77))</f>
        <v/>
      </c>
      <c r="M77" s="23">
        <f>IF(B77="","",IF(AND(C77="Debtor",N(E77)&lt;0),"Credit balance: an advance or an excess receipt",IF(AND(C77="Creditor",N(E77)&gt;0),"Debit balance: an advance paid to the supplier",IF(AND(C77="Creditor",N(L77)&gt;0),"Pay before the year end to keep the deduction, s.37(2)(g)",IF(N(J77)&gt;0,IF(C77="Creditor","Past due: pay, or confirm the terms in writing","Past due: follow up"),"OK")))))</f>
        <v/>
      </c>
    </row>
    <row r="78">
      <c r="B78" s="37">
        <f>IF('Example Parties'!$B$83="","",'Example Parties'!$B$83)</f>
        <v/>
      </c>
      <c r="C78" s="40">
        <f>IF(B78="","",'Example Parties'!$C$83&amp;"")</f>
        <v/>
      </c>
      <c r="D78" s="39">
        <f>IF(B78="","",'Example Parties'!$E$83&amp;"")</f>
        <v/>
      </c>
      <c r="E78" s="38">
        <f>IF(OR(B78="",$E$5=""),"",'Example Parties'!$M$83+SUMIFS('Example Entries'!$I$7:$I$506,'Example Entries'!$C$7:$C$506,B78,'Example Entries'!$B$7:$B$506,"&lt;="&amp;$E$5)-SUMIFS('Example Entries'!$J$7:$J$506,'Example Entries'!$C$7:$C$506,B78,'Example Entries'!$B$7:$B$506,"&lt;="&amp;$E$5))</f>
        <v/>
      </c>
      <c r="F78" s="49">
        <f>IF(B78="","",SUMIFS('Example Entries'!$W$7:$W$506,'Example Entries'!$C$7:$C$506,B78,'Example Entries'!$AC$7:$AC$506,"&gt;=0",'Example Entries'!$AC$7:$AC$506,"&lt;=30"))</f>
        <v/>
      </c>
      <c r="G78" s="49">
        <f>IF(B78="","",SUMIFS('Example Entries'!$W$7:$W$506,'Example Entries'!$C$7:$C$506,B78,'Example Entries'!$AC$7:$AC$506,"&gt;=31",'Example Entries'!$AC$7:$AC$506,"&lt;=60"))</f>
        <v/>
      </c>
      <c r="H78" s="49">
        <f>IF(B78="","",SUMIFS('Example Entries'!$W$7:$W$506,'Example Entries'!$C$7:$C$506,B78,'Example Entries'!$AC$7:$AC$506,"&gt;=61",'Example Entries'!$AC$7:$AC$506,"&lt;=90"))</f>
        <v/>
      </c>
      <c r="I78" s="49">
        <f>IF(B78="","",SUMIFS('Example Entries'!$W$7:$W$506,'Example Entries'!$C$7:$C$506,B78,'Example Entries'!$AC$7:$AC$506,"&gt;90"))</f>
        <v/>
      </c>
      <c r="J78" s="50">
        <f>IF(B78="","",SUMIFS('Example Entries'!$W$7:$W$506,'Example Entries'!$C$7:$C$506,B78,'Example Entries'!$AA$7:$AA$506,"&gt;0"))</f>
        <v/>
      </c>
      <c r="K78" s="49">
        <f>IF(B78="","",ROUND(SUMIFS('Example Entries'!$AB$7:$AB$506,'Example Entries'!$C$7:$C$506,B78),0))</f>
        <v/>
      </c>
      <c r="L78" s="49">
        <f>IF(B78="","",SUMIFS('Example Entries'!$AF$7:$AF$506,'Example Entries'!$C$7:$C$506,B78))</f>
        <v/>
      </c>
      <c r="M78" s="23">
        <f>IF(B78="","",IF(AND(C78="Debtor",N(E78)&lt;0),"Credit balance: an advance or an excess receipt",IF(AND(C78="Creditor",N(E78)&gt;0),"Debit balance: an advance paid to the supplier",IF(AND(C78="Creditor",N(L78)&gt;0),"Pay before the year end to keep the deduction, s.37(2)(g)",IF(N(J78)&gt;0,IF(C78="Creditor","Past due: pay, or confirm the terms in writing","Past due: follow up"),"OK")))))</f>
        <v/>
      </c>
    </row>
    <row r="79">
      <c r="B79" s="37">
        <f>IF('Example Parties'!$B$84="","",'Example Parties'!$B$84)</f>
        <v/>
      </c>
      <c r="C79" s="40">
        <f>IF(B79="","",'Example Parties'!$C$84&amp;"")</f>
        <v/>
      </c>
      <c r="D79" s="39">
        <f>IF(B79="","",'Example Parties'!$E$84&amp;"")</f>
        <v/>
      </c>
      <c r="E79" s="38">
        <f>IF(OR(B79="",$E$5=""),"",'Example Parties'!$M$84+SUMIFS('Example Entries'!$I$7:$I$506,'Example Entries'!$C$7:$C$506,B79,'Example Entries'!$B$7:$B$506,"&lt;="&amp;$E$5)-SUMIFS('Example Entries'!$J$7:$J$506,'Example Entries'!$C$7:$C$506,B79,'Example Entries'!$B$7:$B$506,"&lt;="&amp;$E$5))</f>
        <v/>
      </c>
      <c r="F79" s="49">
        <f>IF(B79="","",SUMIFS('Example Entries'!$W$7:$W$506,'Example Entries'!$C$7:$C$506,B79,'Example Entries'!$AC$7:$AC$506,"&gt;=0",'Example Entries'!$AC$7:$AC$506,"&lt;=30"))</f>
        <v/>
      </c>
      <c r="G79" s="49">
        <f>IF(B79="","",SUMIFS('Example Entries'!$W$7:$W$506,'Example Entries'!$C$7:$C$506,B79,'Example Entries'!$AC$7:$AC$506,"&gt;=31",'Example Entries'!$AC$7:$AC$506,"&lt;=60"))</f>
        <v/>
      </c>
      <c r="H79" s="49">
        <f>IF(B79="","",SUMIFS('Example Entries'!$W$7:$W$506,'Example Entries'!$C$7:$C$506,B79,'Example Entries'!$AC$7:$AC$506,"&gt;=61",'Example Entries'!$AC$7:$AC$506,"&lt;=90"))</f>
        <v/>
      </c>
      <c r="I79" s="49">
        <f>IF(B79="","",SUMIFS('Example Entries'!$W$7:$W$506,'Example Entries'!$C$7:$C$506,B79,'Example Entries'!$AC$7:$AC$506,"&gt;90"))</f>
        <v/>
      </c>
      <c r="J79" s="50">
        <f>IF(B79="","",SUMIFS('Example Entries'!$W$7:$W$506,'Example Entries'!$C$7:$C$506,B79,'Example Entries'!$AA$7:$AA$506,"&gt;0"))</f>
        <v/>
      </c>
      <c r="K79" s="49">
        <f>IF(B79="","",ROUND(SUMIFS('Example Entries'!$AB$7:$AB$506,'Example Entries'!$C$7:$C$506,B79),0))</f>
        <v/>
      </c>
      <c r="L79" s="49">
        <f>IF(B79="","",SUMIFS('Example Entries'!$AF$7:$AF$506,'Example Entries'!$C$7:$C$506,B79))</f>
        <v/>
      </c>
      <c r="M79" s="23">
        <f>IF(B79="","",IF(AND(C79="Debtor",N(E79)&lt;0),"Credit balance: an advance or an excess receipt",IF(AND(C79="Creditor",N(E79)&gt;0),"Debit balance: an advance paid to the supplier",IF(AND(C79="Creditor",N(L79)&gt;0),"Pay before the year end to keep the deduction, s.37(2)(g)",IF(N(J79)&gt;0,IF(C79="Creditor","Past due: pay, or confirm the terms in writing","Past due: follow up"),"OK")))))</f>
        <v/>
      </c>
    </row>
    <row r="80">
      <c r="B80" s="37">
        <f>IF('Example Parties'!$B$85="","",'Example Parties'!$B$85)</f>
        <v/>
      </c>
      <c r="C80" s="40">
        <f>IF(B80="","",'Example Parties'!$C$85&amp;"")</f>
        <v/>
      </c>
      <c r="D80" s="39">
        <f>IF(B80="","",'Example Parties'!$E$85&amp;"")</f>
        <v/>
      </c>
      <c r="E80" s="38">
        <f>IF(OR(B80="",$E$5=""),"",'Example Parties'!$M$85+SUMIFS('Example Entries'!$I$7:$I$506,'Example Entries'!$C$7:$C$506,B80,'Example Entries'!$B$7:$B$506,"&lt;="&amp;$E$5)-SUMIFS('Example Entries'!$J$7:$J$506,'Example Entries'!$C$7:$C$506,B80,'Example Entries'!$B$7:$B$506,"&lt;="&amp;$E$5))</f>
        <v/>
      </c>
      <c r="F80" s="49">
        <f>IF(B80="","",SUMIFS('Example Entries'!$W$7:$W$506,'Example Entries'!$C$7:$C$506,B80,'Example Entries'!$AC$7:$AC$506,"&gt;=0",'Example Entries'!$AC$7:$AC$506,"&lt;=30"))</f>
        <v/>
      </c>
      <c r="G80" s="49">
        <f>IF(B80="","",SUMIFS('Example Entries'!$W$7:$W$506,'Example Entries'!$C$7:$C$506,B80,'Example Entries'!$AC$7:$AC$506,"&gt;=31",'Example Entries'!$AC$7:$AC$506,"&lt;=60"))</f>
        <v/>
      </c>
      <c r="H80" s="49">
        <f>IF(B80="","",SUMIFS('Example Entries'!$W$7:$W$506,'Example Entries'!$C$7:$C$506,B80,'Example Entries'!$AC$7:$AC$506,"&gt;=61",'Example Entries'!$AC$7:$AC$506,"&lt;=90"))</f>
        <v/>
      </c>
      <c r="I80" s="49">
        <f>IF(B80="","",SUMIFS('Example Entries'!$W$7:$W$506,'Example Entries'!$C$7:$C$506,B80,'Example Entries'!$AC$7:$AC$506,"&gt;90"))</f>
        <v/>
      </c>
      <c r="J80" s="50">
        <f>IF(B80="","",SUMIFS('Example Entries'!$W$7:$W$506,'Example Entries'!$C$7:$C$506,B80,'Example Entries'!$AA$7:$AA$506,"&gt;0"))</f>
        <v/>
      </c>
      <c r="K80" s="49">
        <f>IF(B80="","",ROUND(SUMIFS('Example Entries'!$AB$7:$AB$506,'Example Entries'!$C$7:$C$506,B80),0))</f>
        <v/>
      </c>
      <c r="L80" s="49">
        <f>IF(B80="","",SUMIFS('Example Entries'!$AF$7:$AF$506,'Example Entries'!$C$7:$C$506,B80))</f>
        <v/>
      </c>
      <c r="M80" s="23">
        <f>IF(B80="","",IF(AND(C80="Debtor",N(E80)&lt;0),"Credit balance: an advance or an excess receipt",IF(AND(C80="Creditor",N(E80)&gt;0),"Debit balance: an advance paid to the supplier",IF(AND(C80="Creditor",N(L80)&gt;0),"Pay before the year end to keep the deduction, s.37(2)(g)",IF(N(J80)&gt;0,IF(C80="Creditor","Past due: pay, or confirm the terms in writing","Past due: follow up"),"OK")))))</f>
        <v/>
      </c>
    </row>
    <row r="81">
      <c r="B81" s="37">
        <f>IF('Example Parties'!$B$86="","",'Example Parties'!$B$86)</f>
        <v/>
      </c>
      <c r="C81" s="40">
        <f>IF(B81="","",'Example Parties'!$C$86&amp;"")</f>
        <v/>
      </c>
      <c r="D81" s="39">
        <f>IF(B81="","",'Example Parties'!$E$86&amp;"")</f>
        <v/>
      </c>
      <c r="E81" s="38">
        <f>IF(OR(B81="",$E$5=""),"",'Example Parties'!$M$86+SUMIFS('Example Entries'!$I$7:$I$506,'Example Entries'!$C$7:$C$506,B81,'Example Entries'!$B$7:$B$506,"&lt;="&amp;$E$5)-SUMIFS('Example Entries'!$J$7:$J$506,'Example Entries'!$C$7:$C$506,B81,'Example Entries'!$B$7:$B$506,"&lt;="&amp;$E$5))</f>
        <v/>
      </c>
      <c r="F81" s="49">
        <f>IF(B81="","",SUMIFS('Example Entries'!$W$7:$W$506,'Example Entries'!$C$7:$C$506,B81,'Example Entries'!$AC$7:$AC$506,"&gt;=0",'Example Entries'!$AC$7:$AC$506,"&lt;=30"))</f>
        <v/>
      </c>
      <c r="G81" s="49">
        <f>IF(B81="","",SUMIFS('Example Entries'!$W$7:$W$506,'Example Entries'!$C$7:$C$506,B81,'Example Entries'!$AC$7:$AC$506,"&gt;=31",'Example Entries'!$AC$7:$AC$506,"&lt;=60"))</f>
        <v/>
      </c>
      <c r="H81" s="49">
        <f>IF(B81="","",SUMIFS('Example Entries'!$W$7:$W$506,'Example Entries'!$C$7:$C$506,B81,'Example Entries'!$AC$7:$AC$506,"&gt;=61",'Example Entries'!$AC$7:$AC$506,"&lt;=90"))</f>
        <v/>
      </c>
      <c r="I81" s="49">
        <f>IF(B81="","",SUMIFS('Example Entries'!$W$7:$W$506,'Example Entries'!$C$7:$C$506,B81,'Example Entries'!$AC$7:$AC$506,"&gt;90"))</f>
        <v/>
      </c>
      <c r="J81" s="50">
        <f>IF(B81="","",SUMIFS('Example Entries'!$W$7:$W$506,'Example Entries'!$C$7:$C$506,B81,'Example Entries'!$AA$7:$AA$506,"&gt;0"))</f>
        <v/>
      </c>
      <c r="K81" s="49">
        <f>IF(B81="","",ROUND(SUMIFS('Example Entries'!$AB$7:$AB$506,'Example Entries'!$C$7:$C$506,B81),0))</f>
        <v/>
      </c>
      <c r="L81" s="49">
        <f>IF(B81="","",SUMIFS('Example Entries'!$AF$7:$AF$506,'Example Entries'!$C$7:$C$506,B81))</f>
        <v/>
      </c>
      <c r="M81" s="23">
        <f>IF(B81="","",IF(AND(C81="Debtor",N(E81)&lt;0),"Credit balance: an advance or an excess receipt",IF(AND(C81="Creditor",N(E81)&gt;0),"Debit balance: an advance paid to the supplier",IF(AND(C81="Creditor",N(L81)&gt;0),"Pay before the year end to keep the deduction, s.37(2)(g)",IF(N(J81)&gt;0,IF(C81="Creditor","Past due: pay, or confirm the terms in writing","Past due: follow up"),"OK")))))</f>
        <v/>
      </c>
    </row>
    <row r="82">
      <c r="B82" s="37">
        <f>IF('Example Parties'!$B$87="","",'Example Parties'!$B$87)</f>
        <v/>
      </c>
      <c r="C82" s="40">
        <f>IF(B82="","",'Example Parties'!$C$87&amp;"")</f>
        <v/>
      </c>
      <c r="D82" s="39">
        <f>IF(B82="","",'Example Parties'!$E$87&amp;"")</f>
        <v/>
      </c>
      <c r="E82" s="38">
        <f>IF(OR(B82="",$E$5=""),"",'Example Parties'!$M$87+SUMIFS('Example Entries'!$I$7:$I$506,'Example Entries'!$C$7:$C$506,B82,'Example Entries'!$B$7:$B$506,"&lt;="&amp;$E$5)-SUMIFS('Example Entries'!$J$7:$J$506,'Example Entries'!$C$7:$C$506,B82,'Example Entries'!$B$7:$B$506,"&lt;="&amp;$E$5))</f>
        <v/>
      </c>
      <c r="F82" s="49">
        <f>IF(B82="","",SUMIFS('Example Entries'!$W$7:$W$506,'Example Entries'!$C$7:$C$506,B82,'Example Entries'!$AC$7:$AC$506,"&gt;=0",'Example Entries'!$AC$7:$AC$506,"&lt;=30"))</f>
        <v/>
      </c>
      <c r="G82" s="49">
        <f>IF(B82="","",SUMIFS('Example Entries'!$W$7:$W$506,'Example Entries'!$C$7:$C$506,B82,'Example Entries'!$AC$7:$AC$506,"&gt;=31",'Example Entries'!$AC$7:$AC$506,"&lt;=60"))</f>
        <v/>
      </c>
      <c r="H82" s="49">
        <f>IF(B82="","",SUMIFS('Example Entries'!$W$7:$W$506,'Example Entries'!$C$7:$C$506,B82,'Example Entries'!$AC$7:$AC$506,"&gt;=61",'Example Entries'!$AC$7:$AC$506,"&lt;=90"))</f>
        <v/>
      </c>
      <c r="I82" s="49">
        <f>IF(B82="","",SUMIFS('Example Entries'!$W$7:$W$506,'Example Entries'!$C$7:$C$506,B82,'Example Entries'!$AC$7:$AC$506,"&gt;90"))</f>
        <v/>
      </c>
      <c r="J82" s="50">
        <f>IF(B82="","",SUMIFS('Example Entries'!$W$7:$W$506,'Example Entries'!$C$7:$C$506,B82,'Example Entries'!$AA$7:$AA$506,"&gt;0"))</f>
        <v/>
      </c>
      <c r="K82" s="49">
        <f>IF(B82="","",ROUND(SUMIFS('Example Entries'!$AB$7:$AB$506,'Example Entries'!$C$7:$C$506,B82),0))</f>
        <v/>
      </c>
      <c r="L82" s="49">
        <f>IF(B82="","",SUMIFS('Example Entries'!$AF$7:$AF$506,'Example Entries'!$C$7:$C$506,B82))</f>
        <v/>
      </c>
      <c r="M82" s="23">
        <f>IF(B82="","",IF(AND(C82="Debtor",N(E82)&lt;0),"Credit balance: an advance or an excess receipt",IF(AND(C82="Creditor",N(E82)&gt;0),"Debit balance: an advance paid to the supplier",IF(AND(C82="Creditor",N(L82)&gt;0),"Pay before the year end to keep the deduction, s.37(2)(g)",IF(N(J82)&gt;0,IF(C82="Creditor","Past due: pay, or confirm the terms in writing","Past due: follow up"),"OK")))))</f>
        <v/>
      </c>
    </row>
    <row r="83">
      <c r="B83" s="37">
        <f>IF('Example Parties'!$B$88="","",'Example Parties'!$B$88)</f>
        <v/>
      </c>
      <c r="C83" s="40">
        <f>IF(B83="","",'Example Parties'!$C$88&amp;"")</f>
        <v/>
      </c>
      <c r="D83" s="39">
        <f>IF(B83="","",'Example Parties'!$E$88&amp;"")</f>
        <v/>
      </c>
      <c r="E83" s="38">
        <f>IF(OR(B83="",$E$5=""),"",'Example Parties'!$M$88+SUMIFS('Example Entries'!$I$7:$I$506,'Example Entries'!$C$7:$C$506,B83,'Example Entries'!$B$7:$B$506,"&lt;="&amp;$E$5)-SUMIFS('Example Entries'!$J$7:$J$506,'Example Entries'!$C$7:$C$506,B83,'Example Entries'!$B$7:$B$506,"&lt;="&amp;$E$5))</f>
        <v/>
      </c>
      <c r="F83" s="49">
        <f>IF(B83="","",SUMIFS('Example Entries'!$W$7:$W$506,'Example Entries'!$C$7:$C$506,B83,'Example Entries'!$AC$7:$AC$506,"&gt;=0",'Example Entries'!$AC$7:$AC$506,"&lt;=30"))</f>
        <v/>
      </c>
      <c r="G83" s="49">
        <f>IF(B83="","",SUMIFS('Example Entries'!$W$7:$W$506,'Example Entries'!$C$7:$C$506,B83,'Example Entries'!$AC$7:$AC$506,"&gt;=31",'Example Entries'!$AC$7:$AC$506,"&lt;=60"))</f>
        <v/>
      </c>
      <c r="H83" s="49">
        <f>IF(B83="","",SUMIFS('Example Entries'!$W$7:$W$506,'Example Entries'!$C$7:$C$506,B83,'Example Entries'!$AC$7:$AC$506,"&gt;=61",'Example Entries'!$AC$7:$AC$506,"&lt;=90"))</f>
        <v/>
      </c>
      <c r="I83" s="49">
        <f>IF(B83="","",SUMIFS('Example Entries'!$W$7:$W$506,'Example Entries'!$C$7:$C$506,B83,'Example Entries'!$AC$7:$AC$506,"&gt;90"))</f>
        <v/>
      </c>
      <c r="J83" s="50">
        <f>IF(B83="","",SUMIFS('Example Entries'!$W$7:$W$506,'Example Entries'!$C$7:$C$506,B83,'Example Entries'!$AA$7:$AA$506,"&gt;0"))</f>
        <v/>
      </c>
      <c r="K83" s="49">
        <f>IF(B83="","",ROUND(SUMIFS('Example Entries'!$AB$7:$AB$506,'Example Entries'!$C$7:$C$506,B83),0))</f>
        <v/>
      </c>
      <c r="L83" s="49">
        <f>IF(B83="","",SUMIFS('Example Entries'!$AF$7:$AF$506,'Example Entries'!$C$7:$C$506,B83))</f>
        <v/>
      </c>
      <c r="M83" s="23">
        <f>IF(B83="","",IF(AND(C83="Debtor",N(E83)&lt;0),"Credit balance: an advance or an excess receipt",IF(AND(C83="Creditor",N(E83)&gt;0),"Debit balance: an advance paid to the supplier",IF(AND(C83="Creditor",N(L83)&gt;0),"Pay before the year end to keep the deduction, s.37(2)(g)",IF(N(J83)&gt;0,IF(C83="Creditor","Past due: pay, or confirm the terms in writing","Past due: follow up"),"OK")))))</f>
        <v/>
      </c>
    </row>
    <row r="84">
      <c r="B84" s="37">
        <f>IF('Example Parties'!$B$89="","",'Example Parties'!$B$89)</f>
        <v/>
      </c>
      <c r="C84" s="40">
        <f>IF(B84="","",'Example Parties'!$C$89&amp;"")</f>
        <v/>
      </c>
      <c r="D84" s="39">
        <f>IF(B84="","",'Example Parties'!$E$89&amp;"")</f>
        <v/>
      </c>
      <c r="E84" s="38">
        <f>IF(OR(B84="",$E$5=""),"",'Example Parties'!$M$89+SUMIFS('Example Entries'!$I$7:$I$506,'Example Entries'!$C$7:$C$506,B84,'Example Entries'!$B$7:$B$506,"&lt;="&amp;$E$5)-SUMIFS('Example Entries'!$J$7:$J$506,'Example Entries'!$C$7:$C$506,B84,'Example Entries'!$B$7:$B$506,"&lt;="&amp;$E$5))</f>
        <v/>
      </c>
      <c r="F84" s="49">
        <f>IF(B84="","",SUMIFS('Example Entries'!$W$7:$W$506,'Example Entries'!$C$7:$C$506,B84,'Example Entries'!$AC$7:$AC$506,"&gt;=0",'Example Entries'!$AC$7:$AC$506,"&lt;=30"))</f>
        <v/>
      </c>
      <c r="G84" s="49">
        <f>IF(B84="","",SUMIFS('Example Entries'!$W$7:$W$506,'Example Entries'!$C$7:$C$506,B84,'Example Entries'!$AC$7:$AC$506,"&gt;=31",'Example Entries'!$AC$7:$AC$506,"&lt;=60"))</f>
        <v/>
      </c>
      <c r="H84" s="49">
        <f>IF(B84="","",SUMIFS('Example Entries'!$W$7:$W$506,'Example Entries'!$C$7:$C$506,B84,'Example Entries'!$AC$7:$AC$506,"&gt;=61",'Example Entries'!$AC$7:$AC$506,"&lt;=90"))</f>
        <v/>
      </c>
      <c r="I84" s="49">
        <f>IF(B84="","",SUMIFS('Example Entries'!$W$7:$W$506,'Example Entries'!$C$7:$C$506,B84,'Example Entries'!$AC$7:$AC$506,"&gt;90"))</f>
        <v/>
      </c>
      <c r="J84" s="50">
        <f>IF(B84="","",SUMIFS('Example Entries'!$W$7:$W$506,'Example Entries'!$C$7:$C$506,B84,'Example Entries'!$AA$7:$AA$506,"&gt;0"))</f>
        <v/>
      </c>
      <c r="K84" s="49">
        <f>IF(B84="","",ROUND(SUMIFS('Example Entries'!$AB$7:$AB$506,'Example Entries'!$C$7:$C$506,B84),0))</f>
        <v/>
      </c>
      <c r="L84" s="49">
        <f>IF(B84="","",SUMIFS('Example Entries'!$AF$7:$AF$506,'Example Entries'!$C$7:$C$506,B84))</f>
        <v/>
      </c>
      <c r="M84" s="23">
        <f>IF(B84="","",IF(AND(C84="Debtor",N(E84)&lt;0),"Credit balance: an advance or an excess receipt",IF(AND(C84="Creditor",N(E84)&gt;0),"Debit balance: an advance paid to the supplier",IF(AND(C84="Creditor",N(L84)&gt;0),"Pay before the year end to keep the deduction, s.37(2)(g)",IF(N(J84)&gt;0,IF(C84="Creditor","Past due: pay, or confirm the terms in writing","Past due: follow up"),"OK")))))</f>
        <v/>
      </c>
    </row>
    <row r="85">
      <c r="B85" s="37">
        <f>IF('Example Parties'!$B$90="","",'Example Parties'!$B$90)</f>
        <v/>
      </c>
      <c r="C85" s="40">
        <f>IF(B85="","",'Example Parties'!$C$90&amp;"")</f>
        <v/>
      </c>
      <c r="D85" s="39">
        <f>IF(B85="","",'Example Parties'!$E$90&amp;"")</f>
        <v/>
      </c>
      <c r="E85" s="38">
        <f>IF(OR(B85="",$E$5=""),"",'Example Parties'!$M$90+SUMIFS('Example Entries'!$I$7:$I$506,'Example Entries'!$C$7:$C$506,B85,'Example Entries'!$B$7:$B$506,"&lt;="&amp;$E$5)-SUMIFS('Example Entries'!$J$7:$J$506,'Example Entries'!$C$7:$C$506,B85,'Example Entries'!$B$7:$B$506,"&lt;="&amp;$E$5))</f>
        <v/>
      </c>
      <c r="F85" s="49">
        <f>IF(B85="","",SUMIFS('Example Entries'!$W$7:$W$506,'Example Entries'!$C$7:$C$506,B85,'Example Entries'!$AC$7:$AC$506,"&gt;=0",'Example Entries'!$AC$7:$AC$506,"&lt;=30"))</f>
        <v/>
      </c>
      <c r="G85" s="49">
        <f>IF(B85="","",SUMIFS('Example Entries'!$W$7:$W$506,'Example Entries'!$C$7:$C$506,B85,'Example Entries'!$AC$7:$AC$506,"&gt;=31",'Example Entries'!$AC$7:$AC$506,"&lt;=60"))</f>
        <v/>
      </c>
      <c r="H85" s="49">
        <f>IF(B85="","",SUMIFS('Example Entries'!$W$7:$W$506,'Example Entries'!$C$7:$C$506,B85,'Example Entries'!$AC$7:$AC$506,"&gt;=61",'Example Entries'!$AC$7:$AC$506,"&lt;=90"))</f>
        <v/>
      </c>
      <c r="I85" s="49">
        <f>IF(B85="","",SUMIFS('Example Entries'!$W$7:$W$506,'Example Entries'!$C$7:$C$506,B85,'Example Entries'!$AC$7:$AC$506,"&gt;90"))</f>
        <v/>
      </c>
      <c r="J85" s="50">
        <f>IF(B85="","",SUMIFS('Example Entries'!$W$7:$W$506,'Example Entries'!$C$7:$C$506,B85,'Example Entries'!$AA$7:$AA$506,"&gt;0"))</f>
        <v/>
      </c>
      <c r="K85" s="49">
        <f>IF(B85="","",ROUND(SUMIFS('Example Entries'!$AB$7:$AB$506,'Example Entries'!$C$7:$C$506,B85),0))</f>
        <v/>
      </c>
      <c r="L85" s="49">
        <f>IF(B85="","",SUMIFS('Example Entries'!$AF$7:$AF$506,'Example Entries'!$C$7:$C$506,B85))</f>
        <v/>
      </c>
      <c r="M85" s="23">
        <f>IF(B85="","",IF(AND(C85="Debtor",N(E85)&lt;0),"Credit balance: an advance or an excess receipt",IF(AND(C85="Creditor",N(E85)&gt;0),"Debit balance: an advance paid to the supplier",IF(AND(C85="Creditor",N(L85)&gt;0),"Pay before the year end to keep the deduction, s.37(2)(g)",IF(N(J85)&gt;0,IF(C85="Creditor","Past due: pay, or confirm the terms in writing","Past due: follow up"),"OK")))))</f>
        <v/>
      </c>
    </row>
    <row r="86">
      <c r="B86" s="37">
        <f>IF('Example Parties'!$B$91="","",'Example Parties'!$B$91)</f>
        <v/>
      </c>
      <c r="C86" s="40">
        <f>IF(B86="","",'Example Parties'!$C$91&amp;"")</f>
        <v/>
      </c>
      <c r="D86" s="39">
        <f>IF(B86="","",'Example Parties'!$E$91&amp;"")</f>
        <v/>
      </c>
      <c r="E86" s="38">
        <f>IF(OR(B86="",$E$5=""),"",'Example Parties'!$M$91+SUMIFS('Example Entries'!$I$7:$I$506,'Example Entries'!$C$7:$C$506,B86,'Example Entries'!$B$7:$B$506,"&lt;="&amp;$E$5)-SUMIFS('Example Entries'!$J$7:$J$506,'Example Entries'!$C$7:$C$506,B86,'Example Entries'!$B$7:$B$506,"&lt;="&amp;$E$5))</f>
        <v/>
      </c>
      <c r="F86" s="49">
        <f>IF(B86="","",SUMIFS('Example Entries'!$W$7:$W$506,'Example Entries'!$C$7:$C$506,B86,'Example Entries'!$AC$7:$AC$506,"&gt;=0",'Example Entries'!$AC$7:$AC$506,"&lt;=30"))</f>
        <v/>
      </c>
      <c r="G86" s="49">
        <f>IF(B86="","",SUMIFS('Example Entries'!$W$7:$W$506,'Example Entries'!$C$7:$C$506,B86,'Example Entries'!$AC$7:$AC$506,"&gt;=31",'Example Entries'!$AC$7:$AC$506,"&lt;=60"))</f>
        <v/>
      </c>
      <c r="H86" s="49">
        <f>IF(B86="","",SUMIFS('Example Entries'!$W$7:$W$506,'Example Entries'!$C$7:$C$506,B86,'Example Entries'!$AC$7:$AC$506,"&gt;=61",'Example Entries'!$AC$7:$AC$506,"&lt;=90"))</f>
        <v/>
      </c>
      <c r="I86" s="49">
        <f>IF(B86="","",SUMIFS('Example Entries'!$W$7:$W$506,'Example Entries'!$C$7:$C$506,B86,'Example Entries'!$AC$7:$AC$506,"&gt;90"))</f>
        <v/>
      </c>
      <c r="J86" s="50">
        <f>IF(B86="","",SUMIFS('Example Entries'!$W$7:$W$506,'Example Entries'!$C$7:$C$506,B86,'Example Entries'!$AA$7:$AA$506,"&gt;0"))</f>
        <v/>
      </c>
      <c r="K86" s="49">
        <f>IF(B86="","",ROUND(SUMIFS('Example Entries'!$AB$7:$AB$506,'Example Entries'!$C$7:$C$506,B86),0))</f>
        <v/>
      </c>
      <c r="L86" s="49">
        <f>IF(B86="","",SUMIFS('Example Entries'!$AF$7:$AF$506,'Example Entries'!$C$7:$C$506,B86))</f>
        <v/>
      </c>
      <c r="M86" s="23">
        <f>IF(B86="","",IF(AND(C86="Debtor",N(E86)&lt;0),"Credit balance: an advance or an excess receipt",IF(AND(C86="Creditor",N(E86)&gt;0),"Debit balance: an advance paid to the supplier",IF(AND(C86="Creditor",N(L86)&gt;0),"Pay before the year end to keep the deduction, s.37(2)(g)",IF(N(J86)&gt;0,IF(C86="Creditor","Past due: pay, or confirm the terms in writing","Past due: follow up"),"OK")))))</f>
        <v/>
      </c>
    </row>
    <row r="87">
      <c r="B87" s="37">
        <f>IF('Example Parties'!$B$92="","",'Example Parties'!$B$92)</f>
        <v/>
      </c>
      <c r="C87" s="40">
        <f>IF(B87="","",'Example Parties'!$C$92&amp;"")</f>
        <v/>
      </c>
      <c r="D87" s="39">
        <f>IF(B87="","",'Example Parties'!$E$92&amp;"")</f>
        <v/>
      </c>
      <c r="E87" s="38">
        <f>IF(OR(B87="",$E$5=""),"",'Example Parties'!$M$92+SUMIFS('Example Entries'!$I$7:$I$506,'Example Entries'!$C$7:$C$506,B87,'Example Entries'!$B$7:$B$506,"&lt;="&amp;$E$5)-SUMIFS('Example Entries'!$J$7:$J$506,'Example Entries'!$C$7:$C$506,B87,'Example Entries'!$B$7:$B$506,"&lt;="&amp;$E$5))</f>
        <v/>
      </c>
      <c r="F87" s="49">
        <f>IF(B87="","",SUMIFS('Example Entries'!$W$7:$W$506,'Example Entries'!$C$7:$C$506,B87,'Example Entries'!$AC$7:$AC$506,"&gt;=0",'Example Entries'!$AC$7:$AC$506,"&lt;=30"))</f>
        <v/>
      </c>
      <c r="G87" s="49">
        <f>IF(B87="","",SUMIFS('Example Entries'!$W$7:$W$506,'Example Entries'!$C$7:$C$506,B87,'Example Entries'!$AC$7:$AC$506,"&gt;=31",'Example Entries'!$AC$7:$AC$506,"&lt;=60"))</f>
        <v/>
      </c>
      <c r="H87" s="49">
        <f>IF(B87="","",SUMIFS('Example Entries'!$W$7:$W$506,'Example Entries'!$C$7:$C$506,B87,'Example Entries'!$AC$7:$AC$506,"&gt;=61",'Example Entries'!$AC$7:$AC$506,"&lt;=90"))</f>
        <v/>
      </c>
      <c r="I87" s="49">
        <f>IF(B87="","",SUMIFS('Example Entries'!$W$7:$W$506,'Example Entries'!$C$7:$C$506,B87,'Example Entries'!$AC$7:$AC$506,"&gt;90"))</f>
        <v/>
      </c>
      <c r="J87" s="50">
        <f>IF(B87="","",SUMIFS('Example Entries'!$W$7:$W$506,'Example Entries'!$C$7:$C$506,B87,'Example Entries'!$AA$7:$AA$506,"&gt;0"))</f>
        <v/>
      </c>
      <c r="K87" s="49">
        <f>IF(B87="","",ROUND(SUMIFS('Example Entries'!$AB$7:$AB$506,'Example Entries'!$C$7:$C$506,B87),0))</f>
        <v/>
      </c>
      <c r="L87" s="49">
        <f>IF(B87="","",SUMIFS('Example Entries'!$AF$7:$AF$506,'Example Entries'!$C$7:$C$506,B87))</f>
        <v/>
      </c>
      <c r="M87" s="23">
        <f>IF(B87="","",IF(AND(C87="Debtor",N(E87)&lt;0),"Credit balance: an advance or an excess receipt",IF(AND(C87="Creditor",N(E87)&gt;0),"Debit balance: an advance paid to the supplier",IF(AND(C87="Creditor",N(L87)&gt;0),"Pay before the year end to keep the deduction, s.37(2)(g)",IF(N(J87)&gt;0,IF(C87="Creditor","Past due: pay, or confirm the terms in writing","Past due: follow up"),"OK")))))</f>
        <v/>
      </c>
    </row>
    <row r="88">
      <c r="B88" s="37">
        <f>IF('Example Parties'!$B$93="","",'Example Parties'!$B$93)</f>
        <v/>
      </c>
      <c r="C88" s="40">
        <f>IF(B88="","",'Example Parties'!$C$93&amp;"")</f>
        <v/>
      </c>
      <c r="D88" s="39">
        <f>IF(B88="","",'Example Parties'!$E$93&amp;"")</f>
        <v/>
      </c>
      <c r="E88" s="38">
        <f>IF(OR(B88="",$E$5=""),"",'Example Parties'!$M$93+SUMIFS('Example Entries'!$I$7:$I$506,'Example Entries'!$C$7:$C$506,B88,'Example Entries'!$B$7:$B$506,"&lt;="&amp;$E$5)-SUMIFS('Example Entries'!$J$7:$J$506,'Example Entries'!$C$7:$C$506,B88,'Example Entries'!$B$7:$B$506,"&lt;="&amp;$E$5))</f>
        <v/>
      </c>
      <c r="F88" s="49">
        <f>IF(B88="","",SUMIFS('Example Entries'!$W$7:$W$506,'Example Entries'!$C$7:$C$506,B88,'Example Entries'!$AC$7:$AC$506,"&gt;=0",'Example Entries'!$AC$7:$AC$506,"&lt;=30"))</f>
        <v/>
      </c>
      <c r="G88" s="49">
        <f>IF(B88="","",SUMIFS('Example Entries'!$W$7:$W$506,'Example Entries'!$C$7:$C$506,B88,'Example Entries'!$AC$7:$AC$506,"&gt;=31",'Example Entries'!$AC$7:$AC$506,"&lt;=60"))</f>
        <v/>
      </c>
      <c r="H88" s="49">
        <f>IF(B88="","",SUMIFS('Example Entries'!$W$7:$W$506,'Example Entries'!$C$7:$C$506,B88,'Example Entries'!$AC$7:$AC$506,"&gt;=61",'Example Entries'!$AC$7:$AC$506,"&lt;=90"))</f>
        <v/>
      </c>
      <c r="I88" s="49">
        <f>IF(B88="","",SUMIFS('Example Entries'!$W$7:$W$506,'Example Entries'!$C$7:$C$506,B88,'Example Entries'!$AC$7:$AC$506,"&gt;90"))</f>
        <v/>
      </c>
      <c r="J88" s="50">
        <f>IF(B88="","",SUMIFS('Example Entries'!$W$7:$W$506,'Example Entries'!$C$7:$C$506,B88,'Example Entries'!$AA$7:$AA$506,"&gt;0"))</f>
        <v/>
      </c>
      <c r="K88" s="49">
        <f>IF(B88="","",ROUND(SUMIFS('Example Entries'!$AB$7:$AB$506,'Example Entries'!$C$7:$C$506,B88),0))</f>
        <v/>
      </c>
      <c r="L88" s="49">
        <f>IF(B88="","",SUMIFS('Example Entries'!$AF$7:$AF$506,'Example Entries'!$C$7:$C$506,B88))</f>
        <v/>
      </c>
      <c r="M88" s="23">
        <f>IF(B88="","",IF(AND(C88="Debtor",N(E88)&lt;0),"Credit balance: an advance or an excess receipt",IF(AND(C88="Creditor",N(E88)&gt;0),"Debit balance: an advance paid to the supplier",IF(AND(C88="Creditor",N(L88)&gt;0),"Pay before the year end to keep the deduction, s.37(2)(g)",IF(N(J88)&gt;0,IF(C88="Creditor","Past due: pay, or confirm the terms in writing","Past due: follow up"),"OK")))))</f>
        <v/>
      </c>
    </row>
    <row r="89">
      <c r="B89" s="37">
        <f>IF('Example Parties'!$B$94="","",'Example Parties'!$B$94)</f>
        <v/>
      </c>
      <c r="C89" s="40">
        <f>IF(B89="","",'Example Parties'!$C$94&amp;"")</f>
        <v/>
      </c>
      <c r="D89" s="39">
        <f>IF(B89="","",'Example Parties'!$E$94&amp;"")</f>
        <v/>
      </c>
      <c r="E89" s="38">
        <f>IF(OR(B89="",$E$5=""),"",'Example Parties'!$M$94+SUMIFS('Example Entries'!$I$7:$I$506,'Example Entries'!$C$7:$C$506,B89,'Example Entries'!$B$7:$B$506,"&lt;="&amp;$E$5)-SUMIFS('Example Entries'!$J$7:$J$506,'Example Entries'!$C$7:$C$506,B89,'Example Entries'!$B$7:$B$506,"&lt;="&amp;$E$5))</f>
        <v/>
      </c>
      <c r="F89" s="49">
        <f>IF(B89="","",SUMIFS('Example Entries'!$W$7:$W$506,'Example Entries'!$C$7:$C$506,B89,'Example Entries'!$AC$7:$AC$506,"&gt;=0",'Example Entries'!$AC$7:$AC$506,"&lt;=30"))</f>
        <v/>
      </c>
      <c r="G89" s="49">
        <f>IF(B89="","",SUMIFS('Example Entries'!$W$7:$W$506,'Example Entries'!$C$7:$C$506,B89,'Example Entries'!$AC$7:$AC$506,"&gt;=31",'Example Entries'!$AC$7:$AC$506,"&lt;=60"))</f>
        <v/>
      </c>
      <c r="H89" s="49">
        <f>IF(B89="","",SUMIFS('Example Entries'!$W$7:$W$506,'Example Entries'!$C$7:$C$506,B89,'Example Entries'!$AC$7:$AC$506,"&gt;=61",'Example Entries'!$AC$7:$AC$506,"&lt;=90"))</f>
        <v/>
      </c>
      <c r="I89" s="49">
        <f>IF(B89="","",SUMIFS('Example Entries'!$W$7:$W$506,'Example Entries'!$C$7:$C$506,B89,'Example Entries'!$AC$7:$AC$506,"&gt;90"))</f>
        <v/>
      </c>
      <c r="J89" s="50">
        <f>IF(B89="","",SUMIFS('Example Entries'!$W$7:$W$506,'Example Entries'!$C$7:$C$506,B89,'Example Entries'!$AA$7:$AA$506,"&gt;0"))</f>
        <v/>
      </c>
      <c r="K89" s="49">
        <f>IF(B89="","",ROUND(SUMIFS('Example Entries'!$AB$7:$AB$506,'Example Entries'!$C$7:$C$506,B89),0))</f>
        <v/>
      </c>
      <c r="L89" s="49">
        <f>IF(B89="","",SUMIFS('Example Entries'!$AF$7:$AF$506,'Example Entries'!$C$7:$C$506,B89))</f>
        <v/>
      </c>
      <c r="M89" s="23">
        <f>IF(B89="","",IF(AND(C89="Debtor",N(E89)&lt;0),"Credit balance: an advance or an excess receipt",IF(AND(C89="Creditor",N(E89)&gt;0),"Debit balance: an advance paid to the supplier",IF(AND(C89="Creditor",N(L89)&gt;0),"Pay before the year end to keep the deduction, s.37(2)(g)",IF(N(J89)&gt;0,IF(C89="Creditor","Past due: pay, or confirm the terms in writing","Past due: follow up"),"OK")))))</f>
        <v/>
      </c>
    </row>
    <row r="90">
      <c r="B90" s="37">
        <f>IF('Example Parties'!$B$95="","",'Example Parties'!$B$95)</f>
        <v/>
      </c>
      <c r="C90" s="40">
        <f>IF(B90="","",'Example Parties'!$C$95&amp;"")</f>
        <v/>
      </c>
      <c r="D90" s="39">
        <f>IF(B90="","",'Example Parties'!$E$95&amp;"")</f>
        <v/>
      </c>
      <c r="E90" s="38">
        <f>IF(OR(B90="",$E$5=""),"",'Example Parties'!$M$95+SUMIFS('Example Entries'!$I$7:$I$506,'Example Entries'!$C$7:$C$506,B90,'Example Entries'!$B$7:$B$506,"&lt;="&amp;$E$5)-SUMIFS('Example Entries'!$J$7:$J$506,'Example Entries'!$C$7:$C$506,B90,'Example Entries'!$B$7:$B$506,"&lt;="&amp;$E$5))</f>
        <v/>
      </c>
      <c r="F90" s="49">
        <f>IF(B90="","",SUMIFS('Example Entries'!$W$7:$W$506,'Example Entries'!$C$7:$C$506,B90,'Example Entries'!$AC$7:$AC$506,"&gt;=0",'Example Entries'!$AC$7:$AC$506,"&lt;=30"))</f>
        <v/>
      </c>
      <c r="G90" s="49">
        <f>IF(B90="","",SUMIFS('Example Entries'!$W$7:$W$506,'Example Entries'!$C$7:$C$506,B90,'Example Entries'!$AC$7:$AC$506,"&gt;=31",'Example Entries'!$AC$7:$AC$506,"&lt;=60"))</f>
        <v/>
      </c>
      <c r="H90" s="49">
        <f>IF(B90="","",SUMIFS('Example Entries'!$W$7:$W$506,'Example Entries'!$C$7:$C$506,B90,'Example Entries'!$AC$7:$AC$506,"&gt;=61",'Example Entries'!$AC$7:$AC$506,"&lt;=90"))</f>
        <v/>
      </c>
      <c r="I90" s="49">
        <f>IF(B90="","",SUMIFS('Example Entries'!$W$7:$W$506,'Example Entries'!$C$7:$C$506,B90,'Example Entries'!$AC$7:$AC$506,"&gt;90"))</f>
        <v/>
      </c>
      <c r="J90" s="50">
        <f>IF(B90="","",SUMIFS('Example Entries'!$W$7:$W$506,'Example Entries'!$C$7:$C$506,B90,'Example Entries'!$AA$7:$AA$506,"&gt;0"))</f>
        <v/>
      </c>
      <c r="K90" s="49">
        <f>IF(B90="","",ROUND(SUMIFS('Example Entries'!$AB$7:$AB$506,'Example Entries'!$C$7:$C$506,B90),0))</f>
        <v/>
      </c>
      <c r="L90" s="49">
        <f>IF(B90="","",SUMIFS('Example Entries'!$AF$7:$AF$506,'Example Entries'!$C$7:$C$506,B90))</f>
        <v/>
      </c>
      <c r="M90" s="23">
        <f>IF(B90="","",IF(AND(C90="Debtor",N(E90)&lt;0),"Credit balance: an advance or an excess receipt",IF(AND(C90="Creditor",N(E90)&gt;0),"Debit balance: an advance paid to the supplier",IF(AND(C90="Creditor",N(L90)&gt;0),"Pay before the year end to keep the deduction, s.37(2)(g)",IF(N(J90)&gt;0,IF(C90="Creditor","Past due: pay, or confirm the terms in writing","Past due: follow up"),"OK")))))</f>
        <v/>
      </c>
    </row>
    <row r="91">
      <c r="B91" s="37">
        <f>IF('Example Parties'!$B$96="","",'Example Parties'!$B$96)</f>
        <v/>
      </c>
      <c r="C91" s="40">
        <f>IF(B91="","",'Example Parties'!$C$96&amp;"")</f>
        <v/>
      </c>
      <c r="D91" s="39">
        <f>IF(B91="","",'Example Parties'!$E$96&amp;"")</f>
        <v/>
      </c>
      <c r="E91" s="38">
        <f>IF(OR(B91="",$E$5=""),"",'Example Parties'!$M$96+SUMIFS('Example Entries'!$I$7:$I$506,'Example Entries'!$C$7:$C$506,B91,'Example Entries'!$B$7:$B$506,"&lt;="&amp;$E$5)-SUMIFS('Example Entries'!$J$7:$J$506,'Example Entries'!$C$7:$C$506,B91,'Example Entries'!$B$7:$B$506,"&lt;="&amp;$E$5))</f>
        <v/>
      </c>
      <c r="F91" s="49">
        <f>IF(B91="","",SUMIFS('Example Entries'!$W$7:$W$506,'Example Entries'!$C$7:$C$506,B91,'Example Entries'!$AC$7:$AC$506,"&gt;=0",'Example Entries'!$AC$7:$AC$506,"&lt;=30"))</f>
        <v/>
      </c>
      <c r="G91" s="49">
        <f>IF(B91="","",SUMIFS('Example Entries'!$W$7:$W$506,'Example Entries'!$C$7:$C$506,B91,'Example Entries'!$AC$7:$AC$506,"&gt;=31",'Example Entries'!$AC$7:$AC$506,"&lt;=60"))</f>
        <v/>
      </c>
      <c r="H91" s="49">
        <f>IF(B91="","",SUMIFS('Example Entries'!$W$7:$W$506,'Example Entries'!$C$7:$C$506,B91,'Example Entries'!$AC$7:$AC$506,"&gt;=61",'Example Entries'!$AC$7:$AC$506,"&lt;=90"))</f>
        <v/>
      </c>
      <c r="I91" s="49">
        <f>IF(B91="","",SUMIFS('Example Entries'!$W$7:$W$506,'Example Entries'!$C$7:$C$506,B91,'Example Entries'!$AC$7:$AC$506,"&gt;90"))</f>
        <v/>
      </c>
      <c r="J91" s="50">
        <f>IF(B91="","",SUMIFS('Example Entries'!$W$7:$W$506,'Example Entries'!$C$7:$C$506,B91,'Example Entries'!$AA$7:$AA$506,"&gt;0"))</f>
        <v/>
      </c>
      <c r="K91" s="49">
        <f>IF(B91="","",ROUND(SUMIFS('Example Entries'!$AB$7:$AB$506,'Example Entries'!$C$7:$C$506,B91),0))</f>
        <v/>
      </c>
      <c r="L91" s="49">
        <f>IF(B91="","",SUMIFS('Example Entries'!$AF$7:$AF$506,'Example Entries'!$C$7:$C$506,B91))</f>
        <v/>
      </c>
      <c r="M91" s="23">
        <f>IF(B91="","",IF(AND(C91="Debtor",N(E91)&lt;0),"Credit balance: an advance or an excess receipt",IF(AND(C91="Creditor",N(E91)&gt;0),"Debit balance: an advance paid to the supplier",IF(AND(C91="Creditor",N(L91)&gt;0),"Pay before the year end to keep the deduction, s.37(2)(g)",IF(N(J91)&gt;0,IF(C91="Creditor","Past due: pay, or confirm the terms in writing","Past due: follow up"),"OK")))))</f>
        <v/>
      </c>
    </row>
    <row r="92">
      <c r="B92" s="37">
        <f>IF('Example Parties'!$B$97="","",'Example Parties'!$B$97)</f>
        <v/>
      </c>
      <c r="C92" s="40">
        <f>IF(B92="","",'Example Parties'!$C$97&amp;"")</f>
        <v/>
      </c>
      <c r="D92" s="39">
        <f>IF(B92="","",'Example Parties'!$E$97&amp;"")</f>
        <v/>
      </c>
      <c r="E92" s="38">
        <f>IF(OR(B92="",$E$5=""),"",'Example Parties'!$M$97+SUMIFS('Example Entries'!$I$7:$I$506,'Example Entries'!$C$7:$C$506,B92,'Example Entries'!$B$7:$B$506,"&lt;="&amp;$E$5)-SUMIFS('Example Entries'!$J$7:$J$506,'Example Entries'!$C$7:$C$506,B92,'Example Entries'!$B$7:$B$506,"&lt;="&amp;$E$5))</f>
        <v/>
      </c>
      <c r="F92" s="49">
        <f>IF(B92="","",SUMIFS('Example Entries'!$W$7:$W$506,'Example Entries'!$C$7:$C$506,B92,'Example Entries'!$AC$7:$AC$506,"&gt;=0",'Example Entries'!$AC$7:$AC$506,"&lt;=30"))</f>
        <v/>
      </c>
      <c r="G92" s="49">
        <f>IF(B92="","",SUMIFS('Example Entries'!$W$7:$W$506,'Example Entries'!$C$7:$C$506,B92,'Example Entries'!$AC$7:$AC$506,"&gt;=31",'Example Entries'!$AC$7:$AC$506,"&lt;=60"))</f>
        <v/>
      </c>
      <c r="H92" s="49">
        <f>IF(B92="","",SUMIFS('Example Entries'!$W$7:$W$506,'Example Entries'!$C$7:$C$506,B92,'Example Entries'!$AC$7:$AC$506,"&gt;=61",'Example Entries'!$AC$7:$AC$506,"&lt;=90"))</f>
        <v/>
      </c>
      <c r="I92" s="49">
        <f>IF(B92="","",SUMIFS('Example Entries'!$W$7:$W$506,'Example Entries'!$C$7:$C$506,B92,'Example Entries'!$AC$7:$AC$506,"&gt;90"))</f>
        <v/>
      </c>
      <c r="J92" s="50">
        <f>IF(B92="","",SUMIFS('Example Entries'!$W$7:$W$506,'Example Entries'!$C$7:$C$506,B92,'Example Entries'!$AA$7:$AA$506,"&gt;0"))</f>
        <v/>
      </c>
      <c r="K92" s="49">
        <f>IF(B92="","",ROUND(SUMIFS('Example Entries'!$AB$7:$AB$506,'Example Entries'!$C$7:$C$506,B92),0))</f>
        <v/>
      </c>
      <c r="L92" s="49">
        <f>IF(B92="","",SUMIFS('Example Entries'!$AF$7:$AF$506,'Example Entries'!$C$7:$C$506,B92))</f>
        <v/>
      </c>
      <c r="M92" s="23">
        <f>IF(B92="","",IF(AND(C92="Debtor",N(E92)&lt;0),"Credit balance: an advance or an excess receipt",IF(AND(C92="Creditor",N(E92)&gt;0),"Debit balance: an advance paid to the supplier",IF(AND(C92="Creditor",N(L92)&gt;0),"Pay before the year end to keep the deduction, s.37(2)(g)",IF(N(J92)&gt;0,IF(C92="Creditor","Past due: pay, or confirm the terms in writing","Past due: follow up"),"OK")))))</f>
        <v/>
      </c>
    </row>
    <row r="93">
      <c r="B93" s="37">
        <f>IF('Example Parties'!$B$98="","",'Example Parties'!$B$98)</f>
        <v/>
      </c>
      <c r="C93" s="40">
        <f>IF(B93="","",'Example Parties'!$C$98&amp;"")</f>
        <v/>
      </c>
      <c r="D93" s="39">
        <f>IF(B93="","",'Example Parties'!$E$98&amp;"")</f>
        <v/>
      </c>
      <c r="E93" s="38">
        <f>IF(OR(B93="",$E$5=""),"",'Example Parties'!$M$98+SUMIFS('Example Entries'!$I$7:$I$506,'Example Entries'!$C$7:$C$506,B93,'Example Entries'!$B$7:$B$506,"&lt;="&amp;$E$5)-SUMIFS('Example Entries'!$J$7:$J$506,'Example Entries'!$C$7:$C$506,B93,'Example Entries'!$B$7:$B$506,"&lt;="&amp;$E$5))</f>
        <v/>
      </c>
      <c r="F93" s="49">
        <f>IF(B93="","",SUMIFS('Example Entries'!$W$7:$W$506,'Example Entries'!$C$7:$C$506,B93,'Example Entries'!$AC$7:$AC$506,"&gt;=0",'Example Entries'!$AC$7:$AC$506,"&lt;=30"))</f>
        <v/>
      </c>
      <c r="G93" s="49">
        <f>IF(B93="","",SUMIFS('Example Entries'!$W$7:$W$506,'Example Entries'!$C$7:$C$506,B93,'Example Entries'!$AC$7:$AC$506,"&gt;=31",'Example Entries'!$AC$7:$AC$506,"&lt;=60"))</f>
        <v/>
      </c>
      <c r="H93" s="49">
        <f>IF(B93="","",SUMIFS('Example Entries'!$W$7:$W$506,'Example Entries'!$C$7:$C$506,B93,'Example Entries'!$AC$7:$AC$506,"&gt;=61",'Example Entries'!$AC$7:$AC$506,"&lt;=90"))</f>
        <v/>
      </c>
      <c r="I93" s="49">
        <f>IF(B93="","",SUMIFS('Example Entries'!$W$7:$W$506,'Example Entries'!$C$7:$C$506,B93,'Example Entries'!$AC$7:$AC$506,"&gt;90"))</f>
        <v/>
      </c>
      <c r="J93" s="50">
        <f>IF(B93="","",SUMIFS('Example Entries'!$W$7:$W$506,'Example Entries'!$C$7:$C$506,B93,'Example Entries'!$AA$7:$AA$506,"&gt;0"))</f>
        <v/>
      </c>
      <c r="K93" s="49">
        <f>IF(B93="","",ROUND(SUMIFS('Example Entries'!$AB$7:$AB$506,'Example Entries'!$C$7:$C$506,B93),0))</f>
        <v/>
      </c>
      <c r="L93" s="49">
        <f>IF(B93="","",SUMIFS('Example Entries'!$AF$7:$AF$506,'Example Entries'!$C$7:$C$506,B93))</f>
        <v/>
      </c>
      <c r="M93" s="23">
        <f>IF(B93="","",IF(AND(C93="Debtor",N(E93)&lt;0),"Credit balance: an advance or an excess receipt",IF(AND(C93="Creditor",N(E93)&gt;0),"Debit balance: an advance paid to the supplier",IF(AND(C93="Creditor",N(L93)&gt;0),"Pay before the year end to keep the deduction, s.37(2)(g)",IF(N(J93)&gt;0,IF(C93="Creditor","Past due: pay, or confirm the terms in writing","Past due: follow up"),"OK")))))</f>
        <v/>
      </c>
    </row>
    <row r="94">
      <c r="B94" s="37">
        <f>IF('Example Parties'!$B$99="","",'Example Parties'!$B$99)</f>
        <v/>
      </c>
      <c r="C94" s="40">
        <f>IF(B94="","",'Example Parties'!$C$99&amp;"")</f>
        <v/>
      </c>
      <c r="D94" s="39">
        <f>IF(B94="","",'Example Parties'!$E$99&amp;"")</f>
        <v/>
      </c>
      <c r="E94" s="38">
        <f>IF(OR(B94="",$E$5=""),"",'Example Parties'!$M$99+SUMIFS('Example Entries'!$I$7:$I$506,'Example Entries'!$C$7:$C$506,B94,'Example Entries'!$B$7:$B$506,"&lt;="&amp;$E$5)-SUMIFS('Example Entries'!$J$7:$J$506,'Example Entries'!$C$7:$C$506,B94,'Example Entries'!$B$7:$B$506,"&lt;="&amp;$E$5))</f>
        <v/>
      </c>
      <c r="F94" s="49">
        <f>IF(B94="","",SUMIFS('Example Entries'!$W$7:$W$506,'Example Entries'!$C$7:$C$506,B94,'Example Entries'!$AC$7:$AC$506,"&gt;=0",'Example Entries'!$AC$7:$AC$506,"&lt;=30"))</f>
        <v/>
      </c>
      <c r="G94" s="49">
        <f>IF(B94="","",SUMIFS('Example Entries'!$W$7:$W$506,'Example Entries'!$C$7:$C$506,B94,'Example Entries'!$AC$7:$AC$506,"&gt;=31",'Example Entries'!$AC$7:$AC$506,"&lt;=60"))</f>
        <v/>
      </c>
      <c r="H94" s="49">
        <f>IF(B94="","",SUMIFS('Example Entries'!$W$7:$W$506,'Example Entries'!$C$7:$C$506,B94,'Example Entries'!$AC$7:$AC$506,"&gt;=61",'Example Entries'!$AC$7:$AC$506,"&lt;=90"))</f>
        <v/>
      </c>
      <c r="I94" s="49">
        <f>IF(B94="","",SUMIFS('Example Entries'!$W$7:$W$506,'Example Entries'!$C$7:$C$506,B94,'Example Entries'!$AC$7:$AC$506,"&gt;90"))</f>
        <v/>
      </c>
      <c r="J94" s="50">
        <f>IF(B94="","",SUMIFS('Example Entries'!$W$7:$W$506,'Example Entries'!$C$7:$C$506,B94,'Example Entries'!$AA$7:$AA$506,"&gt;0"))</f>
        <v/>
      </c>
      <c r="K94" s="49">
        <f>IF(B94="","",ROUND(SUMIFS('Example Entries'!$AB$7:$AB$506,'Example Entries'!$C$7:$C$506,B94),0))</f>
        <v/>
      </c>
      <c r="L94" s="49">
        <f>IF(B94="","",SUMIFS('Example Entries'!$AF$7:$AF$506,'Example Entries'!$C$7:$C$506,B94))</f>
        <v/>
      </c>
      <c r="M94" s="23">
        <f>IF(B94="","",IF(AND(C94="Debtor",N(E94)&lt;0),"Credit balance: an advance or an excess receipt",IF(AND(C94="Creditor",N(E94)&gt;0),"Debit balance: an advance paid to the supplier",IF(AND(C94="Creditor",N(L94)&gt;0),"Pay before the year end to keep the deduction, s.37(2)(g)",IF(N(J94)&gt;0,IF(C94="Creditor","Past due: pay, or confirm the terms in writing","Past due: follow up"),"OK")))))</f>
        <v/>
      </c>
    </row>
    <row r="95">
      <c r="B95" s="37">
        <f>IF('Example Parties'!$B$100="","",'Example Parties'!$B$100)</f>
        <v/>
      </c>
      <c r="C95" s="40">
        <f>IF(B95="","",'Example Parties'!$C$100&amp;"")</f>
        <v/>
      </c>
      <c r="D95" s="39">
        <f>IF(B95="","",'Example Parties'!$E$100&amp;"")</f>
        <v/>
      </c>
      <c r="E95" s="38">
        <f>IF(OR(B95="",$E$5=""),"",'Example Parties'!$M$100+SUMIFS('Example Entries'!$I$7:$I$506,'Example Entries'!$C$7:$C$506,B95,'Example Entries'!$B$7:$B$506,"&lt;="&amp;$E$5)-SUMIFS('Example Entries'!$J$7:$J$506,'Example Entries'!$C$7:$C$506,B95,'Example Entries'!$B$7:$B$506,"&lt;="&amp;$E$5))</f>
        <v/>
      </c>
      <c r="F95" s="49">
        <f>IF(B95="","",SUMIFS('Example Entries'!$W$7:$W$506,'Example Entries'!$C$7:$C$506,B95,'Example Entries'!$AC$7:$AC$506,"&gt;=0",'Example Entries'!$AC$7:$AC$506,"&lt;=30"))</f>
        <v/>
      </c>
      <c r="G95" s="49">
        <f>IF(B95="","",SUMIFS('Example Entries'!$W$7:$W$506,'Example Entries'!$C$7:$C$506,B95,'Example Entries'!$AC$7:$AC$506,"&gt;=31",'Example Entries'!$AC$7:$AC$506,"&lt;=60"))</f>
        <v/>
      </c>
      <c r="H95" s="49">
        <f>IF(B95="","",SUMIFS('Example Entries'!$W$7:$W$506,'Example Entries'!$C$7:$C$506,B95,'Example Entries'!$AC$7:$AC$506,"&gt;=61",'Example Entries'!$AC$7:$AC$506,"&lt;=90"))</f>
        <v/>
      </c>
      <c r="I95" s="49">
        <f>IF(B95="","",SUMIFS('Example Entries'!$W$7:$W$506,'Example Entries'!$C$7:$C$506,B95,'Example Entries'!$AC$7:$AC$506,"&gt;90"))</f>
        <v/>
      </c>
      <c r="J95" s="50">
        <f>IF(B95="","",SUMIFS('Example Entries'!$W$7:$W$506,'Example Entries'!$C$7:$C$506,B95,'Example Entries'!$AA$7:$AA$506,"&gt;0"))</f>
        <v/>
      </c>
      <c r="K95" s="49">
        <f>IF(B95="","",ROUND(SUMIFS('Example Entries'!$AB$7:$AB$506,'Example Entries'!$C$7:$C$506,B95),0))</f>
        <v/>
      </c>
      <c r="L95" s="49">
        <f>IF(B95="","",SUMIFS('Example Entries'!$AF$7:$AF$506,'Example Entries'!$C$7:$C$506,B95))</f>
        <v/>
      </c>
      <c r="M95" s="23">
        <f>IF(B95="","",IF(AND(C95="Debtor",N(E95)&lt;0),"Credit balance: an advance or an excess receipt",IF(AND(C95="Creditor",N(E95)&gt;0),"Debit balance: an advance paid to the supplier",IF(AND(C95="Creditor",N(L95)&gt;0),"Pay before the year end to keep the deduction, s.37(2)(g)",IF(N(J95)&gt;0,IF(C95="Creditor","Past due: pay, or confirm the terms in writing","Past due: follow up"),"OK")))))</f>
        <v/>
      </c>
    </row>
    <row r="96">
      <c r="B96" s="37">
        <f>IF('Example Parties'!$B$101="","",'Example Parties'!$B$101)</f>
        <v/>
      </c>
      <c r="C96" s="40">
        <f>IF(B96="","",'Example Parties'!$C$101&amp;"")</f>
        <v/>
      </c>
      <c r="D96" s="39">
        <f>IF(B96="","",'Example Parties'!$E$101&amp;"")</f>
        <v/>
      </c>
      <c r="E96" s="38">
        <f>IF(OR(B96="",$E$5=""),"",'Example Parties'!$M$101+SUMIFS('Example Entries'!$I$7:$I$506,'Example Entries'!$C$7:$C$506,B96,'Example Entries'!$B$7:$B$506,"&lt;="&amp;$E$5)-SUMIFS('Example Entries'!$J$7:$J$506,'Example Entries'!$C$7:$C$506,B96,'Example Entries'!$B$7:$B$506,"&lt;="&amp;$E$5))</f>
        <v/>
      </c>
      <c r="F96" s="49">
        <f>IF(B96="","",SUMIFS('Example Entries'!$W$7:$W$506,'Example Entries'!$C$7:$C$506,B96,'Example Entries'!$AC$7:$AC$506,"&gt;=0",'Example Entries'!$AC$7:$AC$506,"&lt;=30"))</f>
        <v/>
      </c>
      <c r="G96" s="49">
        <f>IF(B96="","",SUMIFS('Example Entries'!$W$7:$W$506,'Example Entries'!$C$7:$C$506,B96,'Example Entries'!$AC$7:$AC$506,"&gt;=31",'Example Entries'!$AC$7:$AC$506,"&lt;=60"))</f>
        <v/>
      </c>
      <c r="H96" s="49">
        <f>IF(B96="","",SUMIFS('Example Entries'!$W$7:$W$506,'Example Entries'!$C$7:$C$506,B96,'Example Entries'!$AC$7:$AC$506,"&gt;=61",'Example Entries'!$AC$7:$AC$506,"&lt;=90"))</f>
        <v/>
      </c>
      <c r="I96" s="49">
        <f>IF(B96="","",SUMIFS('Example Entries'!$W$7:$W$506,'Example Entries'!$C$7:$C$506,B96,'Example Entries'!$AC$7:$AC$506,"&gt;90"))</f>
        <v/>
      </c>
      <c r="J96" s="50">
        <f>IF(B96="","",SUMIFS('Example Entries'!$W$7:$W$506,'Example Entries'!$C$7:$C$506,B96,'Example Entries'!$AA$7:$AA$506,"&gt;0"))</f>
        <v/>
      </c>
      <c r="K96" s="49">
        <f>IF(B96="","",ROUND(SUMIFS('Example Entries'!$AB$7:$AB$506,'Example Entries'!$C$7:$C$506,B96),0))</f>
        <v/>
      </c>
      <c r="L96" s="49">
        <f>IF(B96="","",SUMIFS('Example Entries'!$AF$7:$AF$506,'Example Entries'!$C$7:$C$506,B96))</f>
        <v/>
      </c>
      <c r="M96" s="23">
        <f>IF(B96="","",IF(AND(C96="Debtor",N(E96)&lt;0),"Credit balance: an advance or an excess receipt",IF(AND(C96="Creditor",N(E96)&gt;0),"Debit balance: an advance paid to the supplier",IF(AND(C96="Creditor",N(L96)&gt;0),"Pay before the year end to keep the deduction, s.37(2)(g)",IF(N(J96)&gt;0,IF(C96="Creditor","Past due: pay, or confirm the terms in writing","Past due: follow up"),"OK")))))</f>
        <v/>
      </c>
    </row>
    <row r="97">
      <c r="B97" s="37">
        <f>IF('Example Parties'!$B$102="","",'Example Parties'!$B$102)</f>
        <v/>
      </c>
      <c r="C97" s="40">
        <f>IF(B97="","",'Example Parties'!$C$102&amp;"")</f>
        <v/>
      </c>
      <c r="D97" s="39">
        <f>IF(B97="","",'Example Parties'!$E$102&amp;"")</f>
        <v/>
      </c>
      <c r="E97" s="38">
        <f>IF(OR(B97="",$E$5=""),"",'Example Parties'!$M$102+SUMIFS('Example Entries'!$I$7:$I$506,'Example Entries'!$C$7:$C$506,B97,'Example Entries'!$B$7:$B$506,"&lt;="&amp;$E$5)-SUMIFS('Example Entries'!$J$7:$J$506,'Example Entries'!$C$7:$C$506,B97,'Example Entries'!$B$7:$B$506,"&lt;="&amp;$E$5))</f>
        <v/>
      </c>
      <c r="F97" s="49">
        <f>IF(B97="","",SUMIFS('Example Entries'!$W$7:$W$506,'Example Entries'!$C$7:$C$506,B97,'Example Entries'!$AC$7:$AC$506,"&gt;=0",'Example Entries'!$AC$7:$AC$506,"&lt;=30"))</f>
        <v/>
      </c>
      <c r="G97" s="49">
        <f>IF(B97="","",SUMIFS('Example Entries'!$W$7:$W$506,'Example Entries'!$C$7:$C$506,B97,'Example Entries'!$AC$7:$AC$506,"&gt;=31",'Example Entries'!$AC$7:$AC$506,"&lt;=60"))</f>
        <v/>
      </c>
      <c r="H97" s="49">
        <f>IF(B97="","",SUMIFS('Example Entries'!$W$7:$W$506,'Example Entries'!$C$7:$C$506,B97,'Example Entries'!$AC$7:$AC$506,"&gt;=61",'Example Entries'!$AC$7:$AC$506,"&lt;=90"))</f>
        <v/>
      </c>
      <c r="I97" s="49">
        <f>IF(B97="","",SUMIFS('Example Entries'!$W$7:$W$506,'Example Entries'!$C$7:$C$506,B97,'Example Entries'!$AC$7:$AC$506,"&gt;90"))</f>
        <v/>
      </c>
      <c r="J97" s="50">
        <f>IF(B97="","",SUMIFS('Example Entries'!$W$7:$W$506,'Example Entries'!$C$7:$C$506,B97,'Example Entries'!$AA$7:$AA$506,"&gt;0"))</f>
        <v/>
      </c>
      <c r="K97" s="49">
        <f>IF(B97="","",ROUND(SUMIFS('Example Entries'!$AB$7:$AB$506,'Example Entries'!$C$7:$C$506,B97),0))</f>
        <v/>
      </c>
      <c r="L97" s="49">
        <f>IF(B97="","",SUMIFS('Example Entries'!$AF$7:$AF$506,'Example Entries'!$C$7:$C$506,B97))</f>
        <v/>
      </c>
      <c r="M97" s="23">
        <f>IF(B97="","",IF(AND(C97="Debtor",N(E97)&lt;0),"Credit balance: an advance or an excess receipt",IF(AND(C97="Creditor",N(E97)&gt;0),"Debit balance: an advance paid to the supplier",IF(AND(C97="Creditor",N(L97)&gt;0),"Pay before the year end to keep the deduction, s.37(2)(g)",IF(N(J97)&gt;0,IF(C97="Creditor","Past due: pay, or confirm the terms in writing","Past due: follow up"),"OK")))))</f>
        <v/>
      </c>
    </row>
    <row r="98">
      <c r="B98" s="37">
        <f>IF('Example Parties'!$B$103="","",'Example Parties'!$B$103)</f>
        <v/>
      </c>
      <c r="C98" s="40">
        <f>IF(B98="","",'Example Parties'!$C$103&amp;"")</f>
        <v/>
      </c>
      <c r="D98" s="39">
        <f>IF(B98="","",'Example Parties'!$E$103&amp;"")</f>
        <v/>
      </c>
      <c r="E98" s="38">
        <f>IF(OR(B98="",$E$5=""),"",'Example Parties'!$M$103+SUMIFS('Example Entries'!$I$7:$I$506,'Example Entries'!$C$7:$C$506,B98,'Example Entries'!$B$7:$B$506,"&lt;="&amp;$E$5)-SUMIFS('Example Entries'!$J$7:$J$506,'Example Entries'!$C$7:$C$506,B98,'Example Entries'!$B$7:$B$506,"&lt;="&amp;$E$5))</f>
        <v/>
      </c>
      <c r="F98" s="49">
        <f>IF(B98="","",SUMIFS('Example Entries'!$W$7:$W$506,'Example Entries'!$C$7:$C$506,B98,'Example Entries'!$AC$7:$AC$506,"&gt;=0",'Example Entries'!$AC$7:$AC$506,"&lt;=30"))</f>
        <v/>
      </c>
      <c r="G98" s="49">
        <f>IF(B98="","",SUMIFS('Example Entries'!$W$7:$W$506,'Example Entries'!$C$7:$C$506,B98,'Example Entries'!$AC$7:$AC$506,"&gt;=31",'Example Entries'!$AC$7:$AC$506,"&lt;=60"))</f>
        <v/>
      </c>
      <c r="H98" s="49">
        <f>IF(B98="","",SUMIFS('Example Entries'!$W$7:$W$506,'Example Entries'!$C$7:$C$506,B98,'Example Entries'!$AC$7:$AC$506,"&gt;=61",'Example Entries'!$AC$7:$AC$506,"&lt;=90"))</f>
        <v/>
      </c>
      <c r="I98" s="49">
        <f>IF(B98="","",SUMIFS('Example Entries'!$W$7:$W$506,'Example Entries'!$C$7:$C$506,B98,'Example Entries'!$AC$7:$AC$506,"&gt;90"))</f>
        <v/>
      </c>
      <c r="J98" s="50">
        <f>IF(B98="","",SUMIFS('Example Entries'!$W$7:$W$506,'Example Entries'!$C$7:$C$506,B98,'Example Entries'!$AA$7:$AA$506,"&gt;0"))</f>
        <v/>
      </c>
      <c r="K98" s="49">
        <f>IF(B98="","",ROUND(SUMIFS('Example Entries'!$AB$7:$AB$506,'Example Entries'!$C$7:$C$506,B98),0))</f>
        <v/>
      </c>
      <c r="L98" s="49">
        <f>IF(B98="","",SUMIFS('Example Entries'!$AF$7:$AF$506,'Example Entries'!$C$7:$C$506,B98))</f>
        <v/>
      </c>
      <c r="M98" s="23">
        <f>IF(B98="","",IF(AND(C98="Debtor",N(E98)&lt;0),"Credit balance: an advance or an excess receipt",IF(AND(C98="Creditor",N(E98)&gt;0),"Debit balance: an advance paid to the supplier",IF(AND(C98="Creditor",N(L98)&gt;0),"Pay before the year end to keep the deduction, s.37(2)(g)",IF(N(J98)&gt;0,IF(C98="Creditor","Past due: pay, or confirm the terms in writing","Past due: follow up"),"OK")))))</f>
        <v/>
      </c>
    </row>
    <row r="99">
      <c r="B99" s="37">
        <f>IF('Example Parties'!$B$104="","",'Example Parties'!$B$104)</f>
        <v/>
      </c>
      <c r="C99" s="40">
        <f>IF(B99="","",'Example Parties'!$C$104&amp;"")</f>
        <v/>
      </c>
      <c r="D99" s="39">
        <f>IF(B99="","",'Example Parties'!$E$104&amp;"")</f>
        <v/>
      </c>
      <c r="E99" s="38">
        <f>IF(OR(B99="",$E$5=""),"",'Example Parties'!$M$104+SUMIFS('Example Entries'!$I$7:$I$506,'Example Entries'!$C$7:$C$506,B99,'Example Entries'!$B$7:$B$506,"&lt;="&amp;$E$5)-SUMIFS('Example Entries'!$J$7:$J$506,'Example Entries'!$C$7:$C$506,B99,'Example Entries'!$B$7:$B$506,"&lt;="&amp;$E$5))</f>
        <v/>
      </c>
      <c r="F99" s="49">
        <f>IF(B99="","",SUMIFS('Example Entries'!$W$7:$W$506,'Example Entries'!$C$7:$C$506,B99,'Example Entries'!$AC$7:$AC$506,"&gt;=0",'Example Entries'!$AC$7:$AC$506,"&lt;=30"))</f>
        <v/>
      </c>
      <c r="G99" s="49">
        <f>IF(B99="","",SUMIFS('Example Entries'!$W$7:$W$506,'Example Entries'!$C$7:$C$506,B99,'Example Entries'!$AC$7:$AC$506,"&gt;=31",'Example Entries'!$AC$7:$AC$506,"&lt;=60"))</f>
        <v/>
      </c>
      <c r="H99" s="49">
        <f>IF(B99="","",SUMIFS('Example Entries'!$W$7:$W$506,'Example Entries'!$C$7:$C$506,B99,'Example Entries'!$AC$7:$AC$506,"&gt;=61",'Example Entries'!$AC$7:$AC$506,"&lt;=90"))</f>
        <v/>
      </c>
      <c r="I99" s="49">
        <f>IF(B99="","",SUMIFS('Example Entries'!$W$7:$W$506,'Example Entries'!$C$7:$C$506,B99,'Example Entries'!$AC$7:$AC$506,"&gt;90"))</f>
        <v/>
      </c>
      <c r="J99" s="50">
        <f>IF(B99="","",SUMIFS('Example Entries'!$W$7:$W$506,'Example Entries'!$C$7:$C$506,B99,'Example Entries'!$AA$7:$AA$506,"&gt;0"))</f>
        <v/>
      </c>
      <c r="K99" s="49">
        <f>IF(B99="","",ROUND(SUMIFS('Example Entries'!$AB$7:$AB$506,'Example Entries'!$C$7:$C$506,B99),0))</f>
        <v/>
      </c>
      <c r="L99" s="49">
        <f>IF(B99="","",SUMIFS('Example Entries'!$AF$7:$AF$506,'Example Entries'!$C$7:$C$506,B99))</f>
        <v/>
      </c>
      <c r="M99" s="23">
        <f>IF(B99="","",IF(AND(C99="Debtor",N(E99)&lt;0),"Credit balance: an advance or an excess receipt",IF(AND(C99="Creditor",N(E99)&gt;0),"Debit balance: an advance paid to the supplier",IF(AND(C99="Creditor",N(L99)&gt;0),"Pay before the year end to keep the deduction, s.37(2)(g)",IF(N(J99)&gt;0,IF(C99="Creditor","Past due: pay, or confirm the terms in writing","Past due: follow up"),"OK")))))</f>
        <v/>
      </c>
    </row>
    <row r="100">
      <c r="B100" s="37">
        <f>IF('Example Parties'!$B$105="","",'Example Parties'!$B$105)</f>
        <v/>
      </c>
      <c r="C100" s="40">
        <f>IF(B100="","",'Example Parties'!$C$105&amp;"")</f>
        <v/>
      </c>
      <c r="D100" s="39">
        <f>IF(B100="","",'Example Parties'!$E$105&amp;"")</f>
        <v/>
      </c>
      <c r="E100" s="38">
        <f>IF(OR(B100="",$E$5=""),"",'Example Parties'!$M$105+SUMIFS('Example Entries'!$I$7:$I$506,'Example Entries'!$C$7:$C$506,B100,'Example Entries'!$B$7:$B$506,"&lt;="&amp;$E$5)-SUMIFS('Example Entries'!$J$7:$J$506,'Example Entries'!$C$7:$C$506,B100,'Example Entries'!$B$7:$B$506,"&lt;="&amp;$E$5))</f>
        <v/>
      </c>
      <c r="F100" s="49">
        <f>IF(B100="","",SUMIFS('Example Entries'!$W$7:$W$506,'Example Entries'!$C$7:$C$506,B100,'Example Entries'!$AC$7:$AC$506,"&gt;=0",'Example Entries'!$AC$7:$AC$506,"&lt;=30"))</f>
        <v/>
      </c>
      <c r="G100" s="49">
        <f>IF(B100="","",SUMIFS('Example Entries'!$W$7:$W$506,'Example Entries'!$C$7:$C$506,B100,'Example Entries'!$AC$7:$AC$506,"&gt;=31",'Example Entries'!$AC$7:$AC$506,"&lt;=60"))</f>
        <v/>
      </c>
      <c r="H100" s="49">
        <f>IF(B100="","",SUMIFS('Example Entries'!$W$7:$W$506,'Example Entries'!$C$7:$C$506,B100,'Example Entries'!$AC$7:$AC$506,"&gt;=61",'Example Entries'!$AC$7:$AC$506,"&lt;=90"))</f>
        <v/>
      </c>
      <c r="I100" s="49">
        <f>IF(B100="","",SUMIFS('Example Entries'!$W$7:$W$506,'Example Entries'!$C$7:$C$506,B100,'Example Entries'!$AC$7:$AC$506,"&gt;90"))</f>
        <v/>
      </c>
      <c r="J100" s="50">
        <f>IF(B100="","",SUMIFS('Example Entries'!$W$7:$W$506,'Example Entries'!$C$7:$C$506,B100,'Example Entries'!$AA$7:$AA$506,"&gt;0"))</f>
        <v/>
      </c>
      <c r="K100" s="49">
        <f>IF(B100="","",ROUND(SUMIFS('Example Entries'!$AB$7:$AB$506,'Example Entries'!$C$7:$C$506,B100),0))</f>
        <v/>
      </c>
      <c r="L100" s="49">
        <f>IF(B100="","",SUMIFS('Example Entries'!$AF$7:$AF$506,'Example Entries'!$C$7:$C$506,B100))</f>
        <v/>
      </c>
      <c r="M100" s="23">
        <f>IF(B100="","",IF(AND(C100="Debtor",N(E100)&lt;0),"Credit balance: an advance or an excess receipt",IF(AND(C100="Creditor",N(E100)&gt;0),"Debit balance: an advance paid to the supplier",IF(AND(C100="Creditor",N(L100)&gt;0),"Pay before the year end to keep the deduction, s.37(2)(g)",IF(N(J100)&gt;0,IF(C100="Creditor","Past due: pay, or confirm the terms in writing","Past due: follow up"),"OK")))))</f>
        <v/>
      </c>
    </row>
    <row r="101">
      <c r="B101" s="37">
        <f>IF('Example Parties'!$B$106="","",'Example Parties'!$B$106)</f>
        <v/>
      </c>
      <c r="C101" s="40">
        <f>IF(B101="","",'Example Parties'!$C$106&amp;"")</f>
        <v/>
      </c>
      <c r="D101" s="39">
        <f>IF(B101="","",'Example Parties'!$E$106&amp;"")</f>
        <v/>
      </c>
      <c r="E101" s="38">
        <f>IF(OR(B101="",$E$5=""),"",'Example Parties'!$M$106+SUMIFS('Example Entries'!$I$7:$I$506,'Example Entries'!$C$7:$C$506,B101,'Example Entries'!$B$7:$B$506,"&lt;="&amp;$E$5)-SUMIFS('Example Entries'!$J$7:$J$506,'Example Entries'!$C$7:$C$506,B101,'Example Entries'!$B$7:$B$506,"&lt;="&amp;$E$5))</f>
        <v/>
      </c>
      <c r="F101" s="49">
        <f>IF(B101="","",SUMIFS('Example Entries'!$W$7:$W$506,'Example Entries'!$C$7:$C$506,B101,'Example Entries'!$AC$7:$AC$506,"&gt;=0",'Example Entries'!$AC$7:$AC$506,"&lt;=30"))</f>
        <v/>
      </c>
      <c r="G101" s="49">
        <f>IF(B101="","",SUMIFS('Example Entries'!$W$7:$W$506,'Example Entries'!$C$7:$C$506,B101,'Example Entries'!$AC$7:$AC$506,"&gt;=31",'Example Entries'!$AC$7:$AC$506,"&lt;=60"))</f>
        <v/>
      </c>
      <c r="H101" s="49">
        <f>IF(B101="","",SUMIFS('Example Entries'!$W$7:$W$506,'Example Entries'!$C$7:$C$506,B101,'Example Entries'!$AC$7:$AC$506,"&gt;=61",'Example Entries'!$AC$7:$AC$506,"&lt;=90"))</f>
        <v/>
      </c>
      <c r="I101" s="49">
        <f>IF(B101="","",SUMIFS('Example Entries'!$W$7:$W$506,'Example Entries'!$C$7:$C$506,B101,'Example Entries'!$AC$7:$AC$506,"&gt;90"))</f>
        <v/>
      </c>
      <c r="J101" s="50">
        <f>IF(B101="","",SUMIFS('Example Entries'!$W$7:$W$506,'Example Entries'!$C$7:$C$506,B101,'Example Entries'!$AA$7:$AA$506,"&gt;0"))</f>
        <v/>
      </c>
      <c r="K101" s="49">
        <f>IF(B101="","",ROUND(SUMIFS('Example Entries'!$AB$7:$AB$506,'Example Entries'!$C$7:$C$506,B101),0))</f>
        <v/>
      </c>
      <c r="L101" s="49">
        <f>IF(B101="","",SUMIFS('Example Entries'!$AF$7:$AF$506,'Example Entries'!$C$7:$C$506,B101))</f>
        <v/>
      </c>
      <c r="M101" s="23">
        <f>IF(B101="","",IF(AND(C101="Debtor",N(E101)&lt;0),"Credit balance: an advance or an excess receipt",IF(AND(C101="Creditor",N(E101)&gt;0),"Debit balance: an advance paid to the supplier",IF(AND(C101="Creditor",N(L101)&gt;0),"Pay before the year end to keep the deduction, s.37(2)(g)",IF(N(J101)&gt;0,IF(C101="Creditor","Past due: pay, or confirm the terms in writing","Past due: follow up"),"OK")))))</f>
        <v/>
      </c>
    </row>
    <row r="102">
      <c r="B102" s="37">
        <f>IF('Example Parties'!$B$107="","",'Example Parties'!$B$107)</f>
        <v/>
      </c>
      <c r="C102" s="40">
        <f>IF(B102="","",'Example Parties'!$C$107&amp;"")</f>
        <v/>
      </c>
      <c r="D102" s="39">
        <f>IF(B102="","",'Example Parties'!$E$107&amp;"")</f>
        <v/>
      </c>
      <c r="E102" s="38">
        <f>IF(OR(B102="",$E$5=""),"",'Example Parties'!$M$107+SUMIFS('Example Entries'!$I$7:$I$506,'Example Entries'!$C$7:$C$506,B102,'Example Entries'!$B$7:$B$506,"&lt;="&amp;$E$5)-SUMIFS('Example Entries'!$J$7:$J$506,'Example Entries'!$C$7:$C$506,B102,'Example Entries'!$B$7:$B$506,"&lt;="&amp;$E$5))</f>
        <v/>
      </c>
      <c r="F102" s="49">
        <f>IF(B102="","",SUMIFS('Example Entries'!$W$7:$W$506,'Example Entries'!$C$7:$C$506,B102,'Example Entries'!$AC$7:$AC$506,"&gt;=0",'Example Entries'!$AC$7:$AC$506,"&lt;=30"))</f>
        <v/>
      </c>
      <c r="G102" s="49">
        <f>IF(B102="","",SUMIFS('Example Entries'!$W$7:$W$506,'Example Entries'!$C$7:$C$506,B102,'Example Entries'!$AC$7:$AC$506,"&gt;=31",'Example Entries'!$AC$7:$AC$506,"&lt;=60"))</f>
        <v/>
      </c>
      <c r="H102" s="49">
        <f>IF(B102="","",SUMIFS('Example Entries'!$W$7:$W$506,'Example Entries'!$C$7:$C$506,B102,'Example Entries'!$AC$7:$AC$506,"&gt;=61",'Example Entries'!$AC$7:$AC$506,"&lt;=90"))</f>
        <v/>
      </c>
      <c r="I102" s="49">
        <f>IF(B102="","",SUMIFS('Example Entries'!$W$7:$W$506,'Example Entries'!$C$7:$C$506,B102,'Example Entries'!$AC$7:$AC$506,"&gt;90"))</f>
        <v/>
      </c>
      <c r="J102" s="50">
        <f>IF(B102="","",SUMIFS('Example Entries'!$W$7:$W$506,'Example Entries'!$C$7:$C$506,B102,'Example Entries'!$AA$7:$AA$506,"&gt;0"))</f>
        <v/>
      </c>
      <c r="K102" s="49">
        <f>IF(B102="","",ROUND(SUMIFS('Example Entries'!$AB$7:$AB$506,'Example Entries'!$C$7:$C$506,B102),0))</f>
        <v/>
      </c>
      <c r="L102" s="49">
        <f>IF(B102="","",SUMIFS('Example Entries'!$AF$7:$AF$506,'Example Entries'!$C$7:$C$506,B102))</f>
        <v/>
      </c>
      <c r="M102" s="23">
        <f>IF(B102="","",IF(AND(C102="Debtor",N(E102)&lt;0),"Credit balance: an advance or an excess receipt",IF(AND(C102="Creditor",N(E102)&gt;0),"Debit balance: an advance paid to the supplier",IF(AND(C102="Creditor",N(L102)&gt;0),"Pay before the year end to keep the deduction, s.37(2)(g)",IF(N(J102)&gt;0,IF(C102="Creditor","Past due: pay, or confirm the terms in writing","Past due: follow up"),"OK")))))</f>
        <v/>
      </c>
    </row>
    <row r="103">
      <c r="B103" s="37">
        <f>IF('Example Parties'!$B$108="","",'Example Parties'!$B$108)</f>
        <v/>
      </c>
      <c r="C103" s="40">
        <f>IF(B103="","",'Example Parties'!$C$108&amp;"")</f>
        <v/>
      </c>
      <c r="D103" s="39">
        <f>IF(B103="","",'Example Parties'!$E$108&amp;"")</f>
        <v/>
      </c>
      <c r="E103" s="38">
        <f>IF(OR(B103="",$E$5=""),"",'Example Parties'!$M$108+SUMIFS('Example Entries'!$I$7:$I$506,'Example Entries'!$C$7:$C$506,B103,'Example Entries'!$B$7:$B$506,"&lt;="&amp;$E$5)-SUMIFS('Example Entries'!$J$7:$J$506,'Example Entries'!$C$7:$C$506,B103,'Example Entries'!$B$7:$B$506,"&lt;="&amp;$E$5))</f>
        <v/>
      </c>
      <c r="F103" s="49">
        <f>IF(B103="","",SUMIFS('Example Entries'!$W$7:$W$506,'Example Entries'!$C$7:$C$506,B103,'Example Entries'!$AC$7:$AC$506,"&gt;=0",'Example Entries'!$AC$7:$AC$506,"&lt;=30"))</f>
        <v/>
      </c>
      <c r="G103" s="49">
        <f>IF(B103="","",SUMIFS('Example Entries'!$W$7:$W$506,'Example Entries'!$C$7:$C$506,B103,'Example Entries'!$AC$7:$AC$506,"&gt;=31",'Example Entries'!$AC$7:$AC$506,"&lt;=60"))</f>
        <v/>
      </c>
      <c r="H103" s="49">
        <f>IF(B103="","",SUMIFS('Example Entries'!$W$7:$W$506,'Example Entries'!$C$7:$C$506,B103,'Example Entries'!$AC$7:$AC$506,"&gt;=61",'Example Entries'!$AC$7:$AC$506,"&lt;=90"))</f>
        <v/>
      </c>
      <c r="I103" s="49">
        <f>IF(B103="","",SUMIFS('Example Entries'!$W$7:$W$506,'Example Entries'!$C$7:$C$506,B103,'Example Entries'!$AC$7:$AC$506,"&gt;90"))</f>
        <v/>
      </c>
      <c r="J103" s="50">
        <f>IF(B103="","",SUMIFS('Example Entries'!$W$7:$W$506,'Example Entries'!$C$7:$C$506,B103,'Example Entries'!$AA$7:$AA$506,"&gt;0"))</f>
        <v/>
      </c>
      <c r="K103" s="49">
        <f>IF(B103="","",ROUND(SUMIFS('Example Entries'!$AB$7:$AB$506,'Example Entries'!$C$7:$C$506,B103),0))</f>
        <v/>
      </c>
      <c r="L103" s="49">
        <f>IF(B103="","",SUMIFS('Example Entries'!$AF$7:$AF$506,'Example Entries'!$C$7:$C$506,B103))</f>
        <v/>
      </c>
      <c r="M103" s="23">
        <f>IF(B103="","",IF(AND(C103="Debtor",N(E103)&lt;0),"Credit balance: an advance or an excess receipt",IF(AND(C103="Creditor",N(E103)&gt;0),"Debit balance: an advance paid to the supplier",IF(AND(C103="Creditor",N(L103)&gt;0),"Pay before the year end to keep the deduction, s.37(2)(g)",IF(N(J103)&gt;0,IF(C103="Creditor","Past due: pay, or confirm the terms in writing","Past due: follow up"),"OK")))))</f>
        <v/>
      </c>
    </row>
    <row r="104">
      <c r="B104" s="37">
        <f>IF('Example Parties'!$B$109="","",'Example Parties'!$B$109)</f>
        <v/>
      </c>
      <c r="C104" s="40">
        <f>IF(B104="","",'Example Parties'!$C$109&amp;"")</f>
        <v/>
      </c>
      <c r="D104" s="39">
        <f>IF(B104="","",'Example Parties'!$E$109&amp;"")</f>
        <v/>
      </c>
      <c r="E104" s="38">
        <f>IF(OR(B104="",$E$5=""),"",'Example Parties'!$M$109+SUMIFS('Example Entries'!$I$7:$I$506,'Example Entries'!$C$7:$C$506,B104,'Example Entries'!$B$7:$B$506,"&lt;="&amp;$E$5)-SUMIFS('Example Entries'!$J$7:$J$506,'Example Entries'!$C$7:$C$506,B104,'Example Entries'!$B$7:$B$506,"&lt;="&amp;$E$5))</f>
        <v/>
      </c>
      <c r="F104" s="49">
        <f>IF(B104="","",SUMIFS('Example Entries'!$W$7:$W$506,'Example Entries'!$C$7:$C$506,B104,'Example Entries'!$AC$7:$AC$506,"&gt;=0",'Example Entries'!$AC$7:$AC$506,"&lt;=30"))</f>
        <v/>
      </c>
      <c r="G104" s="49">
        <f>IF(B104="","",SUMIFS('Example Entries'!$W$7:$W$506,'Example Entries'!$C$7:$C$506,B104,'Example Entries'!$AC$7:$AC$506,"&gt;=31",'Example Entries'!$AC$7:$AC$506,"&lt;=60"))</f>
        <v/>
      </c>
      <c r="H104" s="49">
        <f>IF(B104="","",SUMIFS('Example Entries'!$W$7:$W$506,'Example Entries'!$C$7:$C$506,B104,'Example Entries'!$AC$7:$AC$506,"&gt;=61",'Example Entries'!$AC$7:$AC$506,"&lt;=90"))</f>
        <v/>
      </c>
      <c r="I104" s="49">
        <f>IF(B104="","",SUMIFS('Example Entries'!$W$7:$W$506,'Example Entries'!$C$7:$C$506,B104,'Example Entries'!$AC$7:$AC$506,"&gt;90"))</f>
        <v/>
      </c>
      <c r="J104" s="50">
        <f>IF(B104="","",SUMIFS('Example Entries'!$W$7:$W$506,'Example Entries'!$C$7:$C$506,B104,'Example Entries'!$AA$7:$AA$506,"&gt;0"))</f>
        <v/>
      </c>
      <c r="K104" s="49">
        <f>IF(B104="","",ROUND(SUMIFS('Example Entries'!$AB$7:$AB$506,'Example Entries'!$C$7:$C$506,B104),0))</f>
        <v/>
      </c>
      <c r="L104" s="49">
        <f>IF(B104="","",SUMIFS('Example Entries'!$AF$7:$AF$506,'Example Entries'!$C$7:$C$506,B104))</f>
        <v/>
      </c>
      <c r="M104" s="23">
        <f>IF(B104="","",IF(AND(C104="Debtor",N(E104)&lt;0),"Credit balance: an advance or an excess receipt",IF(AND(C104="Creditor",N(E104)&gt;0),"Debit balance: an advance paid to the supplier",IF(AND(C104="Creditor",N(L104)&gt;0),"Pay before the year end to keep the deduction, s.37(2)(g)",IF(N(J104)&gt;0,IF(C104="Creditor","Past due: pay, or confirm the terms in writing","Past due: follow up"),"OK")))))</f>
        <v/>
      </c>
    </row>
    <row r="105">
      <c r="B105" s="37">
        <f>IF('Example Parties'!$B$110="","",'Example Parties'!$B$110)</f>
        <v/>
      </c>
      <c r="C105" s="40">
        <f>IF(B105="","",'Example Parties'!$C$110&amp;"")</f>
        <v/>
      </c>
      <c r="D105" s="39">
        <f>IF(B105="","",'Example Parties'!$E$110&amp;"")</f>
        <v/>
      </c>
      <c r="E105" s="38">
        <f>IF(OR(B105="",$E$5=""),"",'Example Parties'!$M$110+SUMIFS('Example Entries'!$I$7:$I$506,'Example Entries'!$C$7:$C$506,B105,'Example Entries'!$B$7:$B$506,"&lt;="&amp;$E$5)-SUMIFS('Example Entries'!$J$7:$J$506,'Example Entries'!$C$7:$C$506,B105,'Example Entries'!$B$7:$B$506,"&lt;="&amp;$E$5))</f>
        <v/>
      </c>
      <c r="F105" s="49">
        <f>IF(B105="","",SUMIFS('Example Entries'!$W$7:$W$506,'Example Entries'!$C$7:$C$506,B105,'Example Entries'!$AC$7:$AC$506,"&gt;=0",'Example Entries'!$AC$7:$AC$506,"&lt;=30"))</f>
        <v/>
      </c>
      <c r="G105" s="49">
        <f>IF(B105="","",SUMIFS('Example Entries'!$W$7:$W$506,'Example Entries'!$C$7:$C$506,B105,'Example Entries'!$AC$7:$AC$506,"&gt;=31",'Example Entries'!$AC$7:$AC$506,"&lt;=60"))</f>
        <v/>
      </c>
      <c r="H105" s="49">
        <f>IF(B105="","",SUMIFS('Example Entries'!$W$7:$W$506,'Example Entries'!$C$7:$C$506,B105,'Example Entries'!$AC$7:$AC$506,"&gt;=61",'Example Entries'!$AC$7:$AC$506,"&lt;=90"))</f>
        <v/>
      </c>
      <c r="I105" s="49">
        <f>IF(B105="","",SUMIFS('Example Entries'!$W$7:$W$506,'Example Entries'!$C$7:$C$506,B105,'Example Entries'!$AC$7:$AC$506,"&gt;90"))</f>
        <v/>
      </c>
      <c r="J105" s="50">
        <f>IF(B105="","",SUMIFS('Example Entries'!$W$7:$W$506,'Example Entries'!$C$7:$C$506,B105,'Example Entries'!$AA$7:$AA$506,"&gt;0"))</f>
        <v/>
      </c>
      <c r="K105" s="49">
        <f>IF(B105="","",ROUND(SUMIFS('Example Entries'!$AB$7:$AB$506,'Example Entries'!$C$7:$C$506,B105),0))</f>
        <v/>
      </c>
      <c r="L105" s="49">
        <f>IF(B105="","",SUMIFS('Example Entries'!$AF$7:$AF$506,'Example Entries'!$C$7:$C$506,B105))</f>
        <v/>
      </c>
      <c r="M105" s="23">
        <f>IF(B105="","",IF(AND(C105="Debtor",N(E105)&lt;0),"Credit balance: an advance or an excess receipt",IF(AND(C105="Creditor",N(E105)&gt;0),"Debit balance: an advance paid to the supplier",IF(AND(C105="Creditor",N(L105)&gt;0),"Pay before the year end to keep the deduction, s.37(2)(g)",IF(N(J105)&gt;0,IF(C105="Creditor","Past due: pay, or confirm the terms in writing","Past due: follow up"),"OK")))))</f>
        <v/>
      </c>
    </row>
    <row r="106">
      <c r="B106" s="37">
        <f>IF('Example Parties'!$B$111="","",'Example Parties'!$B$111)</f>
        <v/>
      </c>
      <c r="C106" s="40">
        <f>IF(B106="","",'Example Parties'!$C$111&amp;"")</f>
        <v/>
      </c>
      <c r="D106" s="39">
        <f>IF(B106="","",'Example Parties'!$E$111&amp;"")</f>
        <v/>
      </c>
      <c r="E106" s="38">
        <f>IF(OR(B106="",$E$5=""),"",'Example Parties'!$M$111+SUMIFS('Example Entries'!$I$7:$I$506,'Example Entries'!$C$7:$C$506,B106,'Example Entries'!$B$7:$B$506,"&lt;="&amp;$E$5)-SUMIFS('Example Entries'!$J$7:$J$506,'Example Entries'!$C$7:$C$506,B106,'Example Entries'!$B$7:$B$506,"&lt;="&amp;$E$5))</f>
        <v/>
      </c>
      <c r="F106" s="49">
        <f>IF(B106="","",SUMIFS('Example Entries'!$W$7:$W$506,'Example Entries'!$C$7:$C$506,B106,'Example Entries'!$AC$7:$AC$506,"&gt;=0",'Example Entries'!$AC$7:$AC$506,"&lt;=30"))</f>
        <v/>
      </c>
      <c r="G106" s="49">
        <f>IF(B106="","",SUMIFS('Example Entries'!$W$7:$W$506,'Example Entries'!$C$7:$C$506,B106,'Example Entries'!$AC$7:$AC$506,"&gt;=31",'Example Entries'!$AC$7:$AC$506,"&lt;=60"))</f>
        <v/>
      </c>
      <c r="H106" s="49">
        <f>IF(B106="","",SUMIFS('Example Entries'!$W$7:$W$506,'Example Entries'!$C$7:$C$506,B106,'Example Entries'!$AC$7:$AC$506,"&gt;=61",'Example Entries'!$AC$7:$AC$506,"&lt;=90"))</f>
        <v/>
      </c>
      <c r="I106" s="49">
        <f>IF(B106="","",SUMIFS('Example Entries'!$W$7:$W$506,'Example Entries'!$C$7:$C$506,B106,'Example Entries'!$AC$7:$AC$506,"&gt;90"))</f>
        <v/>
      </c>
      <c r="J106" s="50">
        <f>IF(B106="","",SUMIFS('Example Entries'!$W$7:$W$506,'Example Entries'!$C$7:$C$506,B106,'Example Entries'!$AA$7:$AA$506,"&gt;0"))</f>
        <v/>
      </c>
      <c r="K106" s="49">
        <f>IF(B106="","",ROUND(SUMIFS('Example Entries'!$AB$7:$AB$506,'Example Entries'!$C$7:$C$506,B106),0))</f>
        <v/>
      </c>
      <c r="L106" s="49">
        <f>IF(B106="","",SUMIFS('Example Entries'!$AF$7:$AF$506,'Example Entries'!$C$7:$C$506,B106))</f>
        <v/>
      </c>
      <c r="M106" s="23">
        <f>IF(B106="","",IF(AND(C106="Debtor",N(E106)&lt;0),"Credit balance: an advance or an excess receipt",IF(AND(C106="Creditor",N(E106)&gt;0),"Debit balance: an advance paid to the supplier",IF(AND(C106="Creditor",N(L106)&gt;0),"Pay before the year end to keep the deduction, s.37(2)(g)",IF(N(J106)&gt;0,IF(C106="Creditor","Past due: pay, or confirm the terms in writing","Past due: follow up"),"OK")))))</f>
        <v/>
      </c>
    </row>
    <row r="107">
      <c r="B107" s="37">
        <f>IF('Example Parties'!$B$112="","",'Example Parties'!$B$112)</f>
        <v/>
      </c>
      <c r="C107" s="40">
        <f>IF(B107="","",'Example Parties'!$C$112&amp;"")</f>
        <v/>
      </c>
      <c r="D107" s="39">
        <f>IF(B107="","",'Example Parties'!$E$112&amp;"")</f>
        <v/>
      </c>
      <c r="E107" s="38">
        <f>IF(OR(B107="",$E$5=""),"",'Example Parties'!$M$112+SUMIFS('Example Entries'!$I$7:$I$506,'Example Entries'!$C$7:$C$506,B107,'Example Entries'!$B$7:$B$506,"&lt;="&amp;$E$5)-SUMIFS('Example Entries'!$J$7:$J$506,'Example Entries'!$C$7:$C$506,B107,'Example Entries'!$B$7:$B$506,"&lt;="&amp;$E$5))</f>
        <v/>
      </c>
      <c r="F107" s="49">
        <f>IF(B107="","",SUMIFS('Example Entries'!$W$7:$W$506,'Example Entries'!$C$7:$C$506,B107,'Example Entries'!$AC$7:$AC$506,"&gt;=0",'Example Entries'!$AC$7:$AC$506,"&lt;=30"))</f>
        <v/>
      </c>
      <c r="G107" s="49">
        <f>IF(B107="","",SUMIFS('Example Entries'!$W$7:$W$506,'Example Entries'!$C$7:$C$506,B107,'Example Entries'!$AC$7:$AC$506,"&gt;=31",'Example Entries'!$AC$7:$AC$506,"&lt;=60"))</f>
        <v/>
      </c>
      <c r="H107" s="49">
        <f>IF(B107="","",SUMIFS('Example Entries'!$W$7:$W$506,'Example Entries'!$C$7:$C$506,B107,'Example Entries'!$AC$7:$AC$506,"&gt;=61",'Example Entries'!$AC$7:$AC$506,"&lt;=90"))</f>
        <v/>
      </c>
      <c r="I107" s="49">
        <f>IF(B107="","",SUMIFS('Example Entries'!$W$7:$W$506,'Example Entries'!$C$7:$C$506,B107,'Example Entries'!$AC$7:$AC$506,"&gt;90"))</f>
        <v/>
      </c>
      <c r="J107" s="50">
        <f>IF(B107="","",SUMIFS('Example Entries'!$W$7:$W$506,'Example Entries'!$C$7:$C$506,B107,'Example Entries'!$AA$7:$AA$506,"&gt;0"))</f>
        <v/>
      </c>
      <c r="K107" s="49">
        <f>IF(B107="","",ROUND(SUMIFS('Example Entries'!$AB$7:$AB$506,'Example Entries'!$C$7:$C$506,B107),0))</f>
        <v/>
      </c>
      <c r="L107" s="49">
        <f>IF(B107="","",SUMIFS('Example Entries'!$AF$7:$AF$506,'Example Entries'!$C$7:$C$506,B107))</f>
        <v/>
      </c>
      <c r="M107" s="23">
        <f>IF(B107="","",IF(AND(C107="Debtor",N(E107)&lt;0),"Credit balance: an advance or an excess receipt",IF(AND(C107="Creditor",N(E107)&gt;0),"Debit balance: an advance paid to the supplier",IF(AND(C107="Creditor",N(L107)&gt;0),"Pay before the year end to keep the deduction, s.37(2)(g)",IF(N(J107)&gt;0,IF(C107="Creditor","Past due: pay, or confirm the terms in writing","Past due: follow up"),"OK")))))</f>
        <v/>
      </c>
    </row>
    <row r="108" ht="18" customHeight="1">
      <c r="B108" s="29" t="inlineStr">
        <is>
          <t>Total</t>
        </is>
      </c>
      <c r="C108" s="30" t="n"/>
      <c r="D108" s="30" t="n"/>
      <c r="E108" s="30" t="n"/>
      <c r="F108" s="31">
        <f>SUM($F$8:$F$107)</f>
        <v/>
      </c>
      <c r="G108" s="31">
        <f>SUM($G$8:$G$107)</f>
        <v/>
      </c>
      <c r="H108" s="31">
        <f>SUM($H$8:$H$107)</f>
        <v/>
      </c>
      <c r="I108" s="31">
        <f>SUM($I$8:$I$107)</f>
        <v/>
      </c>
      <c r="J108" s="31">
        <f>SUM($J$8:$J$107)</f>
        <v/>
      </c>
      <c r="K108" s="31">
        <f>SUM($K$8:$K$107)</f>
        <v/>
      </c>
      <c r="L108" s="31">
        <f>SUM($L$8:$L$107)</f>
        <v/>
      </c>
      <c r="M108" s="30" t="n"/>
    </row>
    <row r="109"/>
    <row r="110" ht="19" customHeight="1">
      <c r="B110" s="3" t="inlineStr">
        <is>
          <t xml:space="preserve">  TOTALS</t>
        </is>
      </c>
      <c r="C110" s="4" t="n"/>
      <c r="D110" s="4" t="n"/>
      <c r="E110" s="4" t="n"/>
      <c r="F110" s="4" t="n"/>
      <c r="G110" s="4" t="n"/>
      <c r="H110" s="4" t="n"/>
      <c r="I110" s="4" t="n"/>
      <c r="J110" s="4" t="n"/>
      <c r="K110" s="4" t="n"/>
      <c r="L110" s="4" t="n"/>
      <c r="M110" s="4" t="n"/>
    </row>
    <row r="111" ht="18" customHeight="1">
      <c r="B111" s="12" t="inlineStr">
        <is>
          <t>Owed to you by debtors</t>
        </is>
      </c>
      <c r="C111" s="13" t="n"/>
      <c r="D111" s="13" t="n"/>
      <c r="E111" s="51">
        <f>SUMIFS($E$8:$E$107,$C$8:$C$107,"Debtor")</f>
        <v/>
      </c>
      <c r="F111" s="7" t="n"/>
    </row>
    <row r="112" ht="18" customHeight="1">
      <c r="B112" s="12" t="inlineStr">
        <is>
          <t>Owed by you to creditors</t>
        </is>
      </c>
      <c r="C112" s="13" t="n"/>
      <c r="D112" s="13" t="n"/>
      <c r="E112" s="51">
        <f>SUMIFS($E$8:$E$107,$C$8:$C$107,"Creditor")</f>
        <v/>
      </c>
      <c r="F112" s="7" t="n"/>
    </row>
    <row r="113"/>
    <row r="114">
      <c r="B114" s="3">
        <f>"  YEAR END, MICRO AND SMALL SUPPLIERS: "&amp;IF('Example Parties'!$E$8="","set the financial year on the Parties sheet",TEXT('Example Parties'!$E$8,"DD-MMM-YYYY"))</f>
        <v/>
      </c>
      <c r="C114" s="4" t="n"/>
      <c r="D114" s="4" t="n"/>
      <c r="E114" s="4" t="n"/>
      <c r="F114" s="4" t="n"/>
      <c r="G114" s="4" t="n"/>
      <c r="H114" s="4" t="n"/>
      <c r="I114" s="4" t="n"/>
      <c r="J114" s="4" t="n"/>
      <c r="K114" s="4" t="n"/>
      <c r="L114" s="4" t="n"/>
      <c r="M114" s="4" t="n"/>
    </row>
    <row r="115" ht="18" customHeight="1">
      <c r="B115" s="12" t="inlineStr">
        <is>
          <t>Principal unpaid to micro and small suppliers at year end (MSMED s.22(i))</t>
        </is>
      </c>
      <c r="C115" s="13" t="n"/>
      <c r="D115" s="13" t="n"/>
      <c r="E115" s="13" t="n"/>
      <c r="F115" s="13" t="n"/>
      <c r="G115" s="13" t="n"/>
      <c r="H115" s="13" t="n"/>
      <c r="I115" s="13" t="n"/>
      <c r="J115" s="52">
        <f>SUMIFS('Example Entries'!$AE$7:$AE$506,'Example Entries'!$X$7:$X$506,1,'Example Entries'!$P$7:$P$506,"Creditor")</f>
        <v/>
      </c>
      <c r="K115" s="7" t="n"/>
    </row>
    <row r="116" ht="18" customHeight="1">
      <c r="B116" s="12" t="inlineStr">
        <is>
          <t>Interest due on it at year end, estimate (MSMED s.16 and s.22)</t>
        </is>
      </c>
      <c r="C116" s="13" t="n"/>
      <c r="D116" s="13" t="n"/>
      <c r="E116" s="13" t="n"/>
      <c r="F116" s="13" t="n"/>
      <c r="G116" s="13" t="n"/>
      <c r="H116" s="13" t="n"/>
      <c r="I116" s="13" t="n"/>
      <c r="J116" s="52">
        <f>ROUND(SUM('Example Entries'!$AH$7:$AH$506),0)</f>
        <v/>
      </c>
      <c r="K116" s="7" t="n"/>
    </row>
    <row r="117" ht="18" customHeight="1">
      <c r="B117" s="12" t="inlineStr">
        <is>
          <t>Past due and unpaid at year end: not deductible that year (Income-tax Act, 2025, s.37(2)(g))</t>
        </is>
      </c>
      <c r="C117" s="13" t="n"/>
      <c r="D117" s="13" t="n"/>
      <c r="E117" s="13" t="n"/>
      <c r="F117" s="13" t="n"/>
      <c r="G117" s="13" t="n"/>
      <c r="H117" s="13" t="n"/>
      <c r="I117" s="13" t="n"/>
      <c r="J117" s="52">
        <f>SUM('Example Entries'!$AF$7:$AF$506)</f>
        <v/>
      </c>
      <c r="K117" s="7" t="n"/>
    </row>
    <row r="118" ht="28" customHeight="1">
      <c r="B118" s="8" t="inlineStr">
        <is>
          <t>Year-end figures use every entry dated up to the year-end date. Until the year ends they show what happens if nothing more is paid. If your accounts are audited under any law, s.22 of the MSMED Act asks for these figures in them. The interest uses the rate on the Parties sheet, compounded monthly, and is an estimate: confirm it with your accountant. A bill not yet due at the year end is not counted here; pay it by its due date, or ask your accountant which year it is deducted in if it is paid late.</t>
        </is>
      </c>
      <c r="C118" s="9" t="n"/>
      <c r="D118" s="9" t="n"/>
      <c r="E118" s="9" t="n"/>
      <c r="F118" s="9" t="n"/>
      <c r="G118" s="9" t="n"/>
      <c r="H118" s="9" t="n"/>
      <c r="I118" s="9" t="n"/>
      <c r="J118" s="9" t="n"/>
      <c r="K118" s="9" t="n"/>
      <c r="L118" s="9" t="n"/>
      <c r="M118" s="9" t="n"/>
    </row>
    <row r="119"/>
    <row r="120" ht="16" customHeight="1">
      <c r="B120"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8">
    <mergeCell ref="B112:D112"/>
    <mergeCell ref="B2:M2"/>
    <mergeCell ref="B5:D5"/>
    <mergeCell ref="B116:I116"/>
    <mergeCell ref="B3:M3"/>
    <mergeCell ref="J117:K117"/>
    <mergeCell ref="B120:M120"/>
    <mergeCell ref="B114:M114"/>
    <mergeCell ref="J115:K115"/>
    <mergeCell ref="J116:K116"/>
    <mergeCell ref="E112:F112"/>
    <mergeCell ref="E111:F111"/>
    <mergeCell ref="B117:I117"/>
    <mergeCell ref="E5:F5"/>
    <mergeCell ref="B115:I115"/>
    <mergeCell ref="B110:M110"/>
    <mergeCell ref="B118:M118"/>
    <mergeCell ref="B111:D111"/>
  </mergeCells>
  <dataValidations count="1">
    <dataValidation sqref="E5" showDropDown="0" showInputMessage="0" showErrorMessage="1" allowBlank="1" errorTitle="Enter a date" error="Enter a date, for example 01-Apr-2026." type="date" operator="between">
      <formula1>DATE(2000,1,1)</formula1>
      <formula2>DATE(2100,12,31)</formula2>
    </dataValidation>
  </dataValidations>
  <pageMargins left="0.3" right="0.3" top="0.4" bottom="0.4" header="0.5" footer="0.5"/>
  <pageSetup orientation="landscape" paperSize="9" fitToHeight="0" fitToWidth="1"/>
</worksheet>
</file>

<file path=xl/worksheets/sheet11.xml><?xml version="1.0" encoding="utf-8"?>
<worksheet xmlns="http://schemas.openxmlformats.org/spreadsheetml/2006/main">
  <sheetPr>
    <outlinePr summaryBelow="1" summaryRight="1"/>
    <pageSetUpPr/>
  </sheetPr>
  <dimension ref="A1:K9"/>
  <sheetViews>
    <sheetView workbookViewId="0">
      <selection activeCell="A1" sqref="A1"/>
    </sheetView>
  </sheetViews>
  <sheetFormatPr baseColWidth="8" defaultRowHeight="15"/>
  <cols>
    <col width="30" customWidth="1" min="1" max="1"/>
    <col width="6" customWidth="1" min="2" max="2"/>
    <col width="6" customWidth="1" min="3" max="3"/>
    <col width="10" customWidth="1" min="4" max="4"/>
    <col width="2" customWidth="1" min="5" max="5"/>
    <col width="10" customWidth="1" min="6" max="6"/>
    <col width="2" customWidth="1" min="7" max="7"/>
    <col width="36" customWidth="1" min="8" max="8"/>
    <col width="6" customWidth="1" min="9" max="9"/>
    <col width="2" customWidth="1" min="10" max="10"/>
    <col width="6" customWidth="1" min="11" max="11"/>
  </cols>
  <sheetData>
    <row r="1">
      <c r="A1" s="3" t="inlineStr">
        <is>
          <t>Entry type</t>
        </is>
      </c>
      <c r="B1" s="3" t="inlineStr">
        <is>
          <t>Kind</t>
        </is>
      </c>
      <c r="C1" s="3" t="inlineStr">
        <is>
          <t>Side</t>
        </is>
      </c>
      <c r="D1" s="3" t="inlineStr">
        <is>
          <t>For</t>
        </is>
      </c>
      <c r="F1" s="3" t="inlineStr">
        <is>
          <t>Role</t>
        </is>
      </c>
      <c r="H1" s="3" t="inlineStr">
        <is>
          <t>MSME status</t>
        </is>
      </c>
      <c r="I1" s="3" t="inlineStr">
        <is>
          <t>MSE</t>
        </is>
      </c>
      <c r="K1" s="3" t="inlineStr">
        <is>
          <t>Yes/No</t>
        </is>
      </c>
    </row>
    <row r="2">
      <c r="A2" s="39" t="inlineStr">
        <is>
          <t>Sale invoice</t>
        </is>
      </c>
      <c r="B2" s="39" t="inlineStr">
        <is>
          <t>SD</t>
        </is>
      </c>
      <c r="C2" s="39" t="inlineStr">
        <is>
          <t>D</t>
        </is>
      </c>
      <c r="D2" s="39" t="inlineStr">
        <is>
          <t>Debtor</t>
        </is>
      </c>
      <c r="F2" s="54" t="inlineStr">
        <is>
          <t>Debtor</t>
        </is>
      </c>
      <c r="H2" s="54" t="inlineStr">
        <is>
          <t>Micro enterprise (Udyam)</t>
        </is>
      </c>
      <c r="I2" s="54" t="n">
        <v>1</v>
      </c>
      <c r="K2" s="54" t="inlineStr">
        <is>
          <t>Yes</t>
        </is>
      </c>
    </row>
    <row r="3">
      <c r="A3" s="39" t="inlineStr">
        <is>
          <t>Receipt from customer</t>
        </is>
      </c>
      <c r="B3" s="39" t="inlineStr">
        <is>
          <t>RC</t>
        </is>
      </c>
      <c r="C3" s="39" t="inlineStr">
        <is>
          <t>C</t>
        </is>
      </c>
      <c r="D3" s="39" t="inlineStr">
        <is>
          <t>Debtor</t>
        </is>
      </c>
      <c r="F3" s="54" t="inlineStr">
        <is>
          <t>Creditor</t>
        </is>
      </c>
      <c r="H3" s="54" t="inlineStr">
        <is>
          <t>Small enterprise (Udyam)</t>
        </is>
      </c>
      <c r="I3" s="54" t="n">
        <v>1</v>
      </c>
      <c r="K3" s="54" t="inlineStr">
        <is>
          <t>No</t>
        </is>
      </c>
    </row>
    <row r="4">
      <c r="A4" s="39" t="inlineStr">
        <is>
          <t>Credit note to customer</t>
        </is>
      </c>
      <c r="B4" s="39" t="inlineStr">
        <is>
          <t>CN</t>
        </is>
      </c>
      <c r="C4" s="39" t="inlineStr">
        <is>
          <t>C</t>
        </is>
      </c>
      <c r="D4" s="39" t="inlineStr">
        <is>
          <t>Debtor</t>
        </is>
      </c>
      <c r="H4" s="54" t="inlineStr">
        <is>
          <t>Medium enterprise</t>
        </is>
      </c>
      <c r="I4" s="54" t="n">
        <v>0</v>
      </c>
      <c r="K4" s="54" t="inlineStr">
        <is>
          <t>Dr</t>
        </is>
      </c>
    </row>
    <row r="5">
      <c r="A5" s="39" t="inlineStr">
        <is>
          <t>Purchase bill</t>
        </is>
      </c>
      <c r="B5" s="39" t="inlineStr">
        <is>
          <t>PB</t>
        </is>
      </c>
      <c r="C5" s="39" t="inlineStr">
        <is>
          <t>C</t>
        </is>
      </c>
      <c r="D5" s="39" t="inlineStr">
        <is>
          <t>Creditor</t>
        </is>
      </c>
      <c r="H5" s="54" t="inlineStr">
        <is>
          <t>Trader (Udyam, retail or wholesale)</t>
        </is>
      </c>
      <c r="I5" s="54" t="n">
        <v>0</v>
      </c>
      <c r="K5" s="54" t="inlineStr">
        <is>
          <t>Cr</t>
        </is>
      </c>
    </row>
    <row r="6">
      <c r="A6" s="39" t="inlineStr">
        <is>
          <t>Payment to supplier</t>
        </is>
      </c>
      <c r="B6" s="39" t="inlineStr">
        <is>
          <t>PY</t>
        </is>
      </c>
      <c r="C6" s="39" t="inlineStr">
        <is>
          <t>D</t>
        </is>
      </c>
      <c r="D6" s="39" t="inlineStr">
        <is>
          <t>Creditor</t>
        </is>
      </c>
      <c r="H6" s="54" t="inlineStr">
        <is>
          <t>Not registered or not MSME</t>
        </is>
      </c>
      <c r="I6" s="54" t="n">
        <v>0</v>
      </c>
    </row>
    <row r="7">
      <c r="A7" s="39" t="inlineStr">
        <is>
          <t>Debit note to supplier</t>
        </is>
      </c>
      <c r="B7" s="39" t="inlineStr">
        <is>
          <t>DN</t>
        </is>
      </c>
      <c r="C7" s="39" t="inlineStr">
        <is>
          <t>D</t>
        </is>
      </c>
      <c r="D7" s="39" t="inlineStr">
        <is>
          <t>Creditor</t>
        </is>
      </c>
    </row>
    <row r="8">
      <c r="A8" s="39" t="inlineStr">
        <is>
          <t>Journal: debit</t>
        </is>
      </c>
      <c r="B8" s="39" t="inlineStr">
        <is>
          <t>JD</t>
        </is>
      </c>
      <c r="C8" s="39" t="inlineStr">
        <is>
          <t>D</t>
        </is>
      </c>
      <c r="D8" s="39" t="inlineStr">
        <is>
          <t>Any</t>
        </is>
      </c>
    </row>
    <row r="9">
      <c r="A9" s="39" t="inlineStr">
        <is>
          <t>Journal: credit</t>
        </is>
      </c>
      <c r="B9" s="39" t="inlineStr">
        <is>
          <t>JC</t>
        </is>
      </c>
      <c r="C9" s="39" t="inlineStr">
        <is>
          <t>C</t>
        </is>
      </c>
      <c r="D9" s="39" t="inlineStr">
        <is>
          <t>Any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2026-10-28T10:24:14Z</dcterms:created>
  <dcterms:modified xmlns:dcterms="http://purl.org/dc/terms/" xmlns:xsi="http://www.w3.org/2001/XMLSchema-instance" xsi:type="dcterms:W3CDTF">2026-10-28T10:24:15Z</dcterms:modified>
</cp:coreProperties>
</file>