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tem List" sheetId="2" state="visible" r:id="rId2"/>
    <sheet xmlns:r="http://schemas.openxmlformats.org/officeDocument/2006/relationships" name="Bill" sheetId="3" state="visible" r:id="rId3"/>
    <sheet xmlns:r="http://schemas.openxmlformats.org/officeDocument/2006/relationships" name="Bill Rules" sheetId="4" state="visible" r:id="rId4"/>
    <sheet xmlns:r="http://schemas.openxmlformats.org/officeDocument/2006/relationships" name="Example Bill" sheetId="5" state="visible" r:id="rId5"/>
    <sheet xmlns:r="http://schemas.openxmlformats.org/officeDocument/2006/relationships" name="Lists" sheetId="6" state="hidden" r:id="rId6"/>
  </sheets>
  <definedNames>
    <definedName name="_xlnm.Print_Area" localSheetId="0">'Instructions'!$A$1:$D$36</definedName>
    <definedName name="_xlnm.Print_Titles" localSheetId="1">'Item List'!$5:$5</definedName>
    <definedName name="_xlnm.Print_Area" localSheetId="1">'Item List'!$A$1:$H$69</definedName>
    <definedName name="_xlnm.Print_Area" localSheetId="2">'Bill'!$A$5:$M$34</definedName>
    <definedName name="_xlnm.Print_Titles" localSheetId="3">'Bill Rules'!$5:$5</definedName>
    <definedName name="_xlnm.Print_Area" localSheetId="3">'Bill Rules'!$A$1:$E$23</definedName>
    <definedName name="_xlnm.Print_Area" localSheetId="4">'Example Bill'!$A$5:$M$34</definedName>
  </definedNames>
  <calcPr calcId="124519" fullCalcOnLoad="1"/>
</workbook>
</file>

<file path=xl/styles.xml><?xml version="1.0" encoding="utf-8"?>
<styleSheet xmlns="http://schemas.openxmlformats.org/spreadsheetml/2006/main">
  <numFmts count="8">
    <numFmt numFmtId="164" formatCode="#,##,##0.00;-#,##,##0.00;&quot;&quot;"/>
    <numFmt numFmtId="165" formatCode="DD-MMM-YYYY"/>
    <numFmt numFmtId="166" formatCode="#,##0.###"/>
    <numFmt numFmtId="167" formatCode="0%;-0%;&quot;&quot;"/>
    <numFmt numFmtId="168" formatCode="#,##,##0.00"/>
    <numFmt numFmtId="169" formatCode="#,##,##0.00;-#,##,##0.00;&quot;-&quot;"/>
    <numFmt numFmtId="170" formatCode="0.00;-0.00;&quot;-&quot;"/>
    <numFmt numFmtId="171" formatCode="yyyy-mm-dd"/>
  </numFmts>
  <fonts count="12">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1F2937"/>
      <sz val="15"/>
    </font>
    <font>
      <name val="Calibri"/>
      <b val="1"/>
      <color rgb="001F2937"/>
      <sz val="12"/>
    </font>
    <font>
      <name val="Calibri"/>
      <b val="1"/>
      <color rgb="00FFFFFF"/>
      <sz val="12"/>
    </font>
    <font>
      <name val="Calibri"/>
      <b val="1"/>
      <color rgb="00C52031"/>
      <sz val="9"/>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1F2937"/>
        <bgColor rgb="001F2937"/>
      </patternFill>
    </fill>
    <fill>
      <patternFill patternType="solid">
        <fgColor rgb="00FFF4C2"/>
        <bgColor rgb="00FFF4C2"/>
      </patternFill>
    </fill>
    <fill>
      <patternFill patternType="solid">
        <fgColor rgb="00F3F4F6"/>
        <bgColor rgb="00F3F4F6"/>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9">
    <xf numFmtId="0" fontId="0" fillId="0" borderId="0" pivotButton="0" quotePrefix="0" xfId="0"/>
    <xf numFmtId="0" fontId="3"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6"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5" borderId="0" applyAlignment="1" pivotButton="0" quotePrefix="0" xfId="0">
      <alignment horizontal="left" vertical="top" wrapText="1"/>
    </xf>
    <xf numFmtId="0" fontId="0" fillId="5"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top" wrapText="1"/>
    </xf>
    <xf numFmtId="0" fontId="1" fillId="3" borderId="1" applyAlignment="1" pivotButton="0" quotePrefix="0" xfId="0">
      <alignment horizontal="center" vertical="center" wrapText="1"/>
    </xf>
    <xf numFmtId="0" fontId="2" fillId="4" borderId="1" applyAlignment="1" applyProtection="1" pivotButton="0" quotePrefix="0" xfId="0">
      <alignment horizontal="left" vertical="center" wrapText="1"/>
      <protection locked="0" hidden="0"/>
    </xf>
    <xf numFmtId="49" fontId="2" fillId="4" borderId="1" applyAlignment="1" applyProtection="1" pivotButton="0" quotePrefix="0" xfId="0">
      <alignment horizontal="center" vertical="center" wrapText="1"/>
      <protection locked="0" hidden="0"/>
    </xf>
    <xf numFmtId="9"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164" fontId="2" fillId="4" borderId="1" applyAlignment="1" applyProtection="1" pivotButton="0" quotePrefix="0" xfId="0">
      <alignment horizontal="right" vertical="center"/>
      <protection locked="0" hidden="0"/>
    </xf>
    <xf numFmtId="0" fontId="4" fillId="4" borderId="1" applyAlignment="1" applyProtection="1" pivotButton="0" quotePrefix="0" xfId="0">
      <alignment horizontal="left" vertical="center" wrapText="1"/>
      <protection locked="0" hidden="0"/>
    </xf>
    <xf numFmtId="0" fontId="4" fillId="0" borderId="0" pivotButton="0" quotePrefix="0" xfId="0"/>
    <xf numFmtId="0" fontId="2" fillId="0" borderId="0" pivotButton="0" quotePrefix="0" xfId="0"/>
    <xf numFmtId="0" fontId="5" fillId="6" borderId="1" applyAlignment="1" pivotButton="0" quotePrefix="0" xfId="0">
      <alignment horizontal="left" vertical="center" wrapText="1"/>
    </xf>
    <xf numFmtId="0" fontId="0" fillId="6" borderId="1" pivotButton="0" quotePrefix="0" xfId="0"/>
    <xf numFmtId="0" fontId="4" fillId="0" borderId="0" applyAlignment="1" pivotButton="0" quotePrefix="0" xfId="0">
      <alignment horizontal="left" vertical="center" wrapText="1"/>
    </xf>
    <xf numFmtId="0" fontId="6"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0" fontId="8" fillId="2" borderId="0" applyAlignment="1" pivotButton="0" quotePrefix="0" xfId="0">
      <alignment horizontal="center" vertical="center" wrapText="1"/>
    </xf>
    <xf numFmtId="49" fontId="2" fillId="4" borderId="1" applyAlignment="1" applyProtection="1" pivotButton="0" quotePrefix="0" xfId="0">
      <alignment horizontal="left" vertical="center" wrapText="1"/>
      <protection locked="0" hidden="0"/>
    </xf>
    <xf numFmtId="165" fontId="2" fillId="4" borderId="1" applyAlignment="1" applyProtection="1" pivotButton="0" quotePrefix="0" xfId="0">
      <alignment horizontal="center" vertical="center" wrapText="1"/>
      <protection locked="0" hidden="0"/>
    </xf>
    <xf numFmtId="0" fontId="2" fillId="0" borderId="1" applyAlignment="1" pivotButton="0" quotePrefix="0" xfId="0">
      <alignment horizontal="center" vertical="center" wrapText="1"/>
    </xf>
    <xf numFmtId="166" fontId="2" fillId="4" borderId="1" applyAlignment="1" applyProtection="1" pivotButton="0" quotePrefix="0" xfId="0">
      <alignment horizontal="right" vertical="center"/>
      <protection locked="0" hidden="0"/>
    </xf>
    <xf numFmtId="164" fontId="2" fillId="0" borderId="1" applyAlignment="1" pivotButton="0" quotePrefix="0" xfId="0">
      <alignment horizontal="right" vertical="center"/>
    </xf>
    <xf numFmtId="167" fontId="2" fillId="4" borderId="1" applyAlignment="1" applyProtection="1" pivotButton="0" quotePrefix="0" xfId="0">
      <alignment horizontal="center" vertical="center" wrapText="1"/>
      <protection locked="0" hidden="0"/>
    </xf>
    <xf numFmtId="9" fontId="2" fillId="0" borderId="1" applyAlignment="1" pivotButton="0" quotePrefix="0" xfId="0">
      <alignment horizontal="center" vertical="center" wrapText="1"/>
    </xf>
    <xf numFmtId="168" fontId="2" fillId="0" borderId="1" applyAlignment="1" pivotButton="0" quotePrefix="0" xfId="0">
      <alignment horizontal="right" vertical="center"/>
    </xf>
    <xf numFmtId="168" fontId="5" fillId="0" borderId="1" applyAlignment="1" pivotButton="0" quotePrefix="0" xfId="0">
      <alignment horizontal="right" vertical="center"/>
    </xf>
    <xf numFmtId="0" fontId="1" fillId="3" borderId="1" applyAlignment="1" pivotButton="0" quotePrefix="0" xfId="0">
      <alignment horizontal="left" vertical="center" wrapText="1"/>
    </xf>
    <xf numFmtId="169" fontId="2" fillId="0" borderId="1" applyAlignment="1" pivotButton="0" quotePrefix="0" xfId="0">
      <alignment horizontal="right" vertical="center"/>
    </xf>
    <xf numFmtId="170" fontId="2" fillId="0" borderId="1" applyAlignment="1" pivotButton="0" quotePrefix="0" xfId="0">
      <alignment horizontal="right" vertical="center"/>
    </xf>
    <xf numFmtId="168" fontId="7" fillId="0" borderId="1" applyAlignment="1" pivotButton="0" quotePrefix="0" xfId="0">
      <alignment horizontal="right" vertical="center"/>
    </xf>
    <xf numFmtId="0" fontId="2" fillId="0" borderId="1" applyAlignment="1" pivotButton="0" quotePrefix="0" xfId="0">
      <alignment horizontal="left" vertical="center" wrapText="1"/>
    </xf>
    <xf numFmtId="0" fontId="5" fillId="0" borderId="0" applyAlignment="1" pivotButton="0" quotePrefix="0" xfId="0">
      <alignment horizontal="left" vertical="center" wrapText="1"/>
    </xf>
    <xf numFmtId="0" fontId="5" fillId="0" borderId="0" applyAlignment="1" pivotButton="0" quotePrefix="0" xfId="0">
      <alignment horizontal="center" vertical="center" wrapText="1"/>
    </xf>
    <xf numFmtId="0" fontId="4" fillId="4" borderId="1" applyAlignment="1" applyProtection="1" pivotButton="0" quotePrefix="0" xfId="0">
      <alignment horizontal="left" vertical="top" wrapText="1"/>
      <protection locked="0" hidden="0"/>
    </xf>
    <xf numFmtId="0" fontId="2" fillId="0" borderId="0" applyAlignment="1" pivotButton="0" quotePrefix="0" xfId="0">
      <alignment horizontal="center" vertical="center" wrapText="1"/>
    </xf>
    <xf numFmtId="0" fontId="9"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 fillId="3" borderId="0" applyAlignment="1" pivotButton="0" quotePrefix="0" xfId="0">
      <alignment horizontal="left" vertical="center"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Clothing and Garment Shop Bill Format</t>
        </is>
      </c>
    </row>
    <row r="3" ht="36" customHeight="1">
      <c r="B3" s="2" t="inlineStr">
        <is>
          <t>A GST bill for a clothing, saree or footwear shop, with each piece rated on its own price after discount</t>
        </is>
      </c>
    </row>
    <row r="4"/>
    <row r="5" ht="19" customHeight="1">
      <c r="B5" s="3" t="inlineStr">
        <is>
          <t xml:space="preserve">  READ THIS FIRST</t>
        </is>
      </c>
      <c r="C5" s="4" t="n"/>
    </row>
    <row r="6" ht="44" customHeight="1">
      <c r="B6" s="5" t="inlineStr">
        <is>
          <t>The rate follows each piece</t>
        </is>
      </c>
      <c r="C6" s="6" t="inlineStr">
        <is>
          <t>Garments, made-ups and footwear are 5% up to ₹2,500 a piece or pair, and 18% above, from 22-Sep-2025. The test is per piece, never on the bill total. The Bill sets the rate for each line from its price.</t>
        </is>
      </c>
    </row>
    <row r="7" ht="57" customHeight="1">
      <c r="B7" s="5" t="inlineStr">
        <is>
          <t>A discount on the bill counts</t>
        </is>
      </c>
      <c r="C7" s="6" t="inlineStr">
        <is>
          <t>A discount shown on the bill lowers the value (CGST Act, s.15(3)(a)), and can bring a piece under ₹2,500. Enter it in the Discount % column. A discount given at the counter but not shown on the bill does not lower the value. A discount given after the sale needs a credit note (s.15(3)(b)): ask your accountant.</t>
        </is>
      </c>
    </row>
    <row r="8" ht="31" customHeight="1">
      <c r="B8" s="5" t="inlineStr">
        <is>
          <t>Leather is 18% at any price</t>
        </is>
      </c>
      <c r="C8" s="6" t="inlineStr">
        <is>
          <t>Leather jackets and belts (4203) are not under the ₹2,500 line. Fabric by the metre is 5%.</t>
        </is>
      </c>
    </row>
    <row r="9" ht="31" customHeight="1">
      <c r="B9" s="5" t="inlineStr">
        <is>
          <t>A real bill for a real sale</t>
        </is>
      </c>
      <c r="C9" s="6" t="inlineStr">
        <is>
          <t>Use this only for goods you actually sold, at the price actually paid: issuing a bill without a sale is an offence under section 122(1)(ii) of the CGST Act.</t>
        </is>
      </c>
    </row>
    <row r="10"/>
    <row r="11" ht="19" customHeight="1">
      <c r="B11" s="3" t="inlineStr">
        <is>
          <t xml:space="preserve">  WHAT IS IN THIS WORKBOOK</t>
        </is>
      </c>
      <c r="C11" s="4" t="n"/>
    </row>
    <row r="12" ht="57" customHeight="1">
      <c r="B12" s="5" t="inlineStr">
        <is>
          <t>Item List</t>
        </is>
      </c>
      <c r="C12" s="6" t="inlineStr">
        <is>
          <t>Your price list: item, HSN, GST rate, whether it is sold by the piece, pair, set or metre, and the price including GST. Twelve common items are filled in, each with the source of its rate; change the prices and add your own, up to 60. For garments and footwear, leave the rate blank.</t>
        </is>
      </c>
    </row>
    <row r="13" ht="44" customHeight="1">
      <c r="B13" s="5" t="inlineStr">
        <is>
          <t>Bill</t>
        </is>
      </c>
      <c r="C13" s="6" t="inlineStr">
        <is>
          <t>The bill: your shop's details and the customer's, up to 12 lines picked from the Item List with a discount on each, a GST summary by rate, round off, the amount in words, and a check list below the print area.</t>
        </is>
      </c>
    </row>
    <row r="14" ht="18" customHeight="1">
      <c r="B14" s="5" t="inlineStr">
        <is>
          <t>Bill Rules</t>
        </is>
      </c>
      <c r="C14" s="6" t="inlineStr">
        <is>
          <t>The thirteen provisions behind the bill and the checks, quoted or summarised.</t>
        </is>
      </c>
    </row>
    <row r="15" ht="44" customHeight="1">
      <c r="B15" s="5" t="inlineStr">
        <is>
          <t>Example Bill</t>
        </is>
      </c>
      <c r="C15" s="6" t="inlineStr">
        <is>
          <t>A made-up clothing shop in Jaipur: two kurtas, jeans, a blazer at 20% off, a lehenga, sandals and a leather belt on one tax invoice, ₹14,593 payable. The blazer's discount takes it to 5%; the lehenga and the belt are 18%.</t>
        </is>
      </c>
    </row>
    <row r="16"/>
    <row r="17" ht="19" customHeight="1">
      <c r="B17" s="3" t="inlineStr">
        <is>
          <t xml:space="preserve">  HOW TO USE IT</t>
        </is>
      </c>
      <c r="C17" s="4" t="n"/>
    </row>
    <row r="18" ht="31" customHeight="1">
      <c r="B18" s="5" t="inlineStr">
        <is>
          <t>Step 1</t>
        </is>
      </c>
      <c r="C18" s="6" t="inlineStr">
        <is>
          <t>Open the Example Bill first. It shows pieces at 5% and 18% on one bill, and a discount that changes a rate.</t>
        </is>
      </c>
    </row>
    <row r="19" ht="44" customHeight="1">
      <c r="B19" s="5" t="inlineStr">
        <is>
          <t>Step 2</t>
        </is>
      </c>
      <c r="C19" s="6" t="inlineStr">
        <is>
          <t>On the Item List, change the prices to yours (including GST) and add the items you sell, each with its HSN code. For HSN chapters 61, 62, 63 and 64, leave the GST rate blank; for anything else, enter its rate.</t>
        </is>
      </c>
    </row>
    <row r="20" ht="44" customHeight="1">
      <c r="B20" s="5" t="inlineStr">
        <is>
          <t>Step 3</t>
        </is>
      </c>
      <c r="C20" s="6" t="inlineStr">
        <is>
          <t>On the Bill, answer the two questions at the top: whether you are under composition, and whether your turnover last year was above ₹5 crore. Then fill your shop's name, address, GSTIN and state once.</t>
        </is>
      </c>
    </row>
    <row r="21" ht="31" customHeight="1">
      <c r="B21" s="5" t="inlineStr">
        <is>
          <t>Step 4</t>
        </is>
      </c>
      <c r="C21" s="6" t="inlineStr">
        <is>
          <t>For each sale, enter the bill number and date. For a walk-in customer, a name is enough; for a registered business, enter its GSTIN.</t>
        </is>
      </c>
    </row>
    <row r="22" ht="44" customHeight="1">
      <c r="B22" s="5" t="inlineStr">
        <is>
          <t>Step 5</t>
        </is>
      </c>
      <c r="C22" s="6" t="inlineStr">
        <is>
          <t>Pick each item from the drop-down and enter the quantity. The price comes from the Item List. For a discount, type it in the Discount % column, for example 20%: it prints on the bill.</t>
        </is>
      </c>
    </row>
    <row r="23" ht="31" customHeight="1">
      <c r="B23" s="5" t="inlineStr">
        <is>
          <t>Step 6</t>
        </is>
      </c>
      <c r="C23" s="6" t="inlineStr">
        <is>
          <t>Read the check list and notes below the bill. When it says All checks OK, print the bill and sign it.</t>
        </is>
      </c>
    </row>
    <row r="24" ht="57" customHeight="1">
      <c r="B24" s="5" t="inlineStr">
        <is>
          <t>Step 7</t>
        </is>
      </c>
      <c r="C24" s="6" t="inlineStr">
        <is>
          <t>For the next sale, save a copy of the file or keep a printed copy. Then clear the customer, item, quantity and discount cells (select the yellow cells and press Delete) before entering the next bill number, so nothing carries over. Bill numbers must be consecutive and unique for the financial year; you may run more than one series (Rule 46(b)).</t>
        </is>
      </c>
    </row>
    <row r="25" ht="31" customHeight="1">
      <c r="B25" s="5" t="inlineStr">
        <is>
          <t>Step 8</t>
        </is>
      </c>
      <c r="C25" s="6" t="inlineStr">
        <is>
          <t>For small walk-in sales under ₹200 where the customer does not want a bill, keep a day-end consolidated invoice instead. Our cash memo format has a sheet for it.</t>
        </is>
      </c>
    </row>
    <row r="26"/>
    <row r="27" ht="19" customHeight="1">
      <c r="B27" s="3" t="inlineStr">
        <is>
          <t xml:space="preserve">  WHAT THIS WORKBOOK DOES NOT DO</t>
        </is>
      </c>
      <c r="C27" s="4" t="n"/>
    </row>
    <row r="28" ht="18" customHeight="1">
      <c r="B28" s="6" t="inlineStr">
        <is>
          <t>•  It is not billing software: it holds one bill at a time and does not keep a sales register or file returns.</t>
        </is>
      </c>
      <c r="C28" s="7" t="n"/>
    </row>
    <row r="29" ht="31" customHeight="1">
      <c r="B29" s="6" t="inlineStr">
        <is>
          <t>•  It does not handle returns or exchanges. A return of a taxed piece is usually handled with a credit note, which section 34 of the CGST Act allows; ask your accountant.</t>
        </is>
      </c>
      <c r="C29" s="7" t="n"/>
    </row>
    <row r="30" ht="18" customHeight="1">
      <c r="B30" s="6" t="inlineStr">
        <is>
          <t>•  It does not know the rate of an item outside chapters 61 to 64. Check its HSN and rate before you add it.</t>
        </is>
      </c>
      <c r="C30" s="7" t="n"/>
    </row>
    <row r="31" ht="44" customHeight="1">
      <c r="B31" s="6" t="inlineStr">
        <is>
          <t>•  It does not make an e-invoice. If your aggregate turnover (all GSTINs on your PAN) has crossed ₹5 crore in any year since 2017-18, you generally have to e-invoice sales to registered buyers (Notification 13/2020-Central Tax, as amended); some sectors are exempt, so ask your accountant.</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G6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2" customWidth="1" min="3" max="3"/>
    <col width="9" customWidth="1" min="4" max="4"/>
    <col width="10" customWidth="1" min="5" max="5"/>
    <col width="14" customWidth="1" min="6" max="6"/>
    <col width="52" customWidth="1" min="7" max="7"/>
    <col width="2" customWidth="1" min="8" max="8"/>
  </cols>
  <sheetData>
    <row r="1"/>
    <row r="2" ht="26" customHeight="1">
      <c r="B2" s="1" t="inlineStr">
        <is>
          <t>ITEM LIST  (your price list: the Bill looks items up here)</t>
        </is>
      </c>
    </row>
    <row r="3" ht="28" customHeight="1">
      <c r="B3" s="11" t="inlineStr">
        <is>
          <t>Change the prices to yours and add your own items, each with its HSN code and GST rate. The rows filled in are common clothing items; garments and footwear have no rate here because the Bill sets it per piece; check the rate of anything you add.</t>
        </is>
      </c>
    </row>
    <row r="4"/>
    <row r="5" ht="48" customHeight="1">
      <c r="B5" s="12" t="inlineStr">
        <is>
          <t>Item</t>
        </is>
      </c>
      <c r="C5" s="12" t="inlineStr">
        <is>
          <t>HSN</t>
        </is>
      </c>
      <c r="D5" s="12" t="inlineStr">
        <is>
          <t>GST rate</t>
        </is>
      </c>
      <c r="E5" s="12" t="inlineStr">
        <is>
          <t>Sold by</t>
        </is>
      </c>
      <c r="F5" s="12" t="inlineStr">
        <is>
          <t>Price per unit, incl. GST</t>
        </is>
      </c>
      <c r="G5" s="12" t="inlineStr">
        <is>
          <t>Where the rate comes from</t>
        </is>
      </c>
    </row>
    <row r="6" ht="28" customHeight="1">
      <c r="B6" s="13" t="inlineStr">
        <is>
          <t>Cotton shirt</t>
        </is>
      </c>
      <c r="C6" s="14" t="inlineStr">
        <is>
          <t>6205</t>
        </is>
      </c>
      <c r="D6" s="15" t="n"/>
      <c r="E6" s="16" t="inlineStr">
        <is>
          <t>piece</t>
        </is>
      </c>
      <c r="F6" s="17" t="n">
        <v>1299</v>
      </c>
      <c r="G6" s="18" t="inlineStr">
        <is>
          <t>Apparel, not knitted (62): 5% to ₹2,500 a piece (Sch I 389), 18% above (Sch II 198)</t>
        </is>
      </c>
    </row>
    <row r="7" ht="28" customHeight="1">
      <c r="B7" s="13" t="inlineStr">
        <is>
          <t>T-shirt</t>
        </is>
      </c>
      <c r="C7" s="14" t="inlineStr">
        <is>
          <t>6109</t>
        </is>
      </c>
      <c r="D7" s="15" t="n"/>
      <c r="E7" s="16" t="inlineStr">
        <is>
          <t>piece</t>
        </is>
      </c>
      <c r="F7" s="17" t="n">
        <v>599</v>
      </c>
      <c r="G7" s="18" t="inlineStr">
        <is>
          <t>Knitted apparel (61): 5% to ₹2,500 a piece (Sch I 388), 18% above (Sch II 197)</t>
        </is>
      </c>
    </row>
    <row r="8" ht="28" customHeight="1">
      <c r="B8" s="13" t="inlineStr">
        <is>
          <t>Jeans</t>
        </is>
      </c>
      <c r="C8" s="14" t="inlineStr">
        <is>
          <t>6203</t>
        </is>
      </c>
      <c r="D8" s="15" t="n"/>
      <c r="E8" s="16" t="inlineStr">
        <is>
          <t>piece</t>
        </is>
      </c>
      <c r="F8" s="17" t="n">
        <v>1999</v>
      </c>
      <c r="G8" s="18" t="inlineStr">
        <is>
          <t>Apparel, not knitted (62): 5% to ₹2,500 a piece (Sch I 389), 18% above (Sch II 198)</t>
        </is>
      </c>
    </row>
    <row r="9" ht="28" customHeight="1">
      <c r="B9" s="13" t="inlineStr">
        <is>
          <t>Kurta</t>
        </is>
      </c>
      <c r="C9" s="14" t="inlineStr">
        <is>
          <t>6204</t>
        </is>
      </c>
      <c r="D9" s="15" t="n"/>
      <c r="E9" s="16" t="inlineStr">
        <is>
          <t>piece</t>
        </is>
      </c>
      <c r="F9" s="17" t="n">
        <v>1499</v>
      </c>
      <c r="G9" s="18" t="inlineStr">
        <is>
          <t>Apparel, not knitted (62): 5% to ₹2,500 a piece (Sch I 389), 18% above (Sch II 198)</t>
        </is>
      </c>
    </row>
    <row r="10" ht="28" customHeight="1">
      <c r="B10" s="13" t="inlineStr">
        <is>
          <t>Lehenga</t>
        </is>
      </c>
      <c r="C10" s="14" t="inlineStr">
        <is>
          <t>6204</t>
        </is>
      </c>
      <c r="D10" s="15" t="n"/>
      <c r="E10" s="16" t="inlineStr">
        <is>
          <t>piece</t>
        </is>
      </c>
      <c r="F10" s="17" t="n">
        <v>4999</v>
      </c>
      <c r="G10" s="18" t="inlineStr">
        <is>
          <t>Apparel, not knitted (62): 5% to ₹2,500 a piece (Sch I 389), 18% above (Sch II 198)</t>
        </is>
      </c>
    </row>
    <row r="11" ht="28" customHeight="1">
      <c r="B11" s="13" t="inlineStr">
        <is>
          <t>Blazer</t>
        </is>
      </c>
      <c r="C11" s="14" t="inlineStr">
        <is>
          <t>6203</t>
        </is>
      </c>
      <c r="D11" s="15" t="n"/>
      <c r="E11" s="16" t="inlineStr">
        <is>
          <t>piece</t>
        </is>
      </c>
      <c r="F11" s="17" t="n">
        <v>2999</v>
      </c>
      <c r="G11" s="18" t="inlineStr">
        <is>
          <t>Apparel, not knitted (62): 5% to ₹2,500 a piece (Sch I 389), 18% above (Sch II 198)</t>
        </is>
      </c>
    </row>
    <row r="12" ht="28" customHeight="1">
      <c r="B12" s="13" t="inlineStr">
        <is>
          <t>Kids frock</t>
        </is>
      </c>
      <c r="C12" s="14" t="inlineStr">
        <is>
          <t>6204</t>
        </is>
      </c>
      <c r="D12" s="15" t="n"/>
      <c r="E12" s="16" t="inlineStr">
        <is>
          <t>piece</t>
        </is>
      </c>
      <c r="F12" s="17" t="n">
        <v>699</v>
      </c>
      <c r="G12" s="18" t="inlineStr">
        <is>
          <t>Apparel, not knitted (62): 5% to ₹2,500 a piece (Sch I 389), 18% above (Sch II 198)</t>
        </is>
      </c>
    </row>
    <row r="13" ht="28" customHeight="1">
      <c r="B13" s="13" t="inlineStr">
        <is>
          <t>Socks</t>
        </is>
      </c>
      <c r="C13" s="14" t="inlineStr">
        <is>
          <t>6115</t>
        </is>
      </c>
      <c r="D13" s="15" t="n"/>
      <c r="E13" s="16" t="inlineStr">
        <is>
          <t>pair</t>
        </is>
      </c>
      <c r="F13" s="17" t="n">
        <v>149</v>
      </c>
      <c r="G13" s="18" t="inlineStr">
        <is>
          <t>Knitted apparel (61): 5% to ₹2,500 a piece (Sch I 388), 18% above (Sch II 197)</t>
        </is>
      </c>
    </row>
    <row r="14" ht="28" customHeight="1">
      <c r="B14" s="13" t="inlineStr">
        <is>
          <t>Dupatta</t>
        </is>
      </c>
      <c r="C14" s="14" t="inlineStr">
        <is>
          <t>6214</t>
        </is>
      </c>
      <c r="D14" s="15" t="n"/>
      <c r="E14" s="16" t="inlineStr">
        <is>
          <t>piece</t>
        </is>
      </c>
      <c r="F14" s="17" t="n">
        <v>399</v>
      </c>
      <c r="G14" s="18" t="inlineStr">
        <is>
          <t>Apparel, not knitted (62): 5% to ₹2,500 a piece (Sch I 389), 18% above (Sch II 198)</t>
        </is>
      </c>
    </row>
    <row r="15" ht="28" customHeight="1">
      <c r="B15" s="13" t="inlineStr">
        <is>
          <t>Sandals</t>
        </is>
      </c>
      <c r="C15" s="14" t="inlineStr">
        <is>
          <t>6402</t>
        </is>
      </c>
      <c r="D15" s="15" t="n"/>
      <c r="E15" s="16" t="inlineStr">
        <is>
          <t>pair</t>
        </is>
      </c>
      <c r="F15" s="17" t="n">
        <v>1299</v>
      </c>
      <c r="G15" s="18" t="inlineStr">
        <is>
          <t>Footwear (64): 5% to ₹2,500 a pair (Sch I 392), 18% above (Sch II 202-206)</t>
        </is>
      </c>
    </row>
    <row r="16" ht="18" customHeight="1">
      <c r="B16" s="13" t="inlineStr">
        <is>
          <t>Cotton fabric (per metre)</t>
        </is>
      </c>
      <c r="C16" s="14" t="inlineStr">
        <is>
          <t>5208</t>
        </is>
      </c>
      <c r="D16" s="15" t="n">
        <v>0.05</v>
      </c>
      <c r="E16" s="16" t="inlineStr">
        <is>
          <t>metre</t>
        </is>
      </c>
      <c r="F16" s="17" t="n">
        <v>180</v>
      </c>
      <c r="G16" s="18" t="inlineStr">
        <is>
          <t>Woven cotton fabrics: 5%, Schedule I entry 334</t>
        </is>
      </c>
    </row>
    <row r="17" ht="28" customHeight="1">
      <c r="B17" s="13" t="inlineStr">
        <is>
          <t>Leather belt</t>
        </is>
      </c>
      <c r="C17" s="14" t="inlineStr">
        <is>
          <t>4203</t>
        </is>
      </c>
      <c r="D17" s="15" t="n">
        <v>0.18</v>
      </c>
      <c r="E17" s="16" t="inlineStr">
        <is>
          <t>piece</t>
        </is>
      </c>
      <c r="F17" s="17" t="n">
        <v>899</v>
      </c>
      <c r="G17" s="18" t="inlineStr">
        <is>
          <t>Leather apparel and accessories: 18% at any price, Schedule II entry 146</t>
        </is>
      </c>
    </row>
    <row r="18">
      <c r="B18" s="13" t="n"/>
      <c r="C18" s="14" t="n"/>
      <c r="D18" s="15" t="n"/>
      <c r="E18" s="16" t="n"/>
      <c r="F18" s="17" t="n"/>
      <c r="G18" s="18" t="n"/>
    </row>
    <row r="19">
      <c r="B19" s="13" t="n"/>
      <c r="C19" s="14" t="n"/>
      <c r="D19" s="15" t="n"/>
      <c r="E19" s="16" t="n"/>
      <c r="F19" s="17" t="n"/>
      <c r="G19" s="18" t="n"/>
    </row>
    <row r="20">
      <c r="B20" s="13" t="n"/>
      <c r="C20" s="14" t="n"/>
      <c r="D20" s="15" t="n"/>
      <c r="E20" s="16" t="n"/>
      <c r="F20" s="17" t="n"/>
      <c r="G20" s="18" t="n"/>
    </row>
    <row r="21">
      <c r="B21" s="13" t="n"/>
      <c r="C21" s="14" t="n"/>
      <c r="D21" s="15" t="n"/>
      <c r="E21" s="16" t="n"/>
      <c r="F21" s="17" t="n"/>
      <c r="G21" s="18" t="n"/>
    </row>
    <row r="22">
      <c r="B22" s="13" t="n"/>
      <c r="C22" s="14" t="n"/>
      <c r="D22" s="15" t="n"/>
      <c r="E22" s="16" t="n"/>
      <c r="F22" s="17" t="n"/>
      <c r="G22" s="18" t="n"/>
    </row>
    <row r="23">
      <c r="B23" s="13" t="n"/>
      <c r="C23" s="14" t="n"/>
      <c r="D23" s="15" t="n"/>
      <c r="E23" s="16" t="n"/>
      <c r="F23" s="17" t="n"/>
      <c r="G23" s="18" t="n"/>
    </row>
    <row r="24">
      <c r="B24" s="13" t="n"/>
      <c r="C24" s="14" t="n"/>
      <c r="D24" s="15" t="n"/>
      <c r="E24" s="16" t="n"/>
      <c r="F24" s="17" t="n"/>
      <c r="G24" s="18" t="n"/>
    </row>
    <row r="25">
      <c r="B25" s="13" t="n"/>
      <c r="C25" s="14" t="n"/>
      <c r="D25" s="15" t="n"/>
      <c r="E25" s="16" t="n"/>
      <c r="F25" s="17" t="n"/>
      <c r="G25" s="18" t="n"/>
    </row>
    <row r="26">
      <c r="B26" s="13" t="n"/>
      <c r="C26" s="14" t="n"/>
      <c r="D26" s="15" t="n"/>
      <c r="E26" s="16" t="n"/>
      <c r="F26" s="17" t="n"/>
      <c r="G26" s="18" t="n"/>
    </row>
    <row r="27">
      <c r="B27" s="13" t="n"/>
      <c r="C27" s="14" t="n"/>
      <c r="D27" s="15" t="n"/>
      <c r="E27" s="16" t="n"/>
      <c r="F27" s="17" t="n"/>
      <c r="G27" s="18" t="n"/>
    </row>
    <row r="28">
      <c r="B28" s="13" t="n"/>
      <c r="C28" s="14" t="n"/>
      <c r="D28" s="15" t="n"/>
      <c r="E28" s="16" t="n"/>
      <c r="F28" s="17" t="n"/>
      <c r="G28" s="18" t="n"/>
    </row>
    <row r="29">
      <c r="B29" s="13" t="n"/>
      <c r="C29" s="14" t="n"/>
      <c r="D29" s="15" t="n"/>
      <c r="E29" s="16" t="n"/>
      <c r="F29" s="17" t="n"/>
      <c r="G29" s="18" t="n"/>
    </row>
    <row r="30">
      <c r="B30" s="13" t="n"/>
      <c r="C30" s="14" t="n"/>
      <c r="D30" s="15" t="n"/>
      <c r="E30" s="16" t="n"/>
      <c r="F30" s="17" t="n"/>
      <c r="G30" s="18" t="n"/>
    </row>
    <row r="31">
      <c r="B31" s="13" t="n"/>
      <c r="C31" s="14" t="n"/>
      <c r="D31" s="15" t="n"/>
      <c r="E31" s="16" t="n"/>
      <c r="F31" s="17" t="n"/>
      <c r="G31" s="18" t="n"/>
    </row>
    <row r="32">
      <c r="B32" s="13" t="n"/>
      <c r="C32" s="14" t="n"/>
      <c r="D32" s="15" t="n"/>
      <c r="E32" s="16" t="n"/>
      <c r="F32" s="17" t="n"/>
      <c r="G32" s="18" t="n"/>
    </row>
    <row r="33">
      <c r="B33" s="13" t="n"/>
      <c r="C33" s="14" t="n"/>
      <c r="D33" s="15" t="n"/>
      <c r="E33" s="16" t="n"/>
      <c r="F33" s="17" t="n"/>
      <c r="G33" s="18" t="n"/>
    </row>
    <row r="34">
      <c r="B34" s="13" t="n"/>
      <c r="C34" s="14" t="n"/>
      <c r="D34" s="15" t="n"/>
      <c r="E34" s="16" t="n"/>
      <c r="F34" s="17" t="n"/>
      <c r="G34" s="18" t="n"/>
    </row>
    <row r="35">
      <c r="B35" s="13" t="n"/>
      <c r="C35" s="14" t="n"/>
      <c r="D35" s="15" t="n"/>
      <c r="E35" s="16" t="n"/>
      <c r="F35" s="17" t="n"/>
      <c r="G35" s="18" t="n"/>
    </row>
    <row r="36">
      <c r="B36" s="13" t="n"/>
      <c r="C36" s="14" t="n"/>
      <c r="D36" s="15" t="n"/>
      <c r="E36" s="16" t="n"/>
      <c r="F36" s="17" t="n"/>
      <c r="G36" s="18" t="n"/>
    </row>
    <row r="37">
      <c r="B37" s="13" t="n"/>
      <c r="C37" s="14" t="n"/>
      <c r="D37" s="15" t="n"/>
      <c r="E37" s="16" t="n"/>
      <c r="F37" s="17" t="n"/>
      <c r="G37" s="18" t="n"/>
    </row>
    <row r="38">
      <c r="B38" s="13" t="n"/>
      <c r="C38" s="14" t="n"/>
      <c r="D38" s="15" t="n"/>
      <c r="E38" s="16" t="n"/>
      <c r="F38" s="17" t="n"/>
      <c r="G38" s="18" t="n"/>
    </row>
    <row r="39">
      <c r="B39" s="13" t="n"/>
      <c r="C39" s="14" t="n"/>
      <c r="D39" s="15" t="n"/>
      <c r="E39" s="16" t="n"/>
      <c r="F39" s="17" t="n"/>
      <c r="G39" s="18" t="n"/>
    </row>
    <row r="40">
      <c r="B40" s="13" t="n"/>
      <c r="C40" s="14" t="n"/>
      <c r="D40" s="15" t="n"/>
      <c r="E40" s="16" t="n"/>
      <c r="F40" s="17" t="n"/>
      <c r="G40" s="18" t="n"/>
    </row>
    <row r="41">
      <c r="B41" s="13" t="n"/>
      <c r="C41" s="14" t="n"/>
      <c r="D41" s="15" t="n"/>
      <c r="E41" s="16" t="n"/>
      <c r="F41" s="17" t="n"/>
      <c r="G41" s="18" t="n"/>
    </row>
    <row r="42">
      <c r="B42" s="13" t="n"/>
      <c r="C42" s="14" t="n"/>
      <c r="D42" s="15" t="n"/>
      <c r="E42" s="16" t="n"/>
      <c r="F42" s="17" t="n"/>
      <c r="G42" s="18" t="n"/>
    </row>
    <row r="43">
      <c r="B43" s="13" t="n"/>
      <c r="C43" s="14" t="n"/>
      <c r="D43" s="15" t="n"/>
      <c r="E43" s="16" t="n"/>
      <c r="F43" s="17" t="n"/>
      <c r="G43" s="18" t="n"/>
    </row>
    <row r="44">
      <c r="B44" s="13" t="n"/>
      <c r="C44" s="14" t="n"/>
      <c r="D44" s="15" t="n"/>
      <c r="E44" s="16" t="n"/>
      <c r="F44" s="17" t="n"/>
      <c r="G44" s="18" t="n"/>
    </row>
    <row r="45">
      <c r="B45" s="13" t="n"/>
      <c r="C45" s="14" t="n"/>
      <c r="D45" s="15" t="n"/>
      <c r="E45" s="16" t="n"/>
      <c r="F45" s="17" t="n"/>
      <c r="G45" s="18" t="n"/>
    </row>
    <row r="46">
      <c r="B46" s="13" t="n"/>
      <c r="C46" s="14" t="n"/>
      <c r="D46" s="15" t="n"/>
      <c r="E46" s="16" t="n"/>
      <c r="F46" s="17" t="n"/>
      <c r="G46" s="18" t="n"/>
    </row>
    <row r="47">
      <c r="B47" s="13" t="n"/>
      <c r="C47" s="14" t="n"/>
      <c r="D47" s="15" t="n"/>
      <c r="E47" s="16" t="n"/>
      <c r="F47" s="17" t="n"/>
      <c r="G47" s="18" t="n"/>
    </row>
    <row r="48">
      <c r="B48" s="13" t="n"/>
      <c r="C48" s="14" t="n"/>
      <c r="D48" s="15" t="n"/>
      <c r="E48" s="16" t="n"/>
      <c r="F48" s="17" t="n"/>
      <c r="G48" s="18" t="n"/>
    </row>
    <row r="49">
      <c r="B49" s="13" t="n"/>
      <c r="C49" s="14" t="n"/>
      <c r="D49" s="15" t="n"/>
      <c r="E49" s="16" t="n"/>
      <c r="F49" s="17" t="n"/>
      <c r="G49" s="18" t="n"/>
    </row>
    <row r="50">
      <c r="B50" s="13" t="n"/>
      <c r="C50" s="14" t="n"/>
      <c r="D50" s="15" t="n"/>
      <c r="E50" s="16" t="n"/>
      <c r="F50" s="17" t="n"/>
      <c r="G50" s="18" t="n"/>
    </row>
    <row r="51">
      <c r="B51" s="13" t="n"/>
      <c r="C51" s="14" t="n"/>
      <c r="D51" s="15" t="n"/>
      <c r="E51" s="16" t="n"/>
      <c r="F51" s="17" t="n"/>
      <c r="G51" s="18" t="n"/>
    </row>
    <row r="52">
      <c r="B52" s="13" t="n"/>
      <c r="C52" s="14" t="n"/>
      <c r="D52" s="15" t="n"/>
      <c r="E52" s="16" t="n"/>
      <c r="F52" s="17" t="n"/>
      <c r="G52" s="18" t="n"/>
    </row>
    <row r="53">
      <c r="B53" s="13" t="n"/>
      <c r="C53" s="14" t="n"/>
      <c r="D53" s="15" t="n"/>
      <c r="E53" s="16" t="n"/>
      <c r="F53" s="17" t="n"/>
      <c r="G53" s="18" t="n"/>
    </row>
    <row r="54">
      <c r="B54" s="13" t="n"/>
      <c r="C54" s="14" t="n"/>
      <c r="D54" s="15" t="n"/>
      <c r="E54" s="16" t="n"/>
      <c r="F54" s="17" t="n"/>
      <c r="G54" s="18" t="n"/>
    </row>
    <row r="55">
      <c r="B55" s="13" t="n"/>
      <c r="C55" s="14" t="n"/>
      <c r="D55" s="15" t="n"/>
      <c r="E55" s="16" t="n"/>
      <c r="F55" s="17" t="n"/>
      <c r="G55" s="18" t="n"/>
    </row>
    <row r="56">
      <c r="B56" s="13" t="n"/>
      <c r="C56" s="14" t="n"/>
      <c r="D56" s="15" t="n"/>
      <c r="E56" s="16" t="n"/>
      <c r="F56" s="17" t="n"/>
      <c r="G56" s="18" t="n"/>
    </row>
    <row r="57">
      <c r="B57" s="13" t="n"/>
      <c r="C57" s="14" t="n"/>
      <c r="D57" s="15" t="n"/>
      <c r="E57" s="16" t="n"/>
      <c r="F57" s="17" t="n"/>
      <c r="G57" s="18" t="n"/>
    </row>
    <row r="58">
      <c r="B58" s="13" t="n"/>
      <c r="C58" s="14" t="n"/>
      <c r="D58" s="15" t="n"/>
      <c r="E58" s="16" t="n"/>
      <c r="F58" s="17" t="n"/>
      <c r="G58" s="18" t="n"/>
    </row>
    <row r="59">
      <c r="B59" s="13" t="n"/>
      <c r="C59" s="14" t="n"/>
      <c r="D59" s="15" t="n"/>
      <c r="E59" s="16" t="n"/>
      <c r="F59" s="17" t="n"/>
      <c r="G59" s="18" t="n"/>
    </row>
    <row r="60">
      <c r="B60" s="13" t="n"/>
      <c r="C60" s="14" t="n"/>
      <c r="D60" s="15" t="n"/>
      <c r="E60" s="16" t="n"/>
      <c r="F60" s="17" t="n"/>
      <c r="G60" s="18" t="n"/>
    </row>
    <row r="61">
      <c r="B61" s="13" t="n"/>
      <c r="C61" s="14" t="n"/>
      <c r="D61" s="15" t="n"/>
      <c r="E61" s="16" t="n"/>
      <c r="F61" s="17" t="n"/>
      <c r="G61" s="18" t="n"/>
    </row>
    <row r="62">
      <c r="B62" s="13" t="n"/>
      <c r="C62" s="14" t="n"/>
      <c r="D62" s="15" t="n"/>
      <c r="E62" s="16" t="n"/>
      <c r="F62" s="17" t="n"/>
      <c r="G62" s="18" t="n"/>
    </row>
    <row r="63">
      <c r="B63" s="13" t="n"/>
      <c r="C63" s="14" t="n"/>
      <c r="D63" s="15" t="n"/>
      <c r="E63" s="16" t="n"/>
      <c r="F63" s="17" t="n"/>
      <c r="G63" s="18" t="n"/>
    </row>
    <row r="64">
      <c r="B64" s="13" t="n"/>
      <c r="C64" s="14" t="n"/>
      <c r="D64" s="15" t="n"/>
      <c r="E64" s="16" t="n"/>
      <c r="F64" s="17" t="n"/>
      <c r="G64" s="18" t="n"/>
    </row>
    <row r="65">
      <c r="B65" s="13" t="n"/>
      <c r="C65" s="14" t="n"/>
      <c r="D65" s="15" t="n"/>
      <c r="E65" s="16" t="n"/>
      <c r="F65" s="17" t="n"/>
      <c r="G65" s="18" t="n"/>
    </row>
    <row r="66"/>
    <row r="67" ht="52" customHeight="1">
      <c r="B67" s="8" t="inlineStr">
        <is>
          <t>Rates as notified from 22-Sep-2025 (Notification 9/2025-Central Tax (Rate)). For HSN chapters 61, 62, 63 and 64 (garments, made-ups and footwear), leave the GST rate blank: the Bill sets 5% or 18% for each piece or pair from its price after discount. Leather apparel (4203) is 18% at any price. Sarees and fabrics follow their own HSN: check yours. The Example Bill uses the first twelve rows: if you rename or delete them, the example shows a message instead. General guidance, not legal or tax advice.</t>
        </is>
      </c>
      <c r="C67" s="9" t="n"/>
      <c r="D67" s="9" t="n"/>
      <c r="E67" s="9" t="n"/>
      <c r="F67" s="9" t="n"/>
      <c r="G67" s="9" t="n"/>
    </row>
    <row r="68"/>
    <row r="69" ht="16" customHeight="1">
      <c r="B6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
    <mergeCell ref="B3:G3"/>
    <mergeCell ref="B2:G2"/>
    <mergeCell ref="B67:G67"/>
    <mergeCell ref="B69:G69"/>
  </mergeCells>
  <dataValidations count="3">
    <dataValidation sqref="D6:D65" showDropDown="0" showInputMessage="0" showErrorMessage="1" allowBlank="1" errorTitle="Pick a rate" error="Pick 0%, 5%, 18% or 40%." type="list">
      <formula1>"0%,5%,18%,40%"</formula1>
    </dataValidation>
    <dataValidation sqref="E6:E65" showDropDown="0" showInputMessage="0" showErrorMessage="1" allowBlank="1" errorTitle="Pick from the list" error="Pick an option from the drop-down list." type="list">
      <formula1>=Lists!$C$2:$C$5</formula1>
    </dataValidation>
    <dataValidation sqref="F6:F65"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AB60"/>
  <sheetViews>
    <sheetView showGridLines="0" workbookViewId="0">
      <selection activeCell="A1" sqref="A1"/>
    </sheetView>
  </sheetViews>
  <sheetFormatPr baseColWidth="8" defaultRowHeight="15"/>
  <cols>
    <col width="2" customWidth="1" min="1" max="1"/>
    <col width="4" customWidth="1" min="2" max="2"/>
    <col width="26" customWidth="1" min="3" max="3"/>
    <col width="8" customWidth="1" min="4" max="4"/>
    <col width="9" customWidth="1" min="5" max="5"/>
    <col width="8" customWidth="1" min="6" max="6"/>
    <col width="11" customWidth="1" min="7" max="7"/>
    <col width="9" customWidth="1" min="8" max="8"/>
    <col width="8" customWidth="1" min="9" max="9"/>
    <col width="12" customWidth="1" min="10" max="10"/>
    <col width="11" customWidth="1" min="11" max="11"/>
    <col width="12" customWidth="1" min="12" max="12"/>
    <col width="2" customWidth="1" min="13" max="13"/>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hidden="1" width="11" customWidth="1" min="27" max="27"/>
    <col hidden="1" width="11" customWidth="1" min="28" max="28"/>
    <col width="11" customWidth="1" min="29" max="29"/>
  </cols>
  <sheetData>
    <row r="2">
      <c r="B2" s="1" t="inlineStr">
        <is>
          <t>CLOTHING AND GARMENT SHOP BILL</t>
        </is>
      </c>
      <c r="Y2" s="19" t="inlineStr">
        <is>
          <t>a</t>
        </is>
      </c>
      <c r="Z2" s="20">
        <f>ROUND(N($L$29),2)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n"/>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L5" s="4" t="n"/>
      <c r="Y5" s="19" t="inlineStr">
        <is>
          <t>th</t>
        </is>
      </c>
      <c r="Z5" s="20">
        <f>INT(MOD(INT($Z$2),100000)/1000)</f>
        <v/>
      </c>
    </row>
    <row r="6">
      <c r="B6" s="21" t="inlineStr">
        <is>
          <t>Address</t>
        </is>
      </c>
      <c r="C6" s="13" t="n"/>
      <c r="D6" s="25" t="n"/>
      <c r="E6" s="25" t="n"/>
      <c r="F6" s="25" t="n"/>
      <c r="G6" s="25" t="n"/>
      <c r="H6" s="21" t="inlineStr">
        <is>
          <t>Bill no.</t>
        </is>
      </c>
      <c r="I6" s="22" t="n"/>
      <c r="J6" s="13" t="n"/>
      <c r="K6" s="25" t="n"/>
      <c r="L6" s="25" t="n"/>
      <c r="Y6" s="19" t="inlineStr">
        <is>
          <t>hu</t>
        </is>
      </c>
      <c r="Z6" s="20">
        <f>INT(MOD(INT($Z$2),1000)/100)</f>
        <v/>
      </c>
    </row>
    <row r="7">
      <c r="B7" s="21" t="inlineStr">
        <is>
          <t>GSTIN</t>
        </is>
      </c>
      <c r="C7" s="27" t="n"/>
      <c r="D7" s="25" t="n"/>
      <c r="E7" s="21" t="inlineStr">
        <is>
          <t>State</t>
        </is>
      </c>
      <c r="F7" s="13" t="n"/>
      <c r="G7" s="25" t="n"/>
      <c r="H7" s="21" t="inlineStr">
        <is>
          <t>Date</t>
        </is>
      </c>
      <c r="I7" s="22" t="n"/>
      <c r="J7" s="28" t="n"/>
      <c r="K7" s="25" t="n"/>
      <c r="L7" s="25" t="n"/>
      <c r="Y7" s="19" t="inlineStr">
        <is>
          <t>te</t>
        </is>
      </c>
      <c r="Z7" s="20">
        <f>MOD(INT($Z$2),100)</f>
        <v/>
      </c>
    </row>
    <row r="8">
      <c r="B8" s="21" t="inlineStr">
        <is>
          <t>Phone</t>
        </is>
      </c>
      <c r="C8" s="13" t="n"/>
      <c r="D8" s="25" t="n"/>
      <c r="E8" s="25" t="n"/>
      <c r="F8" s="25" t="n"/>
      <c r="G8" s="25" t="n"/>
      <c r="H8" s="21" t="inlineStr">
        <is>
          <t>Place of supply</t>
        </is>
      </c>
      <c r="I8" s="22" t="n"/>
      <c r="J8" s="13" t="n"/>
      <c r="K8" s="25" t="n"/>
      <c r="L8" s="25" t="n"/>
      <c r="Y8" s="19" t="inlineStr">
        <is>
          <t>ps</t>
        </is>
      </c>
      <c r="Z8" s="20">
        <f>ROUND(($Z$2-INT($Z$2))*100,0)</f>
        <v/>
      </c>
    </row>
    <row r="9">
      <c r="H9" s="23" t="inlineStr">
        <is>
          <t>Blank means your own state</t>
        </is>
      </c>
    </row>
    <row r="10">
      <c r="B10" s="3" t="inlineStr">
        <is>
          <t xml:space="preserve">  BILL TO</t>
        </is>
      </c>
      <c r="C10" s="4" t="n"/>
      <c r="D10" s="4" t="n"/>
      <c r="E10" s="4" t="n"/>
      <c r="F10" s="4" t="n"/>
      <c r="G10" s="4" t="n"/>
      <c r="H10" s="4" t="n"/>
      <c r="I10" s="4" t="n"/>
      <c r="J10" s="4" t="n"/>
      <c r="K10" s="4" t="n"/>
      <c r="L10" s="4" t="n"/>
    </row>
    <row r="11">
      <c r="B11" s="21" t="inlineStr">
        <is>
          <t>Name</t>
        </is>
      </c>
      <c r="C11" s="13" t="n"/>
      <c r="D11" s="25" t="n"/>
      <c r="E11" s="25" t="n"/>
      <c r="F11" s="25" t="n"/>
      <c r="G11" s="25" t="n"/>
      <c r="H11" s="21" t="inlineStr">
        <is>
          <t>GSTIN (if registered)</t>
        </is>
      </c>
      <c r="I11" s="22" t="n"/>
      <c r="J11" s="27" t="n"/>
      <c r="K11" s="25" t="n"/>
      <c r="L11" s="25" t="n"/>
    </row>
    <row r="12">
      <c r="B12" s="21" t="inlineStr">
        <is>
          <t>Address</t>
        </is>
      </c>
      <c r="C12" s="13" t="n"/>
      <c r="D12" s="25" t="n"/>
      <c r="E12" s="25" t="n"/>
      <c r="F12" s="25" t="n"/>
      <c r="G12" s="25" t="n"/>
      <c r="H12" s="21" t="inlineStr">
        <is>
          <t>Phone</t>
        </is>
      </c>
      <c r="I12" s="22" t="n"/>
      <c r="J12" s="13" t="n"/>
      <c r="K12" s="25" t="n"/>
      <c r="L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(incl. GST)</t>
        </is>
      </c>
      <c r="H14" s="12" t="inlineStr">
        <is>
          <t>Discount %</t>
        </is>
      </c>
      <c r="I14" s="12">
        <f>IF($E$3="Yes","GST % (not charged)","GST %")</f>
        <v/>
      </c>
      <c r="J14" s="12">
        <f>IF($E$3="Yes","Value","Taxable value")</f>
        <v/>
      </c>
      <c r="K14" s="12">
        <f>IF($E$3="Yes","GST (not charged)","GST")</f>
        <v/>
      </c>
      <c r="L14" s="12" t="inlineStr">
        <is>
          <t>Amount</t>
        </is>
      </c>
    </row>
    <row r="15">
      <c r="B15" s="29" t="n">
        <v>1</v>
      </c>
      <c r="C15" s="13" t="n"/>
      <c r="D15" s="29">
        <f>IF(N15=1,VLOOKUP(C15,'Item List'!$B$6:$F$65,4,FALSE)&amp;"","")</f>
        <v/>
      </c>
      <c r="E15" s="29">
        <f>IF(N15=1,VLOOKUP(C15,'Item List'!$B$6:$F$65,2,FALSE)&amp;"","")</f>
        <v/>
      </c>
      <c r="F15" s="30" t="n"/>
      <c r="G15" s="31">
        <f>IF(N15=1,N(VLOOKUP(C15,'Item List'!$B$6:$F$65,5,FALSE)),"")</f>
        <v/>
      </c>
      <c r="H15" s="32" t="n"/>
      <c r="I15" s="33">
        <f>IF(Q15=0,"",P15)</f>
        <v/>
      </c>
      <c r="J15" s="34">
        <f>IF(Q15=0,"",ROUND(R15,2))</f>
        <v/>
      </c>
      <c r="K15" s="34">
        <f>IF(Q15=0,"",ROUND(S15,2))</f>
        <v/>
      </c>
      <c r="L15" s="35">
        <f>IF(Q15=0,"",Q15)</f>
        <v/>
      </c>
      <c r="N15">
        <f>IF(C15="",0,IF(ISNUMBER(MATCH(C15,'Item List'!$B$6:$B$65,0)),1,0))</f>
        <v/>
      </c>
      <c r="O15">
        <f>IF(N15=1,ROUND(N(VLOOKUP(C15,'Item List'!$B$6:$F$65,5,FALSE))*(1-MIN(1,MAX(0,N(H15)))),2),0)</f>
        <v/>
      </c>
      <c r="P15">
        <f>IF(N15=1,IF(W15=1,IF(O15/1.05&lt;=2500,0.05,0.18),N(VLOOKUP(C15,'Item List'!$B$6:$F$65,3,FALSE))),0)</f>
        <v/>
      </c>
      <c r="Q15">
        <f>ROUND(N(F15)*O15,2)</f>
        <v/>
      </c>
      <c r="R15">
        <f>IF(Q15=0,0,IF($E$3="Yes",Q15,Q15/(1+P15)))</f>
        <v/>
      </c>
      <c r="S15">
        <f>Q15-R15</f>
        <v/>
      </c>
      <c r="T15">
        <f>IF(N15=1,LEN(VLOOKUP(C15,'Item List'!$B$6:$F$65,2,FALSE)&amp;""),0)</f>
        <v/>
      </c>
      <c r="U15">
        <f>IF(AND(LEN(C15&amp;"")&gt;0,N15=0),1,0)</f>
        <v/>
      </c>
      <c r="V15">
        <f>IF(AND(N15=1,N(F15)=0),1,0)</f>
        <v/>
      </c>
      <c r="W15">
        <f>IF(N15=1,IF(OR(LEFT(VLOOKUP(C15,'Item List'!$B$6:$F$65,2,FALSE)&amp;"",2)="61",LEFT(VLOOKUP(C15,'Item List'!$B$6:$F$65,2,FALSE)&amp;"",2)="62",LEFT(VLOOKUP(C15,'Item List'!$B$6:$F$65,2,FALSE)&amp;"",2)="63",LEFT(VLOOKUP(C15,'Item List'!$B$6:$F$65,2,FALSE)&amp;"",2)="64"),1,0),0)</f>
        <v/>
      </c>
      <c r="X15">
        <f>IF(AND(W15=1,F15&gt;0,O15/1.05&gt;2500,O15/1.18&lt;=2500),1,0)</f>
        <v/>
      </c>
      <c r="AA15">
        <f>IF(AND(W15=1,N(F15)&gt;0,P15=0.18,X15=0),1,0)</f>
        <v/>
      </c>
      <c r="AB15">
        <f>IF(N15=1,IF(W15=0,IF(VLOOKUP(C15,'Item List'!$B$6:$F$65,3,FALSE)&amp;""="",1,0),0),0)</f>
        <v/>
      </c>
    </row>
    <row r="16">
      <c r="B16" s="29" t="n">
        <v>2</v>
      </c>
      <c r="C16" s="13" t="n"/>
      <c r="D16" s="29">
        <f>IF(N16=1,VLOOKUP(C16,'Item List'!$B$6:$F$65,4,FALSE)&amp;"","")</f>
        <v/>
      </c>
      <c r="E16" s="29">
        <f>IF(N16=1,VLOOKUP(C16,'Item List'!$B$6:$F$65,2,FALSE)&amp;"","")</f>
        <v/>
      </c>
      <c r="F16" s="30" t="n"/>
      <c r="G16" s="31">
        <f>IF(N16=1,N(VLOOKUP(C16,'Item List'!$B$6:$F$65,5,FALSE)),"")</f>
        <v/>
      </c>
      <c r="H16" s="32" t="n"/>
      <c r="I16" s="33">
        <f>IF(Q16=0,"",P16)</f>
        <v/>
      </c>
      <c r="J16" s="34">
        <f>IF(Q16=0,"",ROUND(R16,2))</f>
        <v/>
      </c>
      <c r="K16" s="34">
        <f>IF(Q16=0,"",ROUND(S16,2))</f>
        <v/>
      </c>
      <c r="L16" s="35">
        <f>IF(Q16=0,"",Q16)</f>
        <v/>
      </c>
      <c r="N16">
        <f>IF(C16="",0,IF(ISNUMBER(MATCH(C16,'Item List'!$B$6:$B$65,0)),1,0))</f>
        <v/>
      </c>
      <c r="O16">
        <f>IF(N16=1,ROUND(N(VLOOKUP(C16,'Item List'!$B$6:$F$65,5,FALSE))*(1-MIN(1,MAX(0,N(H16)))),2),0)</f>
        <v/>
      </c>
      <c r="P16">
        <f>IF(N16=1,IF(W16=1,IF(O16/1.05&lt;=2500,0.05,0.18),N(VLOOKUP(C16,'Item List'!$B$6:$F$65,3,FALSE))),0)</f>
        <v/>
      </c>
      <c r="Q16">
        <f>ROUND(N(F16)*O16,2)</f>
        <v/>
      </c>
      <c r="R16">
        <f>IF(Q16=0,0,IF($E$3="Yes",Q16,Q16/(1+P16)))</f>
        <v/>
      </c>
      <c r="S16">
        <f>Q16-R16</f>
        <v/>
      </c>
      <c r="T16">
        <f>IF(N16=1,LEN(VLOOKUP(C16,'Item List'!$B$6:$F$65,2,FALSE)&amp;""),0)</f>
        <v/>
      </c>
      <c r="U16">
        <f>IF(AND(LEN(C16&amp;"")&gt;0,N16=0),1,0)</f>
        <v/>
      </c>
      <c r="V16">
        <f>IF(AND(N16=1,N(F16)=0),1,0)</f>
        <v/>
      </c>
      <c r="W16">
        <f>IF(N16=1,IF(OR(LEFT(VLOOKUP(C16,'Item List'!$B$6:$F$65,2,FALSE)&amp;"",2)="61",LEFT(VLOOKUP(C16,'Item List'!$B$6:$F$65,2,FALSE)&amp;"",2)="62",LEFT(VLOOKUP(C16,'Item List'!$B$6:$F$65,2,FALSE)&amp;"",2)="63",LEFT(VLOOKUP(C16,'Item List'!$B$6:$F$65,2,FALSE)&amp;"",2)="64"),1,0),0)</f>
        <v/>
      </c>
      <c r="X16">
        <f>IF(AND(W16=1,F16&gt;0,O16/1.05&gt;2500,O16/1.18&lt;=2500),1,0)</f>
        <v/>
      </c>
      <c r="AA16">
        <f>IF(AND(W16=1,N(F16)&gt;0,P16=0.18,X16=0),1,0)</f>
        <v/>
      </c>
      <c r="AB16">
        <f>IF(N16=1,IF(W16=0,IF(VLOOKUP(C16,'Item List'!$B$6:$F$65,3,FALSE)&amp;""="",1,0),0),0)</f>
        <v/>
      </c>
    </row>
    <row r="17">
      <c r="B17" s="29" t="n">
        <v>3</v>
      </c>
      <c r="C17" s="13" t="n"/>
      <c r="D17" s="29">
        <f>IF(N17=1,VLOOKUP(C17,'Item List'!$B$6:$F$65,4,FALSE)&amp;"","")</f>
        <v/>
      </c>
      <c r="E17" s="29">
        <f>IF(N17=1,VLOOKUP(C17,'Item List'!$B$6:$F$65,2,FALSE)&amp;"","")</f>
        <v/>
      </c>
      <c r="F17" s="30" t="n"/>
      <c r="G17" s="31">
        <f>IF(N17=1,N(VLOOKUP(C17,'Item List'!$B$6:$F$65,5,FALSE)),"")</f>
        <v/>
      </c>
      <c r="H17" s="32" t="n"/>
      <c r="I17" s="33">
        <f>IF(Q17=0,"",P17)</f>
        <v/>
      </c>
      <c r="J17" s="34">
        <f>IF(Q17=0,"",ROUND(R17,2))</f>
        <v/>
      </c>
      <c r="K17" s="34">
        <f>IF(Q17=0,"",ROUND(S17,2))</f>
        <v/>
      </c>
      <c r="L17" s="35">
        <f>IF(Q17=0,"",Q17)</f>
        <v/>
      </c>
      <c r="N17">
        <f>IF(C17="",0,IF(ISNUMBER(MATCH(C17,'Item List'!$B$6:$B$65,0)),1,0))</f>
        <v/>
      </c>
      <c r="O17">
        <f>IF(N17=1,ROUND(N(VLOOKUP(C17,'Item List'!$B$6:$F$65,5,FALSE))*(1-MIN(1,MAX(0,N(H17)))),2),0)</f>
        <v/>
      </c>
      <c r="P17">
        <f>IF(N17=1,IF(W17=1,IF(O17/1.05&lt;=2500,0.05,0.18),N(VLOOKUP(C17,'Item List'!$B$6:$F$65,3,FALSE))),0)</f>
        <v/>
      </c>
      <c r="Q17">
        <f>ROUND(N(F17)*O17,2)</f>
        <v/>
      </c>
      <c r="R17">
        <f>IF(Q17=0,0,IF($E$3="Yes",Q17,Q17/(1+P17)))</f>
        <v/>
      </c>
      <c r="S17">
        <f>Q17-R17</f>
        <v/>
      </c>
      <c r="T17">
        <f>IF(N17=1,LEN(VLOOKUP(C17,'Item List'!$B$6:$F$65,2,FALSE)&amp;""),0)</f>
        <v/>
      </c>
      <c r="U17">
        <f>IF(AND(LEN(C17&amp;"")&gt;0,N17=0),1,0)</f>
        <v/>
      </c>
      <c r="V17">
        <f>IF(AND(N17=1,N(F17)=0),1,0)</f>
        <v/>
      </c>
      <c r="W17">
        <f>IF(N17=1,IF(OR(LEFT(VLOOKUP(C17,'Item List'!$B$6:$F$65,2,FALSE)&amp;"",2)="61",LEFT(VLOOKUP(C17,'Item List'!$B$6:$F$65,2,FALSE)&amp;"",2)="62",LEFT(VLOOKUP(C17,'Item List'!$B$6:$F$65,2,FALSE)&amp;"",2)="63",LEFT(VLOOKUP(C17,'Item List'!$B$6:$F$65,2,FALSE)&amp;"",2)="64"),1,0),0)</f>
        <v/>
      </c>
      <c r="X17">
        <f>IF(AND(W17=1,F17&gt;0,O17/1.05&gt;2500,O17/1.18&lt;=2500),1,0)</f>
        <v/>
      </c>
      <c r="AA17">
        <f>IF(AND(W17=1,N(F17)&gt;0,P17=0.18,X17=0),1,0)</f>
        <v/>
      </c>
      <c r="AB17">
        <f>IF(N17=1,IF(W17=0,IF(VLOOKUP(C17,'Item List'!$B$6:$F$65,3,FALSE)&amp;""="",1,0),0),0)</f>
        <v/>
      </c>
    </row>
    <row r="18">
      <c r="B18" s="29" t="n">
        <v>4</v>
      </c>
      <c r="C18" s="13" t="n"/>
      <c r="D18" s="29">
        <f>IF(N18=1,VLOOKUP(C18,'Item List'!$B$6:$F$65,4,FALSE)&amp;"","")</f>
        <v/>
      </c>
      <c r="E18" s="29">
        <f>IF(N18=1,VLOOKUP(C18,'Item List'!$B$6:$F$65,2,FALSE)&amp;"","")</f>
        <v/>
      </c>
      <c r="F18" s="30" t="n"/>
      <c r="G18" s="31">
        <f>IF(N18=1,N(VLOOKUP(C18,'Item List'!$B$6:$F$65,5,FALSE)),"")</f>
        <v/>
      </c>
      <c r="H18" s="32" t="n"/>
      <c r="I18" s="33">
        <f>IF(Q18=0,"",P18)</f>
        <v/>
      </c>
      <c r="J18" s="34">
        <f>IF(Q18=0,"",ROUND(R18,2))</f>
        <v/>
      </c>
      <c r="K18" s="34">
        <f>IF(Q18=0,"",ROUND(S18,2))</f>
        <v/>
      </c>
      <c r="L18" s="35">
        <f>IF(Q18=0,"",Q18)</f>
        <v/>
      </c>
      <c r="N18">
        <f>IF(C18="",0,IF(ISNUMBER(MATCH(C18,'Item List'!$B$6:$B$65,0)),1,0))</f>
        <v/>
      </c>
      <c r="O18">
        <f>IF(N18=1,ROUND(N(VLOOKUP(C18,'Item List'!$B$6:$F$65,5,FALSE))*(1-MIN(1,MAX(0,N(H18)))),2),0)</f>
        <v/>
      </c>
      <c r="P18">
        <f>IF(N18=1,IF(W18=1,IF(O18/1.05&lt;=2500,0.05,0.18),N(VLOOKUP(C18,'Item List'!$B$6:$F$65,3,FALSE))),0)</f>
        <v/>
      </c>
      <c r="Q18">
        <f>ROUND(N(F18)*O18,2)</f>
        <v/>
      </c>
      <c r="R18">
        <f>IF(Q18=0,0,IF($E$3="Yes",Q18,Q18/(1+P18)))</f>
        <v/>
      </c>
      <c r="S18">
        <f>Q18-R18</f>
        <v/>
      </c>
      <c r="T18">
        <f>IF(N18=1,LEN(VLOOKUP(C18,'Item List'!$B$6:$F$65,2,FALSE)&amp;""),0)</f>
        <v/>
      </c>
      <c r="U18">
        <f>IF(AND(LEN(C18&amp;"")&gt;0,N18=0),1,0)</f>
        <v/>
      </c>
      <c r="V18">
        <f>IF(AND(N18=1,N(F18)=0),1,0)</f>
        <v/>
      </c>
      <c r="W18">
        <f>IF(N18=1,IF(OR(LEFT(VLOOKUP(C18,'Item List'!$B$6:$F$65,2,FALSE)&amp;"",2)="61",LEFT(VLOOKUP(C18,'Item List'!$B$6:$F$65,2,FALSE)&amp;"",2)="62",LEFT(VLOOKUP(C18,'Item List'!$B$6:$F$65,2,FALSE)&amp;"",2)="63",LEFT(VLOOKUP(C18,'Item List'!$B$6:$F$65,2,FALSE)&amp;"",2)="64"),1,0),0)</f>
        <v/>
      </c>
      <c r="X18">
        <f>IF(AND(W18=1,F18&gt;0,O18/1.05&gt;2500,O18/1.18&lt;=2500),1,0)</f>
        <v/>
      </c>
      <c r="AA18">
        <f>IF(AND(W18=1,N(F18)&gt;0,P18=0.18,X18=0),1,0)</f>
        <v/>
      </c>
      <c r="AB18">
        <f>IF(N18=1,IF(W18=0,IF(VLOOKUP(C18,'Item List'!$B$6:$F$65,3,FALSE)&amp;""="",1,0),0),0)</f>
        <v/>
      </c>
    </row>
    <row r="19">
      <c r="B19" s="29" t="n">
        <v>5</v>
      </c>
      <c r="C19" s="13" t="n"/>
      <c r="D19" s="29">
        <f>IF(N19=1,VLOOKUP(C19,'Item List'!$B$6:$F$65,4,FALSE)&amp;"","")</f>
        <v/>
      </c>
      <c r="E19" s="29">
        <f>IF(N19=1,VLOOKUP(C19,'Item List'!$B$6:$F$65,2,FALSE)&amp;"","")</f>
        <v/>
      </c>
      <c r="F19" s="30" t="n"/>
      <c r="G19" s="31">
        <f>IF(N19=1,N(VLOOKUP(C19,'Item List'!$B$6:$F$65,5,FALSE)),"")</f>
        <v/>
      </c>
      <c r="H19" s="32" t="n"/>
      <c r="I19" s="33">
        <f>IF(Q19=0,"",P19)</f>
        <v/>
      </c>
      <c r="J19" s="34">
        <f>IF(Q19=0,"",ROUND(R19,2))</f>
        <v/>
      </c>
      <c r="K19" s="34">
        <f>IF(Q19=0,"",ROUND(S19,2))</f>
        <v/>
      </c>
      <c r="L19" s="35">
        <f>IF(Q19=0,"",Q19)</f>
        <v/>
      </c>
      <c r="N19">
        <f>IF(C19="",0,IF(ISNUMBER(MATCH(C19,'Item List'!$B$6:$B$65,0)),1,0))</f>
        <v/>
      </c>
      <c r="O19">
        <f>IF(N19=1,ROUND(N(VLOOKUP(C19,'Item List'!$B$6:$F$65,5,FALSE))*(1-MIN(1,MAX(0,N(H19)))),2),0)</f>
        <v/>
      </c>
      <c r="P19">
        <f>IF(N19=1,IF(W19=1,IF(O19/1.05&lt;=2500,0.05,0.18),N(VLOOKUP(C19,'Item List'!$B$6:$F$65,3,FALSE))),0)</f>
        <v/>
      </c>
      <c r="Q19">
        <f>ROUND(N(F19)*O19,2)</f>
        <v/>
      </c>
      <c r="R19">
        <f>IF(Q19=0,0,IF($E$3="Yes",Q19,Q19/(1+P19)))</f>
        <v/>
      </c>
      <c r="S19">
        <f>Q19-R19</f>
        <v/>
      </c>
      <c r="T19">
        <f>IF(N19=1,LEN(VLOOKUP(C19,'Item List'!$B$6:$F$65,2,FALSE)&amp;""),0)</f>
        <v/>
      </c>
      <c r="U19">
        <f>IF(AND(LEN(C19&amp;"")&gt;0,N19=0),1,0)</f>
        <v/>
      </c>
      <c r="V19">
        <f>IF(AND(N19=1,N(F19)=0),1,0)</f>
        <v/>
      </c>
      <c r="W19">
        <f>IF(N19=1,IF(OR(LEFT(VLOOKUP(C19,'Item List'!$B$6:$F$65,2,FALSE)&amp;"",2)="61",LEFT(VLOOKUP(C19,'Item List'!$B$6:$F$65,2,FALSE)&amp;"",2)="62",LEFT(VLOOKUP(C19,'Item List'!$B$6:$F$65,2,FALSE)&amp;"",2)="63",LEFT(VLOOKUP(C19,'Item List'!$B$6:$F$65,2,FALSE)&amp;"",2)="64"),1,0),0)</f>
        <v/>
      </c>
      <c r="X19">
        <f>IF(AND(W19=1,F19&gt;0,O19/1.05&gt;2500,O19/1.18&lt;=2500),1,0)</f>
        <v/>
      </c>
      <c r="AA19">
        <f>IF(AND(W19=1,N(F19)&gt;0,P19=0.18,X19=0),1,0)</f>
        <v/>
      </c>
      <c r="AB19">
        <f>IF(N19=1,IF(W19=0,IF(VLOOKUP(C19,'Item List'!$B$6:$F$65,3,FALSE)&amp;""="",1,0),0),0)</f>
        <v/>
      </c>
    </row>
    <row r="20">
      <c r="B20" s="29" t="n">
        <v>6</v>
      </c>
      <c r="C20" s="13" t="n"/>
      <c r="D20" s="29">
        <f>IF(N20=1,VLOOKUP(C20,'Item List'!$B$6:$F$65,4,FALSE)&amp;"","")</f>
        <v/>
      </c>
      <c r="E20" s="29">
        <f>IF(N20=1,VLOOKUP(C20,'Item List'!$B$6:$F$65,2,FALSE)&amp;"","")</f>
        <v/>
      </c>
      <c r="F20" s="30" t="n"/>
      <c r="G20" s="31">
        <f>IF(N20=1,N(VLOOKUP(C20,'Item List'!$B$6:$F$65,5,FALSE)),"")</f>
        <v/>
      </c>
      <c r="H20" s="32" t="n"/>
      <c r="I20" s="33">
        <f>IF(Q20=0,"",P20)</f>
        <v/>
      </c>
      <c r="J20" s="34">
        <f>IF(Q20=0,"",ROUND(R20,2))</f>
        <v/>
      </c>
      <c r="K20" s="34">
        <f>IF(Q20=0,"",ROUND(S20,2))</f>
        <v/>
      </c>
      <c r="L20" s="35">
        <f>IF(Q20=0,"",Q20)</f>
        <v/>
      </c>
      <c r="N20">
        <f>IF(C20="",0,IF(ISNUMBER(MATCH(C20,'Item List'!$B$6:$B$65,0)),1,0))</f>
        <v/>
      </c>
      <c r="O20">
        <f>IF(N20=1,ROUND(N(VLOOKUP(C20,'Item List'!$B$6:$F$65,5,FALSE))*(1-MIN(1,MAX(0,N(H20)))),2),0)</f>
        <v/>
      </c>
      <c r="P20">
        <f>IF(N20=1,IF(W20=1,IF(O20/1.05&lt;=2500,0.05,0.18),N(VLOOKUP(C20,'Item List'!$B$6:$F$65,3,FALSE))),0)</f>
        <v/>
      </c>
      <c r="Q20">
        <f>ROUND(N(F20)*O20,2)</f>
        <v/>
      </c>
      <c r="R20">
        <f>IF(Q20=0,0,IF($E$3="Yes",Q20,Q20/(1+P20)))</f>
        <v/>
      </c>
      <c r="S20">
        <f>Q20-R20</f>
        <v/>
      </c>
      <c r="T20">
        <f>IF(N20=1,LEN(VLOOKUP(C20,'Item List'!$B$6:$F$65,2,FALSE)&amp;""),0)</f>
        <v/>
      </c>
      <c r="U20">
        <f>IF(AND(LEN(C20&amp;"")&gt;0,N20=0),1,0)</f>
        <v/>
      </c>
      <c r="V20">
        <f>IF(AND(N20=1,N(F20)=0),1,0)</f>
        <v/>
      </c>
      <c r="W20">
        <f>IF(N20=1,IF(OR(LEFT(VLOOKUP(C20,'Item List'!$B$6:$F$65,2,FALSE)&amp;"",2)="61",LEFT(VLOOKUP(C20,'Item List'!$B$6:$F$65,2,FALSE)&amp;"",2)="62",LEFT(VLOOKUP(C20,'Item List'!$B$6:$F$65,2,FALSE)&amp;"",2)="63",LEFT(VLOOKUP(C20,'Item List'!$B$6:$F$65,2,FALSE)&amp;"",2)="64"),1,0),0)</f>
        <v/>
      </c>
      <c r="X20">
        <f>IF(AND(W20=1,F20&gt;0,O20/1.05&gt;2500,O20/1.18&lt;=2500),1,0)</f>
        <v/>
      </c>
      <c r="AA20">
        <f>IF(AND(W20=1,N(F20)&gt;0,P20=0.18,X20=0),1,0)</f>
        <v/>
      </c>
      <c r="AB20">
        <f>IF(N20=1,IF(W20=0,IF(VLOOKUP(C20,'Item List'!$B$6:$F$65,3,FALSE)&amp;""="",1,0),0),0)</f>
        <v/>
      </c>
    </row>
    <row r="21">
      <c r="B21" s="29" t="n">
        <v>7</v>
      </c>
      <c r="C21" s="13" t="n"/>
      <c r="D21" s="29">
        <f>IF(N21=1,VLOOKUP(C21,'Item List'!$B$6:$F$65,4,FALSE)&amp;"","")</f>
        <v/>
      </c>
      <c r="E21" s="29">
        <f>IF(N21=1,VLOOKUP(C21,'Item List'!$B$6:$F$65,2,FALSE)&amp;"","")</f>
        <v/>
      </c>
      <c r="F21" s="30" t="n"/>
      <c r="G21" s="31">
        <f>IF(N21=1,N(VLOOKUP(C21,'Item List'!$B$6:$F$65,5,FALSE)),"")</f>
        <v/>
      </c>
      <c r="H21" s="32" t="n"/>
      <c r="I21" s="33">
        <f>IF(Q21=0,"",P21)</f>
        <v/>
      </c>
      <c r="J21" s="34">
        <f>IF(Q21=0,"",ROUND(R21,2))</f>
        <v/>
      </c>
      <c r="K21" s="34">
        <f>IF(Q21=0,"",ROUND(S21,2))</f>
        <v/>
      </c>
      <c r="L21" s="35">
        <f>IF(Q21=0,"",Q21)</f>
        <v/>
      </c>
      <c r="N21">
        <f>IF(C21="",0,IF(ISNUMBER(MATCH(C21,'Item List'!$B$6:$B$65,0)),1,0))</f>
        <v/>
      </c>
      <c r="O21">
        <f>IF(N21=1,ROUND(N(VLOOKUP(C21,'Item List'!$B$6:$F$65,5,FALSE))*(1-MIN(1,MAX(0,N(H21)))),2),0)</f>
        <v/>
      </c>
      <c r="P21">
        <f>IF(N21=1,IF(W21=1,IF(O21/1.05&lt;=2500,0.05,0.18),N(VLOOKUP(C21,'Item List'!$B$6:$F$65,3,FALSE))),0)</f>
        <v/>
      </c>
      <c r="Q21">
        <f>ROUND(N(F21)*O21,2)</f>
        <v/>
      </c>
      <c r="R21">
        <f>IF(Q21=0,0,IF($E$3="Yes",Q21,Q21/(1+P21)))</f>
        <v/>
      </c>
      <c r="S21">
        <f>Q21-R21</f>
        <v/>
      </c>
      <c r="T21">
        <f>IF(N21=1,LEN(VLOOKUP(C21,'Item List'!$B$6:$F$65,2,FALSE)&amp;""),0)</f>
        <v/>
      </c>
      <c r="U21">
        <f>IF(AND(LEN(C21&amp;"")&gt;0,N21=0),1,0)</f>
        <v/>
      </c>
      <c r="V21">
        <f>IF(AND(N21=1,N(F21)=0),1,0)</f>
        <v/>
      </c>
      <c r="W21">
        <f>IF(N21=1,IF(OR(LEFT(VLOOKUP(C21,'Item List'!$B$6:$F$65,2,FALSE)&amp;"",2)="61",LEFT(VLOOKUP(C21,'Item List'!$B$6:$F$65,2,FALSE)&amp;"",2)="62",LEFT(VLOOKUP(C21,'Item List'!$B$6:$F$65,2,FALSE)&amp;"",2)="63",LEFT(VLOOKUP(C21,'Item List'!$B$6:$F$65,2,FALSE)&amp;"",2)="64"),1,0),0)</f>
        <v/>
      </c>
      <c r="X21">
        <f>IF(AND(W21=1,F21&gt;0,O21/1.05&gt;2500,O21/1.18&lt;=2500),1,0)</f>
        <v/>
      </c>
      <c r="AA21">
        <f>IF(AND(W21=1,N(F21)&gt;0,P21=0.18,X21=0),1,0)</f>
        <v/>
      </c>
      <c r="AB21">
        <f>IF(N21=1,IF(W21=0,IF(VLOOKUP(C21,'Item List'!$B$6:$F$65,3,FALSE)&amp;""="",1,0),0),0)</f>
        <v/>
      </c>
    </row>
    <row r="22">
      <c r="B22" s="29" t="n">
        <v>8</v>
      </c>
      <c r="C22" s="13" t="n"/>
      <c r="D22" s="29">
        <f>IF(N22=1,VLOOKUP(C22,'Item List'!$B$6:$F$65,4,FALSE)&amp;"","")</f>
        <v/>
      </c>
      <c r="E22" s="29">
        <f>IF(N22=1,VLOOKUP(C22,'Item List'!$B$6:$F$65,2,FALSE)&amp;"","")</f>
        <v/>
      </c>
      <c r="F22" s="30" t="n"/>
      <c r="G22" s="31">
        <f>IF(N22=1,N(VLOOKUP(C22,'Item List'!$B$6:$F$65,5,FALSE)),"")</f>
        <v/>
      </c>
      <c r="H22" s="32" t="n"/>
      <c r="I22" s="33">
        <f>IF(Q22=0,"",P22)</f>
        <v/>
      </c>
      <c r="J22" s="34">
        <f>IF(Q22=0,"",ROUND(R22,2))</f>
        <v/>
      </c>
      <c r="K22" s="34">
        <f>IF(Q22=0,"",ROUND(S22,2))</f>
        <v/>
      </c>
      <c r="L22" s="35">
        <f>IF(Q22=0,"",Q22)</f>
        <v/>
      </c>
      <c r="N22">
        <f>IF(C22="",0,IF(ISNUMBER(MATCH(C22,'Item List'!$B$6:$B$65,0)),1,0))</f>
        <v/>
      </c>
      <c r="O22">
        <f>IF(N22=1,ROUND(N(VLOOKUP(C22,'Item List'!$B$6:$F$65,5,FALSE))*(1-MIN(1,MAX(0,N(H22)))),2),0)</f>
        <v/>
      </c>
      <c r="P22">
        <f>IF(N22=1,IF(W22=1,IF(O22/1.05&lt;=2500,0.05,0.18),N(VLOOKUP(C22,'Item List'!$B$6:$F$65,3,FALSE))),0)</f>
        <v/>
      </c>
      <c r="Q22">
        <f>ROUND(N(F22)*O22,2)</f>
        <v/>
      </c>
      <c r="R22">
        <f>IF(Q22=0,0,IF($E$3="Yes",Q22,Q22/(1+P22)))</f>
        <v/>
      </c>
      <c r="S22">
        <f>Q22-R22</f>
        <v/>
      </c>
      <c r="T22">
        <f>IF(N22=1,LEN(VLOOKUP(C22,'Item List'!$B$6:$F$65,2,FALSE)&amp;""),0)</f>
        <v/>
      </c>
      <c r="U22">
        <f>IF(AND(LEN(C22&amp;"")&gt;0,N22=0),1,0)</f>
        <v/>
      </c>
      <c r="V22">
        <f>IF(AND(N22=1,N(F22)=0),1,0)</f>
        <v/>
      </c>
      <c r="W22">
        <f>IF(N22=1,IF(OR(LEFT(VLOOKUP(C22,'Item List'!$B$6:$F$65,2,FALSE)&amp;"",2)="61",LEFT(VLOOKUP(C22,'Item List'!$B$6:$F$65,2,FALSE)&amp;"",2)="62",LEFT(VLOOKUP(C22,'Item List'!$B$6:$F$65,2,FALSE)&amp;"",2)="63",LEFT(VLOOKUP(C22,'Item List'!$B$6:$F$65,2,FALSE)&amp;"",2)="64"),1,0),0)</f>
        <v/>
      </c>
      <c r="X22">
        <f>IF(AND(W22=1,F22&gt;0,O22/1.05&gt;2500,O22/1.18&lt;=2500),1,0)</f>
        <v/>
      </c>
      <c r="AA22">
        <f>IF(AND(W22=1,N(F22)&gt;0,P22=0.18,X22=0),1,0)</f>
        <v/>
      </c>
      <c r="AB22">
        <f>IF(N22=1,IF(W22=0,IF(VLOOKUP(C22,'Item List'!$B$6:$F$65,3,FALSE)&amp;""="",1,0),0),0)</f>
        <v/>
      </c>
    </row>
    <row r="23">
      <c r="B23" s="29" t="n">
        <v>9</v>
      </c>
      <c r="C23" s="13" t="n"/>
      <c r="D23" s="29">
        <f>IF(N23=1,VLOOKUP(C23,'Item List'!$B$6:$F$65,4,FALSE)&amp;"","")</f>
        <v/>
      </c>
      <c r="E23" s="29">
        <f>IF(N23=1,VLOOKUP(C23,'Item List'!$B$6:$F$65,2,FALSE)&amp;"","")</f>
        <v/>
      </c>
      <c r="F23" s="30" t="n"/>
      <c r="G23" s="31">
        <f>IF(N23=1,N(VLOOKUP(C23,'Item List'!$B$6:$F$65,5,FALSE)),"")</f>
        <v/>
      </c>
      <c r="H23" s="32" t="n"/>
      <c r="I23" s="33">
        <f>IF(Q23=0,"",P23)</f>
        <v/>
      </c>
      <c r="J23" s="34">
        <f>IF(Q23=0,"",ROUND(R23,2))</f>
        <v/>
      </c>
      <c r="K23" s="34">
        <f>IF(Q23=0,"",ROUND(S23,2))</f>
        <v/>
      </c>
      <c r="L23" s="35">
        <f>IF(Q23=0,"",Q23)</f>
        <v/>
      </c>
      <c r="N23">
        <f>IF(C23="",0,IF(ISNUMBER(MATCH(C23,'Item List'!$B$6:$B$65,0)),1,0))</f>
        <v/>
      </c>
      <c r="O23">
        <f>IF(N23=1,ROUND(N(VLOOKUP(C23,'Item List'!$B$6:$F$65,5,FALSE))*(1-MIN(1,MAX(0,N(H23)))),2),0)</f>
        <v/>
      </c>
      <c r="P23">
        <f>IF(N23=1,IF(W23=1,IF(O23/1.05&lt;=2500,0.05,0.18),N(VLOOKUP(C23,'Item List'!$B$6:$F$65,3,FALSE))),0)</f>
        <v/>
      </c>
      <c r="Q23">
        <f>ROUND(N(F23)*O23,2)</f>
        <v/>
      </c>
      <c r="R23">
        <f>IF(Q23=0,0,IF($E$3="Yes",Q23,Q23/(1+P23)))</f>
        <v/>
      </c>
      <c r="S23">
        <f>Q23-R23</f>
        <v/>
      </c>
      <c r="T23">
        <f>IF(N23=1,LEN(VLOOKUP(C23,'Item List'!$B$6:$F$65,2,FALSE)&amp;""),0)</f>
        <v/>
      </c>
      <c r="U23">
        <f>IF(AND(LEN(C23&amp;"")&gt;0,N23=0),1,0)</f>
        <v/>
      </c>
      <c r="V23">
        <f>IF(AND(N23=1,N(F23)=0),1,0)</f>
        <v/>
      </c>
      <c r="W23">
        <f>IF(N23=1,IF(OR(LEFT(VLOOKUP(C23,'Item List'!$B$6:$F$65,2,FALSE)&amp;"",2)="61",LEFT(VLOOKUP(C23,'Item List'!$B$6:$F$65,2,FALSE)&amp;"",2)="62",LEFT(VLOOKUP(C23,'Item List'!$B$6:$F$65,2,FALSE)&amp;"",2)="63",LEFT(VLOOKUP(C23,'Item List'!$B$6:$F$65,2,FALSE)&amp;"",2)="64"),1,0),0)</f>
        <v/>
      </c>
      <c r="X23">
        <f>IF(AND(W23=1,F23&gt;0,O23/1.05&gt;2500,O23/1.18&lt;=2500),1,0)</f>
        <v/>
      </c>
      <c r="AA23">
        <f>IF(AND(W23=1,N(F23)&gt;0,P23=0.18,X23=0),1,0)</f>
        <v/>
      </c>
      <c r="AB23">
        <f>IF(N23=1,IF(W23=0,IF(VLOOKUP(C23,'Item List'!$B$6:$F$65,3,FALSE)&amp;""="",1,0),0),0)</f>
        <v/>
      </c>
    </row>
    <row r="24">
      <c r="B24" s="29" t="n">
        <v>10</v>
      </c>
      <c r="C24" s="13" t="n"/>
      <c r="D24" s="29">
        <f>IF(N24=1,VLOOKUP(C24,'Item List'!$B$6:$F$65,4,FALSE)&amp;"","")</f>
        <v/>
      </c>
      <c r="E24" s="29">
        <f>IF(N24=1,VLOOKUP(C24,'Item List'!$B$6:$F$65,2,FALSE)&amp;"","")</f>
        <v/>
      </c>
      <c r="F24" s="30" t="n"/>
      <c r="G24" s="31">
        <f>IF(N24=1,N(VLOOKUP(C24,'Item List'!$B$6:$F$65,5,FALSE)),"")</f>
        <v/>
      </c>
      <c r="H24" s="32" t="n"/>
      <c r="I24" s="33">
        <f>IF(Q24=0,"",P24)</f>
        <v/>
      </c>
      <c r="J24" s="34">
        <f>IF(Q24=0,"",ROUND(R24,2))</f>
        <v/>
      </c>
      <c r="K24" s="34">
        <f>IF(Q24=0,"",ROUND(S24,2))</f>
        <v/>
      </c>
      <c r="L24" s="35">
        <f>IF(Q24=0,"",Q24)</f>
        <v/>
      </c>
      <c r="N24">
        <f>IF(C24="",0,IF(ISNUMBER(MATCH(C24,'Item List'!$B$6:$B$65,0)),1,0))</f>
        <v/>
      </c>
      <c r="O24">
        <f>IF(N24=1,ROUND(N(VLOOKUP(C24,'Item List'!$B$6:$F$65,5,FALSE))*(1-MIN(1,MAX(0,N(H24)))),2),0)</f>
        <v/>
      </c>
      <c r="P24">
        <f>IF(N24=1,IF(W24=1,IF(O24/1.05&lt;=2500,0.05,0.18),N(VLOOKUP(C24,'Item List'!$B$6:$F$65,3,FALSE))),0)</f>
        <v/>
      </c>
      <c r="Q24">
        <f>ROUND(N(F24)*O24,2)</f>
        <v/>
      </c>
      <c r="R24">
        <f>IF(Q24=0,0,IF($E$3="Yes",Q24,Q24/(1+P24)))</f>
        <v/>
      </c>
      <c r="S24">
        <f>Q24-R24</f>
        <v/>
      </c>
      <c r="T24">
        <f>IF(N24=1,LEN(VLOOKUP(C24,'Item List'!$B$6:$F$65,2,FALSE)&amp;""),0)</f>
        <v/>
      </c>
      <c r="U24">
        <f>IF(AND(LEN(C24&amp;"")&gt;0,N24=0),1,0)</f>
        <v/>
      </c>
      <c r="V24">
        <f>IF(AND(N24=1,N(F24)=0),1,0)</f>
        <v/>
      </c>
      <c r="W24">
        <f>IF(N24=1,IF(OR(LEFT(VLOOKUP(C24,'Item List'!$B$6:$F$65,2,FALSE)&amp;"",2)="61",LEFT(VLOOKUP(C24,'Item List'!$B$6:$F$65,2,FALSE)&amp;"",2)="62",LEFT(VLOOKUP(C24,'Item List'!$B$6:$F$65,2,FALSE)&amp;"",2)="63",LEFT(VLOOKUP(C24,'Item List'!$B$6:$F$65,2,FALSE)&amp;"",2)="64"),1,0),0)</f>
        <v/>
      </c>
      <c r="X24">
        <f>IF(AND(W24=1,F24&gt;0,O24/1.05&gt;2500,O24/1.18&lt;=2500),1,0)</f>
        <v/>
      </c>
      <c r="AA24">
        <f>IF(AND(W24=1,N(F24)&gt;0,P24=0.18,X24=0),1,0)</f>
        <v/>
      </c>
      <c r="AB24">
        <f>IF(N24=1,IF(W24=0,IF(VLOOKUP(C24,'Item List'!$B$6:$F$65,3,FALSE)&amp;""="",1,0),0),0)</f>
        <v/>
      </c>
    </row>
    <row r="25">
      <c r="B25" s="29" t="n">
        <v>11</v>
      </c>
      <c r="C25" s="13" t="n"/>
      <c r="D25" s="29">
        <f>IF(N25=1,VLOOKUP(C25,'Item List'!$B$6:$F$65,4,FALSE)&amp;"","")</f>
        <v/>
      </c>
      <c r="E25" s="29">
        <f>IF(N25=1,VLOOKUP(C25,'Item List'!$B$6:$F$65,2,FALSE)&amp;"","")</f>
        <v/>
      </c>
      <c r="F25" s="30" t="n"/>
      <c r="G25" s="31">
        <f>IF(N25=1,N(VLOOKUP(C25,'Item List'!$B$6:$F$65,5,FALSE)),"")</f>
        <v/>
      </c>
      <c r="H25" s="32" t="n"/>
      <c r="I25" s="33">
        <f>IF(Q25=0,"",P25)</f>
        <v/>
      </c>
      <c r="J25" s="34">
        <f>IF(Q25=0,"",ROUND(R25,2))</f>
        <v/>
      </c>
      <c r="K25" s="34">
        <f>IF(Q25=0,"",ROUND(S25,2))</f>
        <v/>
      </c>
      <c r="L25" s="35">
        <f>IF(Q25=0,"",Q25)</f>
        <v/>
      </c>
      <c r="N25">
        <f>IF(C25="",0,IF(ISNUMBER(MATCH(C25,'Item List'!$B$6:$B$65,0)),1,0))</f>
        <v/>
      </c>
      <c r="O25">
        <f>IF(N25=1,ROUND(N(VLOOKUP(C25,'Item List'!$B$6:$F$65,5,FALSE))*(1-MIN(1,MAX(0,N(H25)))),2),0)</f>
        <v/>
      </c>
      <c r="P25">
        <f>IF(N25=1,IF(W25=1,IF(O25/1.05&lt;=2500,0.05,0.18),N(VLOOKUP(C25,'Item List'!$B$6:$F$65,3,FALSE))),0)</f>
        <v/>
      </c>
      <c r="Q25">
        <f>ROUND(N(F25)*O25,2)</f>
        <v/>
      </c>
      <c r="R25">
        <f>IF(Q25=0,0,IF($E$3="Yes",Q25,Q25/(1+P25)))</f>
        <v/>
      </c>
      <c r="S25">
        <f>Q25-R25</f>
        <v/>
      </c>
      <c r="T25">
        <f>IF(N25=1,LEN(VLOOKUP(C25,'Item List'!$B$6:$F$65,2,FALSE)&amp;""),0)</f>
        <v/>
      </c>
      <c r="U25">
        <f>IF(AND(LEN(C25&amp;"")&gt;0,N25=0),1,0)</f>
        <v/>
      </c>
      <c r="V25">
        <f>IF(AND(N25=1,N(F25)=0),1,0)</f>
        <v/>
      </c>
      <c r="W25">
        <f>IF(N25=1,IF(OR(LEFT(VLOOKUP(C25,'Item List'!$B$6:$F$65,2,FALSE)&amp;"",2)="61",LEFT(VLOOKUP(C25,'Item List'!$B$6:$F$65,2,FALSE)&amp;"",2)="62",LEFT(VLOOKUP(C25,'Item List'!$B$6:$F$65,2,FALSE)&amp;"",2)="63",LEFT(VLOOKUP(C25,'Item List'!$B$6:$F$65,2,FALSE)&amp;"",2)="64"),1,0),0)</f>
        <v/>
      </c>
      <c r="X25">
        <f>IF(AND(W25=1,F25&gt;0,O25/1.05&gt;2500,O25/1.18&lt;=2500),1,0)</f>
        <v/>
      </c>
      <c r="AA25">
        <f>IF(AND(W25=1,N(F25)&gt;0,P25=0.18,X25=0),1,0)</f>
        <v/>
      </c>
      <c r="AB25">
        <f>IF(N25=1,IF(W25=0,IF(VLOOKUP(C25,'Item List'!$B$6:$F$65,3,FALSE)&amp;""="",1,0),0),0)</f>
        <v/>
      </c>
    </row>
    <row r="26">
      <c r="B26" s="29" t="n">
        <v>12</v>
      </c>
      <c r="C26" s="13" t="n"/>
      <c r="D26" s="29">
        <f>IF(N26=1,VLOOKUP(C26,'Item List'!$B$6:$F$65,4,FALSE)&amp;"","")</f>
        <v/>
      </c>
      <c r="E26" s="29">
        <f>IF(N26=1,VLOOKUP(C26,'Item List'!$B$6:$F$65,2,FALSE)&amp;"","")</f>
        <v/>
      </c>
      <c r="F26" s="30" t="n"/>
      <c r="G26" s="31">
        <f>IF(N26=1,N(VLOOKUP(C26,'Item List'!$B$6:$F$65,5,FALSE)),"")</f>
        <v/>
      </c>
      <c r="H26" s="32" t="n"/>
      <c r="I26" s="33">
        <f>IF(Q26=0,"",P26)</f>
        <v/>
      </c>
      <c r="J26" s="34">
        <f>IF(Q26=0,"",ROUND(R26,2))</f>
        <v/>
      </c>
      <c r="K26" s="34">
        <f>IF(Q26=0,"",ROUND(S26,2))</f>
        <v/>
      </c>
      <c r="L26" s="35">
        <f>IF(Q26=0,"",Q26)</f>
        <v/>
      </c>
      <c r="N26">
        <f>IF(C26="",0,IF(ISNUMBER(MATCH(C26,'Item List'!$B$6:$B$65,0)),1,0))</f>
        <v/>
      </c>
      <c r="O26">
        <f>IF(N26=1,ROUND(N(VLOOKUP(C26,'Item List'!$B$6:$F$65,5,FALSE))*(1-MIN(1,MAX(0,N(H26)))),2),0)</f>
        <v/>
      </c>
      <c r="P26">
        <f>IF(N26=1,IF(W26=1,IF(O26/1.05&lt;=2500,0.05,0.18),N(VLOOKUP(C26,'Item List'!$B$6:$F$65,3,FALSE))),0)</f>
        <v/>
      </c>
      <c r="Q26">
        <f>ROUND(N(F26)*O26,2)</f>
        <v/>
      </c>
      <c r="R26">
        <f>IF(Q26=0,0,IF($E$3="Yes",Q26,Q26/(1+P26)))</f>
        <v/>
      </c>
      <c r="S26">
        <f>Q26-R26</f>
        <v/>
      </c>
      <c r="T26">
        <f>IF(N26=1,LEN(VLOOKUP(C26,'Item List'!$B$6:$F$65,2,FALSE)&amp;""),0)</f>
        <v/>
      </c>
      <c r="U26">
        <f>IF(AND(LEN(C26&amp;"")&gt;0,N26=0),1,0)</f>
        <v/>
      </c>
      <c r="V26">
        <f>IF(AND(N26=1,N(F26)=0),1,0)</f>
        <v/>
      </c>
      <c r="W26">
        <f>IF(N26=1,IF(OR(LEFT(VLOOKUP(C26,'Item List'!$B$6:$F$65,2,FALSE)&amp;"",2)="61",LEFT(VLOOKUP(C26,'Item List'!$B$6:$F$65,2,FALSE)&amp;"",2)="62",LEFT(VLOOKUP(C26,'Item List'!$B$6:$F$65,2,FALSE)&amp;"",2)="63",LEFT(VLOOKUP(C26,'Item List'!$B$6:$F$65,2,FALSE)&amp;"",2)="64"),1,0),0)</f>
        <v/>
      </c>
      <c r="X26">
        <f>IF(AND(W26=1,F26&gt;0,O26/1.05&gt;2500,O26/1.18&lt;=2500),1,0)</f>
        <v/>
      </c>
      <c r="AA26">
        <f>IF(AND(W26=1,N(F26)&gt;0,P26=0.18,X26=0),1,0)</f>
        <v/>
      </c>
      <c r="AB26">
        <f>IF(N26=1,IF(W26=0,IF(VLOOKUP(C26,'Item List'!$B$6:$F$65,3,FALSE)&amp;""="",1,0),0),0)</f>
        <v/>
      </c>
    </row>
    <row r="27">
      <c r="C27" s="36" t="inlineStr">
        <is>
          <t>GST summary</t>
        </is>
      </c>
      <c r="D27" s="12" t="inlineStr">
        <is>
          <t>Taxable value</t>
        </is>
      </c>
      <c r="E27" s="12" t="inlineStr">
        <is>
          <t>CGST</t>
        </is>
      </c>
      <c r="F27" s="12" t="inlineStr">
        <is>
          <t>SGST</t>
        </is>
      </c>
      <c r="G27" s="12" t="inlineStr">
        <is>
          <t>IGST</t>
        </is>
      </c>
      <c r="I27" s="21" t="inlineStr">
        <is>
          <t>Bill total</t>
        </is>
      </c>
      <c r="J27" s="22" t="n"/>
      <c r="K27" s="22" t="n"/>
      <c r="L27" s="35">
        <f>ROUND(SUM($L$15:$L$26),2)</f>
        <v/>
      </c>
    </row>
    <row r="28">
      <c r="C28" s="21" t="inlineStr">
        <is>
          <t>5%</t>
        </is>
      </c>
      <c r="D28" s="37">
        <f>ROUND(SUMIF($P$15:$P$26,0.05,$R$15:$R$26),2)</f>
        <v/>
      </c>
      <c r="E28" s="37">
        <f>IF(AND($J$8&lt;&gt;"",$J$8&lt;&gt;$F$7),0,ROUND(ROUND(SUMIF($P$15:$P$26,0.05,$S$15:$S$26),2)/2,2))</f>
        <v/>
      </c>
      <c r="F28" s="37">
        <f>IF(AND($J$8&lt;&gt;"",$J$8&lt;&gt;$F$7),0,ROUND(SUMIF($P$15:$P$26,0.05,$S$15:$S$26),2)-ROUND(ROUND(SUMIF($P$15:$P$26,0.05,$S$15:$S$26),2)/2,2))</f>
        <v/>
      </c>
      <c r="G28" s="37">
        <f>IF(AND($J$8&lt;&gt;"",$J$8&lt;&gt;$F$7),ROUND(SUMIF($P$15:$P$26,0.05,$S$15:$S$26),2),0)</f>
        <v/>
      </c>
      <c r="I28" s="21" t="inlineStr">
        <is>
          <t>Round off</t>
        </is>
      </c>
      <c r="J28" s="22" t="n"/>
      <c r="K28" s="22" t="n"/>
      <c r="L28" s="38">
        <f>ROUND($L$27,0)-$L$27</f>
        <v/>
      </c>
    </row>
    <row r="29">
      <c r="C29" s="21" t="inlineStr">
        <is>
          <t>18%</t>
        </is>
      </c>
      <c r="D29" s="37">
        <f>ROUND(SUMIF($P$15:$P$26,0.18,$R$15:$R$26),2)</f>
        <v/>
      </c>
      <c r="E29" s="37">
        <f>IF(AND($J$8&lt;&gt;"",$J$8&lt;&gt;$F$7),0,ROUND(ROUND(SUMIF($P$15:$P$26,0.18,$S$15:$S$26),2)/2,2))</f>
        <v/>
      </c>
      <c r="F29" s="37">
        <f>IF(AND($J$8&lt;&gt;"",$J$8&lt;&gt;$F$7),0,ROUND(SUMIF($P$15:$P$26,0.18,$S$15:$S$26),2)-ROUND(ROUND(SUMIF($P$15:$P$26,0.18,$S$15:$S$26),2)/2,2))</f>
        <v/>
      </c>
      <c r="G29" s="37">
        <f>IF(AND($J$8&lt;&gt;"",$J$8&lt;&gt;$F$7),ROUND(SUMIF($P$15:$P$26,0.18,$S$15:$S$26),2),0)</f>
        <v/>
      </c>
      <c r="I29" s="21" t="inlineStr">
        <is>
          <t>Amount payable</t>
        </is>
      </c>
      <c r="J29" s="22" t="n"/>
      <c r="K29" s="22" t="n"/>
      <c r="L29" s="39">
        <f>ROUND($L$27,0)</f>
        <v/>
      </c>
    </row>
    <row r="30">
      <c r="C30" s="21" t="inlineStr">
        <is>
          <t>Nil-rated or exempt</t>
        </is>
      </c>
      <c r="D30" s="37">
        <f>ROUND(SUMIF($P$15:$P$26,0,$Q$15:$Q$26),2)</f>
        <v/>
      </c>
      <c r="E30" s="7" t="n"/>
      <c r="F30" s="7" t="n"/>
      <c r="G30" s="7" t="n"/>
      <c r="H30" s="23" t="inlineStr">
        <is>
          <t>Prices include GST; discounts are on this bill. Tax payable on reverse charge: No.</t>
        </is>
      </c>
    </row>
    <row r="31" ht="28" customHeight="1">
      <c r="B31" s="21" t="inlineStr">
        <is>
          <t>Amount in words</t>
        </is>
      </c>
      <c r="C31" s="22" t="n"/>
      <c r="D31" s="40">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1" s="7" t="n"/>
      <c r="F31" s="7" t="n"/>
      <c r="G31" s="7" t="n"/>
      <c r="H31" s="7" t="n"/>
      <c r="I31" s="7" t="n"/>
      <c r="J31" s="7" t="n"/>
      <c r="K31" s="7" t="n"/>
      <c r="L31" s="7" t="n"/>
    </row>
    <row r="32">
      <c r="B32" s="41">
        <f>"GSTIN "&amp;IF($C$7="","______________",$C$7)</f>
        <v/>
      </c>
      <c r="H32" s="42">
        <f>"For "&amp;IF($B$5="","the shop",$B$5)</f>
        <v/>
      </c>
    </row>
    <row r="33" ht="30" customHeight="1">
      <c r="B33" s="43" t="inlineStr">
        <is>
          <t>Thank you. Keep this bill for any query about your purchase.</t>
        </is>
      </c>
      <c r="C33" s="25" t="n"/>
      <c r="D33" s="25" t="n"/>
      <c r="E33" s="25" t="n"/>
      <c r="F33" s="25" t="n"/>
      <c r="G33" s="25" t="n"/>
    </row>
    <row r="34">
      <c r="H34" s="44" t="inlineStr">
        <is>
          <t>Authorised signatory</t>
        </is>
      </c>
    </row>
    <row r="36">
      <c r="B36" s="3" t="inlineStr">
        <is>
          <t xml:space="preserve">  CHECK BEFORE YOU PRINT  (this part does not print)</t>
        </is>
      </c>
      <c r="C36" s="4" t="n"/>
      <c r="D36" s="4" t="n"/>
      <c r="E36" s="4" t="n"/>
      <c r="F36" s="4" t="n"/>
      <c r="G36" s="4" t="n"/>
      <c r="H36" s="4" t="n"/>
      <c r="I36" s="4" t="n"/>
      <c r="J36" s="4" t="n"/>
      <c r="K36" s="4" t="n"/>
      <c r="L36" s="4" t="n"/>
    </row>
    <row r="37">
      <c r="B37" s="45">
        <f>IF($C$7="","Enter your GSTIN.",IF(LEN($C$7&amp;"")&lt;&gt;15,"Your GSTIN should have 15 characters.",""))</f>
        <v/>
      </c>
    </row>
    <row r="38">
      <c r="B38" s="45">
        <f>IF($J$6="","Enter the bill number.",IF(LEN($J$6&amp;"")&gt;16,"Bill number: 16 characters at most (Rule 46(b)).",""))</f>
        <v/>
      </c>
    </row>
    <row r="39">
      <c r="B39" s="45">
        <f>IF($J$7="","Enter the date.","")</f>
        <v/>
      </c>
    </row>
    <row r="40">
      <c r="B40" s="45">
        <f>IF(AND($E$3&lt;&gt;"Yes",SUM($X$15:$X$26)&gt;0),"A garment priced between ₹2,626 and ₹2,950 a piece after discount, including GST: at 5% its value is over ₹2,500, at 18% it is not. The Bill charges 18%. Price it outside this band, or ask your accountant how to bill it.","")</f>
        <v/>
      </c>
    </row>
    <row r="41">
      <c r="B41" s="45">
        <f>IF(SUM($U$15:$U$26)&gt;0,"An item is not in the Item List. Add it there with its HSN, rate and price, or pick it from the list.","")</f>
        <v/>
      </c>
    </row>
    <row r="42">
      <c r="B42" s="45">
        <f>IF(SUM($V$15:$V$26)&gt;0,"A line has an item but no quantity.","")</f>
        <v/>
      </c>
    </row>
    <row r="43">
      <c r="B43" s="45">
        <f>IF(SUM($AB$15:$AB$26)&gt;0,"An item has no GST rate in the Item List, so it would bill as nil. Enter its rate there (0% if it really is nil).","")</f>
        <v/>
      </c>
    </row>
    <row r="44">
      <c r="B44" s="45">
        <f>IF(AND($E$3&lt;&gt;"Yes",SUM($R$15:$R$26)&gt;=50000,$J$11="",OR($C$11="",$C$12="")),"Value before GST is ₹50,000 or more: the customer's name, address and state, and the delivery address, must be on the bill (Rule 46(e)). Put the state in the address.","")</f>
        <v/>
      </c>
    </row>
    <row r="45">
      <c r="B45" s="45">
        <f>IF(AND($J$11&lt;&gt;"",LEN($J$11&amp;"")&lt;&gt;15),"The customer's GSTIN should have 15 characters.","")</f>
        <v/>
      </c>
    </row>
    <row r="46">
      <c r="B46" s="45">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5">
        <f>IF(AND($I$3="Yes",COUNTIFS($T$15:$T$26,"&lt;6",$Q$15:$Q$26,"&gt;0")&gt;0),"Turnover above ₹5 crore: HSN needs 6 digits on every line (Notification 78/2020). Add them in the Item List.","")</f>
        <v/>
      </c>
    </row>
    <row r="48">
      <c r="B48" s="45">
        <f>IF(AND(AND($J$8&lt;&gt;"",$J$8&lt;&gt;$F$7),$E$3="Yes"),"Composition dealers cannot make inter-State supplies of goods (s.10(2)(c)): check the place of supply.","")</f>
        <v/>
      </c>
    </row>
    <row r="49">
      <c r="B49" s="46">
        <f>IF(AND($L$27&gt;0,B37&amp;B38&amp;B39&amp;B40&amp;B41&amp;B42&amp;B43&amp;B44&amp;B45&amp;B46&amp;B47&amp;B48=""),"All checks OK.","")</f>
        <v/>
      </c>
    </row>
    <row r="51">
      <c r="B51" s="47" t="inlineStr">
        <is>
          <t xml:space="preserve">  NOTES FOR THIS BILL</t>
        </is>
      </c>
      <c r="C51" s="48" t="n"/>
      <c r="D51" s="48" t="n"/>
      <c r="E51" s="48" t="n"/>
      <c r="F51" s="48" t="n"/>
      <c r="G51" s="48" t="n"/>
      <c r="H51" s="48" t="n"/>
      <c r="I51" s="48" t="n"/>
      <c r="J51" s="48" t="n"/>
      <c r="K51" s="48" t="n"/>
      <c r="L51" s="48"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IF(AND($E$3&lt;&gt;"Yes",SUM($AA$15:$AA$26)&gt;0),"A garment or pair is over ₹2,500 before GST, so it is at 18%. Each piece is tested on its own, after the discount on this bill.","")</f>
        <v/>
      </c>
    </row>
    <row r="55">
      <c r="B55" s="23">
        <f>IF(AND($L$27&gt;0,$L$27&lt;200,$J$11=""),"Below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c r="L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6">
    <mergeCell ref="H30:L30"/>
    <mergeCell ref="J6:L6"/>
    <mergeCell ref="C6:G6"/>
    <mergeCell ref="I28:K28"/>
    <mergeCell ref="B54:L54"/>
    <mergeCell ref="B47:L47"/>
    <mergeCell ref="B46:L46"/>
    <mergeCell ref="B31:C31"/>
    <mergeCell ref="B56:L56"/>
    <mergeCell ref="F7:G7"/>
    <mergeCell ref="J11:L11"/>
    <mergeCell ref="J7:L7"/>
    <mergeCell ref="H9:L9"/>
    <mergeCell ref="H34:L34"/>
    <mergeCell ref="B43:L43"/>
    <mergeCell ref="B58:L58"/>
    <mergeCell ref="H6:I6"/>
    <mergeCell ref="B52:L52"/>
    <mergeCell ref="B48:L48"/>
    <mergeCell ref="B39:L39"/>
    <mergeCell ref="B2:L2"/>
    <mergeCell ref="B42:L42"/>
    <mergeCell ref="J12:L12"/>
    <mergeCell ref="B60:L60"/>
    <mergeCell ref="J3:L3"/>
    <mergeCell ref="I29:K29"/>
    <mergeCell ref="B33:G33"/>
    <mergeCell ref="B53:L53"/>
    <mergeCell ref="H11:I11"/>
    <mergeCell ref="C12:G12"/>
    <mergeCell ref="B5:G5"/>
    <mergeCell ref="B38:L38"/>
    <mergeCell ref="B44:L44"/>
    <mergeCell ref="H7:I7"/>
    <mergeCell ref="H32:L32"/>
    <mergeCell ref="C11:G11"/>
    <mergeCell ref="B32:G32"/>
    <mergeCell ref="B37:L37"/>
    <mergeCell ref="J8:L8"/>
    <mergeCell ref="B10:L10"/>
    <mergeCell ref="H5:L5"/>
    <mergeCell ref="C8:G8"/>
    <mergeCell ref="B40:L40"/>
    <mergeCell ref="B49:L49"/>
    <mergeCell ref="B3:D3"/>
    <mergeCell ref="H12:I12"/>
    <mergeCell ref="B36:L36"/>
    <mergeCell ref="C7:D7"/>
    <mergeCell ref="I27:K27"/>
    <mergeCell ref="B55:L55"/>
    <mergeCell ref="B51:L51"/>
    <mergeCell ref="D31:L31"/>
    <mergeCell ref="H8:I8"/>
    <mergeCell ref="F3:H3"/>
    <mergeCell ref="B45:L45"/>
    <mergeCell ref="B41:L41"/>
  </mergeCells>
  <dataValidations count="8">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the number of pieces or pairs, or metres of fabric." type="decimal" operator="greaterThan">
      <formula1>0</formula1>
    </dataValidation>
    <dataValidation sqref="H15:H26" showDropDown="0" showInputMessage="0" showErrorMessage="1" allowBlank="1" errorTitle="Enter a discount" error="Enter the discount as a percentage, for example 20%. Leave it blank for none." type="decimal" operator="between">
      <formula1>0</formula1>
      <formula2>0.9</formula2>
    </dataValidation>
  </dataValidations>
  <pageMargins left="0.4" right="0.4"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2" customWidth="1" min="1" max="1"/>
    <col width="32" customWidth="1" min="2" max="2"/>
    <col width="64" customWidth="1" min="3" max="3"/>
    <col width="48" customWidth="1" min="4" max="4"/>
    <col width="2" customWidth="1" min="5" max="5"/>
  </cols>
  <sheetData>
    <row r="1"/>
    <row r="2" ht="26" customHeight="1">
      <c r="B2" s="1" t="inlineStr">
        <is>
          <t>THE RULES BEHIND THE BILL AND THE CHECKS</t>
        </is>
      </c>
    </row>
    <row r="3" ht="16" customHeight="1">
      <c r="B3" s="11" t="inlineStr">
        <is>
          <t>On a clothing bill the GST rate is decided piece by piece, by price. Each provision is quoted or summarised, with what it means for your bill.</t>
        </is>
      </c>
    </row>
    <row r="4"/>
    <row r="5" ht="19" customHeight="1">
      <c r="B5" s="12" t="inlineStr">
        <is>
          <t>Provision</t>
        </is>
      </c>
      <c r="C5" s="12" t="inlineStr">
        <is>
          <t>What it says</t>
        </is>
      </c>
      <c r="D5" s="12" t="inlineStr">
        <is>
          <t>What it means for your bill</t>
        </is>
      </c>
    </row>
    <row r="6" ht="84" customHeight="1">
      <c r="B6" s="5" t="inlineStr">
        <is>
          <t>Notification 9/2025-Central Tax (Rate), Schedule I (5%), entries 388, 389, 390 and 392</t>
        </is>
      </c>
      <c r="C6" s="6" t="inlineStr">
        <is>
          <t>Entry 388: chapter 61, articles of apparel and clothing accessories, knitted or crocheted, of sale value not exceeding ₹2,500 per piece. Entry 389: chapter 62, the same for apparel not knitted or crocheted. Entry 390: chapter 63, other made up textile articles and sets, up to ₹2,500 per piece. Entry 392: chapter 64, footwear of sale value not exceeding ₹2,500 per pair (summarised).</t>
        </is>
      </c>
      <c r="D6" s="6" t="inlineStr">
        <is>
          <t>Garments, made-ups such as bedsheets, and footwear are at 5% (2.5% CGST and 2.5% SGST) when the piece or pair is worth ₹2,500 or less.</t>
        </is>
      </c>
    </row>
    <row r="7" ht="84" customHeight="1">
      <c r="B7" s="5" t="inlineStr">
        <is>
          <t>Notification 9/2025-Central Tax (Rate), Schedule II (18%), entries 197, 198, 199 and 202 to 206</t>
        </is>
      </c>
      <c r="C7" s="6" t="inlineStr">
        <is>
          <t>Entries 197 and 198: chapters 61 and 62, articles of apparel of sale value exceeding ₹2,500 per piece. Entry 199: chapter 63, made-up textile articles above ₹2,500 a piece. Entries 202 to 206: footwear of headings 6401 to 6405, with no price limit; footwear up to ₹2,500 a pair is taken out by Schedule I entry 392 (summarised).</t>
        </is>
      </c>
      <c r="D7" s="6" t="inlineStr">
        <is>
          <t>Above ₹2,500 a piece or pair, the rate is 18%. The test is per piece: four kurtas at ₹900 are four pieces at 5%, not one sale of ₹3,600.</t>
        </is>
      </c>
    </row>
    <row r="8" ht="44" customHeight="1">
      <c r="B8" s="5" t="inlineStr">
        <is>
          <t>Notification 9/2025-Central Tax (Rate), Schedule II entry 146</t>
        </is>
      </c>
      <c r="C8" s="6" t="inlineStr">
        <is>
          <t>Heading 4203, "Articles of apparel and clothing accessories, of leather or of composition leather [other than gloves specially designed for use in sports]".</t>
        </is>
      </c>
      <c r="D8" s="6" t="inlineStr">
        <is>
          <t>Leather jackets, belts and other leather apparel are at 18% at any price. The ₹2,500 line does not reach them.</t>
        </is>
      </c>
    </row>
    <row r="9" ht="44" customHeight="1">
      <c r="B9" s="5" t="inlineStr">
        <is>
          <t>Notification 9/2025-Central Tax (Rate), Schedule I entries 326 and 334</t>
        </is>
      </c>
      <c r="C9" s="6" t="inlineStr">
        <is>
          <t>Entry 326: 5007, "Woven fabrics of silk or of silk waste". Entry 334: 5208 to 5212, "Woven fabrics of cotton".</t>
        </is>
      </c>
      <c r="D9" s="6" t="inlineStr">
        <is>
          <t>Silk and cotton fabric sold by the metre is at 5%, whatever the price. Sarees and other fabrics follow their own HSN: check yours.</t>
        </is>
      </c>
    </row>
    <row r="10" ht="97" customHeight="1">
      <c r="B10" s="5" t="inlineStr">
        <is>
          <t>CGST Act, s.15(1) and s.15(2)(a)</t>
        </is>
      </c>
      <c r="C10" s="6" t="inlineStr">
        <is>
          <t>"The value of a supply of goods ... shall be the transaction value, which is the price actually paid or payable". The value includes other taxes and charges, but not the GST charged under the CGST, SGST, UTGST and Compensation Acts themselves (s.15(2)(a), summarised).</t>
        </is>
      </c>
      <c r="D10" s="6" t="inlineStr">
        <is>
          <t>In our reading, the ₹2,500 is the piece's value before GST. With prices that include GST, a piece priced, after discount, at up to ₹2,625 is 5%, and above ₹2,950 is 18%. In between, neither rate works out: the Bill charges 18% and its check list says so. Price outside that band, or ask your accountant.</t>
        </is>
      </c>
    </row>
    <row r="11" ht="110" customHeight="1">
      <c r="B11" s="5" t="inlineStr">
        <is>
          <t>CGST Act, s.15(3)(a)</t>
        </is>
      </c>
      <c r="C11" s="6" t="inlineStr">
        <is>
          <t>"The value of the supply shall not include any discount which is given- (a) before or at the time of the supply if such discount has been duly recorded in the invoice issued in respect of such supply".</t>
        </is>
      </c>
      <c r="D11" s="6" t="inlineStr">
        <is>
          <t>A discount shown on the bill lowers the value, and can bring a piece under ₹2,500. The Bill's Discount % column records it. A discount given at the counter but not shown on the bill does not lower the value. A discount given after the sale lowers it only under s.15(3)(b): a credit note from you and the buyer's input tax credit reversed. Ask your accountant.</t>
        </is>
      </c>
    </row>
    <row r="12" ht="70" customHeight="1">
      <c r="B12" s="5" t="inlineStr">
        <is>
          <t>CGST Act, s.31(3)(b), and Rule 46, proviso</t>
        </is>
      </c>
      <c r="C12" s="6" t="inlineStr">
        <is>
          <t>A registered person "may not issue a tax invoice if the value of the goods or services or both supplied is less than two hundred rupees", where "the recipient is not a registered person" and "does not require such invoice", and "shall issue a consolidated tax invoice for such supplies at the close of each day".</t>
        </is>
      </c>
      <c r="D12" s="6" t="inlineStr">
        <is>
          <t>For a walk-in sale under ₹200 you need not give a bill if the customer does not want one, but the sale goes into one consolidated invoice at the end of the day. Our cash memo format has that day-end sheet.</t>
        </is>
      </c>
    </row>
    <row r="13" ht="70" customHeight="1">
      <c r="B13" s="5" t="inlineStr">
        <is>
          <t>CGST Act, s.31(3)(c), and Rule 46A</t>
        </is>
      </c>
      <c r="C13" s="6" t="inlineStr">
        <is>
          <t>A registered person "supplying exempted goods ... or paying tax under the provisions of section 10 shall issue, instead of a tax invoice, a bill of supply". Rule 46A: "a single 'invoice-cum-bill of supply' may be issued" for taxable and exempted supplies to an unregistered person.</t>
        </is>
      </c>
      <c r="D13" s="6" t="inlineStr">
        <is>
          <t>Most clothing is taxed, so most bills are tax invoices. Under composition, every bill is a bill of supply. If you add an exempt item, the Bill changes its title for you.</t>
        </is>
      </c>
    </row>
    <row r="14" ht="44" customHeight="1">
      <c r="B14" s="5" t="inlineStr">
        <is>
          <t>CGST Rules, Rule 49 and Rule 5(1)(f)</t>
        </is>
      </c>
      <c r="C14" s="6" t="inlineStr">
        <is>
          <t>A composition dealer's bill of supply carries the particulars in Rule 49 and "the words 'composition taxable person, not eligible to collect tax on supplies' at the top of the bill of supply".</t>
        </is>
      </c>
      <c r="D14" s="6" t="inlineStr">
        <is>
          <t>Mark composition at the top of the Bill and it prints as a bill of supply, with no GST and these words.</t>
        </is>
      </c>
    </row>
    <row r="15" ht="84" customHeight="1">
      <c r="B15" s="5" t="inlineStr">
        <is>
          <t>CGST Rules, 2017, Rule 46</t>
        </is>
      </c>
      <c r="C15" s="6" t="inlineStr">
        <is>
          <t>A tax invoice carries, among other particulars: the supplier's name, address and GSTIN; "a consecutive serial number not exceeding sixteen characters, in one or multiple series ... unique for a financial year"; the date; the HSN code; description; quantity; the taxable value "taking into account discount or abatement, if any"; the rate and amount of tax; and the signature.</t>
        </is>
      </c>
      <c r="D15" s="6" t="inlineStr">
        <is>
          <t>The Bill has a place for each of these and works the tax out for you.</t>
        </is>
      </c>
    </row>
    <row r="16" ht="57" customHeight="1">
      <c r="B16" s="5" t="inlineStr">
        <is>
          <t>CGST Rules, Rule 46(e)</t>
        </is>
      </c>
      <c r="C16" s="6" t="inlineStr">
        <is>
          <t>"name and address of the recipient and the address of delivery, along with the name of the State and its code, if such recipient is un-registered and where the value of the taxable supply is fifty thousand rupees or more".</t>
        </is>
      </c>
      <c r="D16" s="6" t="inlineStr">
        <is>
          <t>A bulk order of ₹50,000 or more, counted before GST, for an unregistered customer needs their name, address and state, and the delivery address, on the bill.</t>
        </is>
      </c>
    </row>
    <row r="17" ht="44" customHeight="1">
      <c r="B17" s="5" t="inlineStr">
        <is>
          <t>CGST Rules, Rule 35</t>
        </is>
      </c>
      <c r="C17" s="6" t="inlineStr">
        <is>
          <t>Where the value is inclusive of tax, the tax is the inclusive value multiplied by the tax rate, divided by 100 plus the tax rate (the formula in the Rule, summarised).</t>
        </is>
      </c>
      <c r="D17" s="6" t="inlineStr">
        <is>
          <t>Your prices include GST. The Bill takes the tax out of each price after discount.</t>
        </is>
      </c>
    </row>
    <row r="18" ht="44" customHeight="1">
      <c r="B18" s="5" t="inlineStr">
        <is>
          <t>CGST Act, 2017, s.122(1)(ii)</t>
        </is>
      </c>
      <c r="C18" s="6" t="inlineStr">
        <is>
          <t>A taxable person who "issues any invoice or bill without supply of goods or services or both in violation of the provisions of this Act or the rules made thereunder" is liable to a penalty.</t>
        </is>
      </c>
      <c r="D18" s="6" t="inlineStr">
        <is>
          <t>A bill is for a real sale only, at the price the customer actually pays.</t>
        </is>
      </c>
    </row>
    <row r="19"/>
    <row r="20" ht="28" customHeight="1">
      <c r="B20" s="11" t="inlineStr">
        <is>
          <t>Sources: Notification 9/2025-Central Tax (Rate), Gazette of India Extraordinary, Part II, Section 3(i); CGST Act, 2017, s.15, s.31 and s.122, and CGST Rules 5, 35, 46, 46A and 49 (taxinformation.cbic.gov.in). Read 30-Oct to 03-Nov-2026.</t>
        </is>
      </c>
    </row>
    <row r="21" ht="16" customHeight="1">
      <c r="B21" s="11" t="inlineStr">
        <is>
          <t>Quotes are shortened where marked. General guidance, not legal or tax advice.</t>
        </is>
      </c>
    </row>
    <row r="22"/>
    <row r="23" ht="16" customHeight="1">
      <c r="B23"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23:D23"/>
    <mergeCell ref="B21:D21"/>
    <mergeCell ref="B2:D2"/>
    <mergeCell ref="B20:D20"/>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B2:AB60"/>
  <sheetViews>
    <sheetView showGridLines="0" workbookViewId="0">
      <selection activeCell="A1" sqref="A1"/>
    </sheetView>
  </sheetViews>
  <sheetFormatPr baseColWidth="8" defaultRowHeight="15"/>
  <cols>
    <col width="2" customWidth="1" min="1" max="1"/>
    <col width="4" customWidth="1" min="2" max="2"/>
    <col width="26" customWidth="1" min="3" max="3"/>
    <col width="8" customWidth="1" min="4" max="4"/>
    <col width="9" customWidth="1" min="5" max="5"/>
    <col width="8" customWidth="1" min="6" max="6"/>
    <col width="11" customWidth="1" min="7" max="7"/>
    <col width="9" customWidth="1" min="8" max="8"/>
    <col width="8" customWidth="1" min="9" max="9"/>
    <col width="12" customWidth="1" min="10" max="10"/>
    <col width="11" customWidth="1" min="11" max="11"/>
    <col width="12" customWidth="1" min="12" max="12"/>
    <col width="2" customWidth="1" min="13" max="13"/>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hidden="1" width="11" customWidth="1" min="27" max="27"/>
    <col hidden="1" width="11" customWidth="1" min="28" max="28"/>
    <col width="11" customWidth="1" min="29" max="29"/>
  </cols>
  <sheetData>
    <row r="2">
      <c r="B2" s="1" t="inlineStr">
        <is>
          <t>CLOTHING AND GARMENT SHOP BILL</t>
        </is>
      </c>
      <c r="Y2" s="19" t="inlineStr">
        <is>
          <t>a</t>
        </is>
      </c>
      <c r="Z2" s="20">
        <f>ROUND(N($L$29),2)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inlineStr">
        <is>
          <t>Sample Garments (example)</t>
        </is>
      </c>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L5" s="4" t="n"/>
      <c r="Y5" s="19" t="inlineStr">
        <is>
          <t>th</t>
        </is>
      </c>
      <c r="Z5" s="20">
        <f>INT(MOD(INT($Z$2),100000)/1000)</f>
        <v/>
      </c>
    </row>
    <row r="6">
      <c r="B6" s="21" t="inlineStr">
        <is>
          <t>Address</t>
        </is>
      </c>
      <c r="C6" s="13" t="inlineStr">
        <is>
          <t>Johari Bazar, Jaipur, Rajasthan 302003</t>
        </is>
      </c>
      <c r="D6" s="25" t="n"/>
      <c r="E6" s="25" t="n"/>
      <c r="F6" s="25" t="n"/>
      <c r="G6" s="25" t="n"/>
      <c r="H6" s="21" t="inlineStr">
        <is>
          <t>Bill no.</t>
        </is>
      </c>
      <c r="I6" s="22" t="n"/>
      <c r="J6" s="13" t="inlineStr">
        <is>
          <t>SG/26-27/2187</t>
        </is>
      </c>
      <c r="K6" s="25" t="n"/>
      <c r="L6" s="25" t="n"/>
      <c r="Y6" s="19" t="inlineStr">
        <is>
          <t>hu</t>
        </is>
      </c>
      <c r="Z6" s="20">
        <f>INT(MOD(INT($Z$2),1000)/100)</f>
        <v/>
      </c>
    </row>
    <row r="7">
      <c r="B7" s="21" t="inlineStr">
        <is>
          <t>GSTIN</t>
        </is>
      </c>
      <c r="C7" s="27" t="inlineStr">
        <is>
          <t>08AAAAA0000A1Z5</t>
        </is>
      </c>
      <c r="D7" s="25" t="n"/>
      <c r="E7" s="21" t="inlineStr">
        <is>
          <t>State</t>
        </is>
      </c>
      <c r="F7" s="13" t="inlineStr">
        <is>
          <t>Rajasthan</t>
        </is>
      </c>
      <c r="G7" s="25" t="n"/>
      <c r="H7" s="21" t="inlineStr">
        <is>
          <t>Date</t>
        </is>
      </c>
      <c r="I7" s="22" t="n"/>
      <c r="J7" s="28" t="n">
        <v>46329</v>
      </c>
      <c r="K7" s="25" t="n"/>
      <c r="L7" s="25" t="n"/>
      <c r="Y7" s="19" t="inlineStr">
        <is>
          <t>te</t>
        </is>
      </c>
      <c r="Z7" s="20">
        <f>MOD(INT($Z$2),100)</f>
        <v/>
      </c>
    </row>
    <row r="8">
      <c r="B8" s="21" t="inlineStr">
        <is>
          <t>Phone</t>
        </is>
      </c>
      <c r="C8" s="13" t="inlineStr">
        <is>
          <t>+91-00000 00000</t>
        </is>
      </c>
      <c r="D8" s="25" t="n"/>
      <c r="E8" s="25" t="n"/>
      <c r="F8" s="25" t="n"/>
      <c r="G8" s="25" t="n"/>
      <c r="H8" s="21" t="inlineStr">
        <is>
          <t>Place of supply</t>
        </is>
      </c>
      <c r="I8" s="22" t="n"/>
      <c r="J8" s="13" t="n"/>
      <c r="K8" s="25" t="n"/>
      <c r="L8" s="25" t="n"/>
      <c r="Y8" s="19" t="inlineStr">
        <is>
          <t>ps</t>
        </is>
      </c>
      <c r="Z8" s="20">
        <f>ROUND(($Z$2-INT($Z$2))*100,0)</f>
        <v/>
      </c>
    </row>
    <row r="9">
      <c r="H9" s="23" t="inlineStr">
        <is>
          <t>Blank means your own state</t>
        </is>
      </c>
    </row>
    <row r="10">
      <c r="B10" s="3" t="inlineStr">
        <is>
          <t xml:space="preserve">  BILL TO</t>
        </is>
      </c>
      <c r="C10" s="4" t="n"/>
      <c r="D10" s="4" t="n"/>
      <c r="E10" s="4" t="n"/>
      <c r="F10" s="4" t="n"/>
      <c r="G10" s="4" t="n"/>
      <c r="H10" s="4" t="n"/>
      <c r="I10" s="4" t="n"/>
      <c r="J10" s="4" t="n"/>
      <c r="K10" s="4" t="n"/>
      <c r="L10" s="4" t="n"/>
    </row>
    <row r="11">
      <c r="B11" s="21" t="inlineStr">
        <is>
          <t>Name</t>
        </is>
      </c>
      <c r="C11" s="13" t="inlineStr">
        <is>
          <t>Walk-in customer (example)</t>
        </is>
      </c>
      <c r="D11" s="25" t="n"/>
      <c r="E11" s="25" t="n"/>
      <c r="F11" s="25" t="n"/>
      <c r="G11" s="25" t="n"/>
      <c r="H11" s="21" t="inlineStr">
        <is>
          <t>GSTIN (if registered)</t>
        </is>
      </c>
      <c r="I11" s="22" t="n"/>
      <c r="J11" s="27" t="n"/>
      <c r="K11" s="25" t="n"/>
      <c r="L11" s="25" t="n"/>
    </row>
    <row r="12">
      <c r="B12" s="21" t="inlineStr">
        <is>
          <t>Address</t>
        </is>
      </c>
      <c r="C12" s="13" t="n"/>
      <c r="D12" s="25" t="n"/>
      <c r="E12" s="25" t="n"/>
      <c r="F12" s="25" t="n"/>
      <c r="G12" s="25" t="n"/>
      <c r="H12" s="21" t="inlineStr">
        <is>
          <t>Phone</t>
        </is>
      </c>
      <c r="I12" s="22" t="n"/>
      <c r="J12" s="13" t="n"/>
      <c r="K12" s="25" t="n"/>
      <c r="L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(incl. GST)</t>
        </is>
      </c>
      <c r="H14" s="12" t="inlineStr">
        <is>
          <t>Discount %</t>
        </is>
      </c>
      <c r="I14" s="12">
        <f>IF($E$3="Yes","GST % (not charged)","GST %")</f>
        <v/>
      </c>
      <c r="J14" s="12">
        <f>IF($E$3="Yes","Value","Taxable value")</f>
        <v/>
      </c>
      <c r="K14" s="12">
        <f>IF($E$3="Yes","GST (not charged)","GST")</f>
        <v/>
      </c>
      <c r="L14" s="12" t="inlineStr">
        <is>
          <t>Amount</t>
        </is>
      </c>
    </row>
    <row r="15">
      <c r="B15" s="29" t="n">
        <v>1</v>
      </c>
      <c r="C15" s="13" t="inlineStr">
        <is>
          <t>Kurta</t>
        </is>
      </c>
      <c r="D15" s="29">
        <f>IF(N15=1,VLOOKUP(C15,'Item List'!$B$6:$F$65,4,FALSE)&amp;"","")</f>
        <v/>
      </c>
      <c r="E15" s="29">
        <f>IF(N15=1,VLOOKUP(C15,'Item List'!$B$6:$F$65,2,FALSE)&amp;"","")</f>
        <v/>
      </c>
      <c r="F15" s="30" t="n">
        <v>2</v>
      </c>
      <c r="G15" s="31">
        <f>IF(N15=1,N(VLOOKUP(C15,'Item List'!$B$6:$F$65,5,FALSE)),"")</f>
        <v/>
      </c>
      <c r="H15" s="32" t="n"/>
      <c r="I15" s="33">
        <f>IF(Q15=0,"",P15)</f>
        <v/>
      </c>
      <c r="J15" s="34">
        <f>IF(Q15=0,"",ROUND(R15,2))</f>
        <v/>
      </c>
      <c r="K15" s="34">
        <f>IF(Q15=0,"",ROUND(S15,2))</f>
        <v/>
      </c>
      <c r="L15" s="35">
        <f>IF(Q15=0,"",Q15)</f>
        <v/>
      </c>
      <c r="N15">
        <f>IF(C15="",0,IF(ISNUMBER(MATCH(C15,'Item List'!$B$6:$B$65,0)),1,0))</f>
        <v/>
      </c>
      <c r="O15">
        <f>IF(N15=1,ROUND(N(VLOOKUP(C15,'Item List'!$B$6:$F$65,5,FALSE))*(1-MIN(1,MAX(0,N(H15)))),2),0)</f>
        <v/>
      </c>
      <c r="P15">
        <f>IF(N15=1,IF(W15=1,IF(O15/1.05&lt;=2500,0.05,0.18),N(VLOOKUP(C15,'Item List'!$B$6:$F$65,3,FALSE))),0)</f>
        <v/>
      </c>
      <c r="Q15">
        <f>ROUND(N(F15)*O15,2)</f>
        <v/>
      </c>
      <c r="R15">
        <f>IF(Q15=0,0,IF($E$3="Yes",Q15,Q15/(1+P15)))</f>
        <v/>
      </c>
      <c r="S15">
        <f>Q15-R15</f>
        <v/>
      </c>
      <c r="T15">
        <f>IF(N15=1,LEN(VLOOKUP(C15,'Item List'!$B$6:$F$65,2,FALSE)&amp;""),0)</f>
        <v/>
      </c>
      <c r="U15">
        <f>IF(AND(LEN(C15&amp;"")&gt;0,N15=0),1,0)</f>
        <v/>
      </c>
      <c r="V15">
        <f>IF(AND(N15=1,N(F15)=0),1,0)</f>
        <v/>
      </c>
      <c r="W15">
        <f>IF(N15=1,IF(OR(LEFT(VLOOKUP(C15,'Item List'!$B$6:$F$65,2,FALSE)&amp;"",2)="61",LEFT(VLOOKUP(C15,'Item List'!$B$6:$F$65,2,FALSE)&amp;"",2)="62",LEFT(VLOOKUP(C15,'Item List'!$B$6:$F$65,2,FALSE)&amp;"",2)="63",LEFT(VLOOKUP(C15,'Item List'!$B$6:$F$65,2,FALSE)&amp;"",2)="64"),1,0),0)</f>
        <v/>
      </c>
      <c r="X15">
        <f>IF(AND(W15=1,F15&gt;0,O15/1.05&gt;2500,O15/1.18&lt;=2500),1,0)</f>
        <v/>
      </c>
      <c r="AA15">
        <f>IF(AND(W15=1,N(F15)&gt;0,P15=0.18,X15=0),1,0)</f>
        <v/>
      </c>
      <c r="AB15">
        <f>IF(N15=1,IF(W15=0,IF(VLOOKUP(C15,'Item List'!$B$6:$F$65,3,FALSE)&amp;""="",1,0),0),0)</f>
        <v/>
      </c>
    </row>
    <row r="16">
      <c r="B16" s="29" t="n">
        <v>2</v>
      </c>
      <c r="C16" s="13" t="inlineStr">
        <is>
          <t>Jeans</t>
        </is>
      </c>
      <c r="D16" s="29">
        <f>IF(N16=1,VLOOKUP(C16,'Item List'!$B$6:$F$65,4,FALSE)&amp;"","")</f>
        <v/>
      </c>
      <c r="E16" s="29">
        <f>IF(N16=1,VLOOKUP(C16,'Item List'!$B$6:$F$65,2,FALSE)&amp;"","")</f>
        <v/>
      </c>
      <c r="F16" s="30" t="n">
        <v>1</v>
      </c>
      <c r="G16" s="31">
        <f>IF(N16=1,N(VLOOKUP(C16,'Item List'!$B$6:$F$65,5,FALSE)),"")</f>
        <v/>
      </c>
      <c r="H16" s="32" t="n"/>
      <c r="I16" s="33">
        <f>IF(Q16=0,"",P16)</f>
        <v/>
      </c>
      <c r="J16" s="34">
        <f>IF(Q16=0,"",ROUND(R16,2))</f>
        <v/>
      </c>
      <c r="K16" s="34">
        <f>IF(Q16=0,"",ROUND(S16,2))</f>
        <v/>
      </c>
      <c r="L16" s="35">
        <f>IF(Q16=0,"",Q16)</f>
        <v/>
      </c>
      <c r="N16">
        <f>IF(C16="",0,IF(ISNUMBER(MATCH(C16,'Item List'!$B$6:$B$65,0)),1,0))</f>
        <v/>
      </c>
      <c r="O16">
        <f>IF(N16=1,ROUND(N(VLOOKUP(C16,'Item List'!$B$6:$F$65,5,FALSE))*(1-MIN(1,MAX(0,N(H16)))),2),0)</f>
        <v/>
      </c>
      <c r="P16">
        <f>IF(N16=1,IF(W16=1,IF(O16/1.05&lt;=2500,0.05,0.18),N(VLOOKUP(C16,'Item List'!$B$6:$F$65,3,FALSE))),0)</f>
        <v/>
      </c>
      <c r="Q16">
        <f>ROUND(N(F16)*O16,2)</f>
        <v/>
      </c>
      <c r="R16">
        <f>IF(Q16=0,0,IF($E$3="Yes",Q16,Q16/(1+P16)))</f>
        <v/>
      </c>
      <c r="S16">
        <f>Q16-R16</f>
        <v/>
      </c>
      <c r="T16">
        <f>IF(N16=1,LEN(VLOOKUP(C16,'Item List'!$B$6:$F$65,2,FALSE)&amp;""),0)</f>
        <v/>
      </c>
      <c r="U16">
        <f>IF(AND(LEN(C16&amp;"")&gt;0,N16=0),1,0)</f>
        <v/>
      </c>
      <c r="V16">
        <f>IF(AND(N16=1,N(F16)=0),1,0)</f>
        <v/>
      </c>
      <c r="W16">
        <f>IF(N16=1,IF(OR(LEFT(VLOOKUP(C16,'Item List'!$B$6:$F$65,2,FALSE)&amp;"",2)="61",LEFT(VLOOKUP(C16,'Item List'!$B$6:$F$65,2,FALSE)&amp;"",2)="62",LEFT(VLOOKUP(C16,'Item List'!$B$6:$F$65,2,FALSE)&amp;"",2)="63",LEFT(VLOOKUP(C16,'Item List'!$B$6:$F$65,2,FALSE)&amp;"",2)="64"),1,0),0)</f>
        <v/>
      </c>
      <c r="X16">
        <f>IF(AND(W16=1,F16&gt;0,O16/1.05&gt;2500,O16/1.18&lt;=2500),1,0)</f>
        <v/>
      </c>
      <c r="AA16">
        <f>IF(AND(W16=1,N(F16)&gt;0,P16=0.18,X16=0),1,0)</f>
        <v/>
      </c>
      <c r="AB16">
        <f>IF(N16=1,IF(W16=0,IF(VLOOKUP(C16,'Item List'!$B$6:$F$65,3,FALSE)&amp;""="",1,0),0),0)</f>
        <v/>
      </c>
    </row>
    <row r="17">
      <c r="B17" s="29" t="n">
        <v>3</v>
      </c>
      <c r="C17" s="13" t="inlineStr">
        <is>
          <t>Blazer</t>
        </is>
      </c>
      <c r="D17" s="29">
        <f>IF(N17=1,VLOOKUP(C17,'Item List'!$B$6:$F$65,4,FALSE)&amp;"","")</f>
        <v/>
      </c>
      <c r="E17" s="29">
        <f>IF(N17=1,VLOOKUP(C17,'Item List'!$B$6:$F$65,2,FALSE)&amp;"","")</f>
        <v/>
      </c>
      <c r="F17" s="30" t="n">
        <v>1</v>
      </c>
      <c r="G17" s="31">
        <f>IF(N17=1,N(VLOOKUP(C17,'Item List'!$B$6:$F$65,5,FALSE)),"")</f>
        <v/>
      </c>
      <c r="H17" s="32" t="n">
        <v>0.2</v>
      </c>
      <c r="I17" s="33">
        <f>IF(Q17=0,"",P17)</f>
        <v/>
      </c>
      <c r="J17" s="34">
        <f>IF(Q17=0,"",ROUND(R17,2))</f>
        <v/>
      </c>
      <c r="K17" s="34">
        <f>IF(Q17=0,"",ROUND(S17,2))</f>
        <v/>
      </c>
      <c r="L17" s="35">
        <f>IF(Q17=0,"",Q17)</f>
        <v/>
      </c>
      <c r="N17">
        <f>IF(C17="",0,IF(ISNUMBER(MATCH(C17,'Item List'!$B$6:$B$65,0)),1,0))</f>
        <v/>
      </c>
      <c r="O17">
        <f>IF(N17=1,ROUND(N(VLOOKUP(C17,'Item List'!$B$6:$F$65,5,FALSE))*(1-MIN(1,MAX(0,N(H17)))),2),0)</f>
        <v/>
      </c>
      <c r="P17">
        <f>IF(N17=1,IF(W17=1,IF(O17/1.05&lt;=2500,0.05,0.18),N(VLOOKUP(C17,'Item List'!$B$6:$F$65,3,FALSE))),0)</f>
        <v/>
      </c>
      <c r="Q17">
        <f>ROUND(N(F17)*O17,2)</f>
        <v/>
      </c>
      <c r="R17">
        <f>IF(Q17=0,0,IF($E$3="Yes",Q17,Q17/(1+P17)))</f>
        <v/>
      </c>
      <c r="S17">
        <f>Q17-R17</f>
        <v/>
      </c>
      <c r="T17">
        <f>IF(N17=1,LEN(VLOOKUP(C17,'Item List'!$B$6:$F$65,2,FALSE)&amp;""),0)</f>
        <v/>
      </c>
      <c r="U17">
        <f>IF(AND(LEN(C17&amp;"")&gt;0,N17=0),1,0)</f>
        <v/>
      </c>
      <c r="V17">
        <f>IF(AND(N17=1,N(F17)=0),1,0)</f>
        <v/>
      </c>
      <c r="W17">
        <f>IF(N17=1,IF(OR(LEFT(VLOOKUP(C17,'Item List'!$B$6:$F$65,2,FALSE)&amp;"",2)="61",LEFT(VLOOKUP(C17,'Item List'!$B$6:$F$65,2,FALSE)&amp;"",2)="62",LEFT(VLOOKUP(C17,'Item List'!$B$6:$F$65,2,FALSE)&amp;"",2)="63",LEFT(VLOOKUP(C17,'Item List'!$B$6:$F$65,2,FALSE)&amp;"",2)="64"),1,0),0)</f>
        <v/>
      </c>
      <c r="X17">
        <f>IF(AND(W17=1,F17&gt;0,O17/1.05&gt;2500,O17/1.18&lt;=2500),1,0)</f>
        <v/>
      </c>
      <c r="AA17">
        <f>IF(AND(W17=1,N(F17)&gt;0,P17=0.18,X17=0),1,0)</f>
        <v/>
      </c>
      <c r="AB17">
        <f>IF(N17=1,IF(W17=0,IF(VLOOKUP(C17,'Item List'!$B$6:$F$65,3,FALSE)&amp;""="",1,0),0),0)</f>
        <v/>
      </c>
    </row>
    <row r="18">
      <c r="B18" s="29" t="n">
        <v>4</v>
      </c>
      <c r="C18" s="13" t="inlineStr">
        <is>
          <t>Lehenga</t>
        </is>
      </c>
      <c r="D18" s="29">
        <f>IF(N18=1,VLOOKUP(C18,'Item List'!$B$6:$F$65,4,FALSE)&amp;"","")</f>
        <v/>
      </c>
      <c r="E18" s="29">
        <f>IF(N18=1,VLOOKUP(C18,'Item List'!$B$6:$F$65,2,FALSE)&amp;"","")</f>
        <v/>
      </c>
      <c r="F18" s="30" t="n">
        <v>1</v>
      </c>
      <c r="G18" s="31">
        <f>IF(N18=1,N(VLOOKUP(C18,'Item List'!$B$6:$F$65,5,FALSE)),"")</f>
        <v/>
      </c>
      <c r="H18" s="32" t="n"/>
      <c r="I18" s="33">
        <f>IF(Q18=0,"",P18)</f>
        <v/>
      </c>
      <c r="J18" s="34">
        <f>IF(Q18=0,"",ROUND(R18,2))</f>
        <v/>
      </c>
      <c r="K18" s="34">
        <f>IF(Q18=0,"",ROUND(S18,2))</f>
        <v/>
      </c>
      <c r="L18" s="35">
        <f>IF(Q18=0,"",Q18)</f>
        <v/>
      </c>
      <c r="N18">
        <f>IF(C18="",0,IF(ISNUMBER(MATCH(C18,'Item List'!$B$6:$B$65,0)),1,0))</f>
        <v/>
      </c>
      <c r="O18">
        <f>IF(N18=1,ROUND(N(VLOOKUP(C18,'Item List'!$B$6:$F$65,5,FALSE))*(1-MIN(1,MAX(0,N(H18)))),2),0)</f>
        <v/>
      </c>
      <c r="P18">
        <f>IF(N18=1,IF(W18=1,IF(O18/1.05&lt;=2500,0.05,0.18),N(VLOOKUP(C18,'Item List'!$B$6:$F$65,3,FALSE))),0)</f>
        <v/>
      </c>
      <c r="Q18">
        <f>ROUND(N(F18)*O18,2)</f>
        <v/>
      </c>
      <c r="R18">
        <f>IF(Q18=0,0,IF($E$3="Yes",Q18,Q18/(1+P18)))</f>
        <v/>
      </c>
      <c r="S18">
        <f>Q18-R18</f>
        <v/>
      </c>
      <c r="T18">
        <f>IF(N18=1,LEN(VLOOKUP(C18,'Item List'!$B$6:$F$65,2,FALSE)&amp;""),0)</f>
        <v/>
      </c>
      <c r="U18">
        <f>IF(AND(LEN(C18&amp;"")&gt;0,N18=0),1,0)</f>
        <v/>
      </c>
      <c r="V18">
        <f>IF(AND(N18=1,N(F18)=0),1,0)</f>
        <v/>
      </c>
      <c r="W18">
        <f>IF(N18=1,IF(OR(LEFT(VLOOKUP(C18,'Item List'!$B$6:$F$65,2,FALSE)&amp;"",2)="61",LEFT(VLOOKUP(C18,'Item List'!$B$6:$F$65,2,FALSE)&amp;"",2)="62",LEFT(VLOOKUP(C18,'Item List'!$B$6:$F$65,2,FALSE)&amp;"",2)="63",LEFT(VLOOKUP(C18,'Item List'!$B$6:$F$65,2,FALSE)&amp;"",2)="64"),1,0),0)</f>
        <v/>
      </c>
      <c r="X18">
        <f>IF(AND(W18=1,F18&gt;0,O18/1.05&gt;2500,O18/1.18&lt;=2500),1,0)</f>
        <v/>
      </c>
      <c r="AA18">
        <f>IF(AND(W18=1,N(F18)&gt;0,P18=0.18,X18=0),1,0)</f>
        <v/>
      </c>
      <c r="AB18">
        <f>IF(N18=1,IF(W18=0,IF(VLOOKUP(C18,'Item List'!$B$6:$F$65,3,FALSE)&amp;""="",1,0),0),0)</f>
        <v/>
      </c>
    </row>
    <row r="19">
      <c r="B19" s="29" t="n">
        <v>5</v>
      </c>
      <c r="C19" s="13" t="inlineStr">
        <is>
          <t>Sandals</t>
        </is>
      </c>
      <c r="D19" s="29">
        <f>IF(N19=1,VLOOKUP(C19,'Item List'!$B$6:$F$65,4,FALSE)&amp;"","")</f>
        <v/>
      </c>
      <c r="E19" s="29">
        <f>IF(N19=1,VLOOKUP(C19,'Item List'!$B$6:$F$65,2,FALSE)&amp;"","")</f>
        <v/>
      </c>
      <c r="F19" s="30" t="n">
        <v>1</v>
      </c>
      <c r="G19" s="31">
        <f>IF(N19=1,N(VLOOKUP(C19,'Item List'!$B$6:$F$65,5,FALSE)),"")</f>
        <v/>
      </c>
      <c r="H19" s="32" t="n"/>
      <c r="I19" s="33">
        <f>IF(Q19=0,"",P19)</f>
        <v/>
      </c>
      <c r="J19" s="34">
        <f>IF(Q19=0,"",ROUND(R19,2))</f>
        <v/>
      </c>
      <c r="K19" s="34">
        <f>IF(Q19=0,"",ROUND(S19,2))</f>
        <v/>
      </c>
      <c r="L19" s="35">
        <f>IF(Q19=0,"",Q19)</f>
        <v/>
      </c>
      <c r="N19">
        <f>IF(C19="",0,IF(ISNUMBER(MATCH(C19,'Item List'!$B$6:$B$65,0)),1,0))</f>
        <v/>
      </c>
      <c r="O19">
        <f>IF(N19=1,ROUND(N(VLOOKUP(C19,'Item List'!$B$6:$F$65,5,FALSE))*(1-MIN(1,MAX(0,N(H19)))),2),0)</f>
        <v/>
      </c>
      <c r="P19">
        <f>IF(N19=1,IF(W19=1,IF(O19/1.05&lt;=2500,0.05,0.18),N(VLOOKUP(C19,'Item List'!$B$6:$F$65,3,FALSE))),0)</f>
        <v/>
      </c>
      <c r="Q19">
        <f>ROUND(N(F19)*O19,2)</f>
        <v/>
      </c>
      <c r="R19">
        <f>IF(Q19=0,0,IF($E$3="Yes",Q19,Q19/(1+P19)))</f>
        <v/>
      </c>
      <c r="S19">
        <f>Q19-R19</f>
        <v/>
      </c>
      <c r="T19">
        <f>IF(N19=1,LEN(VLOOKUP(C19,'Item List'!$B$6:$F$65,2,FALSE)&amp;""),0)</f>
        <v/>
      </c>
      <c r="U19">
        <f>IF(AND(LEN(C19&amp;"")&gt;0,N19=0),1,0)</f>
        <v/>
      </c>
      <c r="V19">
        <f>IF(AND(N19=1,N(F19)=0),1,0)</f>
        <v/>
      </c>
      <c r="W19">
        <f>IF(N19=1,IF(OR(LEFT(VLOOKUP(C19,'Item List'!$B$6:$F$65,2,FALSE)&amp;"",2)="61",LEFT(VLOOKUP(C19,'Item List'!$B$6:$F$65,2,FALSE)&amp;"",2)="62",LEFT(VLOOKUP(C19,'Item List'!$B$6:$F$65,2,FALSE)&amp;"",2)="63",LEFT(VLOOKUP(C19,'Item List'!$B$6:$F$65,2,FALSE)&amp;"",2)="64"),1,0),0)</f>
        <v/>
      </c>
      <c r="X19">
        <f>IF(AND(W19=1,F19&gt;0,O19/1.05&gt;2500,O19/1.18&lt;=2500),1,0)</f>
        <v/>
      </c>
      <c r="AA19">
        <f>IF(AND(W19=1,N(F19)&gt;0,P19=0.18,X19=0),1,0)</f>
        <v/>
      </c>
      <c r="AB19">
        <f>IF(N19=1,IF(W19=0,IF(VLOOKUP(C19,'Item List'!$B$6:$F$65,3,FALSE)&amp;""="",1,0),0),0)</f>
        <v/>
      </c>
    </row>
    <row r="20">
      <c r="B20" s="29" t="n">
        <v>6</v>
      </c>
      <c r="C20" s="13" t="inlineStr">
        <is>
          <t>Leather belt</t>
        </is>
      </c>
      <c r="D20" s="29">
        <f>IF(N20=1,VLOOKUP(C20,'Item List'!$B$6:$F$65,4,FALSE)&amp;"","")</f>
        <v/>
      </c>
      <c r="E20" s="29">
        <f>IF(N20=1,VLOOKUP(C20,'Item List'!$B$6:$F$65,2,FALSE)&amp;"","")</f>
        <v/>
      </c>
      <c r="F20" s="30" t="n">
        <v>1</v>
      </c>
      <c r="G20" s="31">
        <f>IF(N20=1,N(VLOOKUP(C20,'Item List'!$B$6:$F$65,5,FALSE)),"")</f>
        <v/>
      </c>
      <c r="H20" s="32" t="n"/>
      <c r="I20" s="33">
        <f>IF(Q20=0,"",P20)</f>
        <v/>
      </c>
      <c r="J20" s="34">
        <f>IF(Q20=0,"",ROUND(R20,2))</f>
        <v/>
      </c>
      <c r="K20" s="34">
        <f>IF(Q20=0,"",ROUND(S20,2))</f>
        <v/>
      </c>
      <c r="L20" s="35">
        <f>IF(Q20=0,"",Q20)</f>
        <v/>
      </c>
      <c r="N20">
        <f>IF(C20="",0,IF(ISNUMBER(MATCH(C20,'Item List'!$B$6:$B$65,0)),1,0))</f>
        <v/>
      </c>
      <c r="O20">
        <f>IF(N20=1,ROUND(N(VLOOKUP(C20,'Item List'!$B$6:$F$65,5,FALSE))*(1-MIN(1,MAX(0,N(H20)))),2),0)</f>
        <v/>
      </c>
      <c r="P20">
        <f>IF(N20=1,IF(W20=1,IF(O20/1.05&lt;=2500,0.05,0.18),N(VLOOKUP(C20,'Item List'!$B$6:$F$65,3,FALSE))),0)</f>
        <v/>
      </c>
      <c r="Q20">
        <f>ROUND(N(F20)*O20,2)</f>
        <v/>
      </c>
      <c r="R20">
        <f>IF(Q20=0,0,IF($E$3="Yes",Q20,Q20/(1+P20)))</f>
        <v/>
      </c>
      <c r="S20">
        <f>Q20-R20</f>
        <v/>
      </c>
      <c r="T20">
        <f>IF(N20=1,LEN(VLOOKUP(C20,'Item List'!$B$6:$F$65,2,FALSE)&amp;""),0)</f>
        <v/>
      </c>
      <c r="U20">
        <f>IF(AND(LEN(C20&amp;"")&gt;0,N20=0),1,0)</f>
        <v/>
      </c>
      <c r="V20">
        <f>IF(AND(N20=1,N(F20)=0),1,0)</f>
        <v/>
      </c>
      <c r="W20">
        <f>IF(N20=1,IF(OR(LEFT(VLOOKUP(C20,'Item List'!$B$6:$F$65,2,FALSE)&amp;"",2)="61",LEFT(VLOOKUP(C20,'Item List'!$B$6:$F$65,2,FALSE)&amp;"",2)="62",LEFT(VLOOKUP(C20,'Item List'!$B$6:$F$65,2,FALSE)&amp;"",2)="63",LEFT(VLOOKUP(C20,'Item List'!$B$6:$F$65,2,FALSE)&amp;"",2)="64"),1,0),0)</f>
        <v/>
      </c>
      <c r="X20">
        <f>IF(AND(W20=1,F20&gt;0,O20/1.05&gt;2500,O20/1.18&lt;=2500),1,0)</f>
        <v/>
      </c>
      <c r="AA20">
        <f>IF(AND(W20=1,N(F20)&gt;0,P20=0.18,X20=0),1,0)</f>
        <v/>
      </c>
      <c r="AB20">
        <f>IF(N20=1,IF(W20=0,IF(VLOOKUP(C20,'Item List'!$B$6:$F$65,3,FALSE)&amp;""="",1,0),0),0)</f>
        <v/>
      </c>
    </row>
    <row r="21">
      <c r="B21" s="29" t="n">
        <v>7</v>
      </c>
      <c r="C21" s="13" t="n"/>
      <c r="D21" s="29">
        <f>IF(N21=1,VLOOKUP(C21,'Item List'!$B$6:$F$65,4,FALSE)&amp;"","")</f>
        <v/>
      </c>
      <c r="E21" s="29">
        <f>IF(N21=1,VLOOKUP(C21,'Item List'!$B$6:$F$65,2,FALSE)&amp;"","")</f>
        <v/>
      </c>
      <c r="F21" s="30" t="n"/>
      <c r="G21" s="31">
        <f>IF(N21=1,N(VLOOKUP(C21,'Item List'!$B$6:$F$65,5,FALSE)),"")</f>
        <v/>
      </c>
      <c r="H21" s="32" t="n"/>
      <c r="I21" s="33">
        <f>IF(Q21=0,"",P21)</f>
        <v/>
      </c>
      <c r="J21" s="34">
        <f>IF(Q21=0,"",ROUND(R21,2))</f>
        <v/>
      </c>
      <c r="K21" s="34">
        <f>IF(Q21=0,"",ROUND(S21,2))</f>
        <v/>
      </c>
      <c r="L21" s="35">
        <f>IF(Q21=0,"",Q21)</f>
        <v/>
      </c>
      <c r="N21">
        <f>IF(C21="",0,IF(ISNUMBER(MATCH(C21,'Item List'!$B$6:$B$65,0)),1,0))</f>
        <v/>
      </c>
      <c r="O21">
        <f>IF(N21=1,ROUND(N(VLOOKUP(C21,'Item List'!$B$6:$F$65,5,FALSE))*(1-MIN(1,MAX(0,N(H21)))),2),0)</f>
        <v/>
      </c>
      <c r="P21">
        <f>IF(N21=1,IF(W21=1,IF(O21/1.05&lt;=2500,0.05,0.18),N(VLOOKUP(C21,'Item List'!$B$6:$F$65,3,FALSE))),0)</f>
        <v/>
      </c>
      <c r="Q21">
        <f>ROUND(N(F21)*O21,2)</f>
        <v/>
      </c>
      <c r="R21">
        <f>IF(Q21=0,0,IF($E$3="Yes",Q21,Q21/(1+P21)))</f>
        <v/>
      </c>
      <c r="S21">
        <f>Q21-R21</f>
        <v/>
      </c>
      <c r="T21">
        <f>IF(N21=1,LEN(VLOOKUP(C21,'Item List'!$B$6:$F$65,2,FALSE)&amp;""),0)</f>
        <v/>
      </c>
      <c r="U21">
        <f>IF(AND(LEN(C21&amp;"")&gt;0,N21=0),1,0)</f>
        <v/>
      </c>
      <c r="V21">
        <f>IF(AND(N21=1,N(F21)=0),1,0)</f>
        <v/>
      </c>
      <c r="W21">
        <f>IF(N21=1,IF(OR(LEFT(VLOOKUP(C21,'Item List'!$B$6:$F$65,2,FALSE)&amp;"",2)="61",LEFT(VLOOKUP(C21,'Item List'!$B$6:$F$65,2,FALSE)&amp;"",2)="62",LEFT(VLOOKUP(C21,'Item List'!$B$6:$F$65,2,FALSE)&amp;"",2)="63",LEFT(VLOOKUP(C21,'Item List'!$B$6:$F$65,2,FALSE)&amp;"",2)="64"),1,0),0)</f>
        <v/>
      </c>
      <c r="X21">
        <f>IF(AND(W21=1,F21&gt;0,O21/1.05&gt;2500,O21/1.18&lt;=2500),1,0)</f>
        <v/>
      </c>
      <c r="AA21">
        <f>IF(AND(W21=1,N(F21)&gt;0,P21=0.18,X21=0),1,0)</f>
        <v/>
      </c>
      <c r="AB21">
        <f>IF(N21=1,IF(W21=0,IF(VLOOKUP(C21,'Item List'!$B$6:$F$65,3,FALSE)&amp;""="",1,0),0),0)</f>
        <v/>
      </c>
    </row>
    <row r="22">
      <c r="B22" s="29" t="n">
        <v>8</v>
      </c>
      <c r="C22" s="13" t="n"/>
      <c r="D22" s="29">
        <f>IF(N22=1,VLOOKUP(C22,'Item List'!$B$6:$F$65,4,FALSE)&amp;"","")</f>
        <v/>
      </c>
      <c r="E22" s="29">
        <f>IF(N22=1,VLOOKUP(C22,'Item List'!$B$6:$F$65,2,FALSE)&amp;"","")</f>
        <v/>
      </c>
      <c r="F22" s="30" t="n"/>
      <c r="G22" s="31">
        <f>IF(N22=1,N(VLOOKUP(C22,'Item List'!$B$6:$F$65,5,FALSE)),"")</f>
        <v/>
      </c>
      <c r="H22" s="32" t="n"/>
      <c r="I22" s="33">
        <f>IF(Q22=0,"",P22)</f>
        <v/>
      </c>
      <c r="J22" s="34">
        <f>IF(Q22=0,"",ROUND(R22,2))</f>
        <v/>
      </c>
      <c r="K22" s="34">
        <f>IF(Q22=0,"",ROUND(S22,2))</f>
        <v/>
      </c>
      <c r="L22" s="35">
        <f>IF(Q22=0,"",Q22)</f>
        <v/>
      </c>
      <c r="N22">
        <f>IF(C22="",0,IF(ISNUMBER(MATCH(C22,'Item List'!$B$6:$B$65,0)),1,0))</f>
        <v/>
      </c>
      <c r="O22">
        <f>IF(N22=1,ROUND(N(VLOOKUP(C22,'Item List'!$B$6:$F$65,5,FALSE))*(1-MIN(1,MAX(0,N(H22)))),2),0)</f>
        <v/>
      </c>
      <c r="P22">
        <f>IF(N22=1,IF(W22=1,IF(O22/1.05&lt;=2500,0.05,0.18),N(VLOOKUP(C22,'Item List'!$B$6:$F$65,3,FALSE))),0)</f>
        <v/>
      </c>
      <c r="Q22">
        <f>ROUND(N(F22)*O22,2)</f>
        <v/>
      </c>
      <c r="R22">
        <f>IF(Q22=0,0,IF($E$3="Yes",Q22,Q22/(1+P22)))</f>
        <v/>
      </c>
      <c r="S22">
        <f>Q22-R22</f>
        <v/>
      </c>
      <c r="T22">
        <f>IF(N22=1,LEN(VLOOKUP(C22,'Item List'!$B$6:$F$65,2,FALSE)&amp;""),0)</f>
        <v/>
      </c>
      <c r="U22">
        <f>IF(AND(LEN(C22&amp;"")&gt;0,N22=0),1,0)</f>
        <v/>
      </c>
      <c r="V22">
        <f>IF(AND(N22=1,N(F22)=0),1,0)</f>
        <v/>
      </c>
      <c r="W22">
        <f>IF(N22=1,IF(OR(LEFT(VLOOKUP(C22,'Item List'!$B$6:$F$65,2,FALSE)&amp;"",2)="61",LEFT(VLOOKUP(C22,'Item List'!$B$6:$F$65,2,FALSE)&amp;"",2)="62",LEFT(VLOOKUP(C22,'Item List'!$B$6:$F$65,2,FALSE)&amp;"",2)="63",LEFT(VLOOKUP(C22,'Item List'!$B$6:$F$65,2,FALSE)&amp;"",2)="64"),1,0),0)</f>
        <v/>
      </c>
      <c r="X22">
        <f>IF(AND(W22=1,F22&gt;0,O22/1.05&gt;2500,O22/1.18&lt;=2500),1,0)</f>
        <v/>
      </c>
      <c r="AA22">
        <f>IF(AND(W22=1,N(F22)&gt;0,P22=0.18,X22=0),1,0)</f>
        <v/>
      </c>
      <c r="AB22">
        <f>IF(N22=1,IF(W22=0,IF(VLOOKUP(C22,'Item List'!$B$6:$F$65,3,FALSE)&amp;""="",1,0),0),0)</f>
        <v/>
      </c>
    </row>
    <row r="23">
      <c r="B23" s="29" t="n">
        <v>9</v>
      </c>
      <c r="C23" s="13" t="n"/>
      <c r="D23" s="29">
        <f>IF(N23=1,VLOOKUP(C23,'Item List'!$B$6:$F$65,4,FALSE)&amp;"","")</f>
        <v/>
      </c>
      <c r="E23" s="29">
        <f>IF(N23=1,VLOOKUP(C23,'Item List'!$B$6:$F$65,2,FALSE)&amp;"","")</f>
        <v/>
      </c>
      <c r="F23" s="30" t="n"/>
      <c r="G23" s="31">
        <f>IF(N23=1,N(VLOOKUP(C23,'Item List'!$B$6:$F$65,5,FALSE)),"")</f>
        <v/>
      </c>
      <c r="H23" s="32" t="n"/>
      <c r="I23" s="33">
        <f>IF(Q23=0,"",P23)</f>
        <v/>
      </c>
      <c r="J23" s="34">
        <f>IF(Q23=0,"",ROUND(R23,2))</f>
        <v/>
      </c>
      <c r="K23" s="34">
        <f>IF(Q23=0,"",ROUND(S23,2))</f>
        <v/>
      </c>
      <c r="L23" s="35">
        <f>IF(Q23=0,"",Q23)</f>
        <v/>
      </c>
      <c r="N23">
        <f>IF(C23="",0,IF(ISNUMBER(MATCH(C23,'Item List'!$B$6:$B$65,0)),1,0))</f>
        <v/>
      </c>
      <c r="O23">
        <f>IF(N23=1,ROUND(N(VLOOKUP(C23,'Item List'!$B$6:$F$65,5,FALSE))*(1-MIN(1,MAX(0,N(H23)))),2),0)</f>
        <v/>
      </c>
      <c r="P23">
        <f>IF(N23=1,IF(W23=1,IF(O23/1.05&lt;=2500,0.05,0.18),N(VLOOKUP(C23,'Item List'!$B$6:$F$65,3,FALSE))),0)</f>
        <v/>
      </c>
      <c r="Q23">
        <f>ROUND(N(F23)*O23,2)</f>
        <v/>
      </c>
      <c r="R23">
        <f>IF(Q23=0,0,IF($E$3="Yes",Q23,Q23/(1+P23)))</f>
        <v/>
      </c>
      <c r="S23">
        <f>Q23-R23</f>
        <v/>
      </c>
      <c r="T23">
        <f>IF(N23=1,LEN(VLOOKUP(C23,'Item List'!$B$6:$F$65,2,FALSE)&amp;""),0)</f>
        <v/>
      </c>
      <c r="U23">
        <f>IF(AND(LEN(C23&amp;"")&gt;0,N23=0),1,0)</f>
        <v/>
      </c>
      <c r="V23">
        <f>IF(AND(N23=1,N(F23)=0),1,0)</f>
        <v/>
      </c>
      <c r="W23">
        <f>IF(N23=1,IF(OR(LEFT(VLOOKUP(C23,'Item List'!$B$6:$F$65,2,FALSE)&amp;"",2)="61",LEFT(VLOOKUP(C23,'Item List'!$B$6:$F$65,2,FALSE)&amp;"",2)="62",LEFT(VLOOKUP(C23,'Item List'!$B$6:$F$65,2,FALSE)&amp;"",2)="63",LEFT(VLOOKUP(C23,'Item List'!$B$6:$F$65,2,FALSE)&amp;"",2)="64"),1,0),0)</f>
        <v/>
      </c>
      <c r="X23">
        <f>IF(AND(W23=1,F23&gt;0,O23/1.05&gt;2500,O23/1.18&lt;=2500),1,0)</f>
        <v/>
      </c>
      <c r="AA23">
        <f>IF(AND(W23=1,N(F23)&gt;0,P23=0.18,X23=0),1,0)</f>
        <v/>
      </c>
      <c r="AB23">
        <f>IF(N23=1,IF(W23=0,IF(VLOOKUP(C23,'Item List'!$B$6:$F$65,3,FALSE)&amp;""="",1,0),0),0)</f>
        <v/>
      </c>
    </row>
    <row r="24">
      <c r="B24" s="29" t="n">
        <v>10</v>
      </c>
      <c r="C24" s="13" t="n"/>
      <c r="D24" s="29">
        <f>IF(N24=1,VLOOKUP(C24,'Item List'!$B$6:$F$65,4,FALSE)&amp;"","")</f>
        <v/>
      </c>
      <c r="E24" s="29">
        <f>IF(N24=1,VLOOKUP(C24,'Item List'!$B$6:$F$65,2,FALSE)&amp;"","")</f>
        <v/>
      </c>
      <c r="F24" s="30" t="n"/>
      <c r="G24" s="31">
        <f>IF(N24=1,N(VLOOKUP(C24,'Item List'!$B$6:$F$65,5,FALSE)),"")</f>
        <v/>
      </c>
      <c r="H24" s="32" t="n"/>
      <c r="I24" s="33">
        <f>IF(Q24=0,"",P24)</f>
        <v/>
      </c>
      <c r="J24" s="34">
        <f>IF(Q24=0,"",ROUND(R24,2))</f>
        <v/>
      </c>
      <c r="K24" s="34">
        <f>IF(Q24=0,"",ROUND(S24,2))</f>
        <v/>
      </c>
      <c r="L24" s="35">
        <f>IF(Q24=0,"",Q24)</f>
        <v/>
      </c>
      <c r="N24">
        <f>IF(C24="",0,IF(ISNUMBER(MATCH(C24,'Item List'!$B$6:$B$65,0)),1,0))</f>
        <v/>
      </c>
      <c r="O24">
        <f>IF(N24=1,ROUND(N(VLOOKUP(C24,'Item List'!$B$6:$F$65,5,FALSE))*(1-MIN(1,MAX(0,N(H24)))),2),0)</f>
        <v/>
      </c>
      <c r="P24">
        <f>IF(N24=1,IF(W24=1,IF(O24/1.05&lt;=2500,0.05,0.18),N(VLOOKUP(C24,'Item List'!$B$6:$F$65,3,FALSE))),0)</f>
        <v/>
      </c>
      <c r="Q24">
        <f>ROUND(N(F24)*O24,2)</f>
        <v/>
      </c>
      <c r="R24">
        <f>IF(Q24=0,0,IF($E$3="Yes",Q24,Q24/(1+P24)))</f>
        <v/>
      </c>
      <c r="S24">
        <f>Q24-R24</f>
        <v/>
      </c>
      <c r="T24">
        <f>IF(N24=1,LEN(VLOOKUP(C24,'Item List'!$B$6:$F$65,2,FALSE)&amp;""),0)</f>
        <v/>
      </c>
      <c r="U24">
        <f>IF(AND(LEN(C24&amp;"")&gt;0,N24=0),1,0)</f>
        <v/>
      </c>
      <c r="V24">
        <f>IF(AND(N24=1,N(F24)=0),1,0)</f>
        <v/>
      </c>
      <c r="W24">
        <f>IF(N24=1,IF(OR(LEFT(VLOOKUP(C24,'Item List'!$B$6:$F$65,2,FALSE)&amp;"",2)="61",LEFT(VLOOKUP(C24,'Item List'!$B$6:$F$65,2,FALSE)&amp;"",2)="62",LEFT(VLOOKUP(C24,'Item List'!$B$6:$F$65,2,FALSE)&amp;"",2)="63",LEFT(VLOOKUP(C24,'Item List'!$B$6:$F$65,2,FALSE)&amp;"",2)="64"),1,0),0)</f>
        <v/>
      </c>
      <c r="X24">
        <f>IF(AND(W24=1,F24&gt;0,O24/1.05&gt;2500,O24/1.18&lt;=2500),1,0)</f>
        <v/>
      </c>
      <c r="AA24">
        <f>IF(AND(W24=1,N(F24)&gt;0,P24=0.18,X24=0),1,0)</f>
        <v/>
      </c>
      <c r="AB24">
        <f>IF(N24=1,IF(W24=0,IF(VLOOKUP(C24,'Item List'!$B$6:$F$65,3,FALSE)&amp;""="",1,0),0),0)</f>
        <v/>
      </c>
    </row>
    <row r="25">
      <c r="B25" s="29" t="n">
        <v>11</v>
      </c>
      <c r="C25" s="13" t="n"/>
      <c r="D25" s="29">
        <f>IF(N25=1,VLOOKUP(C25,'Item List'!$B$6:$F$65,4,FALSE)&amp;"","")</f>
        <v/>
      </c>
      <c r="E25" s="29">
        <f>IF(N25=1,VLOOKUP(C25,'Item List'!$B$6:$F$65,2,FALSE)&amp;"","")</f>
        <v/>
      </c>
      <c r="F25" s="30" t="n"/>
      <c r="G25" s="31">
        <f>IF(N25=1,N(VLOOKUP(C25,'Item List'!$B$6:$F$65,5,FALSE)),"")</f>
        <v/>
      </c>
      <c r="H25" s="32" t="n"/>
      <c r="I25" s="33">
        <f>IF(Q25=0,"",P25)</f>
        <v/>
      </c>
      <c r="J25" s="34">
        <f>IF(Q25=0,"",ROUND(R25,2))</f>
        <v/>
      </c>
      <c r="K25" s="34">
        <f>IF(Q25=0,"",ROUND(S25,2))</f>
        <v/>
      </c>
      <c r="L25" s="35">
        <f>IF(Q25=0,"",Q25)</f>
        <v/>
      </c>
      <c r="N25">
        <f>IF(C25="",0,IF(ISNUMBER(MATCH(C25,'Item List'!$B$6:$B$65,0)),1,0))</f>
        <v/>
      </c>
      <c r="O25">
        <f>IF(N25=1,ROUND(N(VLOOKUP(C25,'Item List'!$B$6:$F$65,5,FALSE))*(1-MIN(1,MAX(0,N(H25)))),2),0)</f>
        <v/>
      </c>
      <c r="P25">
        <f>IF(N25=1,IF(W25=1,IF(O25/1.05&lt;=2500,0.05,0.18),N(VLOOKUP(C25,'Item List'!$B$6:$F$65,3,FALSE))),0)</f>
        <v/>
      </c>
      <c r="Q25">
        <f>ROUND(N(F25)*O25,2)</f>
        <v/>
      </c>
      <c r="R25">
        <f>IF(Q25=0,0,IF($E$3="Yes",Q25,Q25/(1+P25)))</f>
        <v/>
      </c>
      <c r="S25">
        <f>Q25-R25</f>
        <v/>
      </c>
      <c r="T25">
        <f>IF(N25=1,LEN(VLOOKUP(C25,'Item List'!$B$6:$F$65,2,FALSE)&amp;""),0)</f>
        <v/>
      </c>
      <c r="U25">
        <f>IF(AND(LEN(C25&amp;"")&gt;0,N25=0),1,0)</f>
        <v/>
      </c>
      <c r="V25">
        <f>IF(AND(N25=1,N(F25)=0),1,0)</f>
        <v/>
      </c>
      <c r="W25">
        <f>IF(N25=1,IF(OR(LEFT(VLOOKUP(C25,'Item List'!$B$6:$F$65,2,FALSE)&amp;"",2)="61",LEFT(VLOOKUP(C25,'Item List'!$B$6:$F$65,2,FALSE)&amp;"",2)="62",LEFT(VLOOKUP(C25,'Item List'!$B$6:$F$65,2,FALSE)&amp;"",2)="63",LEFT(VLOOKUP(C25,'Item List'!$B$6:$F$65,2,FALSE)&amp;"",2)="64"),1,0),0)</f>
        <v/>
      </c>
      <c r="X25">
        <f>IF(AND(W25=1,F25&gt;0,O25/1.05&gt;2500,O25/1.18&lt;=2500),1,0)</f>
        <v/>
      </c>
      <c r="AA25">
        <f>IF(AND(W25=1,N(F25)&gt;0,P25=0.18,X25=0),1,0)</f>
        <v/>
      </c>
      <c r="AB25">
        <f>IF(N25=1,IF(W25=0,IF(VLOOKUP(C25,'Item List'!$B$6:$F$65,3,FALSE)&amp;""="",1,0),0),0)</f>
        <v/>
      </c>
    </row>
    <row r="26">
      <c r="B26" s="29" t="n">
        <v>12</v>
      </c>
      <c r="C26" s="13" t="n"/>
      <c r="D26" s="29">
        <f>IF(N26=1,VLOOKUP(C26,'Item List'!$B$6:$F$65,4,FALSE)&amp;"","")</f>
        <v/>
      </c>
      <c r="E26" s="29">
        <f>IF(N26=1,VLOOKUP(C26,'Item List'!$B$6:$F$65,2,FALSE)&amp;"","")</f>
        <v/>
      </c>
      <c r="F26" s="30" t="n"/>
      <c r="G26" s="31">
        <f>IF(N26=1,N(VLOOKUP(C26,'Item List'!$B$6:$F$65,5,FALSE)),"")</f>
        <v/>
      </c>
      <c r="H26" s="32" t="n"/>
      <c r="I26" s="33">
        <f>IF(Q26=0,"",P26)</f>
        <v/>
      </c>
      <c r="J26" s="34">
        <f>IF(Q26=0,"",ROUND(R26,2))</f>
        <v/>
      </c>
      <c r="K26" s="34">
        <f>IF(Q26=0,"",ROUND(S26,2))</f>
        <v/>
      </c>
      <c r="L26" s="35">
        <f>IF(Q26=0,"",Q26)</f>
        <v/>
      </c>
      <c r="N26">
        <f>IF(C26="",0,IF(ISNUMBER(MATCH(C26,'Item List'!$B$6:$B$65,0)),1,0))</f>
        <v/>
      </c>
      <c r="O26">
        <f>IF(N26=1,ROUND(N(VLOOKUP(C26,'Item List'!$B$6:$F$65,5,FALSE))*(1-MIN(1,MAX(0,N(H26)))),2),0)</f>
        <v/>
      </c>
      <c r="P26">
        <f>IF(N26=1,IF(W26=1,IF(O26/1.05&lt;=2500,0.05,0.18),N(VLOOKUP(C26,'Item List'!$B$6:$F$65,3,FALSE))),0)</f>
        <v/>
      </c>
      <c r="Q26">
        <f>ROUND(N(F26)*O26,2)</f>
        <v/>
      </c>
      <c r="R26">
        <f>IF(Q26=0,0,IF($E$3="Yes",Q26,Q26/(1+P26)))</f>
        <v/>
      </c>
      <c r="S26">
        <f>Q26-R26</f>
        <v/>
      </c>
      <c r="T26">
        <f>IF(N26=1,LEN(VLOOKUP(C26,'Item List'!$B$6:$F$65,2,FALSE)&amp;""),0)</f>
        <v/>
      </c>
      <c r="U26">
        <f>IF(AND(LEN(C26&amp;"")&gt;0,N26=0),1,0)</f>
        <v/>
      </c>
      <c r="V26">
        <f>IF(AND(N26=1,N(F26)=0),1,0)</f>
        <v/>
      </c>
      <c r="W26">
        <f>IF(N26=1,IF(OR(LEFT(VLOOKUP(C26,'Item List'!$B$6:$F$65,2,FALSE)&amp;"",2)="61",LEFT(VLOOKUP(C26,'Item List'!$B$6:$F$65,2,FALSE)&amp;"",2)="62",LEFT(VLOOKUP(C26,'Item List'!$B$6:$F$65,2,FALSE)&amp;"",2)="63",LEFT(VLOOKUP(C26,'Item List'!$B$6:$F$65,2,FALSE)&amp;"",2)="64"),1,0),0)</f>
        <v/>
      </c>
      <c r="X26">
        <f>IF(AND(W26=1,F26&gt;0,O26/1.05&gt;2500,O26/1.18&lt;=2500),1,0)</f>
        <v/>
      </c>
      <c r="AA26">
        <f>IF(AND(W26=1,N(F26)&gt;0,P26=0.18,X26=0),1,0)</f>
        <v/>
      </c>
      <c r="AB26">
        <f>IF(N26=1,IF(W26=0,IF(VLOOKUP(C26,'Item List'!$B$6:$F$65,3,FALSE)&amp;""="",1,0),0),0)</f>
        <v/>
      </c>
    </row>
    <row r="27">
      <c r="C27" s="36" t="inlineStr">
        <is>
          <t>GST summary</t>
        </is>
      </c>
      <c r="D27" s="12" t="inlineStr">
        <is>
          <t>Taxable value</t>
        </is>
      </c>
      <c r="E27" s="12" t="inlineStr">
        <is>
          <t>CGST</t>
        </is>
      </c>
      <c r="F27" s="12" t="inlineStr">
        <is>
          <t>SGST</t>
        </is>
      </c>
      <c r="G27" s="12" t="inlineStr">
        <is>
          <t>IGST</t>
        </is>
      </c>
      <c r="I27" s="21" t="inlineStr">
        <is>
          <t>Bill total</t>
        </is>
      </c>
      <c r="J27" s="22" t="n"/>
      <c r="K27" s="22" t="n"/>
      <c r="L27" s="35">
        <f>ROUND(SUM($L$15:$L$26),2)</f>
        <v/>
      </c>
    </row>
    <row r="28">
      <c r="C28" s="21" t="inlineStr">
        <is>
          <t>5%</t>
        </is>
      </c>
      <c r="D28" s="37">
        <f>ROUND(SUMIF($P$15:$P$26,0.05,$R$15:$R$26),2)</f>
        <v/>
      </c>
      <c r="E28" s="37">
        <f>IF(AND($J$8&lt;&gt;"",$J$8&lt;&gt;$F$7),0,ROUND(ROUND(SUMIF($P$15:$P$26,0.05,$S$15:$S$26),2)/2,2))</f>
        <v/>
      </c>
      <c r="F28" s="37">
        <f>IF(AND($J$8&lt;&gt;"",$J$8&lt;&gt;$F$7),0,ROUND(SUMIF($P$15:$P$26,0.05,$S$15:$S$26),2)-ROUND(ROUND(SUMIF($P$15:$P$26,0.05,$S$15:$S$26),2)/2,2))</f>
        <v/>
      </c>
      <c r="G28" s="37">
        <f>IF(AND($J$8&lt;&gt;"",$J$8&lt;&gt;$F$7),ROUND(SUMIF($P$15:$P$26,0.05,$S$15:$S$26),2),0)</f>
        <v/>
      </c>
      <c r="I28" s="21" t="inlineStr">
        <is>
          <t>Round off</t>
        </is>
      </c>
      <c r="J28" s="22" t="n"/>
      <c r="K28" s="22" t="n"/>
      <c r="L28" s="38">
        <f>ROUND($L$27,0)-$L$27</f>
        <v/>
      </c>
    </row>
    <row r="29">
      <c r="C29" s="21" t="inlineStr">
        <is>
          <t>18%</t>
        </is>
      </c>
      <c r="D29" s="37">
        <f>ROUND(SUMIF($P$15:$P$26,0.18,$R$15:$R$26),2)</f>
        <v/>
      </c>
      <c r="E29" s="37">
        <f>IF(AND($J$8&lt;&gt;"",$J$8&lt;&gt;$F$7),0,ROUND(ROUND(SUMIF($P$15:$P$26,0.18,$S$15:$S$26),2)/2,2))</f>
        <v/>
      </c>
      <c r="F29" s="37">
        <f>IF(AND($J$8&lt;&gt;"",$J$8&lt;&gt;$F$7),0,ROUND(SUMIF($P$15:$P$26,0.18,$S$15:$S$26),2)-ROUND(ROUND(SUMIF($P$15:$P$26,0.18,$S$15:$S$26),2)/2,2))</f>
        <v/>
      </c>
      <c r="G29" s="37">
        <f>IF(AND($J$8&lt;&gt;"",$J$8&lt;&gt;$F$7),ROUND(SUMIF($P$15:$P$26,0.18,$S$15:$S$26),2),0)</f>
        <v/>
      </c>
      <c r="I29" s="21" t="inlineStr">
        <is>
          <t>Amount payable</t>
        </is>
      </c>
      <c r="J29" s="22" t="n"/>
      <c r="K29" s="22" t="n"/>
      <c r="L29" s="39">
        <f>ROUND($L$27,0)</f>
        <v/>
      </c>
    </row>
    <row r="30">
      <c r="C30" s="21" t="inlineStr">
        <is>
          <t>Nil-rated or exempt</t>
        </is>
      </c>
      <c r="D30" s="37">
        <f>ROUND(SUMIF($P$15:$P$26,0,$Q$15:$Q$26),2)</f>
        <v/>
      </c>
      <c r="E30" s="7" t="n"/>
      <c r="F30" s="7" t="n"/>
      <c r="G30" s="7" t="n"/>
      <c r="H30" s="23" t="inlineStr">
        <is>
          <t>Prices include GST; discounts are on this bill. Tax payable on reverse charge: No.</t>
        </is>
      </c>
    </row>
    <row r="31" ht="28" customHeight="1">
      <c r="B31" s="21" t="inlineStr">
        <is>
          <t>Amount in words</t>
        </is>
      </c>
      <c r="C31" s="22" t="n"/>
      <c r="D31" s="40">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1" s="7" t="n"/>
      <c r="F31" s="7" t="n"/>
      <c r="G31" s="7" t="n"/>
      <c r="H31" s="7" t="n"/>
      <c r="I31" s="7" t="n"/>
      <c r="J31" s="7" t="n"/>
      <c r="K31" s="7" t="n"/>
      <c r="L31" s="7" t="n"/>
    </row>
    <row r="32">
      <c r="B32" s="41">
        <f>"GSTIN "&amp;IF($C$7="","______________",$C$7)</f>
        <v/>
      </c>
      <c r="H32" s="42">
        <f>"For "&amp;IF($B$5="","the shop",$B$5)</f>
        <v/>
      </c>
    </row>
    <row r="33" ht="30" customHeight="1">
      <c r="B33" s="43" t="inlineStr">
        <is>
          <t>Thank you. Keep this bill for any query about your purchase.</t>
        </is>
      </c>
      <c r="C33" s="25" t="n"/>
      <c r="D33" s="25" t="n"/>
      <c r="E33" s="25" t="n"/>
      <c r="F33" s="25" t="n"/>
      <c r="G33" s="25" t="n"/>
    </row>
    <row r="34">
      <c r="H34" s="44" t="inlineStr">
        <is>
          <t>Authorised signatory</t>
        </is>
      </c>
    </row>
    <row r="36">
      <c r="B36" s="3" t="inlineStr">
        <is>
          <t xml:space="preserve">  CHECK BEFORE YOU PRINT  (this part does not print)</t>
        </is>
      </c>
      <c r="C36" s="4" t="n"/>
      <c r="D36" s="4" t="n"/>
      <c r="E36" s="4" t="n"/>
      <c r="F36" s="4" t="n"/>
      <c r="G36" s="4" t="n"/>
      <c r="H36" s="4" t="n"/>
      <c r="I36" s="4" t="n"/>
      <c r="J36" s="4" t="n"/>
      <c r="K36" s="4" t="n"/>
      <c r="L36" s="4" t="n"/>
    </row>
    <row r="37">
      <c r="B37" s="45">
        <f>IF($C$7="","Enter your GSTIN.",IF(LEN($C$7&amp;"")&lt;&gt;15,"Your GSTIN should have 15 characters.",""))</f>
        <v/>
      </c>
    </row>
    <row r="38">
      <c r="B38" s="45">
        <f>IF($J$6="","Enter the bill number.",IF(LEN($J$6&amp;"")&gt;16,"Bill number: 16 characters at most (Rule 46(b)).",""))</f>
        <v/>
      </c>
    </row>
    <row r="39">
      <c r="B39" s="45">
        <f>IF($J$7="","Enter the date.","")</f>
        <v/>
      </c>
    </row>
    <row r="40">
      <c r="B40" s="45">
        <f>IF(AND($E$3&lt;&gt;"Yes",SUM($X$15:$X$26)&gt;0),"A garment priced between ₹2,626 and ₹2,950 a piece after discount, including GST: at 5% its value is over ₹2,500, at 18% it is not. The Bill charges 18%. Price it outside this band, or ask your accountant how to bill it.","")</f>
        <v/>
      </c>
    </row>
    <row r="41">
      <c r="B41" s="45">
        <f>IF(SUM($U$15:$U$26)&gt;0,"An item is not in the Item List. Add it there with its HSN, rate and price, or pick it from the list.","")</f>
        <v/>
      </c>
    </row>
    <row r="42">
      <c r="B42" s="45">
        <f>IF(SUM($V$15:$V$26)&gt;0,"A line has an item but no quantity.","")</f>
        <v/>
      </c>
    </row>
    <row r="43">
      <c r="B43" s="45">
        <f>IF(SUM($AB$15:$AB$26)&gt;0,"An item has no GST rate in the Item List, so it would bill as nil. Enter its rate there (0% if it really is nil).","")</f>
        <v/>
      </c>
    </row>
    <row r="44">
      <c r="B44" s="45">
        <f>IF(AND($E$3&lt;&gt;"Yes",SUM($R$15:$R$26)&gt;=50000,$J$11="",OR($C$11="",$C$12="")),"Value before GST is ₹50,000 or more: the customer's name, address and state, and the delivery address, must be on the bill (Rule 46(e)). Put the state in the address.","")</f>
        <v/>
      </c>
    </row>
    <row r="45">
      <c r="B45" s="45">
        <f>IF(AND($J$11&lt;&gt;"",LEN($J$11&amp;"")&lt;&gt;15),"The customer's GSTIN should have 15 characters.","")</f>
        <v/>
      </c>
    </row>
    <row r="46">
      <c r="B46" s="45">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5">
        <f>IF(AND($I$3="Yes",COUNTIFS($T$15:$T$26,"&lt;6",$Q$15:$Q$26,"&gt;0")&gt;0),"Turnover above ₹5 crore: HSN needs 6 digits on every line (Notification 78/2020). Add them in the Item List.","")</f>
        <v/>
      </c>
    </row>
    <row r="48">
      <c r="B48" s="45">
        <f>IF(AND(AND($J$8&lt;&gt;"",$J$8&lt;&gt;$F$7),$E$3="Yes"),"Composition dealers cannot make inter-State supplies of goods (s.10(2)(c)): check the place of supply.","")</f>
        <v/>
      </c>
    </row>
    <row r="49">
      <c r="B49" s="46">
        <f>IF(AND($L$27&gt;0,B37&amp;B38&amp;B39&amp;B40&amp;B41&amp;B42&amp;B43&amp;B44&amp;B45&amp;B46&amp;B47&amp;B48=""),"All checks OK.","")</f>
        <v/>
      </c>
    </row>
    <row r="51">
      <c r="B51" s="47" t="inlineStr">
        <is>
          <t xml:space="preserve">  NOTES FOR THIS BILL</t>
        </is>
      </c>
      <c r="C51" s="48" t="n"/>
      <c r="D51" s="48" t="n"/>
      <c r="E51" s="48" t="n"/>
      <c r="F51" s="48" t="n"/>
      <c r="G51" s="48" t="n"/>
      <c r="H51" s="48" t="n"/>
      <c r="I51" s="48" t="n"/>
      <c r="J51" s="48" t="n"/>
      <c r="K51" s="48" t="n"/>
      <c r="L51" s="48"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IF(AND($E$3&lt;&gt;"Yes",SUM($AA$15:$AA$26)&gt;0),"A garment or pair is over ₹2,500 before GST, so it is at 18%. Each piece is tested on its own, after the discount on this bill.","")</f>
        <v/>
      </c>
    </row>
    <row r="55">
      <c r="B55" s="23">
        <f>IF(AND($L$27&gt;0,$L$27&lt;200,$J$11=""),"Below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c r="L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6">
    <mergeCell ref="H30:L30"/>
    <mergeCell ref="J6:L6"/>
    <mergeCell ref="C6:G6"/>
    <mergeCell ref="I28:K28"/>
    <mergeCell ref="B54:L54"/>
    <mergeCell ref="B47:L47"/>
    <mergeCell ref="B46:L46"/>
    <mergeCell ref="B31:C31"/>
    <mergeCell ref="B56:L56"/>
    <mergeCell ref="F7:G7"/>
    <mergeCell ref="J11:L11"/>
    <mergeCell ref="J7:L7"/>
    <mergeCell ref="H9:L9"/>
    <mergeCell ref="H34:L34"/>
    <mergeCell ref="B43:L43"/>
    <mergeCell ref="B58:L58"/>
    <mergeCell ref="H6:I6"/>
    <mergeCell ref="B52:L52"/>
    <mergeCell ref="B48:L48"/>
    <mergeCell ref="B39:L39"/>
    <mergeCell ref="B2:L2"/>
    <mergeCell ref="B42:L42"/>
    <mergeCell ref="J12:L12"/>
    <mergeCell ref="B60:L60"/>
    <mergeCell ref="J3:L3"/>
    <mergeCell ref="I29:K29"/>
    <mergeCell ref="B33:G33"/>
    <mergeCell ref="B53:L53"/>
    <mergeCell ref="H11:I11"/>
    <mergeCell ref="C12:G12"/>
    <mergeCell ref="B5:G5"/>
    <mergeCell ref="B38:L38"/>
    <mergeCell ref="B44:L44"/>
    <mergeCell ref="H7:I7"/>
    <mergeCell ref="H32:L32"/>
    <mergeCell ref="C11:G11"/>
    <mergeCell ref="B32:G32"/>
    <mergeCell ref="B37:L37"/>
    <mergeCell ref="J8:L8"/>
    <mergeCell ref="B10:L10"/>
    <mergeCell ref="H5:L5"/>
    <mergeCell ref="C8:G8"/>
    <mergeCell ref="B40:L40"/>
    <mergeCell ref="B49:L49"/>
    <mergeCell ref="B3:D3"/>
    <mergeCell ref="H12:I12"/>
    <mergeCell ref="B36:L36"/>
    <mergeCell ref="C7:D7"/>
    <mergeCell ref="I27:K27"/>
    <mergeCell ref="B55:L55"/>
    <mergeCell ref="B51:L51"/>
    <mergeCell ref="D31:L31"/>
    <mergeCell ref="H8:I8"/>
    <mergeCell ref="F3:H3"/>
    <mergeCell ref="B45:L45"/>
    <mergeCell ref="B41:L41"/>
  </mergeCells>
  <dataValidations count="8">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the number of pieces or pairs, or metres of fabric." type="decimal" operator="greaterThan">
      <formula1>0</formula1>
    </dataValidation>
    <dataValidation sqref="H15:H26" showDropDown="0" showInputMessage="0" showErrorMessage="1" allowBlank="1" errorTitle="Enter a discount" error="Enter the discount as a percentage, for example 20%. Leave it blank for none." type="decimal" operator="between">
      <formula1>0</formula1>
      <formula2>0.9</formula2>
    </dataValidation>
  </dataValidations>
  <pageMargins left="0.4" right="0.4"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8" customWidth="1" min="1" max="1"/>
    <col width="4" customWidth="1" min="2" max="2"/>
    <col width="8" customWidth="1" min="3" max="3"/>
    <col width="4" customWidth="1" min="4" max="4"/>
    <col width="30" customWidth="1" min="5" max="5"/>
  </cols>
  <sheetData>
    <row r="1">
      <c r="A1" s="3" t="inlineStr">
        <is>
          <t>Y/N</t>
        </is>
      </c>
      <c r="C1" s="3" t="inlineStr">
        <is>
          <t>Unit</t>
        </is>
      </c>
      <c r="E1" s="3" t="inlineStr">
        <is>
          <t>State or UT</t>
        </is>
      </c>
      <c r="G1" s="3" t="inlineStr">
        <is>
          <t>No.</t>
        </is>
      </c>
      <c r="H1" s="3" t="inlineStr">
        <is>
          <t>In words</t>
        </is>
      </c>
    </row>
    <row r="2">
      <c r="A2" s="20" t="inlineStr">
        <is>
          <t>Yes</t>
        </is>
      </c>
      <c r="C2" s="20" t="inlineStr">
        <is>
          <t>piece</t>
        </is>
      </c>
      <c r="E2" s="20" t="inlineStr">
        <is>
          <t>Andhra Pradesh</t>
        </is>
      </c>
      <c r="G2" s="20" t="n">
        <v>0</v>
      </c>
      <c r="H2" s="20" t="inlineStr">
        <is>
          <t>zero</t>
        </is>
      </c>
    </row>
    <row r="3">
      <c r="A3" s="20" t="inlineStr">
        <is>
          <t>No</t>
        </is>
      </c>
      <c r="C3" s="20" t="inlineStr">
        <is>
          <t>pair</t>
        </is>
      </c>
      <c r="E3" s="20" t="inlineStr">
        <is>
          <t>Arunachal Pradesh</t>
        </is>
      </c>
      <c r="G3" s="20" t="n">
        <v>1</v>
      </c>
      <c r="H3" s="20" t="inlineStr">
        <is>
          <t>one</t>
        </is>
      </c>
    </row>
    <row r="4">
      <c r="C4" s="20" t="inlineStr">
        <is>
          <t>set</t>
        </is>
      </c>
      <c r="E4" s="20" t="inlineStr">
        <is>
          <t>Assam</t>
        </is>
      </c>
      <c r="G4" s="20" t="n">
        <v>2</v>
      </c>
      <c r="H4" s="20" t="inlineStr">
        <is>
          <t>two</t>
        </is>
      </c>
    </row>
    <row r="5">
      <c r="C5" s="20" t="inlineStr">
        <is>
          <t>metre</t>
        </is>
      </c>
      <c r="E5" s="20" t="inlineStr">
        <is>
          <t>Bihar</t>
        </is>
      </c>
      <c r="G5" s="20" t="n">
        <v>3</v>
      </c>
      <c r="H5" s="20" t="inlineStr">
        <is>
          <t>three</t>
        </is>
      </c>
    </row>
    <row r="6">
      <c r="E6" s="20" t="inlineStr">
        <is>
          <t>Chhattisgarh</t>
        </is>
      </c>
      <c r="G6" s="20" t="n">
        <v>4</v>
      </c>
      <c r="H6" s="20" t="inlineStr">
        <is>
          <t>four</t>
        </is>
      </c>
    </row>
    <row r="7">
      <c r="E7" s="20" t="inlineStr">
        <is>
          <t>Goa</t>
        </is>
      </c>
      <c r="G7" s="20" t="n">
        <v>5</v>
      </c>
      <c r="H7" s="20" t="inlineStr">
        <is>
          <t>five</t>
        </is>
      </c>
    </row>
    <row r="8">
      <c r="E8" s="20" t="inlineStr">
        <is>
          <t>Gujarat</t>
        </is>
      </c>
      <c r="G8" s="20" t="n">
        <v>6</v>
      </c>
      <c r="H8" s="20" t="inlineStr">
        <is>
          <t>six</t>
        </is>
      </c>
    </row>
    <row r="9">
      <c r="E9" s="20" t="inlineStr">
        <is>
          <t>Haryana</t>
        </is>
      </c>
      <c r="G9" s="20" t="n">
        <v>7</v>
      </c>
      <c r="H9" s="20" t="inlineStr">
        <is>
          <t>seven</t>
        </is>
      </c>
    </row>
    <row r="10">
      <c r="E10" s="20" t="inlineStr">
        <is>
          <t>Himachal Pradesh</t>
        </is>
      </c>
      <c r="G10" s="20" t="n">
        <v>8</v>
      </c>
      <c r="H10" s="20" t="inlineStr">
        <is>
          <t>eight</t>
        </is>
      </c>
    </row>
    <row r="11">
      <c r="E11" s="20" t="inlineStr">
        <is>
          <t>Jharkhand</t>
        </is>
      </c>
      <c r="G11" s="20" t="n">
        <v>9</v>
      </c>
      <c r="H11" s="20" t="inlineStr">
        <is>
          <t>nine</t>
        </is>
      </c>
    </row>
    <row r="12">
      <c r="E12" s="20" t="inlineStr">
        <is>
          <t>Karnataka</t>
        </is>
      </c>
      <c r="G12" s="20" t="n">
        <v>10</v>
      </c>
      <c r="H12" s="20" t="inlineStr">
        <is>
          <t>ten</t>
        </is>
      </c>
    </row>
    <row r="13">
      <c r="E13" s="20" t="inlineStr">
        <is>
          <t>Kerala</t>
        </is>
      </c>
      <c r="G13" s="20" t="n">
        <v>11</v>
      </c>
      <c r="H13" s="20" t="inlineStr">
        <is>
          <t>eleven</t>
        </is>
      </c>
    </row>
    <row r="14">
      <c r="E14" s="20" t="inlineStr">
        <is>
          <t>Madhya Pradesh</t>
        </is>
      </c>
      <c r="G14" s="20" t="n">
        <v>12</v>
      </c>
      <c r="H14" s="20" t="inlineStr">
        <is>
          <t>twelve</t>
        </is>
      </c>
    </row>
    <row r="15">
      <c r="E15" s="20" t="inlineStr">
        <is>
          <t>Maharashtra</t>
        </is>
      </c>
      <c r="G15" s="20" t="n">
        <v>13</v>
      </c>
      <c r="H15" s="20" t="inlineStr">
        <is>
          <t>thirteen</t>
        </is>
      </c>
    </row>
    <row r="16">
      <c r="E16" s="20" t="inlineStr">
        <is>
          <t>Manipur</t>
        </is>
      </c>
      <c r="G16" s="20" t="n">
        <v>14</v>
      </c>
      <c r="H16" s="20" t="inlineStr">
        <is>
          <t>fourteen</t>
        </is>
      </c>
    </row>
    <row r="17">
      <c r="E17" s="20" t="inlineStr">
        <is>
          <t>Meghalaya</t>
        </is>
      </c>
      <c r="G17" s="20" t="n">
        <v>15</v>
      </c>
      <c r="H17" s="20" t="inlineStr">
        <is>
          <t>fifteen</t>
        </is>
      </c>
    </row>
    <row r="18">
      <c r="E18" s="20" t="inlineStr">
        <is>
          <t>Mizoram</t>
        </is>
      </c>
      <c r="G18" s="20" t="n">
        <v>16</v>
      </c>
      <c r="H18" s="20" t="inlineStr">
        <is>
          <t>sixteen</t>
        </is>
      </c>
    </row>
    <row r="19">
      <c r="E19" s="20" t="inlineStr">
        <is>
          <t>Nagaland</t>
        </is>
      </c>
      <c r="G19" s="20" t="n">
        <v>17</v>
      </c>
      <c r="H19" s="20" t="inlineStr">
        <is>
          <t>seventeen</t>
        </is>
      </c>
    </row>
    <row r="20">
      <c r="E20" s="20" t="inlineStr">
        <is>
          <t>Odisha</t>
        </is>
      </c>
      <c r="G20" s="20" t="n">
        <v>18</v>
      </c>
      <c r="H20" s="20" t="inlineStr">
        <is>
          <t>eighteen</t>
        </is>
      </c>
    </row>
    <row r="21">
      <c r="E21" s="20" t="inlineStr">
        <is>
          <t>Punjab</t>
        </is>
      </c>
      <c r="G21" s="20" t="n">
        <v>19</v>
      </c>
      <c r="H21" s="20" t="inlineStr">
        <is>
          <t>nineteen</t>
        </is>
      </c>
    </row>
    <row r="22">
      <c r="E22" s="20" t="inlineStr">
        <is>
          <t>Rajasthan</t>
        </is>
      </c>
      <c r="G22" s="20" t="n">
        <v>20</v>
      </c>
      <c r="H22" s="20" t="inlineStr">
        <is>
          <t>twenty</t>
        </is>
      </c>
    </row>
    <row r="23">
      <c r="E23" s="20" t="inlineStr">
        <is>
          <t>Sikkim</t>
        </is>
      </c>
      <c r="G23" s="20" t="n">
        <v>21</v>
      </c>
      <c r="H23" s="20" t="inlineStr">
        <is>
          <t>twenty-one</t>
        </is>
      </c>
    </row>
    <row r="24">
      <c r="E24" s="20" t="inlineStr">
        <is>
          <t>Tamil Nadu</t>
        </is>
      </c>
      <c r="G24" s="20" t="n">
        <v>22</v>
      </c>
      <c r="H24" s="20" t="inlineStr">
        <is>
          <t>twenty-two</t>
        </is>
      </c>
    </row>
    <row r="25">
      <c r="E25" s="20" t="inlineStr">
        <is>
          <t>Telangana</t>
        </is>
      </c>
      <c r="G25" s="20" t="n">
        <v>23</v>
      </c>
      <c r="H25" s="20" t="inlineStr">
        <is>
          <t>twenty-three</t>
        </is>
      </c>
    </row>
    <row r="26">
      <c r="E26" s="20" t="inlineStr">
        <is>
          <t>Tripura</t>
        </is>
      </c>
      <c r="G26" s="20" t="n">
        <v>24</v>
      </c>
      <c r="H26" s="20" t="inlineStr">
        <is>
          <t>twenty-four</t>
        </is>
      </c>
    </row>
    <row r="27">
      <c r="E27" s="20" t="inlineStr">
        <is>
          <t>Uttar Pradesh</t>
        </is>
      </c>
      <c r="G27" s="20" t="n">
        <v>25</v>
      </c>
      <c r="H27" s="20" t="inlineStr">
        <is>
          <t>twenty-five</t>
        </is>
      </c>
    </row>
    <row r="28">
      <c r="E28" s="20" t="inlineStr">
        <is>
          <t>Uttarakhand</t>
        </is>
      </c>
      <c r="G28" s="20" t="n">
        <v>26</v>
      </c>
      <c r="H28" s="20" t="inlineStr">
        <is>
          <t>twenty-six</t>
        </is>
      </c>
    </row>
    <row r="29">
      <c r="E29" s="20" t="inlineStr">
        <is>
          <t>West Bengal</t>
        </is>
      </c>
      <c r="G29" s="20" t="n">
        <v>27</v>
      </c>
      <c r="H29" s="20" t="inlineStr">
        <is>
          <t>twenty-seven</t>
        </is>
      </c>
    </row>
    <row r="30">
      <c r="E30" s="20" t="inlineStr">
        <is>
          <t>Andaman and Nicobar Islands</t>
        </is>
      </c>
      <c r="G30" s="20" t="n">
        <v>28</v>
      </c>
      <c r="H30" s="20" t="inlineStr">
        <is>
          <t>twenty-eight</t>
        </is>
      </c>
    </row>
    <row r="31">
      <c r="E31" s="20" t="inlineStr">
        <is>
          <t>Chandigarh</t>
        </is>
      </c>
      <c r="G31" s="20" t="n">
        <v>29</v>
      </c>
      <c r="H31" s="20" t="inlineStr">
        <is>
          <t>twenty-nine</t>
        </is>
      </c>
    </row>
    <row r="32">
      <c r="E32" s="20" t="inlineStr">
        <is>
          <t>Dadra and Nagar Haveli and Daman and Diu</t>
        </is>
      </c>
      <c r="G32" s="20" t="n">
        <v>30</v>
      </c>
      <c r="H32" s="20" t="inlineStr">
        <is>
          <t>thirty</t>
        </is>
      </c>
    </row>
    <row r="33">
      <c r="E33" s="20" t="inlineStr">
        <is>
          <t>Delhi</t>
        </is>
      </c>
      <c r="G33" s="20" t="n">
        <v>31</v>
      </c>
      <c r="H33" s="20" t="inlineStr">
        <is>
          <t>thirty-one</t>
        </is>
      </c>
    </row>
    <row r="34">
      <c r="E34" s="20" t="inlineStr">
        <is>
          <t>Jammu and Kashmir</t>
        </is>
      </c>
      <c r="G34" s="20" t="n">
        <v>32</v>
      </c>
      <c r="H34" s="20" t="inlineStr">
        <is>
          <t>thirty-two</t>
        </is>
      </c>
    </row>
    <row r="35">
      <c r="E35" s="20" t="inlineStr">
        <is>
          <t>Ladakh</t>
        </is>
      </c>
      <c r="G35" s="20" t="n">
        <v>33</v>
      </c>
      <c r="H35" s="20" t="inlineStr">
        <is>
          <t>thirty-three</t>
        </is>
      </c>
    </row>
    <row r="36">
      <c r="E36" s="20" t="inlineStr">
        <is>
          <t>Lakshadweep</t>
        </is>
      </c>
      <c r="G36" s="20" t="n">
        <v>34</v>
      </c>
      <c r="H36" s="20" t="inlineStr">
        <is>
          <t>thirty-four</t>
        </is>
      </c>
    </row>
    <row r="37">
      <c r="E37" s="20" t="inlineStr">
        <is>
          <t>Puducherry</t>
        </is>
      </c>
      <c r="G37" s="20" t="n">
        <v>35</v>
      </c>
      <c r="H37" s="20" t="inlineStr">
        <is>
          <t>thirty-five</t>
        </is>
      </c>
    </row>
    <row r="38">
      <c r="G38" s="20" t="n">
        <v>36</v>
      </c>
      <c r="H38" s="20" t="inlineStr">
        <is>
          <t>thirty-six</t>
        </is>
      </c>
    </row>
    <row r="39">
      <c r="G39" s="20" t="n">
        <v>37</v>
      </c>
      <c r="H39" s="20" t="inlineStr">
        <is>
          <t>thirty-seven</t>
        </is>
      </c>
    </row>
    <row r="40">
      <c r="G40" s="20" t="n">
        <v>38</v>
      </c>
      <c r="H40" s="20" t="inlineStr">
        <is>
          <t>thirty-eight</t>
        </is>
      </c>
    </row>
    <row r="41">
      <c r="G41" s="20" t="n">
        <v>39</v>
      </c>
      <c r="H41" s="20" t="inlineStr">
        <is>
          <t>thirty-nine</t>
        </is>
      </c>
    </row>
    <row r="42">
      <c r="G42" s="20" t="n">
        <v>40</v>
      </c>
      <c r="H42" s="20" t="inlineStr">
        <is>
          <t>forty</t>
        </is>
      </c>
    </row>
    <row r="43">
      <c r="G43" s="20" t="n">
        <v>41</v>
      </c>
      <c r="H43" s="20" t="inlineStr">
        <is>
          <t>forty-one</t>
        </is>
      </c>
    </row>
    <row r="44">
      <c r="G44" s="20" t="n">
        <v>42</v>
      </c>
      <c r="H44" s="20" t="inlineStr">
        <is>
          <t>forty-two</t>
        </is>
      </c>
    </row>
    <row r="45">
      <c r="G45" s="20" t="n">
        <v>43</v>
      </c>
      <c r="H45" s="20" t="inlineStr">
        <is>
          <t>forty-three</t>
        </is>
      </c>
    </row>
    <row r="46">
      <c r="G46" s="20" t="n">
        <v>44</v>
      </c>
      <c r="H46" s="20" t="inlineStr">
        <is>
          <t>forty-four</t>
        </is>
      </c>
    </row>
    <row r="47">
      <c r="G47" s="20" t="n">
        <v>45</v>
      </c>
      <c r="H47" s="20" t="inlineStr">
        <is>
          <t>forty-five</t>
        </is>
      </c>
    </row>
    <row r="48">
      <c r="G48" s="20" t="n">
        <v>46</v>
      </c>
      <c r="H48" s="20" t="inlineStr">
        <is>
          <t>forty-six</t>
        </is>
      </c>
    </row>
    <row r="49">
      <c r="G49" s="20" t="n">
        <v>47</v>
      </c>
      <c r="H49" s="20" t="inlineStr">
        <is>
          <t>forty-seven</t>
        </is>
      </c>
    </row>
    <row r="50">
      <c r="G50" s="20" t="n">
        <v>48</v>
      </c>
      <c r="H50" s="20" t="inlineStr">
        <is>
          <t>forty-eight</t>
        </is>
      </c>
    </row>
    <row r="51">
      <c r="G51" s="20" t="n">
        <v>49</v>
      </c>
      <c r="H51" s="20" t="inlineStr">
        <is>
          <t>forty-nine</t>
        </is>
      </c>
    </row>
    <row r="52">
      <c r="G52" s="20" t="n">
        <v>50</v>
      </c>
      <c r="H52" s="20" t="inlineStr">
        <is>
          <t>fifty</t>
        </is>
      </c>
    </row>
    <row r="53">
      <c r="G53" s="20" t="n">
        <v>51</v>
      </c>
      <c r="H53" s="20" t="inlineStr">
        <is>
          <t>fifty-one</t>
        </is>
      </c>
    </row>
    <row r="54">
      <c r="G54" s="20" t="n">
        <v>52</v>
      </c>
      <c r="H54" s="20" t="inlineStr">
        <is>
          <t>fifty-two</t>
        </is>
      </c>
    </row>
    <row r="55">
      <c r="G55" s="20" t="n">
        <v>53</v>
      </c>
      <c r="H55" s="20" t="inlineStr">
        <is>
          <t>fifty-three</t>
        </is>
      </c>
    </row>
    <row r="56">
      <c r="G56" s="20" t="n">
        <v>54</v>
      </c>
      <c r="H56" s="20" t="inlineStr">
        <is>
          <t>fifty-four</t>
        </is>
      </c>
    </row>
    <row r="57">
      <c r="G57" s="20" t="n">
        <v>55</v>
      </c>
      <c r="H57" s="20" t="inlineStr">
        <is>
          <t>fifty-five</t>
        </is>
      </c>
    </row>
    <row r="58">
      <c r="G58" s="20" t="n">
        <v>56</v>
      </c>
      <c r="H58" s="20" t="inlineStr">
        <is>
          <t>fifty-six</t>
        </is>
      </c>
    </row>
    <row r="59">
      <c r="G59" s="20" t="n">
        <v>57</v>
      </c>
      <c r="H59" s="20" t="inlineStr">
        <is>
          <t>fifty-seven</t>
        </is>
      </c>
    </row>
    <row r="60">
      <c r="G60" s="20" t="n">
        <v>58</v>
      </c>
      <c r="H60" s="20" t="inlineStr">
        <is>
          <t>fifty-eight</t>
        </is>
      </c>
    </row>
    <row r="61">
      <c r="G61" s="20" t="n">
        <v>59</v>
      </c>
      <c r="H61" s="20" t="inlineStr">
        <is>
          <t>fifty-nine</t>
        </is>
      </c>
    </row>
    <row r="62">
      <c r="G62" s="20" t="n">
        <v>60</v>
      </c>
      <c r="H62" s="20" t="inlineStr">
        <is>
          <t>sixty</t>
        </is>
      </c>
    </row>
    <row r="63">
      <c r="G63" s="20" t="n">
        <v>61</v>
      </c>
      <c r="H63" s="20" t="inlineStr">
        <is>
          <t>sixty-one</t>
        </is>
      </c>
    </row>
    <row r="64">
      <c r="G64" s="20" t="n">
        <v>62</v>
      </c>
      <c r="H64" s="20" t="inlineStr">
        <is>
          <t>sixty-two</t>
        </is>
      </c>
    </row>
    <row r="65">
      <c r="G65" s="20" t="n">
        <v>63</v>
      </c>
      <c r="H65" s="20" t="inlineStr">
        <is>
          <t>sixty-three</t>
        </is>
      </c>
    </row>
    <row r="66">
      <c r="G66" s="20" t="n">
        <v>64</v>
      </c>
      <c r="H66" s="20" t="inlineStr">
        <is>
          <t>sixty-four</t>
        </is>
      </c>
    </row>
    <row r="67">
      <c r="G67" s="20" t="n">
        <v>65</v>
      </c>
      <c r="H67" s="20" t="inlineStr">
        <is>
          <t>sixty-five</t>
        </is>
      </c>
    </row>
    <row r="68">
      <c r="G68" s="20" t="n">
        <v>66</v>
      </c>
      <c r="H68" s="20" t="inlineStr">
        <is>
          <t>sixty-six</t>
        </is>
      </c>
    </row>
    <row r="69">
      <c r="G69" s="20" t="n">
        <v>67</v>
      </c>
      <c r="H69" s="20" t="inlineStr">
        <is>
          <t>sixty-seven</t>
        </is>
      </c>
    </row>
    <row r="70">
      <c r="G70" s="20" t="n">
        <v>68</v>
      </c>
      <c r="H70" s="20" t="inlineStr">
        <is>
          <t>sixty-eight</t>
        </is>
      </c>
    </row>
    <row r="71">
      <c r="G71" s="20" t="n">
        <v>69</v>
      </c>
      <c r="H71" s="20" t="inlineStr">
        <is>
          <t>sixty-nine</t>
        </is>
      </c>
    </row>
    <row r="72">
      <c r="G72" s="20" t="n">
        <v>70</v>
      </c>
      <c r="H72" s="20" t="inlineStr">
        <is>
          <t>seventy</t>
        </is>
      </c>
    </row>
    <row r="73">
      <c r="G73" s="20" t="n">
        <v>71</v>
      </c>
      <c r="H73" s="20" t="inlineStr">
        <is>
          <t>seventy-one</t>
        </is>
      </c>
    </row>
    <row r="74">
      <c r="G74" s="20" t="n">
        <v>72</v>
      </c>
      <c r="H74" s="20" t="inlineStr">
        <is>
          <t>seventy-two</t>
        </is>
      </c>
    </row>
    <row r="75">
      <c r="G75" s="20" t="n">
        <v>73</v>
      </c>
      <c r="H75" s="20" t="inlineStr">
        <is>
          <t>seventy-three</t>
        </is>
      </c>
    </row>
    <row r="76">
      <c r="G76" s="20" t="n">
        <v>74</v>
      </c>
      <c r="H76" s="20" t="inlineStr">
        <is>
          <t>seventy-four</t>
        </is>
      </c>
    </row>
    <row r="77">
      <c r="G77" s="20" t="n">
        <v>75</v>
      </c>
      <c r="H77" s="20" t="inlineStr">
        <is>
          <t>seventy-five</t>
        </is>
      </c>
    </row>
    <row r="78">
      <c r="G78" s="20" t="n">
        <v>76</v>
      </c>
      <c r="H78" s="20" t="inlineStr">
        <is>
          <t>seventy-six</t>
        </is>
      </c>
    </row>
    <row r="79">
      <c r="G79" s="20" t="n">
        <v>77</v>
      </c>
      <c r="H79" s="20" t="inlineStr">
        <is>
          <t>seventy-seven</t>
        </is>
      </c>
    </row>
    <row r="80">
      <c r="G80" s="20" t="n">
        <v>78</v>
      </c>
      <c r="H80" s="20" t="inlineStr">
        <is>
          <t>seventy-eight</t>
        </is>
      </c>
    </row>
    <row r="81">
      <c r="G81" s="20" t="n">
        <v>79</v>
      </c>
      <c r="H81" s="20" t="inlineStr">
        <is>
          <t>seventy-nine</t>
        </is>
      </c>
    </row>
    <row r="82">
      <c r="G82" s="20" t="n">
        <v>80</v>
      </c>
      <c r="H82" s="20" t="inlineStr">
        <is>
          <t>eighty</t>
        </is>
      </c>
    </row>
    <row r="83">
      <c r="G83" s="20" t="n">
        <v>81</v>
      </c>
      <c r="H83" s="20" t="inlineStr">
        <is>
          <t>eighty-one</t>
        </is>
      </c>
    </row>
    <row r="84">
      <c r="G84" s="20" t="n">
        <v>82</v>
      </c>
      <c r="H84" s="20" t="inlineStr">
        <is>
          <t>eighty-two</t>
        </is>
      </c>
    </row>
    <row r="85">
      <c r="G85" s="20" t="n">
        <v>83</v>
      </c>
      <c r="H85" s="20" t="inlineStr">
        <is>
          <t>eighty-three</t>
        </is>
      </c>
    </row>
    <row r="86">
      <c r="G86" s="20" t="n">
        <v>84</v>
      </c>
      <c r="H86" s="20" t="inlineStr">
        <is>
          <t>eighty-four</t>
        </is>
      </c>
    </row>
    <row r="87">
      <c r="G87" s="20" t="n">
        <v>85</v>
      </c>
      <c r="H87" s="20" t="inlineStr">
        <is>
          <t>eighty-five</t>
        </is>
      </c>
    </row>
    <row r="88">
      <c r="G88" s="20" t="n">
        <v>86</v>
      </c>
      <c r="H88" s="20" t="inlineStr">
        <is>
          <t>eighty-six</t>
        </is>
      </c>
    </row>
    <row r="89">
      <c r="G89" s="20" t="n">
        <v>87</v>
      </c>
      <c r="H89" s="20" t="inlineStr">
        <is>
          <t>eighty-seven</t>
        </is>
      </c>
    </row>
    <row r="90">
      <c r="G90" s="20" t="n">
        <v>88</v>
      </c>
      <c r="H90" s="20" t="inlineStr">
        <is>
          <t>eighty-eight</t>
        </is>
      </c>
    </row>
    <row r="91">
      <c r="G91" s="20" t="n">
        <v>89</v>
      </c>
      <c r="H91" s="20" t="inlineStr">
        <is>
          <t>eighty-nine</t>
        </is>
      </c>
    </row>
    <row r="92">
      <c r="G92" s="20" t="n">
        <v>90</v>
      </c>
      <c r="H92" s="20" t="inlineStr">
        <is>
          <t>ninety</t>
        </is>
      </c>
    </row>
    <row r="93">
      <c r="G93" s="20" t="n">
        <v>91</v>
      </c>
      <c r="H93" s="20" t="inlineStr">
        <is>
          <t>ninety-one</t>
        </is>
      </c>
    </row>
    <row r="94">
      <c r="G94" s="20" t="n">
        <v>92</v>
      </c>
      <c r="H94" s="20" t="inlineStr">
        <is>
          <t>ninety-two</t>
        </is>
      </c>
    </row>
    <row r="95">
      <c r="G95" s="20" t="n">
        <v>93</v>
      </c>
      <c r="H95" s="20" t="inlineStr">
        <is>
          <t>ninety-three</t>
        </is>
      </c>
    </row>
    <row r="96">
      <c r="G96" s="20" t="n">
        <v>94</v>
      </c>
      <c r="H96" s="20" t="inlineStr">
        <is>
          <t>ninety-four</t>
        </is>
      </c>
    </row>
    <row r="97">
      <c r="G97" s="20" t="n">
        <v>95</v>
      </c>
      <c r="H97" s="20" t="inlineStr">
        <is>
          <t>ninety-five</t>
        </is>
      </c>
    </row>
    <row r="98">
      <c r="G98" s="20" t="n">
        <v>96</v>
      </c>
      <c r="H98" s="20" t="inlineStr">
        <is>
          <t>ninety-six</t>
        </is>
      </c>
    </row>
    <row r="99">
      <c r="G99" s="20" t="n">
        <v>97</v>
      </c>
      <c r="H99" s="20" t="inlineStr">
        <is>
          <t>ninety-seven</t>
        </is>
      </c>
    </row>
    <row r="100">
      <c r="G100" s="20" t="n">
        <v>98</v>
      </c>
      <c r="H100" s="20" t="inlineStr">
        <is>
          <t>ninety-eight</t>
        </is>
      </c>
    </row>
    <row r="101">
      <c r="G101" s="20" t="n">
        <v>99</v>
      </c>
      <c r="H101" s="20" t="inlineStr">
        <is>
          <t>ninety-nine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2026-11-03T09:30:03Z</dcterms:created>
  <dcterms:modified xmlns:dcterms="http://purl.org/dc/terms/" xmlns:xsi="http://www.w3.org/2001/XMLSchema-instance" xsi:type="dcterms:W3CDTF">2026-11-03T09:30:03Z</dcterms:modified>
</cp:coreProperties>
</file>