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Voucher Register" sheetId="2" state="visible" r:id="rId2"/>
    <sheet xmlns:r="http://schemas.openxmlformats.org/officeDocument/2006/relationships" name="Print Voucher" sheetId="3" state="visible" r:id="rId3"/>
    <sheet xmlns:r="http://schemas.openxmlformats.org/officeDocument/2006/relationships" name="Voucher Rules" sheetId="4" state="visible" r:id="rId4"/>
    <sheet xmlns:r="http://schemas.openxmlformats.org/officeDocument/2006/relationships" name="Example Register" sheetId="5" state="visible" r:id="rId5"/>
    <sheet xmlns:r="http://schemas.openxmlformats.org/officeDocument/2006/relationships" name="Example Voucher" sheetId="6" state="visible" r:id="rId6"/>
    <sheet xmlns:r="http://schemas.openxmlformats.org/officeDocument/2006/relationships" name="Lists" sheetId="7" state="hidden" r:id="rId7"/>
  </sheets>
  <definedNames>
    <definedName name="_xlnm.Print_Area" localSheetId="0">'Instructions'!$A$1:$D$36</definedName>
    <definedName name="_xlnm.Print_Titles" localSheetId="1">'Voucher Register'!$17:$17</definedName>
    <definedName name="_xlnm.Print_Area" localSheetId="1">'Voucher Register'!$A$1:$O$323</definedName>
    <definedName name="_xlnm.Print_Area" localSheetId="2">'Print Voucher'!$A$6:$I$18</definedName>
    <definedName name="_xlnm.Print_Titles" localSheetId="3">'Voucher Rules'!$5:$5</definedName>
    <definedName name="_xlnm.Print_Area" localSheetId="3">'Voucher Rules'!$A$1:$E$19</definedName>
    <definedName name="_xlnm.Print_Titles" localSheetId="4">'Example Register'!$17:$17</definedName>
    <definedName name="_xlnm.Print_Area" localSheetId="4">'Example Register'!$A$1:$O$323</definedName>
    <definedName name="_xlnm.Print_Area" localSheetId="5">'Example Voucher'!$A$6:$I$18</definedName>
  </definedNames>
  <calcPr calcId="124519" fullCalcOnLoad="1"/>
</workbook>
</file>

<file path=xl/styles.xml><?xml version="1.0" encoding="utf-8"?>
<styleSheet xmlns="http://schemas.openxmlformats.org/spreadsheetml/2006/main">
  <numFmts count="6">
    <numFmt numFmtId="164" formatCode="#,##,##0;(#,##,##0);&quot;&quot;"/>
    <numFmt numFmtId="165" formatCode="#,##,##0;(#,##,##0);&quot;-&quot;"/>
    <numFmt numFmtId="166" formatCode="0;-0;&quot;None&quot;"/>
    <numFmt numFmtId="167" formatCode="DD-MMM-YYYY"/>
    <numFmt numFmtId="168" formatCode="#,##,##0.00"/>
    <numFmt numFmtId="169" formatCode="yyyy-mm-dd"/>
  </numFmts>
  <fonts count="11">
    <font>
      <name val="Calibri"/>
      <family val="2"/>
      <color theme="1"/>
      <sz val="11"/>
      <scheme val="minor"/>
    </font>
    <font>
      <name val="Calibri"/>
      <b val="1"/>
      <color rgb="00FFFFFF"/>
      <sz val="11"/>
    </font>
    <font>
      <name val="Calibri"/>
      <color rgb="001F2937"/>
      <sz val="10"/>
    </font>
    <font>
      <name val="Calibri"/>
      <b val="1"/>
      <color rgb="001F2937"/>
      <sz val="16"/>
    </font>
    <font>
      <name val="Calibri"/>
      <i val="1"/>
      <color rgb="006B7280"/>
      <sz val="9"/>
    </font>
    <font>
      <name val="Calibri"/>
      <b val="1"/>
      <color rgb="001F2937"/>
      <sz val="10"/>
    </font>
    <font>
      <name val="Calibri"/>
      <b val="1"/>
      <color rgb="00C52031"/>
      <sz val="9"/>
    </font>
    <font>
      <name val="Calibri"/>
      <b val="1"/>
      <color rgb="001F2937"/>
      <sz val="12"/>
    </font>
    <font>
      <name val="Calibri"/>
      <b val="1"/>
      <color rgb="001F2937"/>
      <sz val="15"/>
    </font>
    <font>
      <name val="Calibri"/>
      <b val="1"/>
      <color rgb="001F2937"/>
      <sz val="14"/>
    </font>
    <font>
      <name val="Calibri"/>
      <b val="1"/>
      <color rgb="00C52031"/>
      <sz val="12"/>
    </font>
  </fonts>
  <fills count="7">
    <fill>
      <patternFill/>
    </fill>
    <fill>
      <patternFill patternType="gray125"/>
    </fill>
    <fill>
      <patternFill patternType="solid">
        <fgColor rgb="00C52031"/>
        <bgColor rgb="00C52031"/>
      </patternFill>
    </fill>
    <fill>
      <patternFill patternType="solid">
        <fgColor rgb="00F9FAFB"/>
        <bgColor rgb="00F9FAFB"/>
      </patternFill>
    </fill>
    <fill>
      <patternFill patternType="solid">
        <fgColor rgb="00FFF4C2"/>
        <bgColor rgb="00FFF4C2"/>
      </patternFill>
    </fill>
    <fill>
      <patternFill patternType="solid">
        <fgColor rgb="001F2937"/>
        <bgColor rgb="001F2937"/>
      </patternFill>
    </fill>
    <fill>
      <patternFill patternType="solid">
        <fgColor rgb="00F3F4F6"/>
        <bgColor rgb="00F3F4F6"/>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44">
    <xf numFmtId="0" fontId="0" fillId="0" borderId="0" pivotButton="0" quotePrefix="0" xfId="0"/>
    <xf numFmtId="0" fontId="3" fillId="0" borderId="0" applyAlignment="1" pivotButton="0" quotePrefix="0" xfId="0">
      <alignment horizontal="left" vertical="center" wrapText="1"/>
    </xf>
    <xf numFmtId="0" fontId="10" fillId="0" borderId="0" applyAlignment="1" pivotButton="0" quotePrefix="0" xfId="0">
      <alignment horizontal="left" vertical="center" wrapText="1"/>
    </xf>
    <xf numFmtId="0" fontId="1" fillId="2" borderId="0" applyAlignment="1" pivotButton="0" quotePrefix="0" xfId="0">
      <alignment horizontal="left" vertical="center" wrapText="1"/>
    </xf>
    <xf numFmtId="0" fontId="0" fillId="2" borderId="0" pivotButton="0" quotePrefix="0" xfId="0"/>
    <xf numFmtId="0" fontId="5" fillId="3" borderId="1" applyAlignment="1" pivotButton="0" quotePrefix="0" xfId="0">
      <alignment horizontal="left" vertical="top" wrapText="1"/>
    </xf>
    <xf numFmtId="0" fontId="2" fillId="0" borderId="1" applyAlignment="1" pivotButton="0" quotePrefix="0" xfId="0">
      <alignment horizontal="left" vertical="top" wrapText="1"/>
    </xf>
    <xf numFmtId="0" fontId="0" fillId="0" borderId="1" pivotButton="0" quotePrefix="0" xfId="0"/>
    <xf numFmtId="0" fontId="4" fillId="6" borderId="0" applyAlignment="1" pivotButton="0" quotePrefix="0" xfId="0">
      <alignment horizontal="left" vertical="top" wrapText="1"/>
    </xf>
    <xf numFmtId="0" fontId="0" fillId="6" borderId="0" pivotButton="0" quotePrefix="0" xfId="0"/>
    <xf numFmtId="0" fontId="4" fillId="0" borderId="0" applyAlignment="1" pivotButton="0" quotePrefix="0" xfId="0">
      <alignment horizontal="center" vertical="center" wrapText="1"/>
    </xf>
    <xf numFmtId="0" fontId="4" fillId="0" borderId="0" applyAlignment="1" pivotButton="0" quotePrefix="0" xfId="0">
      <alignment horizontal="left" vertical="center" wrapText="1"/>
    </xf>
    <xf numFmtId="0" fontId="5" fillId="3" borderId="1" applyAlignment="1" pivotButton="0" quotePrefix="0" xfId="0">
      <alignment horizontal="left" vertical="center" wrapText="1"/>
    </xf>
    <xf numFmtId="0" fontId="0" fillId="3" borderId="1" pivotButton="0" quotePrefix="0" xfId="0"/>
    <xf numFmtId="0" fontId="2" fillId="4" borderId="1" applyAlignment="1" applyProtection="1" pivotButton="0" quotePrefix="0" xfId="0">
      <alignment horizontal="left" vertical="center" wrapText="1"/>
      <protection locked="0" hidden="0"/>
    </xf>
    <xf numFmtId="0" fontId="0" fillId="4" borderId="1" applyProtection="1" pivotButton="0" quotePrefix="0" xfId="0">
      <protection locked="0" hidden="0"/>
    </xf>
    <xf numFmtId="0" fontId="6" fillId="0" borderId="0" applyAlignment="1" pivotButton="0" quotePrefix="0" xfId="0">
      <alignment horizontal="left" vertical="center" wrapText="1"/>
    </xf>
    <xf numFmtId="1" fontId="2" fillId="4" borderId="1" applyAlignment="1" applyProtection="1" pivotButton="0" quotePrefix="0" xfId="0">
      <alignment horizontal="left" vertical="center" wrapText="1"/>
      <protection locked="0" hidden="0"/>
    </xf>
    <xf numFmtId="164" fontId="2" fillId="4" borderId="1" applyAlignment="1" applyProtection="1" pivotButton="0" quotePrefix="0" xfId="0">
      <alignment horizontal="left" vertical="center" wrapText="1"/>
      <protection locked="0" hidden="0"/>
    </xf>
    <xf numFmtId="165" fontId="7" fillId="0" borderId="1" applyAlignment="1" pivotButton="0" quotePrefix="0" xfId="0">
      <alignment horizontal="right" vertical="center"/>
    </xf>
    <xf numFmtId="166" fontId="7" fillId="0" borderId="1" applyAlignment="1" pivotButton="0" quotePrefix="0" xfId="0">
      <alignment horizontal="center" vertical="center" wrapText="1"/>
    </xf>
    <xf numFmtId="0" fontId="1" fillId="5" borderId="1" applyAlignment="1" pivotButton="0" quotePrefix="0" xfId="0">
      <alignment horizontal="center" vertical="center" wrapText="1"/>
    </xf>
    <xf numFmtId="167" fontId="2" fillId="4" borderId="1" applyAlignment="1" applyProtection="1" pivotButton="0" quotePrefix="0" xfId="0">
      <alignment horizontal="center" vertical="center" wrapText="1"/>
      <protection locked="0" hidden="0"/>
    </xf>
    <xf numFmtId="0" fontId="5" fillId="0" borderId="1" applyAlignment="1" pivotButton="0" quotePrefix="0" xfId="0">
      <alignment horizontal="center" vertical="center" wrapText="1"/>
    </xf>
    <xf numFmtId="0" fontId="2" fillId="4" borderId="1" applyAlignment="1" applyProtection="1" pivotButton="0" quotePrefix="0" xfId="0">
      <alignment horizontal="center" vertical="center" wrapText="1"/>
      <protection locked="0" hidden="0"/>
    </xf>
    <xf numFmtId="164" fontId="2" fillId="4" borderId="1" applyAlignment="1" applyProtection="1" pivotButton="0" quotePrefix="0" xfId="0">
      <alignment horizontal="right" vertical="center"/>
      <protection locked="0" hidden="0"/>
    </xf>
    <xf numFmtId="0" fontId="2" fillId="0" borderId="1" applyAlignment="1" pivotButton="0" quotePrefix="0" xfId="0">
      <alignment horizontal="center" vertical="center" wrapText="1"/>
    </xf>
    <xf numFmtId="0" fontId="6" fillId="0" borderId="1" applyAlignment="1" pivotButton="0" quotePrefix="0" xfId="0">
      <alignment horizontal="left" vertical="center" wrapText="1"/>
    </xf>
    <xf numFmtId="0" fontId="5" fillId="6" borderId="1" applyAlignment="1" pivotButton="0" quotePrefix="0" xfId="0">
      <alignment horizontal="left" vertical="center" wrapText="1"/>
    </xf>
    <xf numFmtId="0" fontId="0" fillId="6" borderId="1" pivotButton="0" quotePrefix="0" xfId="0"/>
    <xf numFmtId="165" fontId="5" fillId="6" borderId="1" applyAlignment="1" pivotButton="0" quotePrefix="0" xfId="0">
      <alignment horizontal="right" vertical="center"/>
    </xf>
    <xf numFmtId="0" fontId="4" fillId="0" borderId="0" pivotButton="0" quotePrefix="0" xfId="0"/>
    <xf numFmtId="0" fontId="2" fillId="0" borderId="0" pivotButton="0" quotePrefix="0" xfId="0"/>
    <xf numFmtId="0" fontId="5" fillId="4" borderId="1" applyAlignment="1" applyProtection="1" pivotButton="0" quotePrefix="0" xfId="0">
      <alignment horizontal="center" vertical="center" wrapText="1"/>
      <protection locked="0" hidden="0"/>
    </xf>
    <xf numFmtId="0" fontId="8"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2" borderId="0" applyAlignment="1" pivotButton="0" quotePrefix="0" xfId="0">
      <alignment horizontal="center" vertical="center" wrapText="1"/>
    </xf>
    <xf numFmtId="0" fontId="5" fillId="0" borderId="1" applyAlignment="1" pivotButton="0" quotePrefix="0" xfId="0">
      <alignment horizontal="left" vertical="center" wrapText="1"/>
    </xf>
    <xf numFmtId="167" fontId="5" fillId="0" borderId="1" applyAlignment="1" pivotButton="0" quotePrefix="0" xfId="0">
      <alignment horizontal="left" vertical="center" wrapText="1"/>
    </xf>
    <xf numFmtId="0" fontId="2" fillId="0" borderId="1" applyAlignment="1" pivotButton="0" quotePrefix="0" xfId="0">
      <alignment horizontal="left" vertical="center" wrapText="1"/>
    </xf>
    <xf numFmtId="168" fontId="9" fillId="0" borderId="1" applyAlignment="1" pivotButton="0" quotePrefix="0" xfId="0">
      <alignment horizontal="left" vertical="center" wrapText="1"/>
    </xf>
    <xf numFmtId="0" fontId="5" fillId="3" borderId="1" applyAlignment="1" pivotButton="0" quotePrefix="0" xfId="0">
      <alignment horizontal="center" vertical="center" wrapText="1"/>
    </xf>
    <xf numFmtId="0" fontId="4" fillId="0" borderId="1" applyAlignment="1" pivotButton="0" quotePrefix="0" xfId="0">
      <alignment horizontal="left" vertical="top" wrapText="1"/>
    </xf>
    <xf numFmtId="0" fontId="4"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6"/>
  <sheetViews>
    <sheetView showGridLines="0" workbookViewId="0">
      <selection activeCell="A1" sqref="A1"/>
    </sheetView>
  </sheetViews>
  <sheetFormatPr baseColWidth="8" defaultRowHeight="15"/>
  <cols>
    <col width="3" customWidth="1" min="1" max="1"/>
    <col width="26" customWidth="1" min="2" max="2"/>
    <col width="88" customWidth="1" min="3" max="3"/>
    <col width="3" customWidth="1" min="4" max="4"/>
  </cols>
  <sheetData>
    <row r="1"/>
    <row r="2" ht="26" customHeight="1">
      <c r="B2" s="1" t="inlineStr">
        <is>
          <t>Cash Voucher Format in Excel</t>
        </is>
      </c>
    </row>
    <row r="3" ht="36" customHeight="1">
      <c r="B3" s="2" t="inlineStr">
        <is>
          <t>A voucher register that numbers every payment, checks it against the cash limits and prints a voucher for the person paid to sign</t>
        </is>
      </c>
    </row>
    <row r="4"/>
    <row r="5" ht="19" customHeight="1">
      <c r="B5" s="3" t="inlineStr">
        <is>
          <t xml:space="preserve">  READ THIS FIRST</t>
        </is>
      </c>
      <c r="C5" s="4" t="n"/>
    </row>
    <row r="6" ht="31" customHeight="1">
      <c r="B6" s="5" t="inlineStr">
        <is>
          <t>One voucher, one payment</t>
        </is>
      </c>
      <c r="C6" s="6" t="inlineStr">
        <is>
          <t>Every rupee that leaves the business gets a voucher: who was paid, for what, how, and a signature. It is the proof behind each cash book entry.</t>
        </is>
      </c>
    </row>
    <row r="7" ht="44" customHeight="1">
      <c r="B7" s="5" t="inlineStr">
        <is>
          <t>₹10,000 a day, per person</t>
        </is>
      </c>
      <c r="C7" s="6" t="inlineStr">
        <is>
          <t>Cash over ₹10,000 to one person in a day is not deductible (Income-tax Act, 2025, s.36(4)); ₹35,000 for goods transporters. Two vouchers to the same person on the same day count together. The register adds them up.</t>
        </is>
      </c>
    </row>
    <row r="8" ht="31" customHeight="1">
      <c r="B8" s="5" t="inlineStr">
        <is>
          <t>The signature is a receipt</t>
        </is>
      </c>
      <c r="C8" s="6" t="inlineStr">
        <is>
          <t>When the person paid signs for cash above ₹5,000, that signature needs a ₹1 revenue stamp under the Indian Stamp Act. The Stamp column says which vouchers.</t>
        </is>
      </c>
    </row>
    <row r="9" ht="31" customHeight="1">
      <c r="B9" s="5" t="inlineStr">
        <is>
          <t>Numbers never repeat</t>
        </is>
      </c>
      <c r="C9" s="6" t="inlineStr">
        <is>
          <t>The voucher number comes from the row, so each is used once. A mistake is marked Cancelled, not deleted, and the next row gets a fresh number.</t>
        </is>
      </c>
    </row>
    <row r="10"/>
    <row r="11" ht="19" customHeight="1">
      <c r="B11" s="3" t="inlineStr">
        <is>
          <t xml:space="preserve">  WHAT IS IN THIS WORKBOOK</t>
        </is>
      </c>
      <c r="C11" s="4" t="n"/>
    </row>
    <row r="12" ht="31" customHeight="1">
      <c r="B12" s="5" t="inlineStr">
        <is>
          <t>Voucher Register</t>
        </is>
      </c>
      <c r="C12" s="6" t="inlineStr">
        <is>
          <t>One row per payment: who, the head of account, what for, the supplier's bill, how paid, the amount, who approved it, whether it needs a stamp, and a Check column. 300 rows.</t>
        </is>
      </c>
    </row>
    <row r="13" ht="44" customHeight="1">
      <c r="B13" s="5" t="inlineStr">
        <is>
          <t>Print Voucher</t>
        </is>
      </c>
      <c r="C13" s="6" t="inlineStr">
        <is>
          <t>Pick a voucher number and print it on one A4 page: cash voucher or bank payment voucher, the amount in words in lakh and crore, and boxes for prepared by, approved by and the payee's signature.</t>
        </is>
      </c>
    </row>
    <row r="14" ht="18" customHeight="1">
      <c r="B14" s="5" t="inlineStr">
        <is>
          <t>Voucher Rules</t>
        </is>
      </c>
      <c r="C14" s="6" t="inlineStr">
        <is>
          <t>The nine provisions behind the Check column and the stamp, quoted or summarised.</t>
        </is>
      </c>
    </row>
    <row r="15" ht="44" customHeight="1">
      <c r="B15" s="5" t="inlineStr">
        <is>
          <t>Example Register, Example Voucher</t>
        </is>
      </c>
      <c r="C15" s="6" t="inlineStr">
        <is>
          <t>Two weeks at a made-up shop, filled in. Six vouchers are flagged on purpose, five under four cash rules and one waiting for approval, and one is cancelled, so you can see what each looks like.</t>
        </is>
      </c>
    </row>
    <row r="16"/>
    <row r="17" ht="19" customHeight="1">
      <c r="B17" s="3" t="inlineStr">
        <is>
          <t xml:space="preserve">  HOW TO USE IT</t>
        </is>
      </c>
      <c r="C17" s="4" t="n"/>
    </row>
    <row r="18" ht="18" customHeight="1">
      <c r="B18" s="5" t="inlineStr">
        <is>
          <t>Step 1</t>
        </is>
      </c>
      <c r="C18" s="6" t="inlineStr">
        <is>
          <t>Open the two Example sheets first. They show a filled register and a printed voucher.</t>
        </is>
      </c>
    </row>
    <row r="19" ht="57" customHeight="1">
      <c r="B19" s="5" t="inlineStr">
        <is>
          <t>Step 2</t>
        </is>
      </c>
      <c r="C19" s="6" t="inlineStr">
        <is>
          <t>On the Voucher Register, fill the set-up: business name, address, GSTIN if you have one, how voucher numbers start (for example CV/26-27/, and 1 for the first), and the amount above which a payment needs approval. Set the number fields once: changing them later renumbers every voucher.</t>
        </is>
      </c>
    </row>
    <row r="20" ht="44" customHeight="1">
      <c r="B20" s="5" t="inlineStr">
        <is>
          <t>Step 3</t>
        </is>
      </c>
      <c r="C20" s="6" t="inlineStr">
        <is>
          <t>Before paying, enter the voucher on the next empty row: date, who is paid, the head of account, what it is for, the supplier's bill number if there is one, how you are paying and the amount.</t>
        </is>
      </c>
    </row>
    <row r="21" ht="31" customHeight="1">
      <c r="B21" s="5" t="inlineStr">
        <is>
          <t>Step 4</t>
        </is>
      </c>
      <c r="C21" s="6" t="inlineStr">
        <is>
          <t>Read the Check column. If it flags a cash limit, pay that amount by UPI or bank instead. Anything other than OK is explained on the Voucher Rules sheet.</t>
        </is>
      </c>
    </row>
    <row r="22" ht="44" customHeight="1">
      <c r="B22" s="5" t="inlineStr">
        <is>
          <t>Step 5</t>
        </is>
      </c>
      <c r="C22" s="6" t="inlineStr">
        <is>
          <t>Print the voucher from Print Voucher. Have it approved if it is above your limit, and have the person paid sign it before the money leaves. If the Stamp column says Yes, the signature goes across a ₹1 revenue stamp.</t>
        </is>
      </c>
    </row>
    <row r="23" ht="31" customHeight="1">
      <c r="B23" s="5" t="inlineStr">
        <is>
          <t>Step 6</t>
        </is>
      </c>
      <c r="C23" s="6" t="inlineStr">
        <is>
          <t>File the signed voucher with the bill behind it, and enter the same payment in your cash book or bank book.</t>
        </is>
      </c>
    </row>
    <row r="24" ht="31" customHeight="1">
      <c r="B24" s="5" t="inlineStr">
        <is>
          <t>Step 7</t>
        </is>
      </c>
      <c r="C24" s="6" t="inlineStr">
        <is>
          <t>Made a mistake? Do not change or delete a voucher that was signed. Mark it Cancelled, keep it, and write a fresh voucher on the next row.</t>
        </is>
      </c>
    </row>
    <row r="25" ht="44" customHeight="1">
      <c r="B25" s="5" t="inlineStr">
        <is>
          <t>Step 8</t>
        </is>
      </c>
      <c r="C25" s="6" t="inlineStr">
        <is>
          <t>When the 300 rows fill up, or a new financial year starts, save a copy of the file and carry on in the copy with the next number or a new series. Do not sort the register: the number belongs to the row.</t>
        </is>
      </c>
    </row>
    <row r="26"/>
    <row r="27" ht="19" customHeight="1">
      <c r="B27" s="3" t="inlineStr">
        <is>
          <t xml:space="preserve">  WHAT THIS WORKBOOK DOES NOT DO</t>
        </is>
      </c>
      <c r="C27" s="4" t="n"/>
    </row>
    <row r="28" ht="31" customHeight="1">
      <c r="B28" s="6" t="inlineStr">
        <is>
          <t>•  It does not know the exceptions the Income-tax Rules allow to the ₹10,000 rule. A flag means look, not that you are wrong.</t>
        </is>
      </c>
      <c r="C28" s="7" t="n"/>
    </row>
    <row r="29" ht="18" customHeight="1">
      <c r="B29" s="6" t="inlineStr">
        <is>
          <t>•  It is not a GST document. A purchase under reverse charge still needs the GST self invoice and payment voucher.</t>
        </is>
      </c>
      <c r="C29" s="7" t="n"/>
    </row>
    <row r="30" ht="18" customHeight="1">
      <c r="B30" s="6" t="inlineStr">
        <is>
          <t>•  It checks a loan repayment on its own. The ₹20,000 limit counts the loan with its interest.</t>
        </is>
      </c>
      <c r="C30" s="7" t="n"/>
    </row>
    <row r="31" ht="18" customHeight="1">
      <c r="B31" s="6" t="inlineStr">
        <is>
          <t>•  It is not a cash book. Enter each payment in your cash book or bank book as well, so the balance stays right.</t>
        </is>
      </c>
      <c r="C31" s="7" t="n"/>
    </row>
    <row r="32" ht="18" customHeight="1">
      <c r="B32" s="6" t="inlineStr">
        <is>
          <t>•  General guidance, not legal or tax advice.</t>
        </is>
      </c>
      <c r="C32" s="7" t="n"/>
    </row>
    <row r="33"/>
    <row r="34" ht="28" customHeight="1">
      <c r="B34" s="8" t="inlineStr">
        <is>
          <t>Yellow cells are for you to fill. Every other cell is worked out and locked; the sheets have no password, so Review &gt; Unprotect Sheet opens them if you need to. Amounts are in rupees.</t>
        </is>
      </c>
      <c r="C34" s="9" t="n"/>
    </row>
    <row r="35"/>
    <row r="36" ht="16" customHeight="1">
      <c r="B36"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3">
    <mergeCell ref="B30:C30"/>
    <mergeCell ref="B2:C2"/>
    <mergeCell ref="B29:C29"/>
    <mergeCell ref="B11:C11"/>
    <mergeCell ref="B3:C3"/>
    <mergeCell ref="B5:C5"/>
    <mergeCell ref="B34:C34"/>
    <mergeCell ref="B28:C28"/>
    <mergeCell ref="B36:C36"/>
    <mergeCell ref="B32:C32"/>
    <mergeCell ref="B31:C31"/>
    <mergeCell ref="B17:C17"/>
    <mergeCell ref="B27:C27"/>
  </mergeCells>
  <pageMargins left="0.3" right="0.3" top="0.4" bottom="0.4"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V323"/>
  <sheetViews>
    <sheetView workbookViewId="0">
      <pane xSplit="3" ySplit="17" topLeftCell="D18"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15" customWidth="1" min="3" max="3"/>
    <col width="26" customWidth="1" min="4" max="4"/>
    <col width="28" customWidth="1" min="5" max="5"/>
    <col width="26" customWidth="1" min="6" max="6"/>
    <col width="14" customWidth="1" min="7" max="7"/>
    <col width="22" customWidth="1" min="8" max="8"/>
    <col width="18" customWidth="1" min="9" max="9"/>
    <col width="13" customWidth="1" min="10" max="10"/>
    <col width="16" customWidth="1" min="11" max="11"/>
    <col width="11" customWidth="1" min="12" max="12"/>
    <col width="10" customWidth="1" min="13" max="13"/>
    <col width="52" customWidth="1" min="14" max="14"/>
    <col width="2"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s>
  <sheetData>
    <row r="1"/>
    <row r="2" ht="26" customHeight="1">
      <c r="B2" s="1" t="inlineStr">
        <is>
          <t>VOUCHER REGISTER  (cash and payment vouchers)</t>
        </is>
      </c>
    </row>
    <row r="3" ht="16" customHeight="1">
      <c r="B3" s="11" t="inlineStr">
        <is>
          <t>One row for every payment you make. The voucher number, the stamp and the Check column work themselves out. Print any voucher from the Print Voucher sheet.</t>
        </is>
      </c>
    </row>
    <row r="4"/>
    <row r="5" ht="19" customHeight="1">
      <c r="B5" s="3" t="inlineStr">
        <is>
          <t xml:space="preserve">  SET UP (name, address and GSTIN print on every voucher)</t>
        </is>
      </c>
      <c r="C5" s="4" t="n"/>
      <c r="D5" s="4" t="n"/>
      <c r="E5" s="4" t="n"/>
      <c r="F5" s="4" t="n"/>
      <c r="G5" s="4" t="n"/>
      <c r="H5" s="4" t="n"/>
      <c r="I5" s="4" t="n"/>
      <c r="J5" s="4" t="n"/>
      <c r="K5" s="4" t="n"/>
      <c r="L5" s="4" t="n"/>
      <c r="M5" s="4" t="n"/>
      <c r="N5" s="4" t="n"/>
    </row>
    <row r="6" ht="18" customHeight="1">
      <c r="B6" s="12" t="inlineStr">
        <is>
          <t>Name of the business</t>
        </is>
      </c>
      <c r="C6" s="13" t="n"/>
      <c r="D6" s="13" t="n"/>
      <c r="E6" s="14" t="n"/>
      <c r="F6" s="15" t="n"/>
      <c r="G6" s="15" t="n"/>
      <c r="H6" s="15" t="n"/>
    </row>
    <row r="7" ht="18" customHeight="1">
      <c r="B7" s="12" t="inlineStr">
        <is>
          <t>Address</t>
        </is>
      </c>
      <c r="C7" s="13" t="n"/>
      <c r="D7" s="13" t="n"/>
      <c r="E7" s="14" t="n"/>
      <c r="F7" s="15" t="n"/>
      <c r="G7" s="15" t="n"/>
      <c r="H7" s="15" t="n"/>
    </row>
    <row r="8" ht="18" customHeight="1">
      <c r="B8" s="12" t="inlineStr">
        <is>
          <t>GSTIN (leave blank if not registered)</t>
        </is>
      </c>
      <c r="C8" s="13" t="n"/>
      <c r="D8" s="13" t="n"/>
      <c r="E8" s="14" t="n"/>
      <c r="F8" s="15" t="n"/>
      <c r="G8" s="15" t="n"/>
      <c r="H8" s="15" t="n"/>
    </row>
    <row r="9" ht="18" customHeight="1">
      <c r="B9" s="12" t="inlineStr">
        <is>
          <t>Voucher number starts with</t>
        </is>
      </c>
      <c r="C9" s="13" t="n"/>
      <c r="D9" s="13" t="n"/>
      <c r="E9" s="14" t="inlineStr">
        <is>
          <t>CV/26-27/</t>
        </is>
      </c>
      <c r="F9" s="15" t="n"/>
      <c r="G9" s="15" t="n"/>
      <c r="H9" s="15" t="n"/>
      <c r="I9" s="16">
        <f>IF(LEN($E$9)+3&gt;16,"Keep it shorter: with the number, 16 characters is a sensible limit","")</f>
        <v/>
      </c>
    </row>
    <row r="10" ht="18" customHeight="1">
      <c r="B10" s="12" t="inlineStr">
        <is>
          <t>First voucher number</t>
        </is>
      </c>
      <c r="C10" s="13" t="n"/>
      <c r="D10" s="13" t="n"/>
      <c r="E10" s="17" t="n">
        <v>1</v>
      </c>
      <c r="F10" s="15" t="n"/>
      <c r="G10" s="15" t="n"/>
      <c r="H10" s="15" t="n"/>
      <c r="I10" s="16">
        <f>IF(AND($E$10&lt;&gt;"",OR(NOT(ISNUMBER($E$10)),$E$10&lt;1)),"Enter a whole number, such as 1","")</f>
        <v/>
      </c>
    </row>
    <row r="11" ht="18" customHeight="1">
      <c r="B11" s="12" t="inlineStr">
        <is>
          <t>Payments above this need approval (₹), blank for none</t>
        </is>
      </c>
      <c r="C11" s="13" t="n"/>
      <c r="D11" s="13" t="n"/>
      <c r="E11" s="18" t="n"/>
      <c r="F11" s="15" t="n"/>
      <c r="G11" s="15" t="n"/>
      <c r="H11" s="15" t="n"/>
    </row>
    <row r="12" ht="16" customHeight="1">
      <c r="B12" s="11" t="inlineStr">
        <is>
          <t>Set the voucher number fields once. Changing them later renumbers every voucher, including ones already signed.</t>
        </is>
      </c>
    </row>
    <row r="13" ht="19" customHeight="1">
      <c r="B13" s="3" t="inlineStr">
        <is>
          <t xml:space="preserve">  WHERE YOU STAND</t>
        </is>
      </c>
      <c r="C13" s="4" t="n"/>
      <c r="D13" s="4" t="n"/>
      <c r="E13" s="4" t="n"/>
      <c r="F13" s="4" t="n"/>
      <c r="G13" s="4" t="n"/>
      <c r="H13" s="4" t="n"/>
      <c r="I13" s="4" t="n"/>
      <c r="J13" s="4" t="n"/>
      <c r="K13" s="4" t="n"/>
      <c r="L13" s="4" t="n"/>
      <c r="M13" s="4" t="n"/>
      <c r="N13" s="4" t="n"/>
    </row>
    <row r="14" ht="18" customHeight="1">
      <c r="B14" s="12" t="inlineStr">
        <is>
          <t>Paid so far (₹)</t>
        </is>
      </c>
      <c r="C14" s="13" t="n"/>
      <c r="D14" s="19">
        <f>SUM($Q$18:$Q$317)</f>
        <v/>
      </c>
      <c r="E14" s="12" t="inlineStr">
        <is>
          <t>Of which in cash (₹)</t>
        </is>
      </c>
      <c r="F14" s="13" t="n"/>
      <c r="G14" s="19">
        <f>SUM($R$18:$R$317)</f>
        <v/>
      </c>
      <c r="H14" s="12" t="inlineStr">
        <is>
          <t>Vouchers that need a ₹1 stamp</t>
        </is>
      </c>
      <c r="I14" s="13" t="n"/>
      <c r="J14" s="20">
        <f>COUNTIF($M$18:$M$317,"Yes*")</f>
        <v/>
      </c>
      <c r="K14" s="12" t="inlineStr">
        <is>
          <t>Vouchers to look at</t>
        </is>
      </c>
      <c r="L14" s="13" t="n"/>
      <c r="M14" s="20">
        <f>SUM($V$18:$V$317)</f>
        <v/>
      </c>
    </row>
    <row r="15" ht="16" customHeight="1">
      <c r="B15" s="11" t="inlineStr">
        <is>
          <t>Anything other than OK in the Check column is something to look at before you pay. The Voucher Rules sheet explains each message.</t>
        </is>
      </c>
    </row>
    <row r="16"/>
    <row r="17" ht="48" customHeight="1">
      <c r="B17" s="21" t="inlineStr">
        <is>
          <t>Date</t>
        </is>
      </c>
      <c r="C17" s="21" t="inlineStr">
        <is>
          <t>Voucher no.</t>
        </is>
      </c>
      <c r="D17" s="21" t="inlineStr">
        <is>
          <t>Paid to</t>
        </is>
      </c>
      <c r="E17" s="21" t="inlineStr">
        <is>
          <t>Head of account</t>
        </is>
      </c>
      <c r="F17" s="21" t="inlineStr">
        <is>
          <t>Being (what it was for)</t>
        </is>
      </c>
      <c r="G17" s="21" t="inlineStr">
        <is>
          <t>Supplier's bill no. (if any)</t>
        </is>
      </c>
      <c r="H17" s="21" t="inlineStr">
        <is>
          <t>How it was paid</t>
        </is>
      </c>
      <c r="I17" s="21" t="inlineStr">
        <is>
          <t>Cheque no., UTR or UPI ref</t>
        </is>
      </c>
      <c r="J17" s="21" t="inlineStr">
        <is>
          <t>Amount</t>
        </is>
      </c>
      <c r="K17" s="21" t="inlineStr">
        <is>
          <t>Approved by</t>
        </is>
      </c>
      <c r="L17" s="21" t="inlineStr">
        <is>
          <t>Cancelled?</t>
        </is>
      </c>
      <c r="M17" s="21" t="inlineStr">
        <is>
          <t>Stamp</t>
        </is>
      </c>
      <c r="N17" s="21" t="inlineStr">
        <is>
          <t>Check</t>
        </is>
      </c>
    </row>
    <row r="18">
      <c r="B18" s="22" t="n"/>
      <c r="C18" s="23">
        <f>IF(B18="","",$E$9&amp;TEXT(N($E$10)+0,"000"))</f>
        <v/>
      </c>
      <c r="D18" s="14" t="n"/>
      <c r="E18" s="14" t="n"/>
      <c r="F18" s="14" t="n"/>
      <c r="G18" s="24" t="n"/>
      <c r="H18" s="14" t="n"/>
      <c r="I18" s="24" t="n"/>
      <c r="J18" s="25" t="n"/>
      <c r="K18" s="14" t="n"/>
      <c r="L18" s="24" t="n"/>
      <c r="M18" s="26">
        <f>IF(OR(N(J18)=0,L18="Cancelled"),"",IF(AND(N(J18)&gt;5000,H18="Cash"),"Yes: ₹1","No"))</f>
        <v/>
      </c>
      <c r="N18" s="27">
        <f>IF(AND(B18="",D18="",N(J18)=0),"",IF(B18="","Enter the date",IF(FALSE,"Use the next empty row: a skipped row leaves a gap in the voucher numbers",IF(D18="","Enter who was paid",IF(N(J18)=0,"Enter the amount",IF(E18="","Pick the head of account",IF(P18="?","Pick the head from the list",IF(H18="","Pick how it was paid",IF(L18="Cancelled","Cancelled: keep this number unused and write a fresh voucher",IF(AND(H18&lt;&gt;"Cash",I18=""),"Enter the cheque no., UTR or UPI reference",IF(AND(N($E$11)&gt;0,N(J18)&gt;N($E$11),K18=""),"Above your approval limit: get it approved before paying",IF(S18&gt;10000,"Cash paid to this person today is over ₹10,000: not deductible, s.36(4)",IF(T18&gt;35000,"Cash freight to this transporter today is over ₹35,000: not deductible, s.36(6)",IF(U18&gt;10000,"Asset paid in cash over ₹10,000 today: left out of its cost, s.39(2)",IF(AND(P18="L",H18="Cash",N(J18)&gt;=20000),"Loan of ₹20,000 or more repaid in cash: barred, s.188","OK")))))))))))))))</f>
        <v/>
      </c>
      <c r="P18">
        <f>IF(E18="","",IFERROR(VLOOKUP(E18,Lists!$A$2:$B$17,2,FALSE),"?"))</f>
        <v/>
      </c>
      <c r="Q18">
        <f>IF(L18="Cancelled",0,N(J18))</f>
        <v/>
      </c>
      <c r="R18">
        <f>IF(H18="Cash",Q18,0)</f>
        <v/>
      </c>
      <c r="S18">
        <f>IF(OR(P18&lt;&gt;"E",R18=0),0,SUMIFS($R$18:$R$317,$B$18:$B$317,B18,$D$18:$D$317,D18,$P$18:$P$317,"E"))</f>
        <v/>
      </c>
      <c r="T18">
        <f>IF(OR(P18&lt;&gt;"F",R18=0),0,SUMIFS($R$18:$R$317,$B$18:$B$317,B18,$D$18:$D$317,D18,$P$18:$P$317,"F"))</f>
        <v/>
      </c>
      <c r="U18">
        <f>IF(OR(P18&lt;&gt;"A",R18=0),0,SUMIFS($R$18:$R$317,$B$18:$B$317,B18,$D$18:$D$317,D18,$P$18:$P$317,"A"))</f>
        <v/>
      </c>
      <c r="V18">
        <f>IF(OR(N18="",N18="OK",L18="Cancelled"),0,1)</f>
        <v/>
      </c>
    </row>
    <row r="19">
      <c r="B19" s="22" t="n"/>
      <c r="C19" s="23">
        <f>IF(B19="","",$E$9&amp;TEXT(N($E$10)+1,"000"))</f>
        <v/>
      </c>
      <c r="D19" s="14" t="n"/>
      <c r="E19" s="14" t="n"/>
      <c r="F19" s="14" t="n"/>
      <c r="G19" s="24" t="n"/>
      <c r="H19" s="14" t="n"/>
      <c r="I19" s="24" t="n"/>
      <c r="J19" s="25" t="n"/>
      <c r="K19" s="14" t="n"/>
      <c r="L19" s="24" t="n"/>
      <c r="M19" s="26">
        <f>IF(OR(N(J19)=0,L19="Cancelled"),"",IF(AND(N(J19)&gt;5000,H19="Cash"),"Yes: ₹1","No"))</f>
        <v/>
      </c>
      <c r="N19" s="27">
        <f>IF(AND(B19="",D19="",N(J19)=0),"",IF(B19="","Enter the date",IF(AND(ROW()&gt;18,B18=""),"Use the next empty row: a skipped row leaves a gap in the voucher numbers",IF(D19="","Enter who was paid",IF(N(J19)=0,"Enter the amount",IF(E19="","Pick the head of account",IF(P19="?","Pick the head from the list",IF(H19="","Pick how it was paid",IF(L19="Cancelled","Cancelled: keep this number unused and write a fresh voucher",IF(AND(H19&lt;&gt;"Cash",I19=""),"Enter the cheque no., UTR or UPI reference",IF(AND(N($E$11)&gt;0,N(J19)&gt;N($E$11),K19=""),"Above your approval limit: get it approved before paying",IF(S19&gt;10000,"Cash paid to this person today is over ₹10,000: not deductible, s.36(4)",IF(T19&gt;35000,"Cash freight to this transporter today is over ₹35,000: not deductible, s.36(6)",IF(U19&gt;10000,"Asset paid in cash over ₹10,000 today: left out of its cost, s.39(2)",IF(AND(P19="L",H19="Cash",N(J19)&gt;=20000),"Loan of ₹20,000 or more repaid in cash: barred, s.188","OK")))))))))))))))</f>
        <v/>
      </c>
      <c r="P19">
        <f>IF(E19="","",IFERROR(VLOOKUP(E19,Lists!$A$2:$B$17,2,FALSE),"?"))</f>
        <v/>
      </c>
      <c r="Q19">
        <f>IF(L19="Cancelled",0,N(J19))</f>
        <v/>
      </c>
      <c r="R19">
        <f>IF(H19="Cash",Q19,0)</f>
        <v/>
      </c>
      <c r="S19">
        <f>IF(OR(P19&lt;&gt;"E",R19=0),0,SUMIFS($R$18:$R$317,$B$18:$B$317,B19,$D$18:$D$317,D19,$P$18:$P$317,"E"))</f>
        <v/>
      </c>
      <c r="T19">
        <f>IF(OR(P19&lt;&gt;"F",R19=0),0,SUMIFS($R$18:$R$317,$B$18:$B$317,B19,$D$18:$D$317,D19,$P$18:$P$317,"F"))</f>
        <v/>
      </c>
      <c r="U19">
        <f>IF(OR(P19&lt;&gt;"A",R19=0),0,SUMIFS($R$18:$R$317,$B$18:$B$317,B19,$D$18:$D$317,D19,$P$18:$P$317,"A"))</f>
        <v/>
      </c>
      <c r="V19">
        <f>IF(OR(N19="",N19="OK",L19="Cancelled"),0,1)</f>
        <v/>
      </c>
    </row>
    <row r="20">
      <c r="B20" s="22" t="n"/>
      <c r="C20" s="23">
        <f>IF(B20="","",$E$9&amp;TEXT(N($E$10)+2,"000"))</f>
        <v/>
      </c>
      <c r="D20" s="14" t="n"/>
      <c r="E20" s="14" t="n"/>
      <c r="F20" s="14" t="n"/>
      <c r="G20" s="24" t="n"/>
      <c r="H20" s="14" t="n"/>
      <c r="I20" s="24" t="n"/>
      <c r="J20" s="25" t="n"/>
      <c r="K20" s="14" t="n"/>
      <c r="L20" s="24" t="n"/>
      <c r="M20" s="26">
        <f>IF(OR(N(J20)=0,L20="Cancelled"),"",IF(AND(N(J20)&gt;5000,H20="Cash"),"Yes: ₹1","No"))</f>
        <v/>
      </c>
      <c r="N20" s="27">
        <f>IF(AND(B20="",D20="",N(J20)=0),"",IF(B20="","Enter the date",IF(AND(ROW()&gt;18,B19=""),"Use the next empty row: a skipped row leaves a gap in the voucher numbers",IF(D20="","Enter who was paid",IF(N(J20)=0,"Enter the amount",IF(E20="","Pick the head of account",IF(P20="?","Pick the head from the list",IF(H20="","Pick how it was paid",IF(L20="Cancelled","Cancelled: keep this number unused and write a fresh voucher",IF(AND(H20&lt;&gt;"Cash",I20=""),"Enter the cheque no., UTR or UPI reference",IF(AND(N($E$11)&gt;0,N(J20)&gt;N($E$11),K20=""),"Above your approval limit: get it approved before paying",IF(S20&gt;10000,"Cash paid to this person today is over ₹10,000: not deductible, s.36(4)",IF(T20&gt;35000,"Cash freight to this transporter today is over ₹35,000: not deductible, s.36(6)",IF(U20&gt;10000,"Asset paid in cash over ₹10,000 today: left out of its cost, s.39(2)",IF(AND(P20="L",H20="Cash",N(J20)&gt;=20000),"Loan of ₹20,000 or more repaid in cash: barred, s.188","OK")))))))))))))))</f>
        <v/>
      </c>
      <c r="P20">
        <f>IF(E20="","",IFERROR(VLOOKUP(E20,Lists!$A$2:$B$17,2,FALSE),"?"))</f>
        <v/>
      </c>
      <c r="Q20">
        <f>IF(L20="Cancelled",0,N(J20))</f>
        <v/>
      </c>
      <c r="R20">
        <f>IF(H20="Cash",Q20,0)</f>
        <v/>
      </c>
      <c r="S20">
        <f>IF(OR(P20&lt;&gt;"E",R20=0),0,SUMIFS($R$18:$R$317,$B$18:$B$317,B20,$D$18:$D$317,D20,$P$18:$P$317,"E"))</f>
        <v/>
      </c>
      <c r="T20">
        <f>IF(OR(P20&lt;&gt;"F",R20=0),0,SUMIFS($R$18:$R$317,$B$18:$B$317,B20,$D$18:$D$317,D20,$P$18:$P$317,"F"))</f>
        <v/>
      </c>
      <c r="U20">
        <f>IF(OR(P20&lt;&gt;"A",R20=0),0,SUMIFS($R$18:$R$317,$B$18:$B$317,B20,$D$18:$D$317,D20,$P$18:$P$317,"A"))</f>
        <v/>
      </c>
      <c r="V20">
        <f>IF(OR(N20="",N20="OK",L20="Cancelled"),0,1)</f>
        <v/>
      </c>
    </row>
    <row r="21">
      <c r="B21" s="22" t="n"/>
      <c r="C21" s="23">
        <f>IF(B21="","",$E$9&amp;TEXT(N($E$10)+3,"000"))</f>
        <v/>
      </c>
      <c r="D21" s="14" t="n"/>
      <c r="E21" s="14" t="n"/>
      <c r="F21" s="14" t="n"/>
      <c r="G21" s="24" t="n"/>
      <c r="H21" s="14" t="n"/>
      <c r="I21" s="24" t="n"/>
      <c r="J21" s="25" t="n"/>
      <c r="K21" s="14" t="n"/>
      <c r="L21" s="24" t="n"/>
      <c r="M21" s="26">
        <f>IF(OR(N(J21)=0,L21="Cancelled"),"",IF(AND(N(J21)&gt;5000,H21="Cash"),"Yes: ₹1","No"))</f>
        <v/>
      </c>
      <c r="N21" s="27">
        <f>IF(AND(B21="",D21="",N(J21)=0),"",IF(B21="","Enter the date",IF(AND(ROW()&gt;18,B20=""),"Use the next empty row: a skipped row leaves a gap in the voucher numbers",IF(D21="","Enter who was paid",IF(N(J21)=0,"Enter the amount",IF(E21="","Pick the head of account",IF(P21="?","Pick the head from the list",IF(H21="","Pick how it was paid",IF(L21="Cancelled","Cancelled: keep this number unused and write a fresh voucher",IF(AND(H21&lt;&gt;"Cash",I21=""),"Enter the cheque no., UTR or UPI reference",IF(AND(N($E$11)&gt;0,N(J21)&gt;N($E$11),K21=""),"Above your approval limit: get it approved before paying",IF(S21&gt;10000,"Cash paid to this person today is over ₹10,000: not deductible, s.36(4)",IF(T21&gt;35000,"Cash freight to this transporter today is over ₹35,000: not deductible, s.36(6)",IF(U21&gt;10000,"Asset paid in cash over ₹10,000 today: left out of its cost, s.39(2)",IF(AND(P21="L",H21="Cash",N(J21)&gt;=20000),"Loan of ₹20,000 or more repaid in cash: barred, s.188","OK")))))))))))))))</f>
        <v/>
      </c>
      <c r="P21">
        <f>IF(E21="","",IFERROR(VLOOKUP(E21,Lists!$A$2:$B$17,2,FALSE),"?"))</f>
        <v/>
      </c>
      <c r="Q21">
        <f>IF(L21="Cancelled",0,N(J21))</f>
        <v/>
      </c>
      <c r="R21">
        <f>IF(H21="Cash",Q21,0)</f>
        <v/>
      </c>
      <c r="S21">
        <f>IF(OR(P21&lt;&gt;"E",R21=0),0,SUMIFS($R$18:$R$317,$B$18:$B$317,B21,$D$18:$D$317,D21,$P$18:$P$317,"E"))</f>
        <v/>
      </c>
      <c r="T21">
        <f>IF(OR(P21&lt;&gt;"F",R21=0),0,SUMIFS($R$18:$R$317,$B$18:$B$317,B21,$D$18:$D$317,D21,$P$18:$P$317,"F"))</f>
        <v/>
      </c>
      <c r="U21">
        <f>IF(OR(P21&lt;&gt;"A",R21=0),0,SUMIFS($R$18:$R$317,$B$18:$B$317,B21,$D$18:$D$317,D21,$P$18:$P$317,"A"))</f>
        <v/>
      </c>
      <c r="V21">
        <f>IF(OR(N21="",N21="OK",L21="Cancelled"),0,1)</f>
        <v/>
      </c>
    </row>
    <row r="22">
      <c r="B22" s="22" t="n"/>
      <c r="C22" s="23">
        <f>IF(B22="","",$E$9&amp;TEXT(N($E$10)+4,"000"))</f>
        <v/>
      </c>
      <c r="D22" s="14" t="n"/>
      <c r="E22" s="14" t="n"/>
      <c r="F22" s="14" t="n"/>
      <c r="G22" s="24" t="n"/>
      <c r="H22" s="14" t="n"/>
      <c r="I22" s="24" t="n"/>
      <c r="J22" s="25" t="n"/>
      <c r="K22" s="14" t="n"/>
      <c r="L22" s="24" t="n"/>
      <c r="M22" s="26">
        <f>IF(OR(N(J22)=0,L22="Cancelled"),"",IF(AND(N(J22)&gt;5000,H22="Cash"),"Yes: ₹1","No"))</f>
        <v/>
      </c>
      <c r="N22" s="27">
        <f>IF(AND(B22="",D22="",N(J22)=0),"",IF(B22="","Enter the date",IF(AND(ROW()&gt;18,B21=""),"Use the next empty row: a skipped row leaves a gap in the voucher numbers",IF(D22="","Enter who was paid",IF(N(J22)=0,"Enter the amount",IF(E22="","Pick the head of account",IF(P22="?","Pick the head from the list",IF(H22="","Pick how it was paid",IF(L22="Cancelled","Cancelled: keep this number unused and write a fresh voucher",IF(AND(H22&lt;&gt;"Cash",I22=""),"Enter the cheque no., UTR or UPI reference",IF(AND(N($E$11)&gt;0,N(J22)&gt;N($E$11),K22=""),"Above your approval limit: get it approved before paying",IF(S22&gt;10000,"Cash paid to this person today is over ₹10,000: not deductible, s.36(4)",IF(T22&gt;35000,"Cash freight to this transporter today is over ₹35,000: not deductible, s.36(6)",IF(U22&gt;10000,"Asset paid in cash over ₹10,000 today: left out of its cost, s.39(2)",IF(AND(P22="L",H22="Cash",N(J22)&gt;=20000),"Loan of ₹20,000 or more repaid in cash: barred, s.188","OK")))))))))))))))</f>
        <v/>
      </c>
      <c r="P22">
        <f>IF(E22="","",IFERROR(VLOOKUP(E22,Lists!$A$2:$B$17,2,FALSE),"?"))</f>
        <v/>
      </c>
      <c r="Q22">
        <f>IF(L22="Cancelled",0,N(J22))</f>
        <v/>
      </c>
      <c r="R22">
        <f>IF(H22="Cash",Q22,0)</f>
        <v/>
      </c>
      <c r="S22">
        <f>IF(OR(P22&lt;&gt;"E",R22=0),0,SUMIFS($R$18:$R$317,$B$18:$B$317,B22,$D$18:$D$317,D22,$P$18:$P$317,"E"))</f>
        <v/>
      </c>
      <c r="T22">
        <f>IF(OR(P22&lt;&gt;"F",R22=0),0,SUMIFS($R$18:$R$317,$B$18:$B$317,B22,$D$18:$D$317,D22,$P$18:$P$317,"F"))</f>
        <v/>
      </c>
      <c r="U22">
        <f>IF(OR(P22&lt;&gt;"A",R22=0),0,SUMIFS($R$18:$R$317,$B$18:$B$317,B22,$D$18:$D$317,D22,$P$18:$P$317,"A"))</f>
        <v/>
      </c>
      <c r="V22">
        <f>IF(OR(N22="",N22="OK",L22="Cancelled"),0,1)</f>
        <v/>
      </c>
    </row>
    <row r="23">
      <c r="B23" s="22" t="n"/>
      <c r="C23" s="23">
        <f>IF(B23="","",$E$9&amp;TEXT(N($E$10)+5,"000"))</f>
        <v/>
      </c>
      <c r="D23" s="14" t="n"/>
      <c r="E23" s="14" t="n"/>
      <c r="F23" s="14" t="n"/>
      <c r="G23" s="24" t="n"/>
      <c r="H23" s="14" t="n"/>
      <c r="I23" s="24" t="n"/>
      <c r="J23" s="25" t="n"/>
      <c r="K23" s="14" t="n"/>
      <c r="L23" s="24" t="n"/>
      <c r="M23" s="26">
        <f>IF(OR(N(J23)=0,L23="Cancelled"),"",IF(AND(N(J23)&gt;5000,H23="Cash"),"Yes: ₹1","No"))</f>
        <v/>
      </c>
      <c r="N23" s="27">
        <f>IF(AND(B23="",D23="",N(J23)=0),"",IF(B23="","Enter the date",IF(AND(ROW()&gt;18,B22=""),"Use the next empty row: a skipped row leaves a gap in the voucher numbers",IF(D23="","Enter who was paid",IF(N(J23)=0,"Enter the amount",IF(E23="","Pick the head of account",IF(P23="?","Pick the head from the list",IF(H23="","Pick how it was paid",IF(L23="Cancelled","Cancelled: keep this number unused and write a fresh voucher",IF(AND(H23&lt;&gt;"Cash",I23=""),"Enter the cheque no., UTR or UPI reference",IF(AND(N($E$11)&gt;0,N(J23)&gt;N($E$11),K23=""),"Above your approval limit: get it approved before paying",IF(S23&gt;10000,"Cash paid to this person today is over ₹10,000: not deductible, s.36(4)",IF(T23&gt;35000,"Cash freight to this transporter today is over ₹35,000: not deductible, s.36(6)",IF(U23&gt;10000,"Asset paid in cash over ₹10,000 today: left out of its cost, s.39(2)",IF(AND(P23="L",H23="Cash",N(J23)&gt;=20000),"Loan of ₹20,000 or more repaid in cash: barred, s.188","OK")))))))))))))))</f>
        <v/>
      </c>
      <c r="P23">
        <f>IF(E23="","",IFERROR(VLOOKUP(E23,Lists!$A$2:$B$17,2,FALSE),"?"))</f>
        <v/>
      </c>
      <c r="Q23">
        <f>IF(L23="Cancelled",0,N(J23))</f>
        <v/>
      </c>
      <c r="R23">
        <f>IF(H23="Cash",Q23,0)</f>
        <v/>
      </c>
      <c r="S23">
        <f>IF(OR(P23&lt;&gt;"E",R23=0),0,SUMIFS($R$18:$R$317,$B$18:$B$317,B23,$D$18:$D$317,D23,$P$18:$P$317,"E"))</f>
        <v/>
      </c>
      <c r="T23">
        <f>IF(OR(P23&lt;&gt;"F",R23=0),0,SUMIFS($R$18:$R$317,$B$18:$B$317,B23,$D$18:$D$317,D23,$P$18:$P$317,"F"))</f>
        <v/>
      </c>
      <c r="U23">
        <f>IF(OR(P23&lt;&gt;"A",R23=0),0,SUMIFS($R$18:$R$317,$B$18:$B$317,B23,$D$18:$D$317,D23,$P$18:$P$317,"A"))</f>
        <v/>
      </c>
      <c r="V23">
        <f>IF(OR(N23="",N23="OK",L23="Cancelled"),0,1)</f>
        <v/>
      </c>
    </row>
    <row r="24">
      <c r="B24" s="22" t="n"/>
      <c r="C24" s="23">
        <f>IF(B24="","",$E$9&amp;TEXT(N($E$10)+6,"000"))</f>
        <v/>
      </c>
      <c r="D24" s="14" t="n"/>
      <c r="E24" s="14" t="n"/>
      <c r="F24" s="14" t="n"/>
      <c r="G24" s="24" t="n"/>
      <c r="H24" s="14" t="n"/>
      <c r="I24" s="24" t="n"/>
      <c r="J24" s="25" t="n"/>
      <c r="K24" s="14" t="n"/>
      <c r="L24" s="24" t="n"/>
      <c r="M24" s="26">
        <f>IF(OR(N(J24)=0,L24="Cancelled"),"",IF(AND(N(J24)&gt;5000,H24="Cash"),"Yes: ₹1","No"))</f>
        <v/>
      </c>
      <c r="N24" s="27">
        <f>IF(AND(B24="",D24="",N(J24)=0),"",IF(B24="","Enter the date",IF(AND(ROW()&gt;18,B23=""),"Use the next empty row: a skipped row leaves a gap in the voucher numbers",IF(D24="","Enter who was paid",IF(N(J24)=0,"Enter the amount",IF(E24="","Pick the head of account",IF(P24="?","Pick the head from the list",IF(H24="","Pick how it was paid",IF(L24="Cancelled","Cancelled: keep this number unused and write a fresh voucher",IF(AND(H24&lt;&gt;"Cash",I24=""),"Enter the cheque no., UTR or UPI reference",IF(AND(N($E$11)&gt;0,N(J24)&gt;N($E$11),K24=""),"Above your approval limit: get it approved before paying",IF(S24&gt;10000,"Cash paid to this person today is over ₹10,000: not deductible, s.36(4)",IF(T24&gt;35000,"Cash freight to this transporter today is over ₹35,000: not deductible, s.36(6)",IF(U24&gt;10000,"Asset paid in cash over ₹10,000 today: left out of its cost, s.39(2)",IF(AND(P24="L",H24="Cash",N(J24)&gt;=20000),"Loan of ₹20,000 or more repaid in cash: barred, s.188","OK")))))))))))))))</f>
        <v/>
      </c>
      <c r="P24">
        <f>IF(E24="","",IFERROR(VLOOKUP(E24,Lists!$A$2:$B$17,2,FALSE),"?"))</f>
        <v/>
      </c>
      <c r="Q24">
        <f>IF(L24="Cancelled",0,N(J24))</f>
        <v/>
      </c>
      <c r="R24">
        <f>IF(H24="Cash",Q24,0)</f>
        <v/>
      </c>
      <c r="S24">
        <f>IF(OR(P24&lt;&gt;"E",R24=0),0,SUMIFS($R$18:$R$317,$B$18:$B$317,B24,$D$18:$D$317,D24,$P$18:$P$317,"E"))</f>
        <v/>
      </c>
      <c r="T24">
        <f>IF(OR(P24&lt;&gt;"F",R24=0),0,SUMIFS($R$18:$R$317,$B$18:$B$317,B24,$D$18:$D$317,D24,$P$18:$P$317,"F"))</f>
        <v/>
      </c>
      <c r="U24">
        <f>IF(OR(P24&lt;&gt;"A",R24=0),0,SUMIFS($R$18:$R$317,$B$18:$B$317,B24,$D$18:$D$317,D24,$P$18:$P$317,"A"))</f>
        <v/>
      </c>
      <c r="V24">
        <f>IF(OR(N24="",N24="OK",L24="Cancelled"),0,1)</f>
        <v/>
      </c>
    </row>
    <row r="25">
      <c r="B25" s="22" t="n"/>
      <c r="C25" s="23">
        <f>IF(B25="","",$E$9&amp;TEXT(N($E$10)+7,"000"))</f>
        <v/>
      </c>
      <c r="D25" s="14" t="n"/>
      <c r="E25" s="14" t="n"/>
      <c r="F25" s="14" t="n"/>
      <c r="G25" s="24" t="n"/>
      <c r="H25" s="14" t="n"/>
      <c r="I25" s="24" t="n"/>
      <c r="J25" s="25" t="n"/>
      <c r="K25" s="14" t="n"/>
      <c r="L25" s="24" t="n"/>
      <c r="M25" s="26">
        <f>IF(OR(N(J25)=0,L25="Cancelled"),"",IF(AND(N(J25)&gt;5000,H25="Cash"),"Yes: ₹1","No"))</f>
        <v/>
      </c>
      <c r="N25" s="27">
        <f>IF(AND(B25="",D25="",N(J25)=0),"",IF(B25="","Enter the date",IF(AND(ROW()&gt;18,B24=""),"Use the next empty row: a skipped row leaves a gap in the voucher numbers",IF(D25="","Enter who was paid",IF(N(J25)=0,"Enter the amount",IF(E25="","Pick the head of account",IF(P25="?","Pick the head from the list",IF(H25="","Pick how it was paid",IF(L25="Cancelled","Cancelled: keep this number unused and write a fresh voucher",IF(AND(H25&lt;&gt;"Cash",I25=""),"Enter the cheque no., UTR or UPI reference",IF(AND(N($E$11)&gt;0,N(J25)&gt;N($E$11),K25=""),"Above your approval limit: get it approved before paying",IF(S25&gt;10000,"Cash paid to this person today is over ₹10,000: not deductible, s.36(4)",IF(T25&gt;35000,"Cash freight to this transporter today is over ₹35,000: not deductible, s.36(6)",IF(U25&gt;10000,"Asset paid in cash over ₹10,000 today: left out of its cost, s.39(2)",IF(AND(P25="L",H25="Cash",N(J25)&gt;=20000),"Loan of ₹20,000 or more repaid in cash: barred, s.188","OK")))))))))))))))</f>
        <v/>
      </c>
      <c r="P25">
        <f>IF(E25="","",IFERROR(VLOOKUP(E25,Lists!$A$2:$B$17,2,FALSE),"?"))</f>
        <v/>
      </c>
      <c r="Q25">
        <f>IF(L25="Cancelled",0,N(J25))</f>
        <v/>
      </c>
      <c r="R25">
        <f>IF(H25="Cash",Q25,0)</f>
        <v/>
      </c>
      <c r="S25">
        <f>IF(OR(P25&lt;&gt;"E",R25=0),0,SUMIFS($R$18:$R$317,$B$18:$B$317,B25,$D$18:$D$317,D25,$P$18:$P$317,"E"))</f>
        <v/>
      </c>
      <c r="T25">
        <f>IF(OR(P25&lt;&gt;"F",R25=0),0,SUMIFS($R$18:$R$317,$B$18:$B$317,B25,$D$18:$D$317,D25,$P$18:$P$317,"F"))</f>
        <v/>
      </c>
      <c r="U25">
        <f>IF(OR(P25&lt;&gt;"A",R25=0),0,SUMIFS($R$18:$R$317,$B$18:$B$317,B25,$D$18:$D$317,D25,$P$18:$P$317,"A"))</f>
        <v/>
      </c>
      <c r="V25">
        <f>IF(OR(N25="",N25="OK",L25="Cancelled"),0,1)</f>
        <v/>
      </c>
    </row>
    <row r="26">
      <c r="B26" s="22" t="n"/>
      <c r="C26" s="23">
        <f>IF(B26="","",$E$9&amp;TEXT(N($E$10)+8,"000"))</f>
        <v/>
      </c>
      <c r="D26" s="14" t="n"/>
      <c r="E26" s="14" t="n"/>
      <c r="F26" s="14" t="n"/>
      <c r="G26" s="24" t="n"/>
      <c r="H26" s="14" t="n"/>
      <c r="I26" s="24" t="n"/>
      <c r="J26" s="25" t="n"/>
      <c r="K26" s="14" t="n"/>
      <c r="L26" s="24" t="n"/>
      <c r="M26" s="26">
        <f>IF(OR(N(J26)=0,L26="Cancelled"),"",IF(AND(N(J26)&gt;5000,H26="Cash"),"Yes: ₹1","No"))</f>
        <v/>
      </c>
      <c r="N26" s="27">
        <f>IF(AND(B26="",D26="",N(J26)=0),"",IF(B26="","Enter the date",IF(AND(ROW()&gt;18,B25=""),"Use the next empty row: a skipped row leaves a gap in the voucher numbers",IF(D26="","Enter who was paid",IF(N(J26)=0,"Enter the amount",IF(E26="","Pick the head of account",IF(P26="?","Pick the head from the list",IF(H26="","Pick how it was paid",IF(L26="Cancelled","Cancelled: keep this number unused and write a fresh voucher",IF(AND(H26&lt;&gt;"Cash",I26=""),"Enter the cheque no., UTR or UPI reference",IF(AND(N($E$11)&gt;0,N(J26)&gt;N($E$11),K26=""),"Above your approval limit: get it approved before paying",IF(S26&gt;10000,"Cash paid to this person today is over ₹10,000: not deductible, s.36(4)",IF(T26&gt;35000,"Cash freight to this transporter today is over ₹35,000: not deductible, s.36(6)",IF(U26&gt;10000,"Asset paid in cash over ₹10,000 today: left out of its cost, s.39(2)",IF(AND(P26="L",H26="Cash",N(J26)&gt;=20000),"Loan of ₹20,000 or more repaid in cash: barred, s.188","OK")))))))))))))))</f>
        <v/>
      </c>
      <c r="P26">
        <f>IF(E26="","",IFERROR(VLOOKUP(E26,Lists!$A$2:$B$17,2,FALSE),"?"))</f>
        <v/>
      </c>
      <c r="Q26">
        <f>IF(L26="Cancelled",0,N(J26))</f>
        <v/>
      </c>
      <c r="R26">
        <f>IF(H26="Cash",Q26,0)</f>
        <v/>
      </c>
      <c r="S26">
        <f>IF(OR(P26&lt;&gt;"E",R26=0),0,SUMIFS($R$18:$R$317,$B$18:$B$317,B26,$D$18:$D$317,D26,$P$18:$P$317,"E"))</f>
        <v/>
      </c>
      <c r="T26">
        <f>IF(OR(P26&lt;&gt;"F",R26=0),0,SUMIFS($R$18:$R$317,$B$18:$B$317,B26,$D$18:$D$317,D26,$P$18:$P$317,"F"))</f>
        <v/>
      </c>
      <c r="U26">
        <f>IF(OR(P26&lt;&gt;"A",R26=0),0,SUMIFS($R$18:$R$317,$B$18:$B$317,B26,$D$18:$D$317,D26,$P$18:$P$317,"A"))</f>
        <v/>
      </c>
      <c r="V26">
        <f>IF(OR(N26="",N26="OK",L26="Cancelled"),0,1)</f>
        <v/>
      </c>
    </row>
    <row r="27">
      <c r="B27" s="22" t="n"/>
      <c r="C27" s="23">
        <f>IF(B27="","",$E$9&amp;TEXT(N($E$10)+9,"000"))</f>
        <v/>
      </c>
      <c r="D27" s="14" t="n"/>
      <c r="E27" s="14" t="n"/>
      <c r="F27" s="14" t="n"/>
      <c r="G27" s="24" t="n"/>
      <c r="H27" s="14" t="n"/>
      <c r="I27" s="24" t="n"/>
      <c r="J27" s="25" t="n"/>
      <c r="K27" s="14" t="n"/>
      <c r="L27" s="24" t="n"/>
      <c r="M27" s="26">
        <f>IF(OR(N(J27)=0,L27="Cancelled"),"",IF(AND(N(J27)&gt;5000,H27="Cash"),"Yes: ₹1","No"))</f>
        <v/>
      </c>
      <c r="N27" s="27">
        <f>IF(AND(B27="",D27="",N(J27)=0),"",IF(B27="","Enter the date",IF(AND(ROW()&gt;18,B26=""),"Use the next empty row: a skipped row leaves a gap in the voucher numbers",IF(D27="","Enter who was paid",IF(N(J27)=0,"Enter the amount",IF(E27="","Pick the head of account",IF(P27="?","Pick the head from the list",IF(H27="","Pick how it was paid",IF(L27="Cancelled","Cancelled: keep this number unused and write a fresh voucher",IF(AND(H27&lt;&gt;"Cash",I27=""),"Enter the cheque no., UTR or UPI reference",IF(AND(N($E$11)&gt;0,N(J27)&gt;N($E$11),K27=""),"Above your approval limit: get it approved before paying",IF(S27&gt;10000,"Cash paid to this person today is over ₹10,000: not deductible, s.36(4)",IF(T27&gt;35000,"Cash freight to this transporter today is over ₹35,000: not deductible, s.36(6)",IF(U27&gt;10000,"Asset paid in cash over ₹10,000 today: left out of its cost, s.39(2)",IF(AND(P27="L",H27="Cash",N(J27)&gt;=20000),"Loan of ₹20,000 or more repaid in cash: barred, s.188","OK")))))))))))))))</f>
        <v/>
      </c>
      <c r="P27">
        <f>IF(E27="","",IFERROR(VLOOKUP(E27,Lists!$A$2:$B$17,2,FALSE),"?"))</f>
        <v/>
      </c>
      <c r="Q27">
        <f>IF(L27="Cancelled",0,N(J27))</f>
        <v/>
      </c>
      <c r="R27">
        <f>IF(H27="Cash",Q27,0)</f>
        <v/>
      </c>
      <c r="S27">
        <f>IF(OR(P27&lt;&gt;"E",R27=0),0,SUMIFS($R$18:$R$317,$B$18:$B$317,B27,$D$18:$D$317,D27,$P$18:$P$317,"E"))</f>
        <v/>
      </c>
      <c r="T27">
        <f>IF(OR(P27&lt;&gt;"F",R27=0),0,SUMIFS($R$18:$R$317,$B$18:$B$317,B27,$D$18:$D$317,D27,$P$18:$P$317,"F"))</f>
        <v/>
      </c>
      <c r="U27">
        <f>IF(OR(P27&lt;&gt;"A",R27=0),0,SUMIFS($R$18:$R$317,$B$18:$B$317,B27,$D$18:$D$317,D27,$P$18:$P$317,"A"))</f>
        <v/>
      </c>
      <c r="V27">
        <f>IF(OR(N27="",N27="OK",L27="Cancelled"),0,1)</f>
        <v/>
      </c>
    </row>
    <row r="28">
      <c r="B28" s="22" t="n"/>
      <c r="C28" s="23">
        <f>IF(B28="","",$E$9&amp;TEXT(N($E$10)+10,"000"))</f>
        <v/>
      </c>
      <c r="D28" s="14" t="n"/>
      <c r="E28" s="14" t="n"/>
      <c r="F28" s="14" t="n"/>
      <c r="G28" s="24" t="n"/>
      <c r="H28" s="14" t="n"/>
      <c r="I28" s="24" t="n"/>
      <c r="J28" s="25" t="n"/>
      <c r="K28" s="14" t="n"/>
      <c r="L28" s="24" t="n"/>
      <c r="M28" s="26">
        <f>IF(OR(N(J28)=0,L28="Cancelled"),"",IF(AND(N(J28)&gt;5000,H28="Cash"),"Yes: ₹1","No"))</f>
        <v/>
      </c>
      <c r="N28" s="27">
        <f>IF(AND(B28="",D28="",N(J28)=0),"",IF(B28="","Enter the date",IF(AND(ROW()&gt;18,B27=""),"Use the next empty row: a skipped row leaves a gap in the voucher numbers",IF(D28="","Enter who was paid",IF(N(J28)=0,"Enter the amount",IF(E28="","Pick the head of account",IF(P28="?","Pick the head from the list",IF(H28="","Pick how it was paid",IF(L28="Cancelled","Cancelled: keep this number unused and write a fresh voucher",IF(AND(H28&lt;&gt;"Cash",I28=""),"Enter the cheque no., UTR or UPI reference",IF(AND(N($E$11)&gt;0,N(J28)&gt;N($E$11),K28=""),"Above your approval limit: get it approved before paying",IF(S28&gt;10000,"Cash paid to this person today is over ₹10,000: not deductible, s.36(4)",IF(T28&gt;35000,"Cash freight to this transporter today is over ₹35,000: not deductible, s.36(6)",IF(U28&gt;10000,"Asset paid in cash over ₹10,000 today: left out of its cost, s.39(2)",IF(AND(P28="L",H28="Cash",N(J28)&gt;=20000),"Loan of ₹20,000 or more repaid in cash: barred, s.188","OK")))))))))))))))</f>
        <v/>
      </c>
      <c r="P28">
        <f>IF(E28="","",IFERROR(VLOOKUP(E28,Lists!$A$2:$B$17,2,FALSE),"?"))</f>
        <v/>
      </c>
      <c r="Q28">
        <f>IF(L28="Cancelled",0,N(J28))</f>
        <v/>
      </c>
      <c r="R28">
        <f>IF(H28="Cash",Q28,0)</f>
        <v/>
      </c>
      <c r="S28">
        <f>IF(OR(P28&lt;&gt;"E",R28=0),0,SUMIFS($R$18:$R$317,$B$18:$B$317,B28,$D$18:$D$317,D28,$P$18:$P$317,"E"))</f>
        <v/>
      </c>
      <c r="T28">
        <f>IF(OR(P28&lt;&gt;"F",R28=0),0,SUMIFS($R$18:$R$317,$B$18:$B$317,B28,$D$18:$D$317,D28,$P$18:$P$317,"F"))</f>
        <v/>
      </c>
      <c r="U28">
        <f>IF(OR(P28&lt;&gt;"A",R28=0),0,SUMIFS($R$18:$R$317,$B$18:$B$317,B28,$D$18:$D$317,D28,$P$18:$P$317,"A"))</f>
        <v/>
      </c>
      <c r="V28">
        <f>IF(OR(N28="",N28="OK",L28="Cancelled"),0,1)</f>
        <v/>
      </c>
    </row>
    <row r="29">
      <c r="B29" s="22" t="n"/>
      <c r="C29" s="23">
        <f>IF(B29="","",$E$9&amp;TEXT(N($E$10)+11,"000"))</f>
        <v/>
      </c>
      <c r="D29" s="14" t="n"/>
      <c r="E29" s="14" t="n"/>
      <c r="F29" s="14" t="n"/>
      <c r="G29" s="24" t="n"/>
      <c r="H29" s="14" t="n"/>
      <c r="I29" s="24" t="n"/>
      <c r="J29" s="25" t="n"/>
      <c r="K29" s="14" t="n"/>
      <c r="L29" s="24" t="n"/>
      <c r="M29" s="26">
        <f>IF(OR(N(J29)=0,L29="Cancelled"),"",IF(AND(N(J29)&gt;5000,H29="Cash"),"Yes: ₹1","No"))</f>
        <v/>
      </c>
      <c r="N29" s="27">
        <f>IF(AND(B29="",D29="",N(J29)=0),"",IF(B29="","Enter the date",IF(AND(ROW()&gt;18,B28=""),"Use the next empty row: a skipped row leaves a gap in the voucher numbers",IF(D29="","Enter who was paid",IF(N(J29)=0,"Enter the amount",IF(E29="","Pick the head of account",IF(P29="?","Pick the head from the list",IF(H29="","Pick how it was paid",IF(L29="Cancelled","Cancelled: keep this number unused and write a fresh voucher",IF(AND(H29&lt;&gt;"Cash",I29=""),"Enter the cheque no., UTR or UPI reference",IF(AND(N($E$11)&gt;0,N(J29)&gt;N($E$11),K29=""),"Above your approval limit: get it approved before paying",IF(S29&gt;10000,"Cash paid to this person today is over ₹10,000: not deductible, s.36(4)",IF(T29&gt;35000,"Cash freight to this transporter today is over ₹35,000: not deductible, s.36(6)",IF(U29&gt;10000,"Asset paid in cash over ₹10,000 today: left out of its cost, s.39(2)",IF(AND(P29="L",H29="Cash",N(J29)&gt;=20000),"Loan of ₹20,000 or more repaid in cash: barred, s.188","OK")))))))))))))))</f>
        <v/>
      </c>
      <c r="P29">
        <f>IF(E29="","",IFERROR(VLOOKUP(E29,Lists!$A$2:$B$17,2,FALSE),"?"))</f>
        <v/>
      </c>
      <c r="Q29">
        <f>IF(L29="Cancelled",0,N(J29))</f>
        <v/>
      </c>
      <c r="R29">
        <f>IF(H29="Cash",Q29,0)</f>
        <v/>
      </c>
      <c r="S29">
        <f>IF(OR(P29&lt;&gt;"E",R29=0),0,SUMIFS($R$18:$R$317,$B$18:$B$317,B29,$D$18:$D$317,D29,$P$18:$P$317,"E"))</f>
        <v/>
      </c>
      <c r="T29">
        <f>IF(OR(P29&lt;&gt;"F",R29=0),0,SUMIFS($R$18:$R$317,$B$18:$B$317,B29,$D$18:$D$317,D29,$P$18:$P$317,"F"))</f>
        <v/>
      </c>
      <c r="U29">
        <f>IF(OR(P29&lt;&gt;"A",R29=0),0,SUMIFS($R$18:$R$317,$B$18:$B$317,B29,$D$18:$D$317,D29,$P$18:$P$317,"A"))</f>
        <v/>
      </c>
      <c r="V29">
        <f>IF(OR(N29="",N29="OK",L29="Cancelled"),0,1)</f>
        <v/>
      </c>
    </row>
    <row r="30">
      <c r="B30" s="22" t="n"/>
      <c r="C30" s="23">
        <f>IF(B30="","",$E$9&amp;TEXT(N($E$10)+12,"000"))</f>
        <v/>
      </c>
      <c r="D30" s="14" t="n"/>
      <c r="E30" s="14" t="n"/>
      <c r="F30" s="14" t="n"/>
      <c r="G30" s="24" t="n"/>
      <c r="H30" s="14" t="n"/>
      <c r="I30" s="24" t="n"/>
      <c r="J30" s="25" t="n"/>
      <c r="K30" s="14" t="n"/>
      <c r="L30" s="24" t="n"/>
      <c r="M30" s="26">
        <f>IF(OR(N(J30)=0,L30="Cancelled"),"",IF(AND(N(J30)&gt;5000,H30="Cash"),"Yes: ₹1","No"))</f>
        <v/>
      </c>
      <c r="N30" s="27">
        <f>IF(AND(B30="",D30="",N(J30)=0),"",IF(B30="","Enter the date",IF(AND(ROW()&gt;18,B29=""),"Use the next empty row: a skipped row leaves a gap in the voucher numbers",IF(D30="","Enter who was paid",IF(N(J30)=0,"Enter the amount",IF(E30="","Pick the head of account",IF(P30="?","Pick the head from the list",IF(H30="","Pick how it was paid",IF(L30="Cancelled","Cancelled: keep this number unused and write a fresh voucher",IF(AND(H30&lt;&gt;"Cash",I30=""),"Enter the cheque no., UTR or UPI reference",IF(AND(N($E$11)&gt;0,N(J30)&gt;N($E$11),K30=""),"Above your approval limit: get it approved before paying",IF(S30&gt;10000,"Cash paid to this person today is over ₹10,000: not deductible, s.36(4)",IF(T30&gt;35000,"Cash freight to this transporter today is over ₹35,000: not deductible, s.36(6)",IF(U30&gt;10000,"Asset paid in cash over ₹10,000 today: left out of its cost, s.39(2)",IF(AND(P30="L",H30="Cash",N(J30)&gt;=20000),"Loan of ₹20,000 or more repaid in cash: barred, s.188","OK")))))))))))))))</f>
        <v/>
      </c>
      <c r="P30">
        <f>IF(E30="","",IFERROR(VLOOKUP(E30,Lists!$A$2:$B$17,2,FALSE),"?"))</f>
        <v/>
      </c>
      <c r="Q30">
        <f>IF(L30="Cancelled",0,N(J30))</f>
        <v/>
      </c>
      <c r="R30">
        <f>IF(H30="Cash",Q30,0)</f>
        <v/>
      </c>
      <c r="S30">
        <f>IF(OR(P30&lt;&gt;"E",R30=0),0,SUMIFS($R$18:$R$317,$B$18:$B$317,B30,$D$18:$D$317,D30,$P$18:$P$317,"E"))</f>
        <v/>
      </c>
      <c r="T30">
        <f>IF(OR(P30&lt;&gt;"F",R30=0),0,SUMIFS($R$18:$R$317,$B$18:$B$317,B30,$D$18:$D$317,D30,$P$18:$P$317,"F"))</f>
        <v/>
      </c>
      <c r="U30">
        <f>IF(OR(P30&lt;&gt;"A",R30=0),0,SUMIFS($R$18:$R$317,$B$18:$B$317,B30,$D$18:$D$317,D30,$P$18:$P$317,"A"))</f>
        <v/>
      </c>
      <c r="V30">
        <f>IF(OR(N30="",N30="OK",L30="Cancelled"),0,1)</f>
        <v/>
      </c>
    </row>
    <row r="31">
      <c r="B31" s="22" t="n"/>
      <c r="C31" s="23">
        <f>IF(B31="","",$E$9&amp;TEXT(N($E$10)+13,"000"))</f>
        <v/>
      </c>
      <c r="D31" s="14" t="n"/>
      <c r="E31" s="14" t="n"/>
      <c r="F31" s="14" t="n"/>
      <c r="G31" s="24" t="n"/>
      <c r="H31" s="14" t="n"/>
      <c r="I31" s="24" t="n"/>
      <c r="J31" s="25" t="n"/>
      <c r="K31" s="14" t="n"/>
      <c r="L31" s="24" t="n"/>
      <c r="M31" s="26">
        <f>IF(OR(N(J31)=0,L31="Cancelled"),"",IF(AND(N(J31)&gt;5000,H31="Cash"),"Yes: ₹1","No"))</f>
        <v/>
      </c>
      <c r="N31" s="27">
        <f>IF(AND(B31="",D31="",N(J31)=0),"",IF(B31="","Enter the date",IF(AND(ROW()&gt;18,B30=""),"Use the next empty row: a skipped row leaves a gap in the voucher numbers",IF(D31="","Enter who was paid",IF(N(J31)=0,"Enter the amount",IF(E31="","Pick the head of account",IF(P31="?","Pick the head from the list",IF(H31="","Pick how it was paid",IF(L31="Cancelled","Cancelled: keep this number unused and write a fresh voucher",IF(AND(H31&lt;&gt;"Cash",I31=""),"Enter the cheque no., UTR or UPI reference",IF(AND(N($E$11)&gt;0,N(J31)&gt;N($E$11),K31=""),"Above your approval limit: get it approved before paying",IF(S31&gt;10000,"Cash paid to this person today is over ₹10,000: not deductible, s.36(4)",IF(T31&gt;35000,"Cash freight to this transporter today is over ₹35,000: not deductible, s.36(6)",IF(U31&gt;10000,"Asset paid in cash over ₹10,000 today: left out of its cost, s.39(2)",IF(AND(P31="L",H31="Cash",N(J31)&gt;=20000),"Loan of ₹20,000 or more repaid in cash: barred, s.188","OK")))))))))))))))</f>
        <v/>
      </c>
      <c r="P31">
        <f>IF(E31="","",IFERROR(VLOOKUP(E31,Lists!$A$2:$B$17,2,FALSE),"?"))</f>
        <v/>
      </c>
      <c r="Q31">
        <f>IF(L31="Cancelled",0,N(J31))</f>
        <v/>
      </c>
      <c r="R31">
        <f>IF(H31="Cash",Q31,0)</f>
        <v/>
      </c>
      <c r="S31">
        <f>IF(OR(P31&lt;&gt;"E",R31=0),0,SUMIFS($R$18:$R$317,$B$18:$B$317,B31,$D$18:$D$317,D31,$P$18:$P$317,"E"))</f>
        <v/>
      </c>
      <c r="T31">
        <f>IF(OR(P31&lt;&gt;"F",R31=0),0,SUMIFS($R$18:$R$317,$B$18:$B$317,B31,$D$18:$D$317,D31,$P$18:$P$317,"F"))</f>
        <v/>
      </c>
      <c r="U31">
        <f>IF(OR(P31&lt;&gt;"A",R31=0),0,SUMIFS($R$18:$R$317,$B$18:$B$317,B31,$D$18:$D$317,D31,$P$18:$P$317,"A"))</f>
        <v/>
      </c>
      <c r="V31">
        <f>IF(OR(N31="",N31="OK",L31="Cancelled"),0,1)</f>
        <v/>
      </c>
    </row>
    <row r="32">
      <c r="B32" s="22" t="n"/>
      <c r="C32" s="23">
        <f>IF(B32="","",$E$9&amp;TEXT(N($E$10)+14,"000"))</f>
        <v/>
      </c>
      <c r="D32" s="14" t="n"/>
      <c r="E32" s="14" t="n"/>
      <c r="F32" s="14" t="n"/>
      <c r="G32" s="24" t="n"/>
      <c r="H32" s="14" t="n"/>
      <c r="I32" s="24" t="n"/>
      <c r="J32" s="25" t="n"/>
      <c r="K32" s="14" t="n"/>
      <c r="L32" s="24" t="n"/>
      <c r="M32" s="26">
        <f>IF(OR(N(J32)=0,L32="Cancelled"),"",IF(AND(N(J32)&gt;5000,H32="Cash"),"Yes: ₹1","No"))</f>
        <v/>
      </c>
      <c r="N32" s="27">
        <f>IF(AND(B32="",D32="",N(J32)=0),"",IF(B32="","Enter the date",IF(AND(ROW()&gt;18,B31=""),"Use the next empty row: a skipped row leaves a gap in the voucher numbers",IF(D32="","Enter who was paid",IF(N(J32)=0,"Enter the amount",IF(E32="","Pick the head of account",IF(P32="?","Pick the head from the list",IF(H32="","Pick how it was paid",IF(L32="Cancelled","Cancelled: keep this number unused and write a fresh voucher",IF(AND(H32&lt;&gt;"Cash",I32=""),"Enter the cheque no., UTR or UPI reference",IF(AND(N($E$11)&gt;0,N(J32)&gt;N($E$11),K32=""),"Above your approval limit: get it approved before paying",IF(S32&gt;10000,"Cash paid to this person today is over ₹10,000: not deductible, s.36(4)",IF(T32&gt;35000,"Cash freight to this transporter today is over ₹35,000: not deductible, s.36(6)",IF(U32&gt;10000,"Asset paid in cash over ₹10,000 today: left out of its cost, s.39(2)",IF(AND(P32="L",H32="Cash",N(J32)&gt;=20000),"Loan of ₹20,000 or more repaid in cash: barred, s.188","OK")))))))))))))))</f>
        <v/>
      </c>
      <c r="P32">
        <f>IF(E32="","",IFERROR(VLOOKUP(E32,Lists!$A$2:$B$17,2,FALSE),"?"))</f>
        <v/>
      </c>
      <c r="Q32">
        <f>IF(L32="Cancelled",0,N(J32))</f>
        <v/>
      </c>
      <c r="R32">
        <f>IF(H32="Cash",Q32,0)</f>
        <v/>
      </c>
      <c r="S32">
        <f>IF(OR(P32&lt;&gt;"E",R32=0),0,SUMIFS($R$18:$R$317,$B$18:$B$317,B32,$D$18:$D$317,D32,$P$18:$P$317,"E"))</f>
        <v/>
      </c>
      <c r="T32">
        <f>IF(OR(P32&lt;&gt;"F",R32=0),0,SUMIFS($R$18:$R$317,$B$18:$B$317,B32,$D$18:$D$317,D32,$P$18:$P$317,"F"))</f>
        <v/>
      </c>
      <c r="U32">
        <f>IF(OR(P32&lt;&gt;"A",R32=0),0,SUMIFS($R$18:$R$317,$B$18:$B$317,B32,$D$18:$D$317,D32,$P$18:$P$317,"A"))</f>
        <v/>
      </c>
      <c r="V32">
        <f>IF(OR(N32="",N32="OK",L32="Cancelled"),0,1)</f>
        <v/>
      </c>
    </row>
    <row r="33">
      <c r="B33" s="22" t="n"/>
      <c r="C33" s="23">
        <f>IF(B33="","",$E$9&amp;TEXT(N($E$10)+15,"000"))</f>
        <v/>
      </c>
      <c r="D33" s="14" t="n"/>
      <c r="E33" s="14" t="n"/>
      <c r="F33" s="14" t="n"/>
      <c r="G33" s="24" t="n"/>
      <c r="H33" s="14" t="n"/>
      <c r="I33" s="24" t="n"/>
      <c r="J33" s="25" t="n"/>
      <c r="K33" s="14" t="n"/>
      <c r="L33" s="24" t="n"/>
      <c r="M33" s="26">
        <f>IF(OR(N(J33)=0,L33="Cancelled"),"",IF(AND(N(J33)&gt;5000,H33="Cash"),"Yes: ₹1","No"))</f>
        <v/>
      </c>
      <c r="N33" s="27">
        <f>IF(AND(B33="",D33="",N(J33)=0),"",IF(B33="","Enter the date",IF(AND(ROW()&gt;18,B32=""),"Use the next empty row: a skipped row leaves a gap in the voucher numbers",IF(D33="","Enter who was paid",IF(N(J33)=0,"Enter the amount",IF(E33="","Pick the head of account",IF(P33="?","Pick the head from the list",IF(H33="","Pick how it was paid",IF(L33="Cancelled","Cancelled: keep this number unused and write a fresh voucher",IF(AND(H33&lt;&gt;"Cash",I33=""),"Enter the cheque no., UTR or UPI reference",IF(AND(N($E$11)&gt;0,N(J33)&gt;N($E$11),K33=""),"Above your approval limit: get it approved before paying",IF(S33&gt;10000,"Cash paid to this person today is over ₹10,000: not deductible, s.36(4)",IF(T33&gt;35000,"Cash freight to this transporter today is over ₹35,000: not deductible, s.36(6)",IF(U33&gt;10000,"Asset paid in cash over ₹10,000 today: left out of its cost, s.39(2)",IF(AND(P33="L",H33="Cash",N(J33)&gt;=20000),"Loan of ₹20,000 or more repaid in cash: barred, s.188","OK")))))))))))))))</f>
        <v/>
      </c>
      <c r="P33">
        <f>IF(E33="","",IFERROR(VLOOKUP(E33,Lists!$A$2:$B$17,2,FALSE),"?"))</f>
        <v/>
      </c>
      <c r="Q33">
        <f>IF(L33="Cancelled",0,N(J33))</f>
        <v/>
      </c>
      <c r="R33">
        <f>IF(H33="Cash",Q33,0)</f>
        <v/>
      </c>
      <c r="S33">
        <f>IF(OR(P33&lt;&gt;"E",R33=0),0,SUMIFS($R$18:$R$317,$B$18:$B$317,B33,$D$18:$D$317,D33,$P$18:$P$317,"E"))</f>
        <v/>
      </c>
      <c r="T33">
        <f>IF(OR(P33&lt;&gt;"F",R33=0),0,SUMIFS($R$18:$R$317,$B$18:$B$317,B33,$D$18:$D$317,D33,$P$18:$P$317,"F"))</f>
        <v/>
      </c>
      <c r="U33">
        <f>IF(OR(P33&lt;&gt;"A",R33=0),0,SUMIFS($R$18:$R$317,$B$18:$B$317,B33,$D$18:$D$317,D33,$P$18:$P$317,"A"))</f>
        <v/>
      </c>
      <c r="V33">
        <f>IF(OR(N33="",N33="OK",L33="Cancelled"),0,1)</f>
        <v/>
      </c>
    </row>
    <row r="34">
      <c r="B34" s="22" t="n"/>
      <c r="C34" s="23">
        <f>IF(B34="","",$E$9&amp;TEXT(N($E$10)+16,"000"))</f>
        <v/>
      </c>
      <c r="D34" s="14" t="n"/>
      <c r="E34" s="14" t="n"/>
      <c r="F34" s="14" t="n"/>
      <c r="G34" s="24" t="n"/>
      <c r="H34" s="14" t="n"/>
      <c r="I34" s="24" t="n"/>
      <c r="J34" s="25" t="n"/>
      <c r="K34" s="14" t="n"/>
      <c r="L34" s="24" t="n"/>
      <c r="M34" s="26">
        <f>IF(OR(N(J34)=0,L34="Cancelled"),"",IF(AND(N(J34)&gt;5000,H34="Cash"),"Yes: ₹1","No"))</f>
        <v/>
      </c>
      <c r="N34" s="27">
        <f>IF(AND(B34="",D34="",N(J34)=0),"",IF(B34="","Enter the date",IF(AND(ROW()&gt;18,B33=""),"Use the next empty row: a skipped row leaves a gap in the voucher numbers",IF(D34="","Enter who was paid",IF(N(J34)=0,"Enter the amount",IF(E34="","Pick the head of account",IF(P34="?","Pick the head from the list",IF(H34="","Pick how it was paid",IF(L34="Cancelled","Cancelled: keep this number unused and write a fresh voucher",IF(AND(H34&lt;&gt;"Cash",I34=""),"Enter the cheque no., UTR or UPI reference",IF(AND(N($E$11)&gt;0,N(J34)&gt;N($E$11),K34=""),"Above your approval limit: get it approved before paying",IF(S34&gt;10000,"Cash paid to this person today is over ₹10,000: not deductible, s.36(4)",IF(T34&gt;35000,"Cash freight to this transporter today is over ₹35,000: not deductible, s.36(6)",IF(U34&gt;10000,"Asset paid in cash over ₹10,000 today: left out of its cost, s.39(2)",IF(AND(P34="L",H34="Cash",N(J34)&gt;=20000),"Loan of ₹20,000 or more repaid in cash: barred, s.188","OK")))))))))))))))</f>
        <v/>
      </c>
      <c r="P34">
        <f>IF(E34="","",IFERROR(VLOOKUP(E34,Lists!$A$2:$B$17,2,FALSE),"?"))</f>
        <v/>
      </c>
      <c r="Q34">
        <f>IF(L34="Cancelled",0,N(J34))</f>
        <v/>
      </c>
      <c r="R34">
        <f>IF(H34="Cash",Q34,0)</f>
        <v/>
      </c>
      <c r="S34">
        <f>IF(OR(P34&lt;&gt;"E",R34=0),0,SUMIFS($R$18:$R$317,$B$18:$B$317,B34,$D$18:$D$317,D34,$P$18:$P$317,"E"))</f>
        <v/>
      </c>
      <c r="T34">
        <f>IF(OR(P34&lt;&gt;"F",R34=0),0,SUMIFS($R$18:$R$317,$B$18:$B$317,B34,$D$18:$D$317,D34,$P$18:$P$317,"F"))</f>
        <v/>
      </c>
      <c r="U34">
        <f>IF(OR(P34&lt;&gt;"A",R34=0),0,SUMIFS($R$18:$R$317,$B$18:$B$317,B34,$D$18:$D$317,D34,$P$18:$P$317,"A"))</f>
        <v/>
      </c>
      <c r="V34">
        <f>IF(OR(N34="",N34="OK",L34="Cancelled"),0,1)</f>
        <v/>
      </c>
    </row>
    <row r="35">
      <c r="B35" s="22" t="n"/>
      <c r="C35" s="23">
        <f>IF(B35="","",$E$9&amp;TEXT(N($E$10)+17,"000"))</f>
        <v/>
      </c>
      <c r="D35" s="14" t="n"/>
      <c r="E35" s="14" t="n"/>
      <c r="F35" s="14" t="n"/>
      <c r="G35" s="24" t="n"/>
      <c r="H35" s="14" t="n"/>
      <c r="I35" s="24" t="n"/>
      <c r="J35" s="25" t="n"/>
      <c r="K35" s="14" t="n"/>
      <c r="L35" s="24" t="n"/>
      <c r="M35" s="26">
        <f>IF(OR(N(J35)=0,L35="Cancelled"),"",IF(AND(N(J35)&gt;5000,H35="Cash"),"Yes: ₹1","No"))</f>
        <v/>
      </c>
      <c r="N35" s="27">
        <f>IF(AND(B35="",D35="",N(J35)=0),"",IF(B35="","Enter the date",IF(AND(ROW()&gt;18,B34=""),"Use the next empty row: a skipped row leaves a gap in the voucher numbers",IF(D35="","Enter who was paid",IF(N(J35)=0,"Enter the amount",IF(E35="","Pick the head of account",IF(P35="?","Pick the head from the list",IF(H35="","Pick how it was paid",IF(L35="Cancelled","Cancelled: keep this number unused and write a fresh voucher",IF(AND(H35&lt;&gt;"Cash",I35=""),"Enter the cheque no., UTR or UPI reference",IF(AND(N($E$11)&gt;0,N(J35)&gt;N($E$11),K35=""),"Above your approval limit: get it approved before paying",IF(S35&gt;10000,"Cash paid to this person today is over ₹10,000: not deductible, s.36(4)",IF(T35&gt;35000,"Cash freight to this transporter today is over ₹35,000: not deductible, s.36(6)",IF(U35&gt;10000,"Asset paid in cash over ₹10,000 today: left out of its cost, s.39(2)",IF(AND(P35="L",H35="Cash",N(J35)&gt;=20000),"Loan of ₹20,000 or more repaid in cash: barred, s.188","OK")))))))))))))))</f>
        <v/>
      </c>
      <c r="P35">
        <f>IF(E35="","",IFERROR(VLOOKUP(E35,Lists!$A$2:$B$17,2,FALSE),"?"))</f>
        <v/>
      </c>
      <c r="Q35">
        <f>IF(L35="Cancelled",0,N(J35))</f>
        <v/>
      </c>
      <c r="R35">
        <f>IF(H35="Cash",Q35,0)</f>
        <v/>
      </c>
      <c r="S35">
        <f>IF(OR(P35&lt;&gt;"E",R35=0),0,SUMIFS($R$18:$R$317,$B$18:$B$317,B35,$D$18:$D$317,D35,$P$18:$P$317,"E"))</f>
        <v/>
      </c>
      <c r="T35">
        <f>IF(OR(P35&lt;&gt;"F",R35=0),0,SUMIFS($R$18:$R$317,$B$18:$B$317,B35,$D$18:$D$317,D35,$P$18:$P$317,"F"))</f>
        <v/>
      </c>
      <c r="U35">
        <f>IF(OR(P35&lt;&gt;"A",R35=0),0,SUMIFS($R$18:$R$317,$B$18:$B$317,B35,$D$18:$D$317,D35,$P$18:$P$317,"A"))</f>
        <v/>
      </c>
      <c r="V35">
        <f>IF(OR(N35="",N35="OK",L35="Cancelled"),0,1)</f>
        <v/>
      </c>
    </row>
    <row r="36">
      <c r="B36" s="22" t="n"/>
      <c r="C36" s="23">
        <f>IF(B36="","",$E$9&amp;TEXT(N($E$10)+18,"000"))</f>
        <v/>
      </c>
      <c r="D36" s="14" t="n"/>
      <c r="E36" s="14" t="n"/>
      <c r="F36" s="14" t="n"/>
      <c r="G36" s="24" t="n"/>
      <c r="H36" s="14" t="n"/>
      <c r="I36" s="24" t="n"/>
      <c r="J36" s="25" t="n"/>
      <c r="K36" s="14" t="n"/>
      <c r="L36" s="24" t="n"/>
      <c r="M36" s="26">
        <f>IF(OR(N(J36)=0,L36="Cancelled"),"",IF(AND(N(J36)&gt;5000,H36="Cash"),"Yes: ₹1","No"))</f>
        <v/>
      </c>
      <c r="N36" s="27">
        <f>IF(AND(B36="",D36="",N(J36)=0),"",IF(B36="","Enter the date",IF(AND(ROW()&gt;18,B35=""),"Use the next empty row: a skipped row leaves a gap in the voucher numbers",IF(D36="","Enter who was paid",IF(N(J36)=0,"Enter the amount",IF(E36="","Pick the head of account",IF(P36="?","Pick the head from the list",IF(H36="","Pick how it was paid",IF(L36="Cancelled","Cancelled: keep this number unused and write a fresh voucher",IF(AND(H36&lt;&gt;"Cash",I36=""),"Enter the cheque no., UTR or UPI reference",IF(AND(N($E$11)&gt;0,N(J36)&gt;N($E$11),K36=""),"Above your approval limit: get it approved before paying",IF(S36&gt;10000,"Cash paid to this person today is over ₹10,000: not deductible, s.36(4)",IF(T36&gt;35000,"Cash freight to this transporter today is over ₹35,000: not deductible, s.36(6)",IF(U36&gt;10000,"Asset paid in cash over ₹10,000 today: left out of its cost, s.39(2)",IF(AND(P36="L",H36="Cash",N(J36)&gt;=20000),"Loan of ₹20,000 or more repaid in cash: barred, s.188","OK")))))))))))))))</f>
        <v/>
      </c>
      <c r="P36">
        <f>IF(E36="","",IFERROR(VLOOKUP(E36,Lists!$A$2:$B$17,2,FALSE),"?"))</f>
        <v/>
      </c>
      <c r="Q36">
        <f>IF(L36="Cancelled",0,N(J36))</f>
        <v/>
      </c>
      <c r="R36">
        <f>IF(H36="Cash",Q36,0)</f>
        <v/>
      </c>
      <c r="S36">
        <f>IF(OR(P36&lt;&gt;"E",R36=0),0,SUMIFS($R$18:$R$317,$B$18:$B$317,B36,$D$18:$D$317,D36,$P$18:$P$317,"E"))</f>
        <v/>
      </c>
      <c r="T36">
        <f>IF(OR(P36&lt;&gt;"F",R36=0),0,SUMIFS($R$18:$R$317,$B$18:$B$317,B36,$D$18:$D$317,D36,$P$18:$P$317,"F"))</f>
        <v/>
      </c>
      <c r="U36">
        <f>IF(OR(P36&lt;&gt;"A",R36=0),0,SUMIFS($R$18:$R$317,$B$18:$B$317,B36,$D$18:$D$317,D36,$P$18:$P$317,"A"))</f>
        <v/>
      </c>
      <c r="V36">
        <f>IF(OR(N36="",N36="OK",L36="Cancelled"),0,1)</f>
        <v/>
      </c>
    </row>
    <row r="37">
      <c r="B37" s="22" t="n"/>
      <c r="C37" s="23">
        <f>IF(B37="","",$E$9&amp;TEXT(N($E$10)+19,"000"))</f>
        <v/>
      </c>
      <c r="D37" s="14" t="n"/>
      <c r="E37" s="14" t="n"/>
      <c r="F37" s="14" t="n"/>
      <c r="G37" s="24" t="n"/>
      <c r="H37" s="14" t="n"/>
      <c r="I37" s="24" t="n"/>
      <c r="J37" s="25" t="n"/>
      <c r="K37" s="14" t="n"/>
      <c r="L37" s="24" t="n"/>
      <c r="M37" s="26">
        <f>IF(OR(N(J37)=0,L37="Cancelled"),"",IF(AND(N(J37)&gt;5000,H37="Cash"),"Yes: ₹1","No"))</f>
        <v/>
      </c>
      <c r="N37" s="27">
        <f>IF(AND(B37="",D37="",N(J37)=0),"",IF(B37="","Enter the date",IF(AND(ROW()&gt;18,B36=""),"Use the next empty row: a skipped row leaves a gap in the voucher numbers",IF(D37="","Enter who was paid",IF(N(J37)=0,"Enter the amount",IF(E37="","Pick the head of account",IF(P37="?","Pick the head from the list",IF(H37="","Pick how it was paid",IF(L37="Cancelled","Cancelled: keep this number unused and write a fresh voucher",IF(AND(H37&lt;&gt;"Cash",I37=""),"Enter the cheque no., UTR or UPI reference",IF(AND(N($E$11)&gt;0,N(J37)&gt;N($E$11),K37=""),"Above your approval limit: get it approved before paying",IF(S37&gt;10000,"Cash paid to this person today is over ₹10,000: not deductible, s.36(4)",IF(T37&gt;35000,"Cash freight to this transporter today is over ₹35,000: not deductible, s.36(6)",IF(U37&gt;10000,"Asset paid in cash over ₹10,000 today: left out of its cost, s.39(2)",IF(AND(P37="L",H37="Cash",N(J37)&gt;=20000),"Loan of ₹20,000 or more repaid in cash: barred, s.188","OK")))))))))))))))</f>
        <v/>
      </c>
      <c r="P37">
        <f>IF(E37="","",IFERROR(VLOOKUP(E37,Lists!$A$2:$B$17,2,FALSE),"?"))</f>
        <v/>
      </c>
      <c r="Q37">
        <f>IF(L37="Cancelled",0,N(J37))</f>
        <v/>
      </c>
      <c r="R37">
        <f>IF(H37="Cash",Q37,0)</f>
        <v/>
      </c>
      <c r="S37">
        <f>IF(OR(P37&lt;&gt;"E",R37=0),0,SUMIFS($R$18:$R$317,$B$18:$B$317,B37,$D$18:$D$317,D37,$P$18:$P$317,"E"))</f>
        <v/>
      </c>
      <c r="T37">
        <f>IF(OR(P37&lt;&gt;"F",R37=0),0,SUMIFS($R$18:$R$317,$B$18:$B$317,B37,$D$18:$D$317,D37,$P$18:$P$317,"F"))</f>
        <v/>
      </c>
      <c r="U37">
        <f>IF(OR(P37&lt;&gt;"A",R37=0),0,SUMIFS($R$18:$R$317,$B$18:$B$317,B37,$D$18:$D$317,D37,$P$18:$P$317,"A"))</f>
        <v/>
      </c>
      <c r="V37">
        <f>IF(OR(N37="",N37="OK",L37="Cancelled"),0,1)</f>
        <v/>
      </c>
    </row>
    <row r="38">
      <c r="B38" s="22" t="n"/>
      <c r="C38" s="23">
        <f>IF(B38="","",$E$9&amp;TEXT(N($E$10)+20,"000"))</f>
        <v/>
      </c>
      <c r="D38" s="14" t="n"/>
      <c r="E38" s="14" t="n"/>
      <c r="F38" s="14" t="n"/>
      <c r="G38" s="24" t="n"/>
      <c r="H38" s="14" t="n"/>
      <c r="I38" s="24" t="n"/>
      <c r="J38" s="25" t="n"/>
      <c r="K38" s="14" t="n"/>
      <c r="L38" s="24" t="n"/>
      <c r="M38" s="26">
        <f>IF(OR(N(J38)=0,L38="Cancelled"),"",IF(AND(N(J38)&gt;5000,H38="Cash"),"Yes: ₹1","No"))</f>
        <v/>
      </c>
      <c r="N38" s="27">
        <f>IF(AND(B38="",D38="",N(J38)=0),"",IF(B38="","Enter the date",IF(AND(ROW()&gt;18,B37=""),"Use the next empty row: a skipped row leaves a gap in the voucher numbers",IF(D38="","Enter who was paid",IF(N(J38)=0,"Enter the amount",IF(E38="","Pick the head of account",IF(P38="?","Pick the head from the list",IF(H38="","Pick how it was paid",IF(L38="Cancelled","Cancelled: keep this number unused and write a fresh voucher",IF(AND(H38&lt;&gt;"Cash",I38=""),"Enter the cheque no., UTR or UPI reference",IF(AND(N($E$11)&gt;0,N(J38)&gt;N($E$11),K38=""),"Above your approval limit: get it approved before paying",IF(S38&gt;10000,"Cash paid to this person today is over ₹10,000: not deductible, s.36(4)",IF(T38&gt;35000,"Cash freight to this transporter today is over ₹35,000: not deductible, s.36(6)",IF(U38&gt;10000,"Asset paid in cash over ₹10,000 today: left out of its cost, s.39(2)",IF(AND(P38="L",H38="Cash",N(J38)&gt;=20000),"Loan of ₹20,000 or more repaid in cash: barred, s.188","OK")))))))))))))))</f>
        <v/>
      </c>
      <c r="P38">
        <f>IF(E38="","",IFERROR(VLOOKUP(E38,Lists!$A$2:$B$17,2,FALSE),"?"))</f>
        <v/>
      </c>
      <c r="Q38">
        <f>IF(L38="Cancelled",0,N(J38))</f>
        <v/>
      </c>
      <c r="R38">
        <f>IF(H38="Cash",Q38,0)</f>
        <v/>
      </c>
      <c r="S38">
        <f>IF(OR(P38&lt;&gt;"E",R38=0),0,SUMIFS($R$18:$R$317,$B$18:$B$317,B38,$D$18:$D$317,D38,$P$18:$P$317,"E"))</f>
        <v/>
      </c>
      <c r="T38">
        <f>IF(OR(P38&lt;&gt;"F",R38=0),0,SUMIFS($R$18:$R$317,$B$18:$B$317,B38,$D$18:$D$317,D38,$P$18:$P$317,"F"))</f>
        <v/>
      </c>
      <c r="U38">
        <f>IF(OR(P38&lt;&gt;"A",R38=0),0,SUMIFS($R$18:$R$317,$B$18:$B$317,B38,$D$18:$D$317,D38,$P$18:$P$317,"A"))</f>
        <v/>
      </c>
      <c r="V38">
        <f>IF(OR(N38="",N38="OK",L38="Cancelled"),0,1)</f>
        <v/>
      </c>
    </row>
    <row r="39">
      <c r="B39" s="22" t="n"/>
      <c r="C39" s="23">
        <f>IF(B39="","",$E$9&amp;TEXT(N($E$10)+21,"000"))</f>
        <v/>
      </c>
      <c r="D39" s="14" t="n"/>
      <c r="E39" s="14" t="n"/>
      <c r="F39" s="14" t="n"/>
      <c r="G39" s="24" t="n"/>
      <c r="H39" s="14" t="n"/>
      <c r="I39" s="24" t="n"/>
      <c r="J39" s="25" t="n"/>
      <c r="K39" s="14" t="n"/>
      <c r="L39" s="24" t="n"/>
      <c r="M39" s="26">
        <f>IF(OR(N(J39)=0,L39="Cancelled"),"",IF(AND(N(J39)&gt;5000,H39="Cash"),"Yes: ₹1","No"))</f>
        <v/>
      </c>
      <c r="N39" s="27">
        <f>IF(AND(B39="",D39="",N(J39)=0),"",IF(B39="","Enter the date",IF(AND(ROW()&gt;18,B38=""),"Use the next empty row: a skipped row leaves a gap in the voucher numbers",IF(D39="","Enter who was paid",IF(N(J39)=0,"Enter the amount",IF(E39="","Pick the head of account",IF(P39="?","Pick the head from the list",IF(H39="","Pick how it was paid",IF(L39="Cancelled","Cancelled: keep this number unused and write a fresh voucher",IF(AND(H39&lt;&gt;"Cash",I39=""),"Enter the cheque no., UTR or UPI reference",IF(AND(N($E$11)&gt;0,N(J39)&gt;N($E$11),K39=""),"Above your approval limit: get it approved before paying",IF(S39&gt;10000,"Cash paid to this person today is over ₹10,000: not deductible, s.36(4)",IF(T39&gt;35000,"Cash freight to this transporter today is over ₹35,000: not deductible, s.36(6)",IF(U39&gt;10000,"Asset paid in cash over ₹10,000 today: left out of its cost, s.39(2)",IF(AND(P39="L",H39="Cash",N(J39)&gt;=20000),"Loan of ₹20,000 or more repaid in cash: barred, s.188","OK")))))))))))))))</f>
        <v/>
      </c>
      <c r="P39">
        <f>IF(E39="","",IFERROR(VLOOKUP(E39,Lists!$A$2:$B$17,2,FALSE),"?"))</f>
        <v/>
      </c>
      <c r="Q39">
        <f>IF(L39="Cancelled",0,N(J39))</f>
        <v/>
      </c>
      <c r="R39">
        <f>IF(H39="Cash",Q39,0)</f>
        <v/>
      </c>
      <c r="S39">
        <f>IF(OR(P39&lt;&gt;"E",R39=0),0,SUMIFS($R$18:$R$317,$B$18:$B$317,B39,$D$18:$D$317,D39,$P$18:$P$317,"E"))</f>
        <v/>
      </c>
      <c r="T39">
        <f>IF(OR(P39&lt;&gt;"F",R39=0),0,SUMIFS($R$18:$R$317,$B$18:$B$317,B39,$D$18:$D$317,D39,$P$18:$P$317,"F"))</f>
        <v/>
      </c>
      <c r="U39">
        <f>IF(OR(P39&lt;&gt;"A",R39=0),0,SUMIFS($R$18:$R$317,$B$18:$B$317,B39,$D$18:$D$317,D39,$P$18:$P$317,"A"))</f>
        <v/>
      </c>
      <c r="V39">
        <f>IF(OR(N39="",N39="OK",L39="Cancelled"),0,1)</f>
        <v/>
      </c>
    </row>
    <row r="40">
      <c r="B40" s="22" t="n"/>
      <c r="C40" s="23">
        <f>IF(B40="","",$E$9&amp;TEXT(N($E$10)+22,"000"))</f>
        <v/>
      </c>
      <c r="D40" s="14" t="n"/>
      <c r="E40" s="14" t="n"/>
      <c r="F40" s="14" t="n"/>
      <c r="G40" s="24" t="n"/>
      <c r="H40" s="14" t="n"/>
      <c r="I40" s="24" t="n"/>
      <c r="J40" s="25" t="n"/>
      <c r="K40" s="14" t="n"/>
      <c r="L40" s="24" t="n"/>
      <c r="M40" s="26">
        <f>IF(OR(N(J40)=0,L40="Cancelled"),"",IF(AND(N(J40)&gt;5000,H40="Cash"),"Yes: ₹1","No"))</f>
        <v/>
      </c>
      <c r="N40" s="27">
        <f>IF(AND(B40="",D40="",N(J40)=0),"",IF(B40="","Enter the date",IF(AND(ROW()&gt;18,B39=""),"Use the next empty row: a skipped row leaves a gap in the voucher numbers",IF(D40="","Enter who was paid",IF(N(J40)=0,"Enter the amount",IF(E40="","Pick the head of account",IF(P40="?","Pick the head from the list",IF(H40="","Pick how it was paid",IF(L40="Cancelled","Cancelled: keep this number unused and write a fresh voucher",IF(AND(H40&lt;&gt;"Cash",I40=""),"Enter the cheque no., UTR or UPI reference",IF(AND(N($E$11)&gt;0,N(J40)&gt;N($E$11),K40=""),"Above your approval limit: get it approved before paying",IF(S40&gt;10000,"Cash paid to this person today is over ₹10,000: not deductible, s.36(4)",IF(T40&gt;35000,"Cash freight to this transporter today is over ₹35,000: not deductible, s.36(6)",IF(U40&gt;10000,"Asset paid in cash over ₹10,000 today: left out of its cost, s.39(2)",IF(AND(P40="L",H40="Cash",N(J40)&gt;=20000),"Loan of ₹20,000 or more repaid in cash: barred, s.188","OK")))))))))))))))</f>
        <v/>
      </c>
      <c r="P40">
        <f>IF(E40="","",IFERROR(VLOOKUP(E40,Lists!$A$2:$B$17,2,FALSE),"?"))</f>
        <v/>
      </c>
      <c r="Q40">
        <f>IF(L40="Cancelled",0,N(J40))</f>
        <v/>
      </c>
      <c r="R40">
        <f>IF(H40="Cash",Q40,0)</f>
        <v/>
      </c>
      <c r="S40">
        <f>IF(OR(P40&lt;&gt;"E",R40=0),0,SUMIFS($R$18:$R$317,$B$18:$B$317,B40,$D$18:$D$317,D40,$P$18:$P$317,"E"))</f>
        <v/>
      </c>
      <c r="T40">
        <f>IF(OR(P40&lt;&gt;"F",R40=0),0,SUMIFS($R$18:$R$317,$B$18:$B$317,B40,$D$18:$D$317,D40,$P$18:$P$317,"F"))</f>
        <v/>
      </c>
      <c r="U40">
        <f>IF(OR(P40&lt;&gt;"A",R40=0),0,SUMIFS($R$18:$R$317,$B$18:$B$317,B40,$D$18:$D$317,D40,$P$18:$P$317,"A"))</f>
        <v/>
      </c>
      <c r="V40">
        <f>IF(OR(N40="",N40="OK",L40="Cancelled"),0,1)</f>
        <v/>
      </c>
    </row>
    <row r="41">
      <c r="B41" s="22" t="n"/>
      <c r="C41" s="23">
        <f>IF(B41="","",$E$9&amp;TEXT(N($E$10)+23,"000"))</f>
        <v/>
      </c>
      <c r="D41" s="14" t="n"/>
      <c r="E41" s="14" t="n"/>
      <c r="F41" s="14" t="n"/>
      <c r="G41" s="24" t="n"/>
      <c r="H41" s="14" t="n"/>
      <c r="I41" s="24" t="n"/>
      <c r="J41" s="25" t="n"/>
      <c r="K41" s="14" t="n"/>
      <c r="L41" s="24" t="n"/>
      <c r="M41" s="26">
        <f>IF(OR(N(J41)=0,L41="Cancelled"),"",IF(AND(N(J41)&gt;5000,H41="Cash"),"Yes: ₹1","No"))</f>
        <v/>
      </c>
      <c r="N41" s="27">
        <f>IF(AND(B41="",D41="",N(J41)=0),"",IF(B41="","Enter the date",IF(AND(ROW()&gt;18,B40=""),"Use the next empty row: a skipped row leaves a gap in the voucher numbers",IF(D41="","Enter who was paid",IF(N(J41)=0,"Enter the amount",IF(E41="","Pick the head of account",IF(P41="?","Pick the head from the list",IF(H41="","Pick how it was paid",IF(L41="Cancelled","Cancelled: keep this number unused and write a fresh voucher",IF(AND(H41&lt;&gt;"Cash",I41=""),"Enter the cheque no., UTR or UPI reference",IF(AND(N($E$11)&gt;0,N(J41)&gt;N($E$11),K41=""),"Above your approval limit: get it approved before paying",IF(S41&gt;10000,"Cash paid to this person today is over ₹10,000: not deductible, s.36(4)",IF(T41&gt;35000,"Cash freight to this transporter today is over ₹35,000: not deductible, s.36(6)",IF(U41&gt;10000,"Asset paid in cash over ₹10,000 today: left out of its cost, s.39(2)",IF(AND(P41="L",H41="Cash",N(J41)&gt;=20000),"Loan of ₹20,000 or more repaid in cash: barred, s.188","OK")))))))))))))))</f>
        <v/>
      </c>
      <c r="P41">
        <f>IF(E41="","",IFERROR(VLOOKUP(E41,Lists!$A$2:$B$17,2,FALSE),"?"))</f>
        <v/>
      </c>
      <c r="Q41">
        <f>IF(L41="Cancelled",0,N(J41))</f>
        <v/>
      </c>
      <c r="R41">
        <f>IF(H41="Cash",Q41,0)</f>
        <v/>
      </c>
      <c r="S41">
        <f>IF(OR(P41&lt;&gt;"E",R41=0),0,SUMIFS($R$18:$R$317,$B$18:$B$317,B41,$D$18:$D$317,D41,$P$18:$P$317,"E"))</f>
        <v/>
      </c>
      <c r="T41">
        <f>IF(OR(P41&lt;&gt;"F",R41=0),0,SUMIFS($R$18:$R$317,$B$18:$B$317,B41,$D$18:$D$317,D41,$P$18:$P$317,"F"))</f>
        <v/>
      </c>
      <c r="U41">
        <f>IF(OR(P41&lt;&gt;"A",R41=0),0,SUMIFS($R$18:$R$317,$B$18:$B$317,B41,$D$18:$D$317,D41,$P$18:$P$317,"A"))</f>
        <v/>
      </c>
      <c r="V41">
        <f>IF(OR(N41="",N41="OK",L41="Cancelled"),0,1)</f>
        <v/>
      </c>
    </row>
    <row r="42">
      <c r="B42" s="22" t="n"/>
      <c r="C42" s="23">
        <f>IF(B42="","",$E$9&amp;TEXT(N($E$10)+24,"000"))</f>
        <v/>
      </c>
      <c r="D42" s="14" t="n"/>
      <c r="E42" s="14" t="n"/>
      <c r="F42" s="14" t="n"/>
      <c r="G42" s="24" t="n"/>
      <c r="H42" s="14" t="n"/>
      <c r="I42" s="24" t="n"/>
      <c r="J42" s="25" t="n"/>
      <c r="K42" s="14" t="n"/>
      <c r="L42" s="24" t="n"/>
      <c r="M42" s="26">
        <f>IF(OR(N(J42)=0,L42="Cancelled"),"",IF(AND(N(J42)&gt;5000,H42="Cash"),"Yes: ₹1","No"))</f>
        <v/>
      </c>
      <c r="N42" s="27">
        <f>IF(AND(B42="",D42="",N(J42)=0),"",IF(B42="","Enter the date",IF(AND(ROW()&gt;18,B41=""),"Use the next empty row: a skipped row leaves a gap in the voucher numbers",IF(D42="","Enter who was paid",IF(N(J42)=0,"Enter the amount",IF(E42="","Pick the head of account",IF(P42="?","Pick the head from the list",IF(H42="","Pick how it was paid",IF(L42="Cancelled","Cancelled: keep this number unused and write a fresh voucher",IF(AND(H42&lt;&gt;"Cash",I42=""),"Enter the cheque no., UTR or UPI reference",IF(AND(N($E$11)&gt;0,N(J42)&gt;N($E$11),K42=""),"Above your approval limit: get it approved before paying",IF(S42&gt;10000,"Cash paid to this person today is over ₹10,000: not deductible, s.36(4)",IF(T42&gt;35000,"Cash freight to this transporter today is over ₹35,000: not deductible, s.36(6)",IF(U42&gt;10000,"Asset paid in cash over ₹10,000 today: left out of its cost, s.39(2)",IF(AND(P42="L",H42="Cash",N(J42)&gt;=20000),"Loan of ₹20,000 or more repaid in cash: barred, s.188","OK")))))))))))))))</f>
        <v/>
      </c>
      <c r="P42">
        <f>IF(E42="","",IFERROR(VLOOKUP(E42,Lists!$A$2:$B$17,2,FALSE),"?"))</f>
        <v/>
      </c>
      <c r="Q42">
        <f>IF(L42="Cancelled",0,N(J42))</f>
        <v/>
      </c>
      <c r="R42">
        <f>IF(H42="Cash",Q42,0)</f>
        <v/>
      </c>
      <c r="S42">
        <f>IF(OR(P42&lt;&gt;"E",R42=0),0,SUMIFS($R$18:$R$317,$B$18:$B$317,B42,$D$18:$D$317,D42,$P$18:$P$317,"E"))</f>
        <v/>
      </c>
      <c r="T42">
        <f>IF(OR(P42&lt;&gt;"F",R42=0),0,SUMIFS($R$18:$R$317,$B$18:$B$317,B42,$D$18:$D$317,D42,$P$18:$P$317,"F"))</f>
        <v/>
      </c>
      <c r="U42">
        <f>IF(OR(P42&lt;&gt;"A",R42=0),0,SUMIFS($R$18:$R$317,$B$18:$B$317,B42,$D$18:$D$317,D42,$P$18:$P$317,"A"))</f>
        <v/>
      </c>
      <c r="V42">
        <f>IF(OR(N42="",N42="OK",L42="Cancelled"),0,1)</f>
        <v/>
      </c>
    </row>
    <row r="43">
      <c r="B43" s="22" t="n"/>
      <c r="C43" s="23">
        <f>IF(B43="","",$E$9&amp;TEXT(N($E$10)+25,"000"))</f>
        <v/>
      </c>
      <c r="D43" s="14" t="n"/>
      <c r="E43" s="14" t="n"/>
      <c r="F43" s="14" t="n"/>
      <c r="G43" s="24" t="n"/>
      <c r="H43" s="14" t="n"/>
      <c r="I43" s="24" t="n"/>
      <c r="J43" s="25" t="n"/>
      <c r="K43" s="14" t="n"/>
      <c r="L43" s="24" t="n"/>
      <c r="M43" s="26">
        <f>IF(OR(N(J43)=0,L43="Cancelled"),"",IF(AND(N(J43)&gt;5000,H43="Cash"),"Yes: ₹1","No"))</f>
        <v/>
      </c>
      <c r="N43" s="27">
        <f>IF(AND(B43="",D43="",N(J43)=0),"",IF(B43="","Enter the date",IF(AND(ROW()&gt;18,B42=""),"Use the next empty row: a skipped row leaves a gap in the voucher numbers",IF(D43="","Enter who was paid",IF(N(J43)=0,"Enter the amount",IF(E43="","Pick the head of account",IF(P43="?","Pick the head from the list",IF(H43="","Pick how it was paid",IF(L43="Cancelled","Cancelled: keep this number unused and write a fresh voucher",IF(AND(H43&lt;&gt;"Cash",I43=""),"Enter the cheque no., UTR or UPI reference",IF(AND(N($E$11)&gt;0,N(J43)&gt;N($E$11),K43=""),"Above your approval limit: get it approved before paying",IF(S43&gt;10000,"Cash paid to this person today is over ₹10,000: not deductible, s.36(4)",IF(T43&gt;35000,"Cash freight to this transporter today is over ₹35,000: not deductible, s.36(6)",IF(U43&gt;10000,"Asset paid in cash over ₹10,000 today: left out of its cost, s.39(2)",IF(AND(P43="L",H43="Cash",N(J43)&gt;=20000),"Loan of ₹20,000 or more repaid in cash: barred, s.188","OK")))))))))))))))</f>
        <v/>
      </c>
      <c r="P43">
        <f>IF(E43="","",IFERROR(VLOOKUP(E43,Lists!$A$2:$B$17,2,FALSE),"?"))</f>
        <v/>
      </c>
      <c r="Q43">
        <f>IF(L43="Cancelled",0,N(J43))</f>
        <v/>
      </c>
      <c r="R43">
        <f>IF(H43="Cash",Q43,0)</f>
        <v/>
      </c>
      <c r="S43">
        <f>IF(OR(P43&lt;&gt;"E",R43=0),0,SUMIFS($R$18:$R$317,$B$18:$B$317,B43,$D$18:$D$317,D43,$P$18:$P$317,"E"))</f>
        <v/>
      </c>
      <c r="T43">
        <f>IF(OR(P43&lt;&gt;"F",R43=0),0,SUMIFS($R$18:$R$317,$B$18:$B$317,B43,$D$18:$D$317,D43,$P$18:$P$317,"F"))</f>
        <v/>
      </c>
      <c r="U43">
        <f>IF(OR(P43&lt;&gt;"A",R43=0),0,SUMIFS($R$18:$R$317,$B$18:$B$317,B43,$D$18:$D$317,D43,$P$18:$P$317,"A"))</f>
        <v/>
      </c>
      <c r="V43">
        <f>IF(OR(N43="",N43="OK",L43="Cancelled"),0,1)</f>
        <v/>
      </c>
    </row>
    <row r="44">
      <c r="B44" s="22" t="n"/>
      <c r="C44" s="23">
        <f>IF(B44="","",$E$9&amp;TEXT(N($E$10)+26,"000"))</f>
        <v/>
      </c>
      <c r="D44" s="14" t="n"/>
      <c r="E44" s="14" t="n"/>
      <c r="F44" s="14" t="n"/>
      <c r="G44" s="24" t="n"/>
      <c r="H44" s="14" t="n"/>
      <c r="I44" s="24" t="n"/>
      <c r="J44" s="25" t="n"/>
      <c r="K44" s="14" t="n"/>
      <c r="L44" s="24" t="n"/>
      <c r="M44" s="26">
        <f>IF(OR(N(J44)=0,L44="Cancelled"),"",IF(AND(N(J44)&gt;5000,H44="Cash"),"Yes: ₹1","No"))</f>
        <v/>
      </c>
      <c r="N44" s="27">
        <f>IF(AND(B44="",D44="",N(J44)=0),"",IF(B44="","Enter the date",IF(AND(ROW()&gt;18,B43=""),"Use the next empty row: a skipped row leaves a gap in the voucher numbers",IF(D44="","Enter who was paid",IF(N(J44)=0,"Enter the amount",IF(E44="","Pick the head of account",IF(P44="?","Pick the head from the list",IF(H44="","Pick how it was paid",IF(L44="Cancelled","Cancelled: keep this number unused and write a fresh voucher",IF(AND(H44&lt;&gt;"Cash",I44=""),"Enter the cheque no., UTR or UPI reference",IF(AND(N($E$11)&gt;0,N(J44)&gt;N($E$11),K44=""),"Above your approval limit: get it approved before paying",IF(S44&gt;10000,"Cash paid to this person today is over ₹10,000: not deductible, s.36(4)",IF(T44&gt;35000,"Cash freight to this transporter today is over ₹35,000: not deductible, s.36(6)",IF(U44&gt;10000,"Asset paid in cash over ₹10,000 today: left out of its cost, s.39(2)",IF(AND(P44="L",H44="Cash",N(J44)&gt;=20000),"Loan of ₹20,000 or more repaid in cash: barred, s.188","OK")))))))))))))))</f>
        <v/>
      </c>
      <c r="P44">
        <f>IF(E44="","",IFERROR(VLOOKUP(E44,Lists!$A$2:$B$17,2,FALSE),"?"))</f>
        <v/>
      </c>
      <c r="Q44">
        <f>IF(L44="Cancelled",0,N(J44))</f>
        <v/>
      </c>
      <c r="R44">
        <f>IF(H44="Cash",Q44,0)</f>
        <v/>
      </c>
      <c r="S44">
        <f>IF(OR(P44&lt;&gt;"E",R44=0),0,SUMIFS($R$18:$R$317,$B$18:$B$317,B44,$D$18:$D$317,D44,$P$18:$P$317,"E"))</f>
        <v/>
      </c>
      <c r="T44">
        <f>IF(OR(P44&lt;&gt;"F",R44=0),0,SUMIFS($R$18:$R$317,$B$18:$B$317,B44,$D$18:$D$317,D44,$P$18:$P$317,"F"))</f>
        <v/>
      </c>
      <c r="U44">
        <f>IF(OR(P44&lt;&gt;"A",R44=0),0,SUMIFS($R$18:$R$317,$B$18:$B$317,B44,$D$18:$D$317,D44,$P$18:$P$317,"A"))</f>
        <v/>
      </c>
      <c r="V44">
        <f>IF(OR(N44="",N44="OK",L44="Cancelled"),0,1)</f>
        <v/>
      </c>
    </row>
    <row r="45">
      <c r="B45" s="22" t="n"/>
      <c r="C45" s="23">
        <f>IF(B45="","",$E$9&amp;TEXT(N($E$10)+27,"000"))</f>
        <v/>
      </c>
      <c r="D45" s="14" t="n"/>
      <c r="E45" s="14" t="n"/>
      <c r="F45" s="14" t="n"/>
      <c r="G45" s="24" t="n"/>
      <c r="H45" s="14" t="n"/>
      <c r="I45" s="24" t="n"/>
      <c r="J45" s="25" t="n"/>
      <c r="K45" s="14" t="n"/>
      <c r="L45" s="24" t="n"/>
      <c r="M45" s="26">
        <f>IF(OR(N(J45)=0,L45="Cancelled"),"",IF(AND(N(J45)&gt;5000,H45="Cash"),"Yes: ₹1","No"))</f>
        <v/>
      </c>
      <c r="N45" s="27">
        <f>IF(AND(B45="",D45="",N(J45)=0),"",IF(B45="","Enter the date",IF(AND(ROW()&gt;18,B44=""),"Use the next empty row: a skipped row leaves a gap in the voucher numbers",IF(D45="","Enter who was paid",IF(N(J45)=0,"Enter the amount",IF(E45="","Pick the head of account",IF(P45="?","Pick the head from the list",IF(H45="","Pick how it was paid",IF(L45="Cancelled","Cancelled: keep this number unused and write a fresh voucher",IF(AND(H45&lt;&gt;"Cash",I45=""),"Enter the cheque no., UTR or UPI reference",IF(AND(N($E$11)&gt;0,N(J45)&gt;N($E$11),K45=""),"Above your approval limit: get it approved before paying",IF(S45&gt;10000,"Cash paid to this person today is over ₹10,000: not deductible, s.36(4)",IF(T45&gt;35000,"Cash freight to this transporter today is over ₹35,000: not deductible, s.36(6)",IF(U45&gt;10000,"Asset paid in cash over ₹10,000 today: left out of its cost, s.39(2)",IF(AND(P45="L",H45="Cash",N(J45)&gt;=20000),"Loan of ₹20,000 or more repaid in cash: barred, s.188","OK")))))))))))))))</f>
        <v/>
      </c>
      <c r="P45">
        <f>IF(E45="","",IFERROR(VLOOKUP(E45,Lists!$A$2:$B$17,2,FALSE),"?"))</f>
        <v/>
      </c>
      <c r="Q45">
        <f>IF(L45="Cancelled",0,N(J45))</f>
        <v/>
      </c>
      <c r="R45">
        <f>IF(H45="Cash",Q45,0)</f>
        <v/>
      </c>
      <c r="S45">
        <f>IF(OR(P45&lt;&gt;"E",R45=0),0,SUMIFS($R$18:$R$317,$B$18:$B$317,B45,$D$18:$D$317,D45,$P$18:$P$317,"E"))</f>
        <v/>
      </c>
      <c r="T45">
        <f>IF(OR(P45&lt;&gt;"F",R45=0),0,SUMIFS($R$18:$R$317,$B$18:$B$317,B45,$D$18:$D$317,D45,$P$18:$P$317,"F"))</f>
        <v/>
      </c>
      <c r="U45">
        <f>IF(OR(P45&lt;&gt;"A",R45=0),0,SUMIFS($R$18:$R$317,$B$18:$B$317,B45,$D$18:$D$317,D45,$P$18:$P$317,"A"))</f>
        <v/>
      </c>
      <c r="V45">
        <f>IF(OR(N45="",N45="OK",L45="Cancelled"),0,1)</f>
        <v/>
      </c>
    </row>
    <row r="46">
      <c r="B46" s="22" t="n"/>
      <c r="C46" s="23">
        <f>IF(B46="","",$E$9&amp;TEXT(N($E$10)+28,"000"))</f>
        <v/>
      </c>
      <c r="D46" s="14" t="n"/>
      <c r="E46" s="14" t="n"/>
      <c r="F46" s="14" t="n"/>
      <c r="G46" s="24" t="n"/>
      <c r="H46" s="14" t="n"/>
      <c r="I46" s="24" t="n"/>
      <c r="J46" s="25" t="n"/>
      <c r="K46" s="14" t="n"/>
      <c r="L46" s="24" t="n"/>
      <c r="M46" s="26">
        <f>IF(OR(N(J46)=0,L46="Cancelled"),"",IF(AND(N(J46)&gt;5000,H46="Cash"),"Yes: ₹1","No"))</f>
        <v/>
      </c>
      <c r="N46" s="27">
        <f>IF(AND(B46="",D46="",N(J46)=0),"",IF(B46="","Enter the date",IF(AND(ROW()&gt;18,B45=""),"Use the next empty row: a skipped row leaves a gap in the voucher numbers",IF(D46="","Enter who was paid",IF(N(J46)=0,"Enter the amount",IF(E46="","Pick the head of account",IF(P46="?","Pick the head from the list",IF(H46="","Pick how it was paid",IF(L46="Cancelled","Cancelled: keep this number unused and write a fresh voucher",IF(AND(H46&lt;&gt;"Cash",I46=""),"Enter the cheque no., UTR or UPI reference",IF(AND(N($E$11)&gt;0,N(J46)&gt;N($E$11),K46=""),"Above your approval limit: get it approved before paying",IF(S46&gt;10000,"Cash paid to this person today is over ₹10,000: not deductible, s.36(4)",IF(T46&gt;35000,"Cash freight to this transporter today is over ₹35,000: not deductible, s.36(6)",IF(U46&gt;10000,"Asset paid in cash over ₹10,000 today: left out of its cost, s.39(2)",IF(AND(P46="L",H46="Cash",N(J46)&gt;=20000),"Loan of ₹20,000 or more repaid in cash: barred, s.188","OK")))))))))))))))</f>
        <v/>
      </c>
      <c r="P46">
        <f>IF(E46="","",IFERROR(VLOOKUP(E46,Lists!$A$2:$B$17,2,FALSE),"?"))</f>
        <v/>
      </c>
      <c r="Q46">
        <f>IF(L46="Cancelled",0,N(J46))</f>
        <v/>
      </c>
      <c r="R46">
        <f>IF(H46="Cash",Q46,0)</f>
        <v/>
      </c>
      <c r="S46">
        <f>IF(OR(P46&lt;&gt;"E",R46=0),0,SUMIFS($R$18:$R$317,$B$18:$B$317,B46,$D$18:$D$317,D46,$P$18:$P$317,"E"))</f>
        <v/>
      </c>
      <c r="T46">
        <f>IF(OR(P46&lt;&gt;"F",R46=0),0,SUMIFS($R$18:$R$317,$B$18:$B$317,B46,$D$18:$D$317,D46,$P$18:$P$317,"F"))</f>
        <v/>
      </c>
      <c r="U46">
        <f>IF(OR(P46&lt;&gt;"A",R46=0),0,SUMIFS($R$18:$R$317,$B$18:$B$317,B46,$D$18:$D$317,D46,$P$18:$P$317,"A"))</f>
        <v/>
      </c>
      <c r="V46">
        <f>IF(OR(N46="",N46="OK",L46="Cancelled"),0,1)</f>
        <v/>
      </c>
    </row>
    <row r="47">
      <c r="B47" s="22" t="n"/>
      <c r="C47" s="23">
        <f>IF(B47="","",$E$9&amp;TEXT(N($E$10)+29,"000"))</f>
        <v/>
      </c>
      <c r="D47" s="14" t="n"/>
      <c r="E47" s="14" t="n"/>
      <c r="F47" s="14" t="n"/>
      <c r="G47" s="24" t="n"/>
      <c r="H47" s="14" t="n"/>
      <c r="I47" s="24" t="n"/>
      <c r="J47" s="25" t="n"/>
      <c r="K47" s="14" t="n"/>
      <c r="L47" s="24" t="n"/>
      <c r="M47" s="26">
        <f>IF(OR(N(J47)=0,L47="Cancelled"),"",IF(AND(N(J47)&gt;5000,H47="Cash"),"Yes: ₹1","No"))</f>
        <v/>
      </c>
      <c r="N47" s="27">
        <f>IF(AND(B47="",D47="",N(J47)=0),"",IF(B47="","Enter the date",IF(AND(ROW()&gt;18,B46=""),"Use the next empty row: a skipped row leaves a gap in the voucher numbers",IF(D47="","Enter who was paid",IF(N(J47)=0,"Enter the amount",IF(E47="","Pick the head of account",IF(P47="?","Pick the head from the list",IF(H47="","Pick how it was paid",IF(L47="Cancelled","Cancelled: keep this number unused and write a fresh voucher",IF(AND(H47&lt;&gt;"Cash",I47=""),"Enter the cheque no., UTR or UPI reference",IF(AND(N($E$11)&gt;0,N(J47)&gt;N($E$11),K47=""),"Above your approval limit: get it approved before paying",IF(S47&gt;10000,"Cash paid to this person today is over ₹10,000: not deductible, s.36(4)",IF(T47&gt;35000,"Cash freight to this transporter today is over ₹35,000: not deductible, s.36(6)",IF(U47&gt;10000,"Asset paid in cash over ₹10,000 today: left out of its cost, s.39(2)",IF(AND(P47="L",H47="Cash",N(J47)&gt;=20000),"Loan of ₹20,000 or more repaid in cash: barred, s.188","OK")))))))))))))))</f>
        <v/>
      </c>
      <c r="P47">
        <f>IF(E47="","",IFERROR(VLOOKUP(E47,Lists!$A$2:$B$17,2,FALSE),"?"))</f>
        <v/>
      </c>
      <c r="Q47">
        <f>IF(L47="Cancelled",0,N(J47))</f>
        <v/>
      </c>
      <c r="R47">
        <f>IF(H47="Cash",Q47,0)</f>
        <v/>
      </c>
      <c r="S47">
        <f>IF(OR(P47&lt;&gt;"E",R47=0),0,SUMIFS($R$18:$R$317,$B$18:$B$317,B47,$D$18:$D$317,D47,$P$18:$P$317,"E"))</f>
        <v/>
      </c>
      <c r="T47">
        <f>IF(OR(P47&lt;&gt;"F",R47=0),0,SUMIFS($R$18:$R$317,$B$18:$B$317,B47,$D$18:$D$317,D47,$P$18:$P$317,"F"))</f>
        <v/>
      </c>
      <c r="U47">
        <f>IF(OR(P47&lt;&gt;"A",R47=0),0,SUMIFS($R$18:$R$317,$B$18:$B$317,B47,$D$18:$D$317,D47,$P$18:$P$317,"A"))</f>
        <v/>
      </c>
      <c r="V47">
        <f>IF(OR(N47="",N47="OK",L47="Cancelled"),0,1)</f>
        <v/>
      </c>
    </row>
    <row r="48">
      <c r="B48" s="22" t="n"/>
      <c r="C48" s="23">
        <f>IF(B48="","",$E$9&amp;TEXT(N($E$10)+30,"000"))</f>
        <v/>
      </c>
      <c r="D48" s="14" t="n"/>
      <c r="E48" s="14" t="n"/>
      <c r="F48" s="14" t="n"/>
      <c r="G48" s="24" t="n"/>
      <c r="H48" s="14" t="n"/>
      <c r="I48" s="24" t="n"/>
      <c r="J48" s="25" t="n"/>
      <c r="K48" s="14" t="n"/>
      <c r="L48" s="24" t="n"/>
      <c r="M48" s="26">
        <f>IF(OR(N(J48)=0,L48="Cancelled"),"",IF(AND(N(J48)&gt;5000,H48="Cash"),"Yes: ₹1","No"))</f>
        <v/>
      </c>
      <c r="N48" s="27">
        <f>IF(AND(B48="",D48="",N(J48)=0),"",IF(B48="","Enter the date",IF(AND(ROW()&gt;18,B47=""),"Use the next empty row: a skipped row leaves a gap in the voucher numbers",IF(D48="","Enter who was paid",IF(N(J48)=0,"Enter the amount",IF(E48="","Pick the head of account",IF(P48="?","Pick the head from the list",IF(H48="","Pick how it was paid",IF(L48="Cancelled","Cancelled: keep this number unused and write a fresh voucher",IF(AND(H48&lt;&gt;"Cash",I48=""),"Enter the cheque no., UTR or UPI reference",IF(AND(N($E$11)&gt;0,N(J48)&gt;N($E$11),K48=""),"Above your approval limit: get it approved before paying",IF(S48&gt;10000,"Cash paid to this person today is over ₹10,000: not deductible, s.36(4)",IF(T48&gt;35000,"Cash freight to this transporter today is over ₹35,000: not deductible, s.36(6)",IF(U48&gt;10000,"Asset paid in cash over ₹10,000 today: left out of its cost, s.39(2)",IF(AND(P48="L",H48="Cash",N(J48)&gt;=20000),"Loan of ₹20,000 or more repaid in cash: barred, s.188","OK")))))))))))))))</f>
        <v/>
      </c>
      <c r="P48">
        <f>IF(E48="","",IFERROR(VLOOKUP(E48,Lists!$A$2:$B$17,2,FALSE),"?"))</f>
        <v/>
      </c>
      <c r="Q48">
        <f>IF(L48="Cancelled",0,N(J48))</f>
        <v/>
      </c>
      <c r="R48">
        <f>IF(H48="Cash",Q48,0)</f>
        <v/>
      </c>
      <c r="S48">
        <f>IF(OR(P48&lt;&gt;"E",R48=0),0,SUMIFS($R$18:$R$317,$B$18:$B$317,B48,$D$18:$D$317,D48,$P$18:$P$317,"E"))</f>
        <v/>
      </c>
      <c r="T48">
        <f>IF(OR(P48&lt;&gt;"F",R48=0),0,SUMIFS($R$18:$R$317,$B$18:$B$317,B48,$D$18:$D$317,D48,$P$18:$P$317,"F"))</f>
        <v/>
      </c>
      <c r="U48">
        <f>IF(OR(P48&lt;&gt;"A",R48=0),0,SUMIFS($R$18:$R$317,$B$18:$B$317,B48,$D$18:$D$317,D48,$P$18:$P$317,"A"))</f>
        <v/>
      </c>
      <c r="V48">
        <f>IF(OR(N48="",N48="OK",L48="Cancelled"),0,1)</f>
        <v/>
      </c>
    </row>
    <row r="49">
      <c r="B49" s="22" t="n"/>
      <c r="C49" s="23">
        <f>IF(B49="","",$E$9&amp;TEXT(N($E$10)+31,"000"))</f>
        <v/>
      </c>
      <c r="D49" s="14" t="n"/>
      <c r="E49" s="14" t="n"/>
      <c r="F49" s="14" t="n"/>
      <c r="G49" s="24" t="n"/>
      <c r="H49" s="14" t="n"/>
      <c r="I49" s="24" t="n"/>
      <c r="J49" s="25" t="n"/>
      <c r="K49" s="14" t="n"/>
      <c r="L49" s="24" t="n"/>
      <c r="M49" s="26">
        <f>IF(OR(N(J49)=0,L49="Cancelled"),"",IF(AND(N(J49)&gt;5000,H49="Cash"),"Yes: ₹1","No"))</f>
        <v/>
      </c>
      <c r="N49" s="27">
        <f>IF(AND(B49="",D49="",N(J49)=0),"",IF(B49="","Enter the date",IF(AND(ROW()&gt;18,B48=""),"Use the next empty row: a skipped row leaves a gap in the voucher numbers",IF(D49="","Enter who was paid",IF(N(J49)=0,"Enter the amount",IF(E49="","Pick the head of account",IF(P49="?","Pick the head from the list",IF(H49="","Pick how it was paid",IF(L49="Cancelled","Cancelled: keep this number unused and write a fresh voucher",IF(AND(H49&lt;&gt;"Cash",I49=""),"Enter the cheque no., UTR or UPI reference",IF(AND(N($E$11)&gt;0,N(J49)&gt;N($E$11),K49=""),"Above your approval limit: get it approved before paying",IF(S49&gt;10000,"Cash paid to this person today is over ₹10,000: not deductible, s.36(4)",IF(T49&gt;35000,"Cash freight to this transporter today is over ₹35,000: not deductible, s.36(6)",IF(U49&gt;10000,"Asset paid in cash over ₹10,000 today: left out of its cost, s.39(2)",IF(AND(P49="L",H49="Cash",N(J49)&gt;=20000),"Loan of ₹20,000 or more repaid in cash: barred, s.188","OK")))))))))))))))</f>
        <v/>
      </c>
      <c r="P49">
        <f>IF(E49="","",IFERROR(VLOOKUP(E49,Lists!$A$2:$B$17,2,FALSE),"?"))</f>
        <v/>
      </c>
      <c r="Q49">
        <f>IF(L49="Cancelled",0,N(J49))</f>
        <v/>
      </c>
      <c r="R49">
        <f>IF(H49="Cash",Q49,0)</f>
        <v/>
      </c>
      <c r="S49">
        <f>IF(OR(P49&lt;&gt;"E",R49=0),0,SUMIFS($R$18:$R$317,$B$18:$B$317,B49,$D$18:$D$317,D49,$P$18:$P$317,"E"))</f>
        <v/>
      </c>
      <c r="T49">
        <f>IF(OR(P49&lt;&gt;"F",R49=0),0,SUMIFS($R$18:$R$317,$B$18:$B$317,B49,$D$18:$D$317,D49,$P$18:$P$317,"F"))</f>
        <v/>
      </c>
      <c r="U49">
        <f>IF(OR(P49&lt;&gt;"A",R49=0),0,SUMIFS($R$18:$R$317,$B$18:$B$317,B49,$D$18:$D$317,D49,$P$18:$P$317,"A"))</f>
        <v/>
      </c>
      <c r="V49">
        <f>IF(OR(N49="",N49="OK",L49="Cancelled"),0,1)</f>
        <v/>
      </c>
    </row>
    <row r="50">
      <c r="B50" s="22" t="n"/>
      <c r="C50" s="23">
        <f>IF(B50="","",$E$9&amp;TEXT(N($E$10)+32,"000"))</f>
        <v/>
      </c>
      <c r="D50" s="14" t="n"/>
      <c r="E50" s="14" t="n"/>
      <c r="F50" s="14" t="n"/>
      <c r="G50" s="24" t="n"/>
      <c r="H50" s="14" t="n"/>
      <c r="I50" s="24" t="n"/>
      <c r="J50" s="25" t="n"/>
      <c r="K50" s="14" t="n"/>
      <c r="L50" s="24" t="n"/>
      <c r="M50" s="26">
        <f>IF(OR(N(J50)=0,L50="Cancelled"),"",IF(AND(N(J50)&gt;5000,H50="Cash"),"Yes: ₹1","No"))</f>
        <v/>
      </c>
      <c r="N50" s="27">
        <f>IF(AND(B50="",D50="",N(J50)=0),"",IF(B50="","Enter the date",IF(AND(ROW()&gt;18,B49=""),"Use the next empty row: a skipped row leaves a gap in the voucher numbers",IF(D50="","Enter who was paid",IF(N(J50)=0,"Enter the amount",IF(E50="","Pick the head of account",IF(P50="?","Pick the head from the list",IF(H50="","Pick how it was paid",IF(L50="Cancelled","Cancelled: keep this number unused and write a fresh voucher",IF(AND(H50&lt;&gt;"Cash",I50=""),"Enter the cheque no., UTR or UPI reference",IF(AND(N($E$11)&gt;0,N(J50)&gt;N($E$11),K50=""),"Above your approval limit: get it approved before paying",IF(S50&gt;10000,"Cash paid to this person today is over ₹10,000: not deductible, s.36(4)",IF(T50&gt;35000,"Cash freight to this transporter today is over ₹35,000: not deductible, s.36(6)",IF(U50&gt;10000,"Asset paid in cash over ₹10,000 today: left out of its cost, s.39(2)",IF(AND(P50="L",H50="Cash",N(J50)&gt;=20000),"Loan of ₹20,000 or more repaid in cash: barred, s.188","OK")))))))))))))))</f>
        <v/>
      </c>
      <c r="P50">
        <f>IF(E50="","",IFERROR(VLOOKUP(E50,Lists!$A$2:$B$17,2,FALSE),"?"))</f>
        <v/>
      </c>
      <c r="Q50">
        <f>IF(L50="Cancelled",0,N(J50))</f>
        <v/>
      </c>
      <c r="R50">
        <f>IF(H50="Cash",Q50,0)</f>
        <v/>
      </c>
      <c r="S50">
        <f>IF(OR(P50&lt;&gt;"E",R50=0),0,SUMIFS($R$18:$R$317,$B$18:$B$317,B50,$D$18:$D$317,D50,$P$18:$P$317,"E"))</f>
        <v/>
      </c>
      <c r="T50">
        <f>IF(OR(P50&lt;&gt;"F",R50=0),0,SUMIFS($R$18:$R$317,$B$18:$B$317,B50,$D$18:$D$317,D50,$P$18:$P$317,"F"))</f>
        <v/>
      </c>
      <c r="U50">
        <f>IF(OR(P50&lt;&gt;"A",R50=0),0,SUMIFS($R$18:$R$317,$B$18:$B$317,B50,$D$18:$D$317,D50,$P$18:$P$317,"A"))</f>
        <v/>
      </c>
      <c r="V50">
        <f>IF(OR(N50="",N50="OK",L50="Cancelled"),0,1)</f>
        <v/>
      </c>
    </row>
    <row r="51">
      <c r="B51" s="22" t="n"/>
      <c r="C51" s="23">
        <f>IF(B51="","",$E$9&amp;TEXT(N($E$10)+33,"000"))</f>
        <v/>
      </c>
      <c r="D51" s="14" t="n"/>
      <c r="E51" s="14" t="n"/>
      <c r="F51" s="14" t="n"/>
      <c r="G51" s="24" t="n"/>
      <c r="H51" s="14" t="n"/>
      <c r="I51" s="24" t="n"/>
      <c r="J51" s="25" t="n"/>
      <c r="K51" s="14" t="n"/>
      <c r="L51" s="24" t="n"/>
      <c r="M51" s="26">
        <f>IF(OR(N(J51)=0,L51="Cancelled"),"",IF(AND(N(J51)&gt;5000,H51="Cash"),"Yes: ₹1","No"))</f>
        <v/>
      </c>
      <c r="N51" s="27">
        <f>IF(AND(B51="",D51="",N(J51)=0),"",IF(B51="","Enter the date",IF(AND(ROW()&gt;18,B50=""),"Use the next empty row: a skipped row leaves a gap in the voucher numbers",IF(D51="","Enter who was paid",IF(N(J51)=0,"Enter the amount",IF(E51="","Pick the head of account",IF(P51="?","Pick the head from the list",IF(H51="","Pick how it was paid",IF(L51="Cancelled","Cancelled: keep this number unused and write a fresh voucher",IF(AND(H51&lt;&gt;"Cash",I51=""),"Enter the cheque no., UTR or UPI reference",IF(AND(N($E$11)&gt;0,N(J51)&gt;N($E$11),K51=""),"Above your approval limit: get it approved before paying",IF(S51&gt;10000,"Cash paid to this person today is over ₹10,000: not deductible, s.36(4)",IF(T51&gt;35000,"Cash freight to this transporter today is over ₹35,000: not deductible, s.36(6)",IF(U51&gt;10000,"Asset paid in cash over ₹10,000 today: left out of its cost, s.39(2)",IF(AND(P51="L",H51="Cash",N(J51)&gt;=20000),"Loan of ₹20,000 or more repaid in cash: barred, s.188","OK")))))))))))))))</f>
        <v/>
      </c>
      <c r="P51">
        <f>IF(E51="","",IFERROR(VLOOKUP(E51,Lists!$A$2:$B$17,2,FALSE),"?"))</f>
        <v/>
      </c>
      <c r="Q51">
        <f>IF(L51="Cancelled",0,N(J51))</f>
        <v/>
      </c>
      <c r="R51">
        <f>IF(H51="Cash",Q51,0)</f>
        <v/>
      </c>
      <c r="S51">
        <f>IF(OR(P51&lt;&gt;"E",R51=0),0,SUMIFS($R$18:$R$317,$B$18:$B$317,B51,$D$18:$D$317,D51,$P$18:$P$317,"E"))</f>
        <v/>
      </c>
      <c r="T51">
        <f>IF(OR(P51&lt;&gt;"F",R51=0),0,SUMIFS($R$18:$R$317,$B$18:$B$317,B51,$D$18:$D$317,D51,$P$18:$P$317,"F"))</f>
        <v/>
      </c>
      <c r="U51">
        <f>IF(OR(P51&lt;&gt;"A",R51=0),0,SUMIFS($R$18:$R$317,$B$18:$B$317,B51,$D$18:$D$317,D51,$P$18:$P$317,"A"))</f>
        <v/>
      </c>
      <c r="V51">
        <f>IF(OR(N51="",N51="OK",L51="Cancelled"),0,1)</f>
        <v/>
      </c>
    </row>
    <row r="52">
      <c r="B52" s="22" t="n"/>
      <c r="C52" s="23">
        <f>IF(B52="","",$E$9&amp;TEXT(N($E$10)+34,"000"))</f>
        <v/>
      </c>
      <c r="D52" s="14" t="n"/>
      <c r="E52" s="14" t="n"/>
      <c r="F52" s="14" t="n"/>
      <c r="G52" s="24" t="n"/>
      <c r="H52" s="14" t="n"/>
      <c r="I52" s="24" t="n"/>
      <c r="J52" s="25" t="n"/>
      <c r="K52" s="14" t="n"/>
      <c r="L52" s="24" t="n"/>
      <c r="M52" s="26">
        <f>IF(OR(N(J52)=0,L52="Cancelled"),"",IF(AND(N(J52)&gt;5000,H52="Cash"),"Yes: ₹1","No"))</f>
        <v/>
      </c>
      <c r="N52" s="27">
        <f>IF(AND(B52="",D52="",N(J52)=0),"",IF(B52="","Enter the date",IF(AND(ROW()&gt;18,B51=""),"Use the next empty row: a skipped row leaves a gap in the voucher numbers",IF(D52="","Enter who was paid",IF(N(J52)=0,"Enter the amount",IF(E52="","Pick the head of account",IF(P52="?","Pick the head from the list",IF(H52="","Pick how it was paid",IF(L52="Cancelled","Cancelled: keep this number unused and write a fresh voucher",IF(AND(H52&lt;&gt;"Cash",I52=""),"Enter the cheque no., UTR or UPI reference",IF(AND(N($E$11)&gt;0,N(J52)&gt;N($E$11),K52=""),"Above your approval limit: get it approved before paying",IF(S52&gt;10000,"Cash paid to this person today is over ₹10,000: not deductible, s.36(4)",IF(T52&gt;35000,"Cash freight to this transporter today is over ₹35,000: not deductible, s.36(6)",IF(U52&gt;10000,"Asset paid in cash over ₹10,000 today: left out of its cost, s.39(2)",IF(AND(P52="L",H52="Cash",N(J52)&gt;=20000),"Loan of ₹20,000 or more repaid in cash: barred, s.188","OK")))))))))))))))</f>
        <v/>
      </c>
      <c r="P52">
        <f>IF(E52="","",IFERROR(VLOOKUP(E52,Lists!$A$2:$B$17,2,FALSE),"?"))</f>
        <v/>
      </c>
      <c r="Q52">
        <f>IF(L52="Cancelled",0,N(J52))</f>
        <v/>
      </c>
      <c r="R52">
        <f>IF(H52="Cash",Q52,0)</f>
        <v/>
      </c>
      <c r="S52">
        <f>IF(OR(P52&lt;&gt;"E",R52=0),0,SUMIFS($R$18:$R$317,$B$18:$B$317,B52,$D$18:$D$317,D52,$P$18:$P$317,"E"))</f>
        <v/>
      </c>
      <c r="T52">
        <f>IF(OR(P52&lt;&gt;"F",R52=0),0,SUMIFS($R$18:$R$317,$B$18:$B$317,B52,$D$18:$D$317,D52,$P$18:$P$317,"F"))</f>
        <v/>
      </c>
      <c r="U52">
        <f>IF(OR(P52&lt;&gt;"A",R52=0),0,SUMIFS($R$18:$R$317,$B$18:$B$317,B52,$D$18:$D$317,D52,$P$18:$P$317,"A"))</f>
        <v/>
      </c>
      <c r="V52">
        <f>IF(OR(N52="",N52="OK",L52="Cancelled"),0,1)</f>
        <v/>
      </c>
    </row>
    <row r="53">
      <c r="B53" s="22" t="n"/>
      <c r="C53" s="23">
        <f>IF(B53="","",$E$9&amp;TEXT(N($E$10)+35,"000"))</f>
        <v/>
      </c>
      <c r="D53" s="14" t="n"/>
      <c r="E53" s="14" t="n"/>
      <c r="F53" s="14" t="n"/>
      <c r="G53" s="24" t="n"/>
      <c r="H53" s="14" t="n"/>
      <c r="I53" s="24" t="n"/>
      <c r="J53" s="25" t="n"/>
      <c r="K53" s="14" t="n"/>
      <c r="L53" s="24" t="n"/>
      <c r="M53" s="26">
        <f>IF(OR(N(J53)=0,L53="Cancelled"),"",IF(AND(N(J53)&gt;5000,H53="Cash"),"Yes: ₹1","No"))</f>
        <v/>
      </c>
      <c r="N53" s="27">
        <f>IF(AND(B53="",D53="",N(J53)=0),"",IF(B53="","Enter the date",IF(AND(ROW()&gt;18,B52=""),"Use the next empty row: a skipped row leaves a gap in the voucher numbers",IF(D53="","Enter who was paid",IF(N(J53)=0,"Enter the amount",IF(E53="","Pick the head of account",IF(P53="?","Pick the head from the list",IF(H53="","Pick how it was paid",IF(L53="Cancelled","Cancelled: keep this number unused and write a fresh voucher",IF(AND(H53&lt;&gt;"Cash",I53=""),"Enter the cheque no., UTR or UPI reference",IF(AND(N($E$11)&gt;0,N(J53)&gt;N($E$11),K53=""),"Above your approval limit: get it approved before paying",IF(S53&gt;10000,"Cash paid to this person today is over ₹10,000: not deductible, s.36(4)",IF(T53&gt;35000,"Cash freight to this transporter today is over ₹35,000: not deductible, s.36(6)",IF(U53&gt;10000,"Asset paid in cash over ₹10,000 today: left out of its cost, s.39(2)",IF(AND(P53="L",H53="Cash",N(J53)&gt;=20000),"Loan of ₹20,000 or more repaid in cash: barred, s.188","OK")))))))))))))))</f>
        <v/>
      </c>
      <c r="P53">
        <f>IF(E53="","",IFERROR(VLOOKUP(E53,Lists!$A$2:$B$17,2,FALSE),"?"))</f>
        <v/>
      </c>
      <c r="Q53">
        <f>IF(L53="Cancelled",0,N(J53))</f>
        <v/>
      </c>
      <c r="R53">
        <f>IF(H53="Cash",Q53,0)</f>
        <v/>
      </c>
      <c r="S53">
        <f>IF(OR(P53&lt;&gt;"E",R53=0),0,SUMIFS($R$18:$R$317,$B$18:$B$317,B53,$D$18:$D$317,D53,$P$18:$P$317,"E"))</f>
        <v/>
      </c>
      <c r="T53">
        <f>IF(OR(P53&lt;&gt;"F",R53=0),0,SUMIFS($R$18:$R$317,$B$18:$B$317,B53,$D$18:$D$317,D53,$P$18:$P$317,"F"))</f>
        <v/>
      </c>
      <c r="U53">
        <f>IF(OR(P53&lt;&gt;"A",R53=0),0,SUMIFS($R$18:$R$317,$B$18:$B$317,B53,$D$18:$D$317,D53,$P$18:$P$317,"A"))</f>
        <v/>
      </c>
      <c r="V53">
        <f>IF(OR(N53="",N53="OK",L53="Cancelled"),0,1)</f>
        <v/>
      </c>
    </row>
    <row r="54">
      <c r="B54" s="22" t="n"/>
      <c r="C54" s="23">
        <f>IF(B54="","",$E$9&amp;TEXT(N($E$10)+36,"000"))</f>
        <v/>
      </c>
      <c r="D54" s="14" t="n"/>
      <c r="E54" s="14" t="n"/>
      <c r="F54" s="14" t="n"/>
      <c r="G54" s="24" t="n"/>
      <c r="H54" s="14" t="n"/>
      <c r="I54" s="24" t="n"/>
      <c r="J54" s="25" t="n"/>
      <c r="K54" s="14" t="n"/>
      <c r="L54" s="24" t="n"/>
      <c r="M54" s="26">
        <f>IF(OR(N(J54)=0,L54="Cancelled"),"",IF(AND(N(J54)&gt;5000,H54="Cash"),"Yes: ₹1","No"))</f>
        <v/>
      </c>
      <c r="N54" s="27">
        <f>IF(AND(B54="",D54="",N(J54)=0),"",IF(B54="","Enter the date",IF(AND(ROW()&gt;18,B53=""),"Use the next empty row: a skipped row leaves a gap in the voucher numbers",IF(D54="","Enter who was paid",IF(N(J54)=0,"Enter the amount",IF(E54="","Pick the head of account",IF(P54="?","Pick the head from the list",IF(H54="","Pick how it was paid",IF(L54="Cancelled","Cancelled: keep this number unused and write a fresh voucher",IF(AND(H54&lt;&gt;"Cash",I54=""),"Enter the cheque no., UTR or UPI reference",IF(AND(N($E$11)&gt;0,N(J54)&gt;N($E$11),K54=""),"Above your approval limit: get it approved before paying",IF(S54&gt;10000,"Cash paid to this person today is over ₹10,000: not deductible, s.36(4)",IF(T54&gt;35000,"Cash freight to this transporter today is over ₹35,000: not deductible, s.36(6)",IF(U54&gt;10000,"Asset paid in cash over ₹10,000 today: left out of its cost, s.39(2)",IF(AND(P54="L",H54="Cash",N(J54)&gt;=20000),"Loan of ₹20,000 or more repaid in cash: barred, s.188","OK")))))))))))))))</f>
        <v/>
      </c>
      <c r="P54">
        <f>IF(E54="","",IFERROR(VLOOKUP(E54,Lists!$A$2:$B$17,2,FALSE),"?"))</f>
        <v/>
      </c>
      <c r="Q54">
        <f>IF(L54="Cancelled",0,N(J54))</f>
        <v/>
      </c>
      <c r="R54">
        <f>IF(H54="Cash",Q54,0)</f>
        <v/>
      </c>
      <c r="S54">
        <f>IF(OR(P54&lt;&gt;"E",R54=0),0,SUMIFS($R$18:$R$317,$B$18:$B$317,B54,$D$18:$D$317,D54,$P$18:$P$317,"E"))</f>
        <v/>
      </c>
      <c r="T54">
        <f>IF(OR(P54&lt;&gt;"F",R54=0),0,SUMIFS($R$18:$R$317,$B$18:$B$317,B54,$D$18:$D$317,D54,$P$18:$P$317,"F"))</f>
        <v/>
      </c>
      <c r="U54">
        <f>IF(OR(P54&lt;&gt;"A",R54=0),0,SUMIFS($R$18:$R$317,$B$18:$B$317,B54,$D$18:$D$317,D54,$P$18:$P$317,"A"))</f>
        <v/>
      </c>
      <c r="V54">
        <f>IF(OR(N54="",N54="OK",L54="Cancelled"),0,1)</f>
        <v/>
      </c>
    </row>
    <row r="55">
      <c r="B55" s="22" t="n"/>
      <c r="C55" s="23">
        <f>IF(B55="","",$E$9&amp;TEXT(N($E$10)+37,"000"))</f>
        <v/>
      </c>
      <c r="D55" s="14" t="n"/>
      <c r="E55" s="14" t="n"/>
      <c r="F55" s="14" t="n"/>
      <c r="G55" s="24" t="n"/>
      <c r="H55" s="14" t="n"/>
      <c r="I55" s="24" t="n"/>
      <c r="J55" s="25" t="n"/>
      <c r="K55" s="14" t="n"/>
      <c r="L55" s="24" t="n"/>
      <c r="M55" s="26">
        <f>IF(OR(N(J55)=0,L55="Cancelled"),"",IF(AND(N(J55)&gt;5000,H55="Cash"),"Yes: ₹1","No"))</f>
        <v/>
      </c>
      <c r="N55" s="27">
        <f>IF(AND(B55="",D55="",N(J55)=0),"",IF(B55="","Enter the date",IF(AND(ROW()&gt;18,B54=""),"Use the next empty row: a skipped row leaves a gap in the voucher numbers",IF(D55="","Enter who was paid",IF(N(J55)=0,"Enter the amount",IF(E55="","Pick the head of account",IF(P55="?","Pick the head from the list",IF(H55="","Pick how it was paid",IF(L55="Cancelled","Cancelled: keep this number unused and write a fresh voucher",IF(AND(H55&lt;&gt;"Cash",I55=""),"Enter the cheque no., UTR or UPI reference",IF(AND(N($E$11)&gt;0,N(J55)&gt;N($E$11),K55=""),"Above your approval limit: get it approved before paying",IF(S55&gt;10000,"Cash paid to this person today is over ₹10,000: not deductible, s.36(4)",IF(T55&gt;35000,"Cash freight to this transporter today is over ₹35,000: not deductible, s.36(6)",IF(U55&gt;10000,"Asset paid in cash over ₹10,000 today: left out of its cost, s.39(2)",IF(AND(P55="L",H55="Cash",N(J55)&gt;=20000),"Loan of ₹20,000 or more repaid in cash: barred, s.188","OK")))))))))))))))</f>
        <v/>
      </c>
      <c r="P55">
        <f>IF(E55="","",IFERROR(VLOOKUP(E55,Lists!$A$2:$B$17,2,FALSE),"?"))</f>
        <v/>
      </c>
      <c r="Q55">
        <f>IF(L55="Cancelled",0,N(J55))</f>
        <v/>
      </c>
      <c r="R55">
        <f>IF(H55="Cash",Q55,0)</f>
        <v/>
      </c>
      <c r="S55">
        <f>IF(OR(P55&lt;&gt;"E",R55=0),0,SUMIFS($R$18:$R$317,$B$18:$B$317,B55,$D$18:$D$317,D55,$P$18:$P$317,"E"))</f>
        <v/>
      </c>
      <c r="T55">
        <f>IF(OR(P55&lt;&gt;"F",R55=0),0,SUMIFS($R$18:$R$317,$B$18:$B$317,B55,$D$18:$D$317,D55,$P$18:$P$317,"F"))</f>
        <v/>
      </c>
      <c r="U55">
        <f>IF(OR(P55&lt;&gt;"A",R55=0),0,SUMIFS($R$18:$R$317,$B$18:$B$317,B55,$D$18:$D$317,D55,$P$18:$P$317,"A"))</f>
        <v/>
      </c>
      <c r="V55">
        <f>IF(OR(N55="",N55="OK",L55="Cancelled"),0,1)</f>
        <v/>
      </c>
    </row>
    <row r="56">
      <c r="B56" s="22" t="n"/>
      <c r="C56" s="23">
        <f>IF(B56="","",$E$9&amp;TEXT(N($E$10)+38,"000"))</f>
        <v/>
      </c>
      <c r="D56" s="14" t="n"/>
      <c r="E56" s="14" t="n"/>
      <c r="F56" s="14" t="n"/>
      <c r="G56" s="24" t="n"/>
      <c r="H56" s="14" t="n"/>
      <c r="I56" s="24" t="n"/>
      <c r="J56" s="25" t="n"/>
      <c r="K56" s="14" t="n"/>
      <c r="L56" s="24" t="n"/>
      <c r="M56" s="26">
        <f>IF(OR(N(J56)=0,L56="Cancelled"),"",IF(AND(N(J56)&gt;5000,H56="Cash"),"Yes: ₹1","No"))</f>
        <v/>
      </c>
      <c r="N56" s="27">
        <f>IF(AND(B56="",D56="",N(J56)=0),"",IF(B56="","Enter the date",IF(AND(ROW()&gt;18,B55=""),"Use the next empty row: a skipped row leaves a gap in the voucher numbers",IF(D56="","Enter who was paid",IF(N(J56)=0,"Enter the amount",IF(E56="","Pick the head of account",IF(P56="?","Pick the head from the list",IF(H56="","Pick how it was paid",IF(L56="Cancelled","Cancelled: keep this number unused and write a fresh voucher",IF(AND(H56&lt;&gt;"Cash",I56=""),"Enter the cheque no., UTR or UPI reference",IF(AND(N($E$11)&gt;0,N(J56)&gt;N($E$11),K56=""),"Above your approval limit: get it approved before paying",IF(S56&gt;10000,"Cash paid to this person today is over ₹10,000: not deductible, s.36(4)",IF(T56&gt;35000,"Cash freight to this transporter today is over ₹35,000: not deductible, s.36(6)",IF(U56&gt;10000,"Asset paid in cash over ₹10,000 today: left out of its cost, s.39(2)",IF(AND(P56="L",H56="Cash",N(J56)&gt;=20000),"Loan of ₹20,000 or more repaid in cash: barred, s.188","OK")))))))))))))))</f>
        <v/>
      </c>
      <c r="P56">
        <f>IF(E56="","",IFERROR(VLOOKUP(E56,Lists!$A$2:$B$17,2,FALSE),"?"))</f>
        <v/>
      </c>
      <c r="Q56">
        <f>IF(L56="Cancelled",0,N(J56))</f>
        <v/>
      </c>
      <c r="R56">
        <f>IF(H56="Cash",Q56,0)</f>
        <v/>
      </c>
      <c r="S56">
        <f>IF(OR(P56&lt;&gt;"E",R56=0),0,SUMIFS($R$18:$R$317,$B$18:$B$317,B56,$D$18:$D$317,D56,$P$18:$P$317,"E"))</f>
        <v/>
      </c>
      <c r="T56">
        <f>IF(OR(P56&lt;&gt;"F",R56=0),0,SUMIFS($R$18:$R$317,$B$18:$B$317,B56,$D$18:$D$317,D56,$P$18:$P$317,"F"))</f>
        <v/>
      </c>
      <c r="U56">
        <f>IF(OR(P56&lt;&gt;"A",R56=0),0,SUMIFS($R$18:$R$317,$B$18:$B$317,B56,$D$18:$D$317,D56,$P$18:$P$317,"A"))</f>
        <v/>
      </c>
      <c r="V56">
        <f>IF(OR(N56="",N56="OK",L56="Cancelled"),0,1)</f>
        <v/>
      </c>
    </row>
    <row r="57">
      <c r="B57" s="22" t="n"/>
      <c r="C57" s="23">
        <f>IF(B57="","",$E$9&amp;TEXT(N($E$10)+39,"000"))</f>
        <v/>
      </c>
      <c r="D57" s="14" t="n"/>
      <c r="E57" s="14" t="n"/>
      <c r="F57" s="14" t="n"/>
      <c r="G57" s="24" t="n"/>
      <c r="H57" s="14" t="n"/>
      <c r="I57" s="24" t="n"/>
      <c r="J57" s="25" t="n"/>
      <c r="K57" s="14" t="n"/>
      <c r="L57" s="24" t="n"/>
      <c r="M57" s="26">
        <f>IF(OR(N(J57)=0,L57="Cancelled"),"",IF(AND(N(J57)&gt;5000,H57="Cash"),"Yes: ₹1","No"))</f>
        <v/>
      </c>
      <c r="N57" s="27">
        <f>IF(AND(B57="",D57="",N(J57)=0),"",IF(B57="","Enter the date",IF(AND(ROW()&gt;18,B56=""),"Use the next empty row: a skipped row leaves a gap in the voucher numbers",IF(D57="","Enter who was paid",IF(N(J57)=0,"Enter the amount",IF(E57="","Pick the head of account",IF(P57="?","Pick the head from the list",IF(H57="","Pick how it was paid",IF(L57="Cancelled","Cancelled: keep this number unused and write a fresh voucher",IF(AND(H57&lt;&gt;"Cash",I57=""),"Enter the cheque no., UTR or UPI reference",IF(AND(N($E$11)&gt;0,N(J57)&gt;N($E$11),K57=""),"Above your approval limit: get it approved before paying",IF(S57&gt;10000,"Cash paid to this person today is over ₹10,000: not deductible, s.36(4)",IF(T57&gt;35000,"Cash freight to this transporter today is over ₹35,000: not deductible, s.36(6)",IF(U57&gt;10000,"Asset paid in cash over ₹10,000 today: left out of its cost, s.39(2)",IF(AND(P57="L",H57="Cash",N(J57)&gt;=20000),"Loan of ₹20,000 or more repaid in cash: barred, s.188","OK")))))))))))))))</f>
        <v/>
      </c>
      <c r="P57">
        <f>IF(E57="","",IFERROR(VLOOKUP(E57,Lists!$A$2:$B$17,2,FALSE),"?"))</f>
        <v/>
      </c>
      <c r="Q57">
        <f>IF(L57="Cancelled",0,N(J57))</f>
        <v/>
      </c>
      <c r="R57">
        <f>IF(H57="Cash",Q57,0)</f>
        <v/>
      </c>
      <c r="S57">
        <f>IF(OR(P57&lt;&gt;"E",R57=0),0,SUMIFS($R$18:$R$317,$B$18:$B$317,B57,$D$18:$D$317,D57,$P$18:$P$317,"E"))</f>
        <v/>
      </c>
      <c r="T57">
        <f>IF(OR(P57&lt;&gt;"F",R57=0),0,SUMIFS($R$18:$R$317,$B$18:$B$317,B57,$D$18:$D$317,D57,$P$18:$P$317,"F"))</f>
        <v/>
      </c>
      <c r="U57">
        <f>IF(OR(P57&lt;&gt;"A",R57=0),0,SUMIFS($R$18:$R$317,$B$18:$B$317,B57,$D$18:$D$317,D57,$P$18:$P$317,"A"))</f>
        <v/>
      </c>
      <c r="V57">
        <f>IF(OR(N57="",N57="OK",L57="Cancelled"),0,1)</f>
        <v/>
      </c>
    </row>
    <row r="58">
      <c r="B58" s="22" t="n"/>
      <c r="C58" s="23">
        <f>IF(B58="","",$E$9&amp;TEXT(N($E$10)+40,"000"))</f>
        <v/>
      </c>
      <c r="D58" s="14" t="n"/>
      <c r="E58" s="14" t="n"/>
      <c r="F58" s="14" t="n"/>
      <c r="G58" s="24" t="n"/>
      <c r="H58" s="14" t="n"/>
      <c r="I58" s="24" t="n"/>
      <c r="J58" s="25" t="n"/>
      <c r="K58" s="14" t="n"/>
      <c r="L58" s="24" t="n"/>
      <c r="M58" s="26">
        <f>IF(OR(N(J58)=0,L58="Cancelled"),"",IF(AND(N(J58)&gt;5000,H58="Cash"),"Yes: ₹1","No"))</f>
        <v/>
      </c>
      <c r="N58" s="27">
        <f>IF(AND(B58="",D58="",N(J58)=0),"",IF(B58="","Enter the date",IF(AND(ROW()&gt;18,B57=""),"Use the next empty row: a skipped row leaves a gap in the voucher numbers",IF(D58="","Enter who was paid",IF(N(J58)=0,"Enter the amount",IF(E58="","Pick the head of account",IF(P58="?","Pick the head from the list",IF(H58="","Pick how it was paid",IF(L58="Cancelled","Cancelled: keep this number unused and write a fresh voucher",IF(AND(H58&lt;&gt;"Cash",I58=""),"Enter the cheque no., UTR or UPI reference",IF(AND(N($E$11)&gt;0,N(J58)&gt;N($E$11),K58=""),"Above your approval limit: get it approved before paying",IF(S58&gt;10000,"Cash paid to this person today is over ₹10,000: not deductible, s.36(4)",IF(T58&gt;35000,"Cash freight to this transporter today is over ₹35,000: not deductible, s.36(6)",IF(U58&gt;10000,"Asset paid in cash over ₹10,000 today: left out of its cost, s.39(2)",IF(AND(P58="L",H58="Cash",N(J58)&gt;=20000),"Loan of ₹20,000 or more repaid in cash: barred, s.188","OK")))))))))))))))</f>
        <v/>
      </c>
      <c r="P58">
        <f>IF(E58="","",IFERROR(VLOOKUP(E58,Lists!$A$2:$B$17,2,FALSE),"?"))</f>
        <v/>
      </c>
      <c r="Q58">
        <f>IF(L58="Cancelled",0,N(J58))</f>
        <v/>
      </c>
      <c r="R58">
        <f>IF(H58="Cash",Q58,0)</f>
        <v/>
      </c>
      <c r="S58">
        <f>IF(OR(P58&lt;&gt;"E",R58=0),0,SUMIFS($R$18:$R$317,$B$18:$B$317,B58,$D$18:$D$317,D58,$P$18:$P$317,"E"))</f>
        <v/>
      </c>
      <c r="T58">
        <f>IF(OR(P58&lt;&gt;"F",R58=0),0,SUMIFS($R$18:$R$317,$B$18:$B$317,B58,$D$18:$D$317,D58,$P$18:$P$317,"F"))</f>
        <v/>
      </c>
      <c r="U58">
        <f>IF(OR(P58&lt;&gt;"A",R58=0),0,SUMIFS($R$18:$R$317,$B$18:$B$317,B58,$D$18:$D$317,D58,$P$18:$P$317,"A"))</f>
        <v/>
      </c>
      <c r="V58">
        <f>IF(OR(N58="",N58="OK",L58="Cancelled"),0,1)</f>
        <v/>
      </c>
    </row>
    <row r="59">
      <c r="B59" s="22" t="n"/>
      <c r="C59" s="23">
        <f>IF(B59="","",$E$9&amp;TEXT(N($E$10)+41,"000"))</f>
        <v/>
      </c>
      <c r="D59" s="14" t="n"/>
      <c r="E59" s="14" t="n"/>
      <c r="F59" s="14" t="n"/>
      <c r="G59" s="24" t="n"/>
      <c r="H59" s="14" t="n"/>
      <c r="I59" s="24" t="n"/>
      <c r="J59" s="25" t="n"/>
      <c r="K59" s="14" t="n"/>
      <c r="L59" s="24" t="n"/>
      <c r="M59" s="26">
        <f>IF(OR(N(J59)=0,L59="Cancelled"),"",IF(AND(N(J59)&gt;5000,H59="Cash"),"Yes: ₹1","No"))</f>
        <v/>
      </c>
      <c r="N59" s="27">
        <f>IF(AND(B59="",D59="",N(J59)=0),"",IF(B59="","Enter the date",IF(AND(ROW()&gt;18,B58=""),"Use the next empty row: a skipped row leaves a gap in the voucher numbers",IF(D59="","Enter who was paid",IF(N(J59)=0,"Enter the amount",IF(E59="","Pick the head of account",IF(P59="?","Pick the head from the list",IF(H59="","Pick how it was paid",IF(L59="Cancelled","Cancelled: keep this number unused and write a fresh voucher",IF(AND(H59&lt;&gt;"Cash",I59=""),"Enter the cheque no., UTR or UPI reference",IF(AND(N($E$11)&gt;0,N(J59)&gt;N($E$11),K59=""),"Above your approval limit: get it approved before paying",IF(S59&gt;10000,"Cash paid to this person today is over ₹10,000: not deductible, s.36(4)",IF(T59&gt;35000,"Cash freight to this transporter today is over ₹35,000: not deductible, s.36(6)",IF(U59&gt;10000,"Asset paid in cash over ₹10,000 today: left out of its cost, s.39(2)",IF(AND(P59="L",H59="Cash",N(J59)&gt;=20000),"Loan of ₹20,000 or more repaid in cash: barred, s.188","OK")))))))))))))))</f>
        <v/>
      </c>
      <c r="P59">
        <f>IF(E59="","",IFERROR(VLOOKUP(E59,Lists!$A$2:$B$17,2,FALSE),"?"))</f>
        <v/>
      </c>
      <c r="Q59">
        <f>IF(L59="Cancelled",0,N(J59))</f>
        <v/>
      </c>
      <c r="R59">
        <f>IF(H59="Cash",Q59,0)</f>
        <v/>
      </c>
      <c r="S59">
        <f>IF(OR(P59&lt;&gt;"E",R59=0),0,SUMIFS($R$18:$R$317,$B$18:$B$317,B59,$D$18:$D$317,D59,$P$18:$P$317,"E"))</f>
        <v/>
      </c>
      <c r="T59">
        <f>IF(OR(P59&lt;&gt;"F",R59=0),0,SUMIFS($R$18:$R$317,$B$18:$B$317,B59,$D$18:$D$317,D59,$P$18:$P$317,"F"))</f>
        <v/>
      </c>
      <c r="U59">
        <f>IF(OR(P59&lt;&gt;"A",R59=0),0,SUMIFS($R$18:$R$317,$B$18:$B$317,B59,$D$18:$D$317,D59,$P$18:$P$317,"A"))</f>
        <v/>
      </c>
      <c r="V59">
        <f>IF(OR(N59="",N59="OK",L59="Cancelled"),0,1)</f>
        <v/>
      </c>
    </row>
    <row r="60">
      <c r="B60" s="22" t="n"/>
      <c r="C60" s="23">
        <f>IF(B60="","",$E$9&amp;TEXT(N($E$10)+42,"000"))</f>
        <v/>
      </c>
      <c r="D60" s="14" t="n"/>
      <c r="E60" s="14" t="n"/>
      <c r="F60" s="14" t="n"/>
      <c r="G60" s="24" t="n"/>
      <c r="H60" s="14" t="n"/>
      <c r="I60" s="24" t="n"/>
      <c r="J60" s="25" t="n"/>
      <c r="K60" s="14" t="n"/>
      <c r="L60" s="24" t="n"/>
      <c r="M60" s="26">
        <f>IF(OR(N(J60)=0,L60="Cancelled"),"",IF(AND(N(J60)&gt;5000,H60="Cash"),"Yes: ₹1","No"))</f>
        <v/>
      </c>
      <c r="N60" s="27">
        <f>IF(AND(B60="",D60="",N(J60)=0),"",IF(B60="","Enter the date",IF(AND(ROW()&gt;18,B59=""),"Use the next empty row: a skipped row leaves a gap in the voucher numbers",IF(D60="","Enter who was paid",IF(N(J60)=0,"Enter the amount",IF(E60="","Pick the head of account",IF(P60="?","Pick the head from the list",IF(H60="","Pick how it was paid",IF(L60="Cancelled","Cancelled: keep this number unused and write a fresh voucher",IF(AND(H60&lt;&gt;"Cash",I60=""),"Enter the cheque no., UTR or UPI reference",IF(AND(N($E$11)&gt;0,N(J60)&gt;N($E$11),K60=""),"Above your approval limit: get it approved before paying",IF(S60&gt;10000,"Cash paid to this person today is over ₹10,000: not deductible, s.36(4)",IF(T60&gt;35000,"Cash freight to this transporter today is over ₹35,000: not deductible, s.36(6)",IF(U60&gt;10000,"Asset paid in cash over ₹10,000 today: left out of its cost, s.39(2)",IF(AND(P60="L",H60="Cash",N(J60)&gt;=20000),"Loan of ₹20,000 or more repaid in cash: barred, s.188","OK")))))))))))))))</f>
        <v/>
      </c>
      <c r="P60">
        <f>IF(E60="","",IFERROR(VLOOKUP(E60,Lists!$A$2:$B$17,2,FALSE),"?"))</f>
        <v/>
      </c>
      <c r="Q60">
        <f>IF(L60="Cancelled",0,N(J60))</f>
        <v/>
      </c>
      <c r="R60">
        <f>IF(H60="Cash",Q60,0)</f>
        <v/>
      </c>
      <c r="S60">
        <f>IF(OR(P60&lt;&gt;"E",R60=0),0,SUMIFS($R$18:$R$317,$B$18:$B$317,B60,$D$18:$D$317,D60,$P$18:$P$317,"E"))</f>
        <v/>
      </c>
      <c r="T60">
        <f>IF(OR(P60&lt;&gt;"F",R60=0),0,SUMIFS($R$18:$R$317,$B$18:$B$317,B60,$D$18:$D$317,D60,$P$18:$P$317,"F"))</f>
        <v/>
      </c>
      <c r="U60">
        <f>IF(OR(P60&lt;&gt;"A",R60=0),0,SUMIFS($R$18:$R$317,$B$18:$B$317,B60,$D$18:$D$317,D60,$P$18:$P$317,"A"))</f>
        <v/>
      </c>
      <c r="V60">
        <f>IF(OR(N60="",N60="OK",L60="Cancelled"),0,1)</f>
        <v/>
      </c>
    </row>
    <row r="61">
      <c r="B61" s="22" t="n"/>
      <c r="C61" s="23">
        <f>IF(B61="","",$E$9&amp;TEXT(N($E$10)+43,"000"))</f>
        <v/>
      </c>
      <c r="D61" s="14" t="n"/>
      <c r="E61" s="14" t="n"/>
      <c r="F61" s="14" t="n"/>
      <c r="G61" s="24" t="n"/>
      <c r="H61" s="14" t="n"/>
      <c r="I61" s="24" t="n"/>
      <c r="J61" s="25" t="n"/>
      <c r="K61" s="14" t="n"/>
      <c r="L61" s="24" t="n"/>
      <c r="M61" s="26">
        <f>IF(OR(N(J61)=0,L61="Cancelled"),"",IF(AND(N(J61)&gt;5000,H61="Cash"),"Yes: ₹1","No"))</f>
        <v/>
      </c>
      <c r="N61" s="27">
        <f>IF(AND(B61="",D61="",N(J61)=0),"",IF(B61="","Enter the date",IF(AND(ROW()&gt;18,B60=""),"Use the next empty row: a skipped row leaves a gap in the voucher numbers",IF(D61="","Enter who was paid",IF(N(J61)=0,"Enter the amount",IF(E61="","Pick the head of account",IF(P61="?","Pick the head from the list",IF(H61="","Pick how it was paid",IF(L61="Cancelled","Cancelled: keep this number unused and write a fresh voucher",IF(AND(H61&lt;&gt;"Cash",I61=""),"Enter the cheque no., UTR or UPI reference",IF(AND(N($E$11)&gt;0,N(J61)&gt;N($E$11),K61=""),"Above your approval limit: get it approved before paying",IF(S61&gt;10000,"Cash paid to this person today is over ₹10,000: not deductible, s.36(4)",IF(T61&gt;35000,"Cash freight to this transporter today is over ₹35,000: not deductible, s.36(6)",IF(U61&gt;10000,"Asset paid in cash over ₹10,000 today: left out of its cost, s.39(2)",IF(AND(P61="L",H61="Cash",N(J61)&gt;=20000),"Loan of ₹20,000 or more repaid in cash: barred, s.188","OK")))))))))))))))</f>
        <v/>
      </c>
      <c r="P61">
        <f>IF(E61="","",IFERROR(VLOOKUP(E61,Lists!$A$2:$B$17,2,FALSE),"?"))</f>
        <v/>
      </c>
      <c r="Q61">
        <f>IF(L61="Cancelled",0,N(J61))</f>
        <v/>
      </c>
      <c r="R61">
        <f>IF(H61="Cash",Q61,0)</f>
        <v/>
      </c>
      <c r="S61">
        <f>IF(OR(P61&lt;&gt;"E",R61=0),0,SUMIFS($R$18:$R$317,$B$18:$B$317,B61,$D$18:$D$317,D61,$P$18:$P$317,"E"))</f>
        <v/>
      </c>
      <c r="T61">
        <f>IF(OR(P61&lt;&gt;"F",R61=0),0,SUMIFS($R$18:$R$317,$B$18:$B$317,B61,$D$18:$D$317,D61,$P$18:$P$317,"F"))</f>
        <v/>
      </c>
      <c r="U61">
        <f>IF(OR(P61&lt;&gt;"A",R61=0),0,SUMIFS($R$18:$R$317,$B$18:$B$317,B61,$D$18:$D$317,D61,$P$18:$P$317,"A"))</f>
        <v/>
      </c>
      <c r="V61">
        <f>IF(OR(N61="",N61="OK",L61="Cancelled"),0,1)</f>
        <v/>
      </c>
    </row>
    <row r="62">
      <c r="B62" s="22" t="n"/>
      <c r="C62" s="23">
        <f>IF(B62="","",$E$9&amp;TEXT(N($E$10)+44,"000"))</f>
        <v/>
      </c>
      <c r="D62" s="14" t="n"/>
      <c r="E62" s="14" t="n"/>
      <c r="F62" s="14" t="n"/>
      <c r="G62" s="24" t="n"/>
      <c r="H62" s="14" t="n"/>
      <c r="I62" s="24" t="n"/>
      <c r="J62" s="25" t="n"/>
      <c r="K62" s="14" t="n"/>
      <c r="L62" s="24" t="n"/>
      <c r="M62" s="26">
        <f>IF(OR(N(J62)=0,L62="Cancelled"),"",IF(AND(N(J62)&gt;5000,H62="Cash"),"Yes: ₹1","No"))</f>
        <v/>
      </c>
      <c r="N62" s="27">
        <f>IF(AND(B62="",D62="",N(J62)=0),"",IF(B62="","Enter the date",IF(AND(ROW()&gt;18,B61=""),"Use the next empty row: a skipped row leaves a gap in the voucher numbers",IF(D62="","Enter who was paid",IF(N(J62)=0,"Enter the amount",IF(E62="","Pick the head of account",IF(P62="?","Pick the head from the list",IF(H62="","Pick how it was paid",IF(L62="Cancelled","Cancelled: keep this number unused and write a fresh voucher",IF(AND(H62&lt;&gt;"Cash",I62=""),"Enter the cheque no., UTR or UPI reference",IF(AND(N($E$11)&gt;0,N(J62)&gt;N($E$11),K62=""),"Above your approval limit: get it approved before paying",IF(S62&gt;10000,"Cash paid to this person today is over ₹10,000: not deductible, s.36(4)",IF(T62&gt;35000,"Cash freight to this transporter today is over ₹35,000: not deductible, s.36(6)",IF(U62&gt;10000,"Asset paid in cash over ₹10,000 today: left out of its cost, s.39(2)",IF(AND(P62="L",H62="Cash",N(J62)&gt;=20000),"Loan of ₹20,000 or more repaid in cash: barred, s.188","OK")))))))))))))))</f>
        <v/>
      </c>
      <c r="P62">
        <f>IF(E62="","",IFERROR(VLOOKUP(E62,Lists!$A$2:$B$17,2,FALSE),"?"))</f>
        <v/>
      </c>
      <c r="Q62">
        <f>IF(L62="Cancelled",0,N(J62))</f>
        <v/>
      </c>
      <c r="R62">
        <f>IF(H62="Cash",Q62,0)</f>
        <v/>
      </c>
      <c r="S62">
        <f>IF(OR(P62&lt;&gt;"E",R62=0),0,SUMIFS($R$18:$R$317,$B$18:$B$317,B62,$D$18:$D$317,D62,$P$18:$P$317,"E"))</f>
        <v/>
      </c>
      <c r="T62">
        <f>IF(OR(P62&lt;&gt;"F",R62=0),0,SUMIFS($R$18:$R$317,$B$18:$B$317,B62,$D$18:$D$317,D62,$P$18:$P$317,"F"))</f>
        <v/>
      </c>
      <c r="U62">
        <f>IF(OR(P62&lt;&gt;"A",R62=0),0,SUMIFS($R$18:$R$317,$B$18:$B$317,B62,$D$18:$D$317,D62,$P$18:$P$317,"A"))</f>
        <v/>
      </c>
      <c r="V62">
        <f>IF(OR(N62="",N62="OK",L62="Cancelled"),0,1)</f>
        <v/>
      </c>
    </row>
    <row r="63">
      <c r="B63" s="22" t="n"/>
      <c r="C63" s="23">
        <f>IF(B63="","",$E$9&amp;TEXT(N($E$10)+45,"000"))</f>
        <v/>
      </c>
      <c r="D63" s="14" t="n"/>
      <c r="E63" s="14" t="n"/>
      <c r="F63" s="14" t="n"/>
      <c r="G63" s="24" t="n"/>
      <c r="H63" s="14" t="n"/>
      <c r="I63" s="24" t="n"/>
      <c r="J63" s="25" t="n"/>
      <c r="K63" s="14" t="n"/>
      <c r="L63" s="24" t="n"/>
      <c r="M63" s="26">
        <f>IF(OR(N(J63)=0,L63="Cancelled"),"",IF(AND(N(J63)&gt;5000,H63="Cash"),"Yes: ₹1","No"))</f>
        <v/>
      </c>
      <c r="N63" s="27">
        <f>IF(AND(B63="",D63="",N(J63)=0),"",IF(B63="","Enter the date",IF(AND(ROW()&gt;18,B62=""),"Use the next empty row: a skipped row leaves a gap in the voucher numbers",IF(D63="","Enter who was paid",IF(N(J63)=0,"Enter the amount",IF(E63="","Pick the head of account",IF(P63="?","Pick the head from the list",IF(H63="","Pick how it was paid",IF(L63="Cancelled","Cancelled: keep this number unused and write a fresh voucher",IF(AND(H63&lt;&gt;"Cash",I63=""),"Enter the cheque no., UTR or UPI reference",IF(AND(N($E$11)&gt;0,N(J63)&gt;N($E$11),K63=""),"Above your approval limit: get it approved before paying",IF(S63&gt;10000,"Cash paid to this person today is over ₹10,000: not deductible, s.36(4)",IF(T63&gt;35000,"Cash freight to this transporter today is over ₹35,000: not deductible, s.36(6)",IF(U63&gt;10000,"Asset paid in cash over ₹10,000 today: left out of its cost, s.39(2)",IF(AND(P63="L",H63="Cash",N(J63)&gt;=20000),"Loan of ₹20,000 or more repaid in cash: barred, s.188","OK")))))))))))))))</f>
        <v/>
      </c>
      <c r="P63">
        <f>IF(E63="","",IFERROR(VLOOKUP(E63,Lists!$A$2:$B$17,2,FALSE),"?"))</f>
        <v/>
      </c>
      <c r="Q63">
        <f>IF(L63="Cancelled",0,N(J63))</f>
        <v/>
      </c>
      <c r="R63">
        <f>IF(H63="Cash",Q63,0)</f>
        <v/>
      </c>
      <c r="S63">
        <f>IF(OR(P63&lt;&gt;"E",R63=0),0,SUMIFS($R$18:$R$317,$B$18:$B$317,B63,$D$18:$D$317,D63,$P$18:$P$317,"E"))</f>
        <v/>
      </c>
      <c r="T63">
        <f>IF(OR(P63&lt;&gt;"F",R63=0),0,SUMIFS($R$18:$R$317,$B$18:$B$317,B63,$D$18:$D$317,D63,$P$18:$P$317,"F"))</f>
        <v/>
      </c>
      <c r="U63">
        <f>IF(OR(P63&lt;&gt;"A",R63=0),0,SUMIFS($R$18:$R$317,$B$18:$B$317,B63,$D$18:$D$317,D63,$P$18:$P$317,"A"))</f>
        <v/>
      </c>
      <c r="V63">
        <f>IF(OR(N63="",N63="OK",L63="Cancelled"),0,1)</f>
        <v/>
      </c>
    </row>
    <row r="64">
      <c r="B64" s="22" t="n"/>
      <c r="C64" s="23">
        <f>IF(B64="","",$E$9&amp;TEXT(N($E$10)+46,"000"))</f>
        <v/>
      </c>
      <c r="D64" s="14" t="n"/>
      <c r="E64" s="14" t="n"/>
      <c r="F64" s="14" t="n"/>
      <c r="G64" s="24" t="n"/>
      <c r="H64" s="14" t="n"/>
      <c r="I64" s="24" t="n"/>
      <c r="J64" s="25" t="n"/>
      <c r="K64" s="14" t="n"/>
      <c r="L64" s="24" t="n"/>
      <c r="M64" s="26">
        <f>IF(OR(N(J64)=0,L64="Cancelled"),"",IF(AND(N(J64)&gt;5000,H64="Cash"),"Yes: ₹1","No"))</f>
        <v/>
      </c>
      <c r="N64" s="27">
        <f>IF(AND(B64="",D64="",N(J64)=0),"",IF(B64="","Enter the date",IF(AND(ROW()&gt;18,B63=""),"Use the next empty row: a skipped row leaves a gap in the voucher numbers",IF(D64="","Enter who was paid",IF(N(J64)=0,"Enter the amount",IF(E64="","Pick the head of account",IF(P64="?","Pick the head from the list",IF(H64="","Pick how it was paid",IF(L64="Cancelled","Cancelled: keep this number unused and write a fresh voucher",IF(AND(H64&lt;&gt;"Cash",I64=""),"Enter the cheque no., UTR or UPI reference",IF(AND(N($E$11)&gt;0,N(J64)&gt;N($E$11),K64=""),"Above your approval limit: get it approved before paying",IF(S64&gt;10000,"Cash paid to this person today is over ₹10,000: not deductible, s.36(4)",IF(T64&gt;35000,"Cash freight to this transporter today is over ₹35,000: not deductible, s.36(6)",IF(U64&gt;10000,"Asset paid in cash over ₹10,000 today: left out of its cost, s.39(2)",IF(AND(P64="L",H64="Cash",N(J64)&gt;=20000),"Loan of ₹20,000 or more repaid in cash: barred, s.188","OK")))))))))))))))</f>
        <v/>
      </c>
      <c r="P64">
        <f>IF(E64="","",IFERROR(VLOOKUP(E64,Lists!$A$2:$B$17,2,FALSE),"?"))</f>
        <v/>
      </c>
      <c r="Q64">
        <f>IF(L64="Cancelled",0,N(J64))</f>
        <v/>
      </c>
      <c r="R64">
        <f>IF(H64="Cash",Q64,0)</f>
        <v/>
      </c>
      <c r="S64">
        <f>IF(OR(P64&lt;&gt;"E",R64=0),0,SUMIFS($R$18:$R$317,$B$18:$B$317,B64,$D$18:$D$317,D64,$P$18:$P$317,"E"))</f>
        <v/>
      </c>
      <c r="T64">
        <f>IF(OR(P64&lt;&gt;"F",R64=0),0,SUMIFS($R$18:$R$317,$B$18:$B$317,B64,$D$18:$D$317,D64,$P$18:$P$317,"F"))</f>
        <v/>
      </c>
      <c r="U64">
        <f>IF(OR(P64&lt;&gt;"A",R64=0),0,SUMIFS($R$18:$R$317,$B$18:$B$317,B64,$D$18:$D$317,D64,$P$18:$P$317,"A"))</f>
        <v/>
      </c>
      <c r="V64">
        <f>IF(OR(N64="",N64="OK",L64="Cancelled"),0,1)</f>
        <v/>
      </c>
    </row>
    <row r="65">
      <c r="B65" s="22" t="n"/>
      <c r="C65" s="23">
        <f>IF(B65="","",$E$9&amp;TEXT(N($E$10)+47,"000"))</f>
        <v/>
      </c>
      <c r="D65" s="14" t="n"/>
      <c r="E65" s="14" t="n"/>
      <c r="F65" s="14" t="n"/>
      <c r="G65" s="24" t="n"/>
      <c r="H65" s="14" t="n"/>
      <c r="I65" s="24" t="n"/>
      <c r="J65" s="25" t="n"/>
      <c r="K65" s="14" t="n"/>
      <c r="L65" s="24" t="n"/>
      <c r="M65" s="26">
        <f>IF(OR(N(J65)=0,L65="Cancelled"),"",IF(AND(N(J65)&gt;5000,H65="Cash"),"Yes: ₹1","No"))</f>
        <v/>
      </c>
      <c r="N65" s="27">
        <f>IF(AND(B65="",D65="",N(J65)=0),"",IF(B65="","Enter the date",IF(AND(ROW()&gt;18,B64=""),"Use the next empty row: a skipped row leaves a gap in the voucher numbers",IF(D65="","Enter who was paid",IF(N(J65)=0,"Enter the amount",IF(E65="","Pick the head of account",IF(P65="?","Pick the head from the list",IF(H65="","Pick how it was paid",IF(L65="Cancelled","Cancelled: keep this number unused and write a fresh voucher",IF(AND(H65&lt;&gt;"Cash",I65=""),"Enter the cheque no., UTR or UPI reference",IF(AND(N($E$11)&gt;0,N(J65)&gt;N($E$11),K65=""),"Above your approval limit: get it approved before paying",IF(S65&gt;10000,"Cash paid to this person today is over ₹10,000: not deductible, s.36(4)",IF(T65&gt;35000,"Cash freight to this transporter today is over ₹35,000: not deductible, s.36(6)",IF(U65&gt;10000,"Asset paid in cash over ₹10,000 today: left out of its cost, s.39(2)",IF(AND(P65="L",H65="Cash",N(J65)&gt;=20000),"Loan of ₹20,000 or more repaid in cash: barred, s.188","OK")))))))))))))))</f>
        <v/>
      </c>
      <c r="P65">
        <f>IF(E65="","",IFERROR(VLOOKUP(E65,Lists!$A$2:$B$17,2,FALSE),"?"))</f>
        <v/>
      </c>
      <c r="Q65">
        <f>IF(L65="Cancelled",0,N(J65))</f>
        <v/>
      </c>
      <c r="R65">
        <f>IF(H65="Cash",Q65,0)</f>
        <v/>
      </c>
      <c r="S65">
        <f>IF(OR(P65&lt;&gt;"E",R65=0),0,SUMIFS($R$18:$R$317,$B$18:$B$317,B65,$D$18:$D$317,D65,$P$18:$P$317,"E"))</f>
        <v/>
      </c>
      <c r="T65">
        <f>IF(OR(P65&lt;&gt;"F",R65=0),0,SUMIFS($R$18:$R$317,$B$18:$B$317,B65,$D$18:$D$317,D65,$P$18:$P$317,"F"))</f>
        <v/>
      </c>
      <c r="U65">
        <f>IF(OR(P65&lt;&gt;"A",R65=0),0,SUMIFS($R$18:$R$317,$B$18:$B$317,B65,$D$18:$D$317,D65,$P$18:$P$317,"A"))</f>
        <v/>
      </c>
      <c r="V65">
        <f>IF(OR(N65="",N65="OK",L65="Cancelled"),0,1)</f>
        <v/>
      </c>
    </row>
    <row r="66">
      <c r="B66" s="22" t="n"/>
      <c r="C66" s="23">
        <f>IF(B66="","",$E$9&amp;TEXT(N($E$10)+48,"000"))</f>
        <v/>
      </c>
      <c r="D66" s="14" t="n"/>
      <c r="E66" s="14" t="n"/>
      <c r="F66" s="14" t="n"/>
      <c r="G66" s="24" t="n"/>
      <c r="H66" s="14" t="n"/>
      <c r="I66" s="24" t="n"/>
      <c r="J66" s="25" t="n"/>
      <c r="K66" s="14" t="n"/>
      <c r="L66" s="24" t="n"/>
      <c r="M66" s="26">
        <f>IF(OR(N(J66)=0,L66="Cancelled"),"",IF(AND(N(J66)&gt;5000,H66="Cash"),"Yes: ₹1","No"))</f>
        <v/>
      </c>
      <c r="N66" s="27">
        <f>IF(AND(B66="",D66="",N(J66)=0),"",IF(B66="","Enter the date",IF(AND(ROW()&gt;18,B65=""),"Use the next empty row: a skipped row leaves a gap in the voucher numbers",IF(D66="","Enter who was paid",IF(N(J66)=0,"Enter the amount",IF(E66="","Pick the head of account",IF(P66="?","Pick the head from the list",IF(H66="","Pick how it was paid",IF(L66="Cancelled","Cancelled: keep this number unused and write a fresh voucher",IF(AND(H66&lt;&gt;"Cash",I66=""),"Enter the cheque no., UTR or UPI reference",IF(AND(N($E$11)&gt;0,N(J66)&gt;N($E$11),K66=""),"Above your approval limit: get it approved before paying",IF(S66&gt;10000,"Cash paid to this person today is over ₹10,000: not deductible, s.36(4)",IF(T66&gt;35000,"Cash freight to this transporter today is over ₹35,000: not deductible, s.36(6)",IF(U66&gt;10000,"Asset paid in cash over ₹10,000 today: left out of its cost, s.39(2)",IF(AND(P66="L",H66="Cash",N(J66)&gt;=20000),"Loan of ₹20,000 or more repaid in cash: barred, s.188","OK")))))))))))))))</f>
        <v/>
      </c>
      <c r="P66">
        <f>IF(E66="","",IFERROR(VLOOKUP(E66,Lists!$A$2:$B$17,2,FALSE),"?"))</f>
        <v/>
      </c>
      <c r="Q66">
        <f>IF(L66="Cancelled",0,N(J66))</f>
        <v/>
      </c>
      <c r="R66">
        <f>IF(H66="Cash",Q66,0)</f>
        <v/>
      </c>
      <c r="S66">
        <f>IF(OR(P66&lt;&gt;"E",R66=0),0,SUMIFS($R$18:$R$317,$B$18:$B$317,B66,$D$18:$D$317,D66,$P$18:$P$317,"E"))</f>
        <v/>
      </c>
      <c r="T66">
        <f>IF(OR(P66&lt;&gt;"F",R66=0),0,SUMIFS($R$18:$R$317,$B$18:$B$317,B66,$D$18:$D$317,D66,$P$18:$P$317,"F"))</f>
        <v/>
      </c>
      <c r="U66">
        <f>IF(OR(P66&lt;&gt;"A",R66=0),0,SUMIFS($R$18:$R$317,$B$18:$B$317,B66,$D$18:$D$317,D66,$P$18:$P$317,"A"))</f>
        <v/>
      </c>
      <c r="V66">
        <f>IF(OR(N66="",N66="OK",L66="Cancelled"),0,1)</f>
        <v/>
      </c>
    </row>
    <row r="67">
      <c r="B67" s="22" t="n"/>
      <c r="C67" s="23">
        <f>IF(B67="","",$E$9&amp;TEXT(N($E$10)+49,"000"))</f>
        <v/>
      </c>
      <c r="D67" s="14" t="n"/>
      <c r="E67" s="14" t="n"/>
      <c r="F67" s="14" t="n"/>
      <c r="G67" s="24" t="n"/>
      <c r="H67" s="14" t="n"/>
      <c r="I67" s="24" t="n"/>
      <c r="J67" s="25" t="n"/>
      <c r="K67" s="14" t="n"/>
      <c r="L67" s="24" t="n"/>
      <c r="M67" s="26">
        <f>IF(OR(N(J67)=0,L67="Cancelled"),"",IF(AND(N(J67)&gt;5000,H67="Cash"),"Yes: ₹1","No"))</f>
        <v/>
      </c>
      <c r="N67" s="27">
        <f>IF(AND(B67="",D67="",N(J67)=0),"",IF(B67="","Enter the date",IF(AND(ROW()&gt;18,B66=""),"Use the next empty row: a skipped row leaves a gap in the voucher numbers",IF(D67="","Enter who was paid",IF(N(J67)=0,"Enter the amount",IF(E67="","Pick the head of account",IF(P67="?","Pick the head from the list",IF(H67="","Pick how it was paid",IF(L67="Cancelled","Cancelled: keep this number unused and write a fresh voucher",IF(AND(H67&lt;&gt;"Cash",I67=""),"Enter the cheque no., UTR or UPI reference",IF(AND(N($E$11)&gt;0,N(J67)&gt;N($E$11),K67=""),"Above your approval limit: get it approved before paying",IF(S67&gt;10000,"Cash paid to this person today is over ₹10,000: not deductible, s.36(4)",IF(T67&gt;35000,"Cash freight to this transporter today is over ₹35,000: not deductible, s.36(6)",IF(U67&gt;10000,"Asset paid in cash over ₹10,000 today: left out of its cost, s.39(2)",IF(AND(P67="L",H67="Cash",N(J67)&gt;=20000),"Loan of ₹20,000 or more repaid in cash: barred, s.188","OK")))))))))))))))</f>
        <v/>
      </c>
      <c r="P67">
        <f>IF(E67="","",IFERROR(VLOOKUP(E67,Lists!$A$2:$B$17,2,FALSE),"?"))</f>
        <v/>
      </c>
      <c r="Q67">
        <f>IF(L67="Cancelled",0,N(J67))</f>
        <v/>
      </c>
      <c r="R67">
        <f>IF(H67="Cash",Q67,0)</f>
        <v/>
      </c>
      <c r="S67">
        <f>IF(OR(P67&lt;&gt;"E",R67=0),0,SUMIFS($R$18:$R$317,$B$18:$B$317,B67,$D$18:$D$317,D67,$P$18:$P$317,"E"))</f>
        <v/>
      </c>
      <c r="T67">
        <f>IF(OR(P67&lt;&gt;"F",R67=0),0,SUMIFS($R$18:$R$317,$B$18:$B$317,B67,$D$18:$D$317,D67,$P$18:$P$317,"F"))</f>
        <v/>
      </c>
      <c r="U67">
        <f>IF(OR(P67&lt;&gt;"A",R67=0),0,SUMIFS($R$18:$R$317,$B$18:$B$317,B67,$D$18:$D$317,D67,$P$18:$P$317,"A"))</f>
        <v/>
      </c>
      <c r="V67">
        <f>IF(OR(N67="",N67="OK",L67="Cancelled"),0,1)</f>
        <v/>
      </c>
    </row>
    <row r="68">
      <c r="B68" s="22" t="n"/>
      <c r="C68" s="23">
        <f>IF(B68="","",$E$9&amp;TEXT(N($E$10)+50,"000"))</f>
        <v/>
      </c>
      <c r="D68" s="14" t="n"/>
      <c r="E68" s="14" t="n"/>
      <c r="F68" s="14" t="n"/>
      <c r="G68" s="24" t="n"/>
      <c r="H68" s="14" t="n"/>
      <c r="I68" s="24" t="n"/>
      <c r="J68" s="25" t="n"/>
      <c r="K68" s="14" t="n"/>
      <c r="L68" s="24" t="n"/>
      <c r="M68" s="26">
        <f>IF(OR(N(J68)=0,L68="Cancelled"),"",IF(AND(N(J68)&gt;5000,H68="Cash"),"Yes: ₹1","No"))</f>
        <v/>
      </c>
      <c r="N68" s="27">
        <f>IF(AND(B68="",D68="",N(J68)=0),"",IF(B68="","Enter the date",IF(AND(ROW()&gt;18,B67=""),"Use the next empty row: a skipped row leaves a gap in the voucher numbers",IF(D68="","Enter who was paid",IF(N(J68)=0,"Enter the amount",IF(E68="","Pick the head of account",IF(P68="?","Pick the head from the list",IF(H68="","Pick how it was paid",IF(L68="Cancelled","Cancelled: keep this number unused and write a fresh voucher",IF(AND(H68&lt;&gt;"Cash",I68=""),"Enter the cheque no., UTR or UPI reference",IF(AND(N($E$11)&gt;0,N(J68)&gt;N($E$11),K68=""),"Above your approval limit: get it approved before paying",IF(S68&gt;10000,"Cash paid to this person today is over ₹10,000: not deductible, s.36(4)",IF(T68&gt;35000,"Cash freight to this transporter today is over ₹35,000: not deductible, s.36(6)",IF(U68&gt;10000,"Asset paid in cash over ₹10,000 today: left out of its cost, s.39(2)",IF(AND(P68="L",H68="Cash",N(J68)&gt;=20000),"Loan of ₹20,000 or more repaid in cash: barred, s.188","OK")))))))))))))))</f>
        <v/>
      </c>
      <c r="P68">
        <f>IF(E68="","",IFERROR(VLOOKUP(E68,Lists!$A$2:$B$17,2,FALSE),"?"))</f>
        <v/>
      </c>
      <c r="Q68">
        <f>IF(L68="Cancelled",0,N(J68))</f>
        <v/>
      </c>
      <c r="R68">
        <f>IF(H68="Cash",Q68,0)</f>
        <v/>
      </c>
      <c r="S68">
        <f>IF(OR(P68&lt;&gt;"E",R68=0),0,SUMIFS($R$18:$R$317,$B$18:$B$317,B68,$D$18:$D$317,D68,$P$18:$P$317,"E"))</f>
        <v/>
      </c>
      <c r="T68">
        <f>IF(OR(P68&lt;&gt;"F",R68=0),0,SUMIFS($R$18:$R$317,$B$18:$B$317,B68,$D$18:$D$317,D68,$P$18:$P$317,"F"))</f>
        <v/>
      </c>
      <c r="U68">
        <f>IF(OR(P68&lt;&gt;"A",R68=0),0,SUMIFS($R$18:$R$317,$B$18:$B$317,B68,$D$18:$D$317,D68,$P$18:$P$317,"A"))</f>
        <v/>
      </c>
      <c r="V68">
        <f>IF(OR(N68="",N68="OK",L68="Cancelled"),0,1)</f>
        <v/>
      </c>
    </row>
    <row r="69">
      <c r="B69" s="22" t="n"/>
      <c r="C69" s="23">
        <f>IF(B69="","",$E$9&amp;TEXT(N($E$10)+51,"000"))</f>
        <v/>
      </c>
      <c r="D69" s="14" t="n"/>
      <c r="E69" s="14" t="n"/>
      <c r="F69" s="14" t="n"/>
      <c r="G69" s="24" t="n"/>
      <c r="H69" s="14" t="n"/>
      <c r="I69" s="24" t="n"/>
      <c r="J69" s="25" t="n"/>
      <c r="K69" s="14" t="n"/>
      <c r="L69" s="24" t="n"/>
      <c r="M69" s="26">
        <f>IF(OR(N(J69)=0,L69="Cancelled"),"",IF(AND(N(J69)&gt;5000,H69="Cash"),"Yes: ₹1","No"))</f>
        <v/>
      </c>
      <c r="N69" s="27">
        <f>IF(AND(B69="",D69="",N(J69)=0),"",IF(B69="","Enter the date",IF(AND(ROW()&gt;18,B68=""),"Use the next empty row: a skipped row leaves a gap in the voucher numbers",IF(D69="","Enter who was paid",IF(N(J69)=0,"Enter the amount",IF(E69="","Pick the head of account",IF(P69="?","Pick the head from the list",IF(H69="","Pick how it was paid",IF(L69="Cancelled","Cancelled: keep this number unused and write a fresh voucher",IF(AND(H69&lt;&gt;"Cash",I69=""),"Enter the cheque no., UTR or UPI reference",IF(AND(N($E$11)&gt;0,N(J69)&gt;N($E$11),K69=""),"Above your approval limit: get it approved before paying",IF(S69&gt;10000,"Cash paid to this person today is over ₹10,000: not deductible, s.36(4)",IF(T69&gt;35000,"Cash freight to this transporter today is over ₹35,000: not deductible, s.36(6)",IF(U69&gt;10000,"Asset paid in cash over ₹10,000 today: left out of its cost, s.39(2)",IF(AND(P69="L",H69="Cash",N(J69)&gt;=20000),"Loan of ₹20,000 or more repaid in cash: barred, s.188","OK")))))))))))))))</f>
        <v/>
      </c>
      <c r="P69">
        <f>IF(E69="","",IFERROR(VLOOKUP(E69,Lists!$A$2:$B$17,2,FALSE),"?"))</f>
        <v/>
      </c>
      <c r="Q69">
        <f>IF(L69="Cancelled",0,N(J69))</f>
        <v/>
      </c>
      <c r="R69">
        <f>IF(H69="Cash",Q69,0)</f>
        <v/>
      </c>
      <c r="S69">
        <f>IF(OR(P69&lt;&gt;"E",R69=0),0,SUMIFS($R$18:$R$317,$B$18:$B$317,B69,$D$18:$D$317,D69,$P$18:$P$317,"E"))</f>
        <v/>
      </c>
      <c r="T69">
        <f>IF(OR(P69&lt;&gt;"F",R69=0),0,SUMIFS($R$18:$R$317,$B$18:$B$317,B69,$D$18:$D$317,D69,$P$18:$P$317,"F"))</f>
        <v/>
      </c>
      <c r="U69">
        <f>IF(OR(P69&lt;&gt;"A",R69=0),0,SUMIFS($R$18:$R$317,$B$18:$B$317,B69,$D$18:$D$317,D69,$P$18:$P$317,"A"))</f>
        <v/>
      </c>
      <c r="V69">
        <f>IF(OR(N69="",N69="OK",L69="Cancelled"),0,1)</f>
        <v/>
      </c>
    </row>
    <row r="70">
      <c r="B70" s="22" t="n"/>
      <c r="C70" s="23">
        <f>IF(B70="","",$E$9&amp;TEXT(N($E$10)+52,"000"))</f>
        <v/>
      </c>
      <c r="D70" s="14" t="n"/>
      <c r="E70" s="14" t="n"/>
      <c r="F70" s="14" t="n"/>
      <c r="G70" s="24" t="n"/>
      <c r="H70" s="14" t="n"/>
      <c r="I70" s="24" t="n"/>
      <c r="J70" s="25" t="n"/>
      <c r="K70" s="14" t="n"/>
      <c r="L70" s="24" t="n"/>
      <c r="M70" s="26">
        <f>IF(OR(N(J70)=0,L70="Cancelled"),"",IF(AND(N(J70)&gt;5000,H70="Cash"),"Yes: ₹1","No"))</f>
        <v/>
      </c>
      <c r="N70" s="27">
        <f>IF(AND(B70="",D70="",N(J70)=0),"",IF(B70="","Enter the date",IF(AND(ROW()&gt;18,B69=""),"Use the next empty row: a skipped row leaves a gap in the voucher numbers",IF(D70="","Enter who was paid",IF(N(J70)=0,"Enter the amount",IF(E70="","Pick the head of account",IF(P70="?","Pick the head from the list",IF(H70="","Pick how it was paid",IF(L70="Cancelled","Cancelled: keep this number unused and write a fresh voucher",IF(AND(H70&lt;&gt;"Cash",I70=""),"Enter the cheque no., UTR or UPI reference",IF(AND(N($E$11)&gt;0,N(J70)&gt;N($E$11),K70=""),"Above your approval limit: get it approved before paying",IF(S70&gt;10000,"Cash paid to this person today is over ₹10,000: not deductible, s.36(4)",IF(T70&gt;35000,"Cash freight to this transporter today is over ₹35,000: not deductible, s.36(6)",IF(U70&gt;10000,"Asset paid in cash over ₹10,000 today: left out of its cost, s.39(2)",IF(AND(P70="L",H70="Cash",N(J70)&gt;=20000),"Loan of ₹20,000 or more repaid in cash: barred, s.188","OK")))))))))))))))</f>
        <v/>
      </c>
      <c r="P70">
        <f>IF(E70="","",IFERROR(VLOOKUP(E70,Lists!$A$2:$B$17,2,FALSE),"?"))</f>
        <v/>
      </c>
      <c r="Q70">
        <f>IF(L70="Cancelled",0,N(J70))</f>
        <v/>
      </c>
      <c r="R70">
        <f>IF(H70="Cash",Q70,0)</f>
        <v/>
      </c>
      <c r="S70">
        <f>IF(OR(P70&lt;&gt;"E",R70=0),0,SUMIFS($R$18:$R$317,$B$18:$B$317,B70,$D$18:$D$317,D70,$P$18:$P$317,"E"))</f>
        <v/>
      </c>
      <c r="T70">
        <f>IF(OR(P70&lt;&gt;"F",R70=0),0,SUMIFS($R$18:$R$317,$B$18:$B$317,B70,$D$18:$D$317,D70,$P$18:$P$317,"F"))</f>
        <v/>
      </c>
      <c r="U70">
        <f>IF(OR(P70&lt;&gt;"A",R70=0),0,SUMIFS($R$18:$R$317,$B$18:$B$317,B70,$D$18:$D$317,D70,$P$18:$P$317,"A"))</f>
        <v/>
      </c>
      <c r="V70">
        <f>IF(OR(N70="",N70="OK",L70="Cancelled"),0,1)</f>
        <v/>
      </c>
    </row>
    <row r="71">
      <c r="B71" s="22" t="n"/>
      <c r="C71" s="23">
        <f>IF(B71="","",$E$9&amp;TEXT(N($E$10)+53,"000"))</f>
        <v/>
      </c>
      <c r="D71" s="14" t="n"/>
      <c r="E71" s="14" t="n"/>
      <c r="F71" s="14" t="n"/>
      <c r="G71" s="24" t="n"/>
      <c r="H71" s="14" t="n"/>
      <c r="I71" s="24" t="n"/>
      <c r="J71" s="25" t="n"/>
      <c r="K71" s="14" t="n"/>
      <c r="L71" s="24" t="n"/>
      <c r="M71" s="26">
        <f>IF(OR(N(J71)=0,L71="Cancelled"),"",IF(AND(N(J71)&gt;5000,H71="Cash"),"Yes: ₹1","No"))</f>
        <v/>
      </c>
      <c r="N71" s="27">
        <f>IF(AND(B71="",D71="",N(J71)=0),"",IF(B71="","Enter the date",IF(AND(ROW()&gt;18,B70=""),"Use the next empty row: a skipped row leaves a gap in the voucher numbers",IF(D71="","Enter who was paid",IF(N(J71)=0,"Enter the amount",IF(E71="","Pick the head of account",IF(P71="?","Pick the head from the list",IF(H71="","Pick how it was paid",IF(L71="Cancelled","Cancelled: keep this number unused and write a fresh voucher",IF(AND(H71&lt;&gt;"Cash",I71=""),"Enter the cheque no., UTR or UPI reference",IF(AND(N($E$11)&gt;0,N(J71)&gt;N($E$11),K71=""),"Above your approval limit: get it approved before paying",IF(S71&gt;10000,"Cash paid to this person today is over ₹10,000: not deductible, s.36(4)",IF(T71&gt;35000,"Cash freight to this transporter today is over ₹35,000: not deductible, s.36(6)",IF(U71&gt;10000,"Asset paid in cash over ₹10,000 today: left out of its cost, s.39(2)",IF(AND(P71="L",H71="Cash",N(J71)&gt;=20000),"Loan of ₹20,000 or more repaid in cash: barred, s.188","OK")))))))))))))))</f>
        <v/>
      </c>
      <c r="P71">
        <f>IF(E71="","",IFERROR(VLOOKUP(E71,Lists!$A$2:$B$17,2,FALSE),"?"))</f>
        <v/>
      </c>
      <c r="Q71">
        <f>IF(L71="Cancelled",0,N(J71))</f>
        <v/>
      </c>
      <c r="R71">
        <f>IF(H71="Cash",Q71,0)</f>
        <v/>
      </c>
      <c r="S71">
        <f>IF(OR(P71&lt;&gt;"E",R71=0),0,SUMIFS($R$18:$R$317,$B$18:$B$317,B71,$D$18:$D$317,D71,$P$18:$P$317,"E"))</f>
        <v/>
      </c>
      <c r="T71">
        <f>IF(OR(P71&lt;&gt;"F",R71=0),0,SUMIFS($R$18:$R$317,$B$18:$B$317,B71,$D$18:$D$317,D71,$P$18:$P$317,"F"))</f>
        <v/>
      </c>
      <c r="U71">
        <f>IF(OR(P71&lt;&gt;"A",R71=0),0,SUMIFS($R$18:$R$317,$B$18:$B$317,B71,$D$18:$D$317,D71,$P$18:$P$317,"A"))</f>
        <v/>
      </c>
      <c r="V71">
        <f>IF(OR(N71="",N71="OK",L71="Cancelled"),0,1)</f>
        <v/>
      </c>
    </row>
    <row r="72">
      <c r="B72" s="22" t="n"/>
      <c r="C72" s="23">
        <f>IF(B72="","",$E$9&amp;TEXT(N($E$10)+54,"000"))</f>
        <v/>
      </c>
      <c r="D72" s="14" t="n"/>
      <c r="E72" s="14" t="n"/>
      <c r="F72" s="14" t="n"/>
      <c r="G72" s="24" t="n"/>
      <c r="H72" s="14" t="n"/>
      <c r="I72" s="24" t="n"/>
      <c r="J72" s="25" t="n"/>
      <c r="K72" s="14" t="n"/>
      <c r="L72" s="24" t="n"/>
      <c r="M72" s="26">
        <f>IF(OR(N(J72)=0,L72="Cancelled"),"",IF(AND(N(J72)&gt;5000,H72="Cash"),"Yes: ₹1","No"))</f>
        <v/>
      </c>
      <c r="N72" s="27">
        <f>IF(AND(B72="",D72="",N(J72)=0),"",IF(B72="","Enter the date",IF(AND(ROW()&gt;18,B71=""),"Use the next empty row: a skipped row leaves a gap in the voucher numbers",IF(D72="","Enter who was paid",IF(N(J72)=0,"Enter the amount",IF(E72="","Pick the head of account",IF(P72="?","Pick the head from the list",IF(H72="","Pick how it was paid",IF(L72="Cancelled","Cancelled: keep this number unused and write a fresh voucher",IF(AND(H72&lt;&gt;"Cash",I72=""),"Enter the cheque no., UTR or UPI reference",IF(AND(N($E$11)&gt;0,N(J72)&gt;N($E$11),K72=""),"Above your approval limit: get it approved before paying",IF(S72&gt;10000,"Cash paid to this person today is over ₹10,000: not deductible, s.36(4)",IF(T72&gt;35000,"Cash freight to this transporter today is over ₹35,000: not deductible, s.36(6)",IF(U72&gt;10000,"Asset paid in cash over ₹10,000 today: left out of its cost, s.39(2)",IF(AND(P72="L",H72="Cash",N(J72)&gt;=20000),"Loan of ₹20,000 or more repaid in cash: barred, s.188","OK")))))))))))))))</f>
        <v/>
      </c>
      <c r="P72">
        <f>IF(E72="","",IFERROR(VLOOKUP(E72,Lists!$A$2:$B$17,2,FALSE),"?"))</f>
        <v/>
      </c>
      <c r="Q72">
        <f>IF(L72="Cancelled",0,N(J72))</f>
        <v/>
      </c>
      <c r="R72">
        <f>IF(H72="Cash",Q72,0)</f>
        <v/>
      </c>
      <c r="S72">
        <f>IF(OR(P72&lt;&gt;"E",R72=0),0,SUMIFS($R$18:$R$317,$B$18:$B$317,B72,$D$18:$D$317,D72,$P$18:$P$317,"E"))</f>
        <v/>
      </c>
      <c r="T72">
        <f>IF(OR(P72&lt;&gt;"F",R72=0),0,SUMIFS($R$18:$R$317,$B$18:$B$317,B72,$D$18:$D$317,D72,$P$18:$P$317,"F"))</f>
        <v/>
      </c>
      <c r="U72">
        <f>IF(OR(P72&lt;&gt;"A",R72=0),0,SUMIFS($R$18:$R$317,$B$18:$B$317,B72,$D$18:$D$317,D72,$P$18:$P$317,"A"))</f>
        <v/>
      </c>
      <c r="V72">
        <f>IF(OR(N72="",N72="OK",L72="Cancelled"),0,1)</f>
        <v/>
      </c>
    </row>
    <row r="73">
      <c r="B73" s="22" t="n"/>
      <c r="C73" s="23">
        <f>IF(B73="","",$E$9&amp;TEXT(N($E$10)+55,"000"))</f>
        <v/>
      </c>
      <c r="D73" s="14" t="n"/>
      <c r="E73" s="14" t="n"/>
      <c r="F73" s="14" t="n"/>
      <c r="G73" s="24" t="n"/>
      <c r="H73" s="14" t="n"/>
      <c r="I73" s="24" t="n"/>
      <c r="J73" s="25" t="n"/>
      <c r="K73" s="14" t="n"/>
      <c r="L73" s="24" t="n"/>
      <c r="M73" s="26">
        <f>IF(OR(N(J73)=0,L73="Cancelled"),"",IF(AND(N(J73)&gt;5000,H73="Cash"),"Yes: ₹1","No"))</f>
        <v/>
      </c>
      <c r="N73" s="27">
        <f>IF(AND(B73="",D73="",N(J73)=0),"",IF(B73="","Enter the date",IF(AND(ROW()&gt;18,B72=""),"Use the next empty row: a skipped row leaves a gap in the voucher numbers",IF(D73="","Enter who was paid",IF(N(J73)=0,"Enter the amount",IF(E73="","Pick the head of account",IF(P73="?","Pick the head from the list",IF(H73="","Pick how it was paid",IF(L73="Cancelled","Cancelled: keep this number unused and write a fresh voucher",IF(AND(H73&lt;&gt;"Cash",I73=""),"Enter the cheque no., UTR or UPI reference",IF(AND(N($E$11)&gt;0,N(J73)&gt;N($E$11),K73=""),"Above your approval limit: get it approved before paying",IF(S73&gt;10000,"Cash paid to this person today is over ₹10,000: not deductible, s.36(4)",IF(T73&gt;35000,"Cash freight to this transporter today is over ₹35,000: not deductible, s.36(6)",IF(U73&gt;10000,"Asset paid in cash over ₹10,000 today: left out of its cost, s.39(2)",IF(AND(P73="L",H73="Cash",N(J73)&gt;=20000),"Loan of ₹20,000 or more repaid in cash: barred, s.188","OK")))))))))))))))</f>
        <v/>
      </c>
      <c r="P73">
        <f>IF(E73="","",IFERROR(VLOOKUP(E73,Lists!$A$2:$B$17,2,FALSE),"?"))</f>
        <v/>
      </c>
      <c r="Q73">
        <f>IF(L73="Cancelled",0,N(J73))</f>
        <v/>
      </c>
      <c r="R73">
        <f>IF(H73="Cash",Q73,0)</f>
        <v/>
      </c>
      <c r="S73">
        <f>IF(OR(P73&lt;&gt;"E",R73=0),0,SUMIFS($R$18:$R$317,$B$18:$B$317,B73,$D$18:$D$317,D73,$P$18:$P$317,"E"))</f>
        <v/>
      </c>
      <c r="T73">
        <f>IF(OR(P73&lt;&gt;"F",R73=0),0,SUMIFS($R$18:$R$317,$B$18:$B$317,B73,$D$18:$D$317,D73,$P$18:$P$317,"F"))</f>
        <v/>
      </c>
      <c r="U73">
        <f>IF(OR(P73&lt;&gt;"A",R73=0),0,SUMIFS($R$18:$R$317,$B$18:$B$317,B73,$D$18:$D$317,D73,$P$18:$P$317,"A"))</f>
        <v/>
      </c>
      <c r="V73">
        <f>IF(OR(N73="",N73="OK",L73="Cancelled"),0,1)</f>
        <v/>
      </c>
    </row>
    <row r="74">
      <c r="B74" s="22" t="n"/>
      <c r="C74" s="23">
        <f>IF(B74="","",$E$9&amp;TEXT(N($E$10)+56,"000"))</f>
        <v/>
      </c>
      <c r="D74" s="14" t="n"/>
      <c r="E74" s="14" t="n"/>
      <c r="F74" s="14" t="n"/>
      <c r="G74" s="24" t="n"/>
      <c r="H74" s="14" t="n"/>
      <c r="I74" s="24" t="n"/>
      <c r="J74" s="25" t="n"/>
      <c r="K74" s="14" t="n"/>
      <c r="L74" s="24" t="n"/>
      <c r="M74" s="26">
        <f>IF(OR(N(J74)=0,L74="Cancelled"),"",IF(AND(N(J74)&gt;5000,H74="Cash"),"Yes: ₹1","No"))</f>
        <v/>
      </c>
      <c r="N74" s="27">
        <f>IF(AND(B74="",D74="",N(J74)=0),"",IF(B74="","Enter the date",IF(AND(ROW()&gt;18,B73=""),"Use the next empty row: a skipped row leaves a gap in the voucher numbers",IF(D74="","Enter who was paid",IF(N(J74)=0,"Enter the amount",IF(E74="","Pick the head of account",IF(P74="?","Pick the head from the list",IF(H74="","Pick how it was paid",IF(L74="Cancelled","Cancelled: keep this number unused and write a fresh voucher",IF(AND(H74&lt;&gt;"Cash",I74=""),"Enter the cheque no., UTR or UPI reference",IF(AND(N($E$11)&gt;0,N(J74)&gt;N($E$11),K74=""),"Above your approval limit: get it approved before paying",IF(S74&gt;10000,"Cash paid to this person today is over ₹10,000: not deductible, s.36(4)",IF(T74&gt;35000,"Cash freight to this transporter today is over ₹35,000: not deductible, s.36(6)",IF(U74&gt;10000,"Asset paid in cash over ₹10,000 today: left out of its cost, s.39(2)",IF(AND(P74="L",H74="Cash",N(J74)&gt;=20000),"Loan of ₹20,000 or more repaid in cash: barred, s.188","OK")))))))))))))))</f>
        <v/>
      </c>
      <c r="P74">
        <f>IF(E74="","",IFERROR(VLOOKUP(E74,Lists!$A$2:$B$17,2,FALSE),"?"))</f>
        <v/>
      </c>
      <c r="Q74">
        <f>IF(L74="Cancelled",0,N(J74))</f>
        <v/>
      </c>
      <c r="R74">
        <f>IF(H74="Cash",Q74,0)</f>
        <v/>
      </c>
      <c r="S74">
        <f>IF(OR(P74&lt;&gt;"E",R74=0),0,SUMIFS($R$18:$R$317,$B$18:$B$317,B74,$D$18:$D$317,D74,$P$18:$P$317,"E"))</f>
        <v/>
      </c>
      <c r="T74">
        <f>IF(OR(P74&lt;&gt;"F",R74=0),0,SUMIFS($R$18:$R$317,$B$18:$B$317,B74,$D$18:$D$317,D74,$P$18:$P$317,"F"))</f>
        <v/>
      </c>
      <c r="U74">
        <f>IF(OR(P74&lt;&gt;"A",R74=0),0,SUMIFS($R$18:$R$317,$B$18:$B$317,B74,$D$18:$D$317,D74,$P$18:$P$317,"A"))</f>
        <v/>
      </c>
      <c r="V74">
        <f>IF(OR(N74="",N74="OK",L74="Cancelled"),0,1)</f>
        <v/>
      </c>
    </row>
    <row r="75">
      <c r="B75" s="22" t="n"/>
      <c r="C75" s="23">
        <f>IF(B75="","",$E$9&amp;TEXT(N($E$10)+57,"000"))</f>
        <v/>
      </c>
      <c r="D75" s="14" t="n"/>
      <c r="E75" s="14" t="n"/>
      <c r="F75" s="14" t="n"/>
      <c r="G75" s="24" t="n"/>
      <c r="H75" s="14" t="n"/>
      <c r="I75" s="24" t="n"/>
      <c r="J75" s="25" t="n"/>
      <c r="K75" s="14" t="n"/>
      <c r="L75" s="24" t="n"/>
      <c r="M75" s="26">
        <f>IF(OR(N(J75)=0,L75="Cancelled"),"",IF(AND(N(J75)&gt;5000,H75="Cash"),"Yes: ₹1","No"))</f>
        <v/>
      </c>
      <c r="N75" s="27">
        <f>IF(AND(B75="",D75="",N(J75)=0),"",IF(B75="","Enter the date",IF(AND(ROW()&gt;18,B74=""),"Use the next empty row: a skipped row leaves a gap in the voucher numbers",IF(D75="","Enter who was paid",IF(N(J75)=0,"Enter the amount",IF(E75="","Pick the head of account",IF(P75="?","Pick the head from the list",IF(H75="","Pick how it was paid",IF(L75="Cancelled","Cancelled: keep this number unused and write a fresh voucher",IF(AND(H75&lt;&gt;"Cash",I75=""),"Enter the cheque no., UTR or UPI reference",IF(AND(N($E$11)&gt;0,N(J75)&gt;N($E$11),K75=""),"Above your approval limit: get it approved before paying",IF(S75&gt;10000,"Cash paid to this person today is over ₹10,000: not deductible, s.36(4)",IF(T75&gt;35000,"Cash freight to this transporter today is over ₹35,000: not deductible, s.36(6)",IF(U75&gt;10000,"Asset paid in cash over ₹10,000 today: left out of its cost, s.39(2)",IF(AND(P75="L",H75="Cash",N(J75)&gt;=20000),"Loan of ₹20,000 or more repaid in cash: barred, s.188","OK")))))))))))))))</f>
        <v/>
      </c>
      <c r="P75">
        <f>IF(E75="","",IFERROR(VLOOKUP(E75,Lists!$A$2:$B$17,2,FALSE),"?"))</f>
        <v/>
      </c>
      <c r="Q75">
        <f>IF(L75="Cancelled",0,N(J75))</f>
        <v/>
      </c>
      <c r="R75">
        <f>IF(H75="Cash",Q75,0)</f>
        <v/>
      </c>
      <c r="S75">
        <f>IF(OR(P75&lt;&gt;"E",R75=0),0,SUMIFS($R$18:$R$317,$B$18:$B$317,B75,$D$18:$D$317,D75,$P$18:$P$317,"E"))</f>
        <v/>
      </c>
      <c r="T75">
        <f>IF(OR(P75&lt;&gt;"F",R75=0),0,SUMIFS($R$18:$R$317,$B$18:$B$317,B75,$D$18:$D$317,D75,$P$18:$P$317,"F"))</f>
        <v/>
      </c>
      <c r="U75">
        <f>IF(OR(P75&lt;&gt;"A",R75=0),0,SUMIFS($R$18:$R$317,$B$18:$B$317,B75,$D$18:$D$317,D75,$P$18:$P$317,"A"))</f>
        <v/>
      </c>
      <c r="V75">
        <f>IF(OR(N75="",N75="OK",L75="Cancelled"),0,1)</f>
        <v/>
      </c>
    </row>
    <row r="76">
      <c r="B76" s="22" t="n"/>
      <c r="C76" s="23">
        <f>IF(B76="","",$E$9&amp;TEXT(N($E$10)+58,"000"))</f>
        <v/>
      </c>
      <c r="D76" s="14" t="n"/>
      <c r="E76" s="14" t="n"/>
      <c r="F76" s="14" t="n"/>
      <c r="G76" s="24" t="n"/>
      <c r="H76" s="14" t="n"/>
      <c r="I76" s="24" t="n"/>
      <c r="J76" s="25" t="n"/>
      <c r="K76" s="14" t="n"/>
      <c r="L76" s="24" t="n"/>
      <c r="M76" s="26">
        <f>IF(OR(N(J76)=0,L76="Cancelled"),"",IF(AND(N(J76)&gt;5000,H76="Cash"),"Yes: ₹1","No"))</f>
        <v/>
      </c>
      <c r="N76" s="27">
        <f>IF(AND(B76="",D76="",N(J76)=0),"",IF(B76="","Enter the date",IF(AND(ROW()&gt;18,B75=""),"Use the next empty row: a skipped row leaves a gap in the voucher numbers",IF(D76="","Enter who was paid",IF(N(J76)=0,"Enter the amount",IF(E76="","Pick the head of account",IF(P76="?","Pick the head from the list",IF(H76="","Pick how it was paid",IF(L76="Cancelled","Cancelled: keep this number unused and write a fresh voucher",IF(AND(H76&lt;&gt;"Cash",I76=""),"Enter the cheque no., UTR or UPI reference",IF(AND(N($E$11)&gt;0,N(J76)&gt;N($E$11),K76=""),"Above your approval limit: get it approved before paying",IF(S76&gt;10000,"Cash paid to this person today is over ₹10,000: not deductible, s.36(4)",IF(T76&gt;35000,"Cash freight to this transporter today is over ₹35,000: not deductible, s.36(6)",IF(U76&gt;10000,"Asset paid in cash over ₹10,000 today: left out of its cost, s.39(2)",IF(AND(P76="L",H76="Cash",N(J76)&gt;=20000),"Loan of ₹20,000 or more repaid in cash: barred, s.188","OK")))))))))))))))</f>
        <v/>
      </c>
      <c r="P76">
        <f>IF(E76="","",IFERROR(VLOOKUP(E76,Lists!$A$2:$B$17,2,FALSE),"?"))</f>
        <v/>
      </c>
      <c r="Q76">
        <f>IF(L76="Cancelled",0,N(J76))</f>
        <v/>
      </c>
      <c r="R76">
        <f>IF(H76="Cash",Q76,0)</f>
        <v/>
      </c>
      <c r="S76">
        <f>IF(OR(P76&lt;&gt;"E",R76=0),0,SUMIFS($R$18:$R$317,$B$18:$B$317,B76,$D$18:$D$317,D76,$P$18:$P$317,"E"))</f>
        <v/>
      </c>
      <c r="T76">
        <f>IF(OR(P76&lt;&gt;"F",R76=0),0,SUMIFS($R$18:$R$317,$B$18:$B$317,B76,$D$18:$D$317,D76,$P$18:$P$317,"F"))</f>
        <v/>
      </c>
      <c r="U76">
        <f>IF(OR(P76&lt;&gt;"A",R76=0),0,SUMIFS($R$18:$R$317,$B$18:$B$317,B76,$D$18:$D$317,D76,$P$18:$P$317,"A"))</f>
        <v/>
      </c>
      <c r="V76">
        <f>IF(OR(N76="",N76="OK",L76="Cancelled"),0,1)</f>
        <v/>
      </c>
    </row>
    <row r="77">
      <c r="B77" s="22" t="n"/>
      <c r="C77" s="23">
        <f>IF(B77="","",$E$9&amp;TEXT(N($E$10)+59,"000"))</f>
        <v/>
      </c>
      <c r="D77" s="14" t="n"/>
      <c r="E77" s="14" t="n"/>
      <c r="F77" s="14" t="n"/>
      <c r="G77" s="24" t="n"/>
      <c r="H77" s="14" t="n"/>
      <c r="I77" s="24" t="n"/>
      <c r="J77" s="25" t="n"/>
      <c r="K77" s="14" t="n"/>
      <c r="L77" s="24" t="n"/>
      <c r="M77" s="26">
        <f>IF(OR(N(J77)=0,L77="Cancelled"),"",IF(AND(N(J77)&gt;5000,H77="Cash"),"Yes: ₹1","No"))</f>
        <v/>
      </c>
      <c r="N77" s="27">
        <f>IF(AND(B77="",D77="",N(J77)=0),"",IF(B77="","Enter the date",IF(AND(ROW()&gt;18,B76=""),"Use the next empty row: a skipped row leaves a gap in the voucher numbers",IF(D77="","Enter who was paid",IF(N(J77)=0,"Enter the amount",IF(E77="","Pick the head of account",IF(P77="?","Pick the head from the list",IF(H77="","Pick how it was paid",IF(L77="Cancelled","Cancelled: keep this number unused and write a fresh voucher",IF(AND(H77&lt;&gt;"Cash",I77=""),"Enter the cheque no., UTR or UPI reference",IF(AND(N($E$11)&gt;0,N(J77)&gt;N($E$11),K77=""),"Above your approval limit: get it approved before paying",IF(S77&gt;10000,"Cash paid to this person today is over ₹10,000: not deductible, s.36(4)",IF(T77&gt;35000,"Cash freight to this transporter today is over ₹35,000: not deductible, s.36(6)",IF(U77&gt;10000,"Asset paid in cash over ₹10,000 today: left out of its cost, s.39(2)",IF(AND(P77="L",H77="Cash",N(J77)&gt;=20000),"Loan of ₹20,000 or more repaid in cash: barred, s.188","OK")))))))))))))))</f>
        <v/>
      </c>
      <c r="P77">
        <f>IF(E77="","",IFERROR(VLOOKUP(E77,Lists!$A$2:$B$17,2,FALSE),"?"))</f>
        <v/>
      </c>
      <c r="Q77">
        <f>IF(L77="Cancelled",0,N(J77))</f>
        <v/>
      </c>
      <c r="R77">
        <f>IF(H77="Cash",Q77,0)</f>
        <v/>
      </c>
      <c r="S77">
        <f>IF(OR(P77&lt;&gt;"E",R77=0),0,SUMIFS($R$18:$R$317,$B$18:$B$317,B77,$D$18:$D$317,D77,$P$18:$P$317,"E"))</f>
        <v/>
      </c>
      <c r="T77">
        <f>IF(OR(P77&lt;&gt;"F",R77=0),0,SUMIFS($R$18:$R$317,$B$18:$B$317,B77,$D$18:$D$317,D77,$P$18:$P$317,"F"))</f>
        <v/>
      </c>
      <c r="U77">
        <f>IF(OR(P77&lt;&gt;"A",R77=0),0,SUMIFS($R$18:$R$317,$B$18:$B$317,B77,$D$18:$D$317,D77,$P$18:$P$317,"A"))</f>
        <v/>
      </c>
      <c r="V77">
        <f>IF(OR(N77="",N77="OK",L77="Cancelled"),0,1)</f>
        <v/>
      </c>
    </row>
    <row r="78">
      <c r="B78" s="22" t="n"/>
      <c r="C78" s="23">
        <f>IF(B78="","",$E$9&amp;TEXT(N($E$10)+60,"000"))</f>
        <v/>
      </c>
      <c r="D78" s="14" t="n"/>
      <c r="E78" s="14" t="n"/>
      <c r="F78" s="14" t="n"/>
      <c r="G78" s="24" t="n"/>
      <c r="H78" s="14" t="n"/>
      <c r="I78" s="24" t="n"/>
      <c r="J78" s="25" t="n"/>
      <c r="K78" s="14" t="n"/>
      <c r="L78" s="24" t="n"/>
      <c r="M78" s="26">
        <f>IF(OR(N(J78)=0,L78="Cancelled"),"",IF(AND(N(J78)&gt;5000,H78="Cash"),"Yes: ₹1","No"))</f>
        <v/>
      </c>
      <c r="N78" s="27">
        <f>IF(AND(B78="",D78="",N(J78)=0),"",IF(B78="","Enter the date",IF(AND(ROW()&gt;18,B77=""),"Use the next empty row: a skipped row leaves a gap in the voucher numbers",IF(D78="","Enter who was paid",IF(N(J78)=0,"Enter the amount",IF(E78="","Pick the head of account",IF(P78="?","Pick the head from the list",IF(H78="","Pick how it was paid",IF(L78="Cancelled","Cancelled: keep this number unused and write a fresh voucher",IF(AND(H78&lt;&gt;"Cash",I78=""),"Enter the cheque no., UTR or UPI reference",IF(AND(N($E$11)&gt;0,N(J78)&gt;N($E$11),K78=""),"Above your approval limit: get it approved before paying",IF(S78&gt;10000,"Cash paid to this person today is over ₹10,000: not deductible, s.36(4)",IF(T78&gt;35000,"Cash freight to this transporter today is over ₹35,000: not deductible, s.36(6)",IF(U78&gt;10000,"Asset paid in cash over ₹10,000 today: left out of its cost, s.39(2)",IF(AND(P78="L",H78="Cash",N(J78)&gt;=20000),"Loan of ₹20,000 or more repaid in cash: barred, s.188","OK")))))))))))))))</f>
        <v/>
      </c>
      <c r="P78">
        <f>IF(E78="","",IFERROR(VLOOKUP(E78,Lists!$A$2:$B$17,2,FALSE),"?"))</f>
        <v/>
      </c>
      <c r="Q78">
        <f>IF(L78="Cancelled",0,N(J78))</f>
        <v/>
      </c>
      <c r="R78">
        <f>IF(H78="Cash",Q78,0)</f>
        <v/>
      </c>
      <c r="S78">
        <f>IF(OR(P78&lt;&gt;"E",R78=0),0,SUMIFS($R$18:$R$317,$B$18:$B$317,B78,$D$18:$D$317,D78,$P$18:$P$317,"E"))</f>
        <v/>
      </c>
      <c r="T78">
        <f>IF(OR(P78&lt;&gt;"F",R78=0),0,SUMIFS($R$18:$R$317,$B$18:$B$317,B78,$D$18:$D$317,D78,$P$18:$P$317,"F"))</f>
        <v/>
      </c>
      <c r="U78">
        <f>IF(OR(P78&lt;&gt;"A",R78=0),0,SUMIFS($R$18:$R$317,$B$18:$B$317,B78,$D$18:$D$317,D78,$P$18:$P$317,"A"))</f>
        <v/>
      </c>
      <c r="V78">
        <f>IF(OR(N78="",N78="OK",L78="Cancelled"),0,1)</f>
        <v/>
      </c>
    </row>
    <row r="79">
      <c r="B79" s="22" t="n"/>
      <c r="C79" s="23">
        <f>IF(B79="","",$E$9&amp;TEXT(N($E$10)+61,"000"))</f>
        <v/>
      </c>
      <c r="D79" s="14" t="n"/>
      <c r="E79" s="14" t="n"/>
      <c r="F79" s="14" t="n"/>
      <c r="G79" s="24" t="n"/>
      <c r="H79" s="14" t="n"/>
      <c r="I79" s="24" t="n"/>
      <c r="J79" s="25" t="n"/>
      <c r="K79" s="14" t="n"/>
      <c r="L79" s="24" t="n"/>
      <c r="M79" s="26">
        <f>IF(OR(N(J79)=0,L79="Cancelled"),"",IF(AND(N(J79)&gt;5000,H79="Cash"),"Yes: ₹1","No"))</f>
        <v/>
      </c>
      <c r="N79" s="27">
        <f>IF(AND(B79="",D79="",N(J79)=0),"",IF(B79="","Enter the date",IF(AND(ROW()&gt;18,B78=""),"Use the next empty row: a skipped row leaves a gap in the voucher numbers",IF(D79="","Enter who was paid",IF(N(J79)=0,"Enter the amount",IF(E79="","Pick the head of account",IF(P79="?","Pick the head from the list",IF(H79="","Pick how it was paid",IF(L79="Cancelled","Cancelled: keep this number unused and write a fresh voucher",IF(AND(H79&lt;&gt;"Cash",I79=""),"Enter the cheque no., UTR or UPI reference",IF(AND(N($E$11)&gt;0,N(J79)&gt;N($E$11),K79=""),"Above your approval limit: get it approved before paying",IF(S79&gt;10000,"Cash paid to this person today is over ₹10,000: not deductible, s.36(4)",IF(T79&gt;35000,"Cash freight to this transporter today is over ₹35,000: not deductible, s.36(6)",IF(U79&gt;10000,"Asset paid in cash over ₹10,000 today: left out of its cost, s.39(2)",IF(AND(P79="L",H79="Cash",N(J79)&gt;=20000),"Loan of ₹20,000 or more repaid in cash: barred, s.188","OK")))))))))))))))</f>
        <v/>
      </c>
      <c r="P79">
        <f>IF(E79="","",IFERROR(VLOOKUP(E79,Lists!$A$2:$B$17,2,FALSE),"?"))</f>
        <v/>
      </c>
      <c r="Q79">
        <f>IF(L79="Cancelled",0,N(J79))</f>
        <v/>
      </c>
      <c r="R79">
        <f>IF(H79="Cash",Q79,0)</f>
        <v/>
      </c>
      <c r="S79">
        <f>IF(OR(P79&lt;&gt;"E",R79=0),0,SUMIFS($R$18:$R$317,$B$18:$B$317,B79,$D$18:$D$317,D79,$P$18:$P$317,"E"))</f>
        <v/>
      </c>
      <c r="T79">
        <f>IF(OR(P79&lt;&gt;"F",R79=0),0,SUMIFS($R$18:$R$317,$B$18:$B$317,B79,$D$18:$D$317,D79,$P$18:$P$317,"F"))</f>
        <v/>
      </c>
      <c r="U79">
        <f>IF(OR(P79&lt;&gt;"A",R79=0),0,SUMIFS($R$18:$R$317,$B$18:$B$317,B79,$D$18:$D$317,D79,$P$18:$P$317,"A"))</f>
        <v/>
      </c>
      <c r="V79">
        <f>IF(OR(N79="",N79="OK",L79="Cancelled"),0,1)</f>
        <v/>
      </c>
    </row>
    <row r="80">
      <c r="B80" s="22" t="n"/>
      <c r="C80" s="23">
        <f>IF(B80="","",$E$9&amp;TEXT(N($E$10)+62,"000"))</f>
        <v/>
      </c>
      <c r="D80" s="14" t="n"/>
      <c r="E80" s="14" t="n"/>
      <c r="F80" s="14" t="n"/>
      <c r="G80" s="24" t="n"/>
      <c r="H80" s="14" t="n"/>
      <c r="I80" s="24" t="n"/>
      <c r="J80" s="25" t="n"/>
      <c r="K80" s="14" t="n"/>
      <c r="L80" s="24" t="n"/>
      <c r="M80" s="26">
        <f>IF(OR(N(J80)=0,L80="Cancelled"),"",IF(AND(N(J80)&gt;5000,H80="Cash"),"Yes: ₹1","No"))</f>
        <v/>
      </c>
      <c r="N80" s="27">
        <f>IF(AND(B80="",D80="",N(J80)=0),"",IF(B80="","Enter the date",IF(AND(ROW()&gt;18,B79=""),"Use the next empty row: a skipped row leaves a gap in the voucher numbers",IF(D80="","Enter who was paid",IF(N(J80)=0,"Enter the amount",IF(E80="","Pick the head of account",IF(P80="?","Pick the head from the list",IF(H80="","Pick how it was paid",IF(L80="Cancelled","Cancelled: keep this number unused and write a fresh voucher",IF(AND(H80&lt;&gt;"Cash",I80=""),"Enter the cheque no., UTR or UPI reference",IF(AND(N($E$11)&gt;0,N(J80)&gt;N($E$11),K80=""),"Above your approval limit: get it approved before paying",IF(S80&gt;10000,"Cash paid to this person today is over ₹10,000: not deductible, s.36(4)",IF(T80&gt;35000,"Cash freight to this transporter today is over ₹35,000: not deductible, s.36(6)",IF(U80&gt;10000,"Asset paid in cash over ₹10,000 today: left out of its cost, s.39(2)",IF(AND(P80="L",H80="Cash",N(J80)&gt;=20000),"Loan of ₹20,000 or more repaid in cash: barred, s.188","OK")))))))))))))))</f>
        <v/>
      </c>
      <c r="P80">
        <f>IF(E80="","",IFERROR(VLOOKUP(E80,Lists!$A$2:$B$17,2,FALSE),"?"))</f>
        <v/>
      </c>
      <c r="Q80">
        <f>IF(L80="Cancelled",0,N(J80))</f>
        <v/>
      </c>
      <c r="R80">
        <f>IF(H80="Cash",Q80,0)</f>
        <v/>
      </c>
      <c r="S80">
        <f>IF(OR(P80&lt;&gt;"E",R80=0),0,SUMIFS($R$18:$R$317,$B$18:$B$317,B80,$D$18:$D$317,D80,$P$18:$P$317,"E"))</f>
        <v/>
      </c>
      <c r="T80">
        <f>IF(OR(P80&lt;&gt;"F",R80=0),0,SUMIFS($R$18:$R$317,$B$18:$B$317,B80,$D$18:$D$317,D80,$P$18:$P$317,"F"))</f>
        <v/>
      </c>
      <c r="U80">
        <f>IF(OR(P80&lt;&gt;"A",R80=0),0,SUMIFS($R$18:$R$317,$B$18:$B$317,B80,$D$18:$D$317,D80,$P$18:$P$317,"A"))</f>
        <v/>
      </c>
      <c r="V80">
        <f>IF(OR(N80="",N80="OK",L80="Cancelled"),0,1)</f>
        <v/>
      </c>
    </row>
    <row r="81">
      <c r="B81" s="22" t="n"/>
      <c r="C81" s="23">
        <f>IF(B81="","",$E$9&amp;TEXT(N($E$10)+63,"000"))</f>
        <v/>
      </c>
      <c r="D81" s="14" t="n"/>
      <c r="E81" s="14" t="n"/>
      <c r="F81" s="14" t="n"/>
      <c r="G81" s="24" t="n"/>
      <c r="H81" s="14" t="n"/>
      <c r="I81" s="24" t="n"/>
      <c r="J81" s="25" t="n"/>
      <c r="K81" s="14" t="n"/>
      <c r="L81" s="24" t="n"/>
      <c r="M81" s="26">
        <f>IF(OR(N(J81)=0,L81="Cancelled"),"",IF(AND(N(J81)&gt;5000,H81="Cash"),"Yes: ₹1","No"))</f>
        <v/>
      </c>
      <c r="N81" s="27">
        <f>IF(AND(B81="",D81="",N(J81)=0),"",IF(B81="","Enter the date",IF(AND(ROW()&gt;18,B80=""),"Use the next empty row: a skipped row leaves a gap in the voucher numbers",IF(D81="","Enter who was paid",IF(N(J81)=0,"Enter the amount",IF(E81="","Pick the head of account",IF(P81="?","Pick the head from the list",IF(H81="","Pick how it was paid",IF(L81="Cancelled","Cancelled: keep this number unused and write a fresh voucher",IF(AND(H81&lt;&gt;"Cash",I81=""),"Enter the cheque no., UTR or UPI reference",IF(AND(N($E$11)&gt;0,N(J81)&gt;N($E$11),K81=""),"Above your approval limit: get it approved before paying",IF(S81&gt;10000,"Cash paid to this person today is over ₹10,000: not deductible, s.36(4)",IF(T81&gt;35000,"Cash freight to this transporter today is over ₹35,000: not deductible, s.36(6)",IF(U81&gt;10000,"Asset paid in cash over ₹10,000 today: left out of its cost, s.39(2)",IF(AND(P81="L",H81="Cash",N(J81)&gt;=20000),"Loan of ₹20,000 or more repaid in cash: barred, s.188","OK")))))))))))))))</f>
        <v/>
      </c>
      <c r="P81">
        <f>IF(E81="","",IFERROR(VLOOKUP(E81,Lists!$A$2:$B$17,2,FALSE),"?"))</f>
        <v/>
      </c>
      <c r="Q81">
        <f>IF(L81="Cancelled",0,N(J81))</f>
        <v/>
      </c>
      <c r="R81">
        <f>IF(H81="Cash",Q81,0)</f>
        <v/>
      </c>
      <c r="S81">
        <f>IF(OR(P81&lt;&gt;"E",R81=0),0,SUMIFS($R$18:$R$317,$B$18:$B$317,B81,$D$18:$D$317,D81,$P$18:$P$317,"E"))</f>
        <v/>
      </c>
      <c r="T81">
        <f>IF(OR(P81&lt;&gt;"F",R81=0),0,SUMIFS($R$18:$R$317,$B$18:$B$317,B81,$D$18:$D$317,D81,$P$18:$P$317,"F"))</f>
        <v/>
      </c>
      <c r="U81">
        <f>IF(OR(P81&lt;&gt;"A",R81=0),0,SUMIFS($R$18:$R$317,$B$18:$B$317,B81,$D$18:$D$317,D81,$P$18:$P$317,"A"))</f>
        <v/>
      </c>
      <c r="V81">
        <f>IF(OR(N81="",N81="OK",L81="Cancelled"),0,1)</f>
        <v/>
      </c>
    </row>
    <row r="82">
      <c r="B82" s="22" t="n"/>
      <c r="C82" s="23">
        <f>IF(B82="","",$E$9&amp;TEXT(N($E$10)+64,"000"))</f>
        <v/>
      </c>
      <c r="D82" s="14" t="n"/>
      <c r="E82" s="14" t="n"/>
      <c r="F82" s="14" t="n"/>
      <c r="G82" s="24" t="n"/>
      <c r="H82" s="14" t="n"/>
      <c r="I82" s="24" t="n"/>
      <c r="J82" s="25" t="n"/>
      <c r="K82" s="14" t="n"/>
      <c r="L82" s="24" t="n"/>
      <c r="M82" s="26">
        <f>IF(OR(N(J82)=0,L82="Cancelled"),"",IF(AND(N(J82)&gt;5000,H82="Cash"),"Yes: ₹1","No"))</f>
        <v/>
      </c>
      <c r="N82" s="27">
        <f>IF(AND(B82="",D82="",N(J82)=0),"",IF(B82="","Enter the date",IF(AND(ROW()&gt;18,B81=""),"Use the next empty row: a skipped row leaves a gap in the voucher numbers",IF(D82="","Enter who was paid",IF(N(J82)=0,"Enter the amount",IF(E82="","Pick the head of account",IF(P82="?","Pick the head from the list",IF(H82="","Pick how it was paid",IF(L82="Cancelled","Cancelled: keep this number unused and write a fresh voucher",IF(AND(H82&lt;&gt;"Cash",I82=""),"Enter the cheque no., UTR or UPI reference",IF(AND(N($E$11)&gt;0,N(J82)&gt;N($E$11),K82=""),"Above your approval limit: get it approved before paying",IF(S82&gt;10000,"Cash paid to this person today is over ₹10,000: not deductible, s.36(4)",IF(T82&gt;35000,"Cash freight to this transporter today is over ₹35,000: not deductible, s.36(6)",IF(U82&gt;10000,"Asset paid in cash over ₹10,000 today: left out of its cost, s.39(2)",IF(AND(P82="L",H82="Cash",N(J82)&gt;=20000),"Loan of ₹20,000 or more repaid in cash: barred, s.188","OK")))))))))))))))</f>
        <v/>
      </c>
      <c r="P82">
        <f>IF(E82="","",IFERROR(VLOOKUP(E82,Lists!$A$2:$B$17,2,FALSE),"?"))</f>
        <v/>
      </c>
      <c r="Q82">
        <f>IF(L82="Cancelled",0,N(J82))</f>
        <v/>
      </c>
      <c r="R82">
        <f>IF(H82="Cash",Q82,0)</f>
        <v/>
      </c>
      <c r="S82">
        <f>IF(OR(P82&lt;&gt;"E",R82=0),0,SUMIFS($R$18:$R$317,$B$18:$B$317,B82,$D$18:$D$317,D82,$P$18:$P$317,"E"))</f>
        <v/>
      </c>
      <c r="T82">
        <f>IF(OR(P82&lt;&gt;"F",R82=0),0,SUMIFS($R$18:$R$317,$B$18:$B$317,B82,$D$18:$D$317,D82,$P$18:$P$317,"F"))</f>
        <v/>
      </c>
      <c r="U82">
        <f>IF(OR(P82&lt;&gt;"A",R82=0),0,SUMIFS($R$18:$R$317,$B$18:$B$317,B82,$D$18:$D$317,D82,$P$18:$P$317,"A"))</f>
        <v/>
      </c>
      <c r="V82">
        <f>IF(OR(N82="",N82="OK",L82="Cancelled"),0,1)</f>
        <v/>
      </c>
    </row>
    <row r="83">
      <c r="B83" s="22" t="n"/>
      <c r="C83" s="23">
        <f>IF(B83="","",$E$9&amp;TEXT(N($E$10)+65,"000"))</f>
        <v/>
      </c>
      <c r="D83" s="14" t="n"/>
      <c r="E83" s="14" t="n"/>
      <c r="F83" s="14" t="n"/>
      <c r="G83" s="24" t="n"/>
      <c r="H83" s="14" t="n"/>
      <c r="I83" s="24" t="n"/>
      <c r="J83" s="25" t="n"/>
      <c r="K83" s="14" t="n"/>
      <c r="L83" s="24" t="n"/>
      <c r="M83" s="26">
        <f>IF(OR(N(J83)=0,L83="Cancelled"),"",IF(AND(N(J83)&gt;5000,H83="Cash"),"Yes: ₹1","No"))</f>
        <v/>
      </c>
      <c r="N83" s="27">
        <f>IF(AND(B83="",D83="",N(J83)=0),"",IF(B83="","Enter the date",IF(AND(ROW()&gt;18,B82=""),"Use the next empty row: a skipped row leaves a gap in the voucher numbers",IF(D83="","Enter who was paid",IF(N(J83)=0,"Enter the amount",IF(E83="","Pick the head of account",IF(P83="?","Pick the head from the list",IF(H83="","Pick how it was paid",IF(L83="Cancelled","Cancelled: keep this number unused and write a fresh voucher",IF(AND(H83&lt;&gt;"Cash",I83=""),"Enter the cheque no., UTR or UPI reference",IF(AND(N($E$11)&gt;0,N(J83)&gt;N($E$11),K83=""),"Above your approval limit: get it approved before paying",IF(S83&gt;10000,"Cash paid to this person today is over ₹10,000: not deductible, s.36(4)",IF(T83&gt;35000,"Cash freight to this transporter today is over ₹35,000: not deductible, s.36(6)",IF(U83&gt;10000,"Asset paid in cash over ₹10,000 today: left out of its cost, s.39(2)",IF(AND(P83="L",H83="Cash",N(J83)&gt;=20000),"Loan of ₹20,000 or more repaid in cash: barred, s.188","OK")))))))))))))))</f>
        <v/>
      </c>
      <c r="P83">
        <f>IF(E83="","",IFERROR(VLOOKUP(E83,Lists!$A$2:$B$17,2,FALSE),"?"))</f>
        <v/>
      </c>
      <c r="Q83">
        <f>IF(L83="Cancelled",0,N(J83))</f>
        <v/>
      </c>
      <c r="R83">
        <f>IF(H83="Cash",Q83,0)</f>
        <v/>
      </c>
      <c r="S83">
        <f>IF(OR(P83&lt;&gt;"E",R83=0),0,SUMIFS($R$18:$R$317,$B$18:$B$317,B83,$D$18:$D$317,D83,$P$18:$P$317,"E"))</f>
        <v/>
      </c>
      <c r="T83">
        <f>IF(OR(P83&lt;&gt;"F",R83=0),0,SUMIFS($R$18:$R$317,$B$18:$B$317,B83,$D$18:$D$317,D83,$P$18:$P$317,"F"))</f>
        <v/>
      </c>
      <c r="U83">
        <f>IF(OR(P83&lt;&gt;"A",R83=0),0,SUMIFS($R$18:$R$317,$B$18:$B$317,B83,$D$18:$D$317,D83,$P$18:$P$317,"A"))</f>
        <v/>
      </c>
      <c r="V83">
        <f>IF(OR(N83="",N83="OK",L83="Cancelled"),0,1)</f>
        <v/>
      </c>
    </row>
    <row r="84">
      <c r="B84" s="22" t="n"/>
      <c r="C84" s="23">
        <f>IF(B84="","",$E$9&amp;TEXT(N($E$10)+66,"000"))</f>
        <v/>
      </c>
      <c r="D84" s="14" t="n"/>
      <c r="E84" s="14" t="n"/>
      <c r="F84" s="14" t="n"/>
      <c r="G84" s="24" t="n"/>
      <c r="H84" s="14" t="n"/>
      <c r="I84" s="24" t="n"/>
      <c r="J84" s="25" t="n"/>
      <c r="K84" s="14" t="n"/>
      <c r="L84" s="24" t="n"/>
      <c r="M84" s="26">
        <f>IF(OR(N(J84)=0,L84="Cancelled"),"",IF(AND(N(J84)&gt;5000,H84="Cash"),"Yes: ₹1","No"))</f>
        <v/>
      </c>
      <c r="N84" s="27">
        <f>IF(AND(B84="",D84="",N(J84)=0),"",IF(B84="","Enter the date",IF(AND(ROW()&gt;18,B83=""),"Use the next empty row: a skipped row leaves a gap in the voucher numbers",IF(D84="","Enter who was paid",IF(N(J84)=0,"Enter the amount",IF(E84="","Pick the head of account",IF(P84="?","Pick the head from the list",IF(H84="","Pick how it was paid",IF(L84="Cancelled","Cancelled: keep this number unused and write a fresh voucher",IF(AND(H84&lt;&gt;"Cash",I84=""),"Enter the cheque no., UTR or UPI reference",IF(AND(N($E$11)&gt;0,N(J84)&gt;N($E$11),K84=""),"Above your approval limit: get it approved before paying",IF(S84&gt;10000,"Cash paid to this person today is over ₹10,000: not deductible, s.36(4)",IF(T84&gt;35000,"Cash freight to this transporter today is over ₹35,000: not deductible, s.36(6)",IF(U84&gt;10000,"Asset paid in cash over ₹10,000 today: left out of its cost, s.39(2)",IF(AND(P84="L",H84="Cash",N(J84)&gt;=20000),"Loan of ₹20,000 or more repaid in cash: barred, s.188","OK")))))))))))))))</f>
        <v/>
      </c>
      <c r="P84">
        <f>IF(E84="","",IFERROR(VLOOKUP(E84,Lists!$A$2:$B$17,2,FALSE),"?"))</f>
        <v/>
      </c>
      <c r="Q84">
        <f>IF(L84="Cancelled",0,N(J84))</f>
        <v/>
      </c>
      <c r="R84">
        <f>IF(H84="Cash",Q84,0)</f>
        <v/>
      </c>
      <c r="S84">
        <f>IF(OR(P84&lt;&gt;"E",R84=0),0,SUMIFS($R$18:$R$317,$B$18:$B$317,B84,$D$18:$D$317,D84,$P$18:$P$317,"E"))</f>
        <v/>
      </c>
      <c r="T84">
        <f>IF(OR(P84&lt;&gt;"F",R84=0),0,SUMIFS($R$18:$R$317,$B$18:$B$317,B84,$D$18:$D$317,D84,$P$18:$P$317,"F"))</f>
        <v/>
      </c>
      <c r="U84">
        <f>IF(OR(P84&lt;&gt;"A",R84=0),0,SUMIFS($R$18:$R$317,$B$18:$B$317,B84,$D$18:$D$317,D84,$P$18:$P$317,"A"))</f>
        <v/>
      </c>
      <c r="V84">
        <f>IF(OR(N84="",N84="OK",L84="Cancelled"),0,1)</f>
        <v/>
      </c>
    </row>
    <row r="85">
      <c r="B85" s="22" t="n"/>
      <c r="C85" s="23">
        <f>IF(B85="","",$E$9&amp;TEXT(N($E$10)+67,"000"))</f>
        <v/>
      </c>
      <c r="D85" s="14" t="n"/>
      <c r="E85" s="14" t="n"/>
      <c r="F85" s="14" t="n"/>
      <c r="G85" s="24" t="n"/>
      <c r="H85" s="14" t="n"/>
      <c r="I85" s="24" t="n"/>
      <c r="J85" s="25" t="n"/>
      <c r="K85" s="14" t="n"/>
      <c r="L85" s="24" t="n"/>
      <c r="M85" s="26">
        <f>IF(OR(N(J85)=0,L85="Cancelled"),"",IF(AND(N(J85)&gt;5000,H85="Cash"),"Yes: ₹1","No"))</f>
        <v/>
      </c>
      <c r="N85" s="27">
        <f>IF(AND(B85="",D85="",N(J85)=0),"",IF(B85="","Enter the date",IF(AND(ROW()&gt;18,B84=""),"Use the next empty row: a skipped row leaves a gap in the voucher numbers",IF(D85="","Enter who was paid",IF(N(J85)=0,"Enter the amount",IF(E85="","Pick the head of account",IF(P85="?","Pick the head from the list",IF(H85="","Pick how it was paid",IF(L85="Cancelled","Cancelled: keep this number unused and write a fresh voucher",IF(AND(H85&lt;&gt;"Cash",I85=""),"Enter the cheque no., UTR or UPI reference",IF(AND(N($E$11)&gt;0,N(J85)&gt;N($E$11),K85=""),"Above your approval limit: get it approved before paying",IF(S85&gt;10000,"Cash paid to this person today is over ₹10,000: not deductible, s.36(4)",IF(T85&gt;35000,"Cash freight to this transporter today is over ₹35,000: not deductible, s.36(6)",IF(U85&gt;10000,"Asset paid in cash over ₹10,000 today: left out of its cost, s.39(2)",IF(AND(P85="L",H85="Cash",N(J85)&gt;=20000),"Loan of ₹20,000 or more repaid in cash: barred, s.188","OK")))))))))))))))</f>
        <v/>
      </c>
      <c r="P85">
        <f>IF(E85="","",IFERROR(VLOOKUP(E85,Lists!$A$2:$B$17,2,FALSE),"?"))</f>
        <v/>
      </c>
      <c r="Q85">
        <f>IF(L85="Cancelled",0,N(J85))</f>
        <v/>
      </c>
      <c r="R85">
        <f>IF(H85="Cash",Q85,0)</f>
        <v/>
      </c>
      <c r="S85">
        <f>IF(OR(P85&lt;&gt;"E",R85=0),0,SUMIFS($R$18:$R$317,$B$18:$B$317,B85,$D$18:$D$317,D85,$P$18:$P$317,"E"))</f>
        <v/>
      </c>
      <c r="T85">
        <f>IF(OR(P85&lt;&gt;"F",R85=0),0,SUMIFS($R$18:$R$317,$B$18:$B$317,B85,$D$18:$D$317,D85,$P$18:$P$317,"F"))</f>
        <v/>
      </c>
      <c r="U85">
        <f>IF(OR(P85&lt;&gt;"A",R85=0),0,SUMIFS($R$18:$R$317,$B$18:$B$317,B85,$D$18:$D$317,D85,$P$18:$P$317,"A"))</f>
        <v/>
      </c>
      <c r="V85">
        <f>IF(OR(N85="",N85="OK",L85="Cancelled"),0,1)</f>
        <v/>
      </c>
    </row>
    <row r="86">
      <c r="B86" s="22" t="n"/>
      <c r="C86" s="23">
        <f>IF(B86="","",$E$9&amp;TEXT(N($E$10)+68,"000"))</f>
        <v/>
      </c>
      <c r="D86" s="14" t="n"/>
      <c r="E86" s="14" t="n"/>
      <c r="F86" s="14" t="n"/>
      <c r="G86" s="24" t="n"/>
      <c r="H86" s="14" t="n"/>
      <c r="I86" s="24" t="n"/>
      <c r="J86" s="25" t="n"/>
      <c r="K86" s="14" t="n"/>
      <c r="L86" s="24" t="n"/>
      <c r="M86" s="26">
        <f>IF(OR(N(J86)=0,L86="Cancelled"),"",IF(AND(N(J86)&gt;5000,H86="Cash"),"Yes: ₹1","No"))</f>
        <v/>
      </c>
      <c r="N86" s="27">
        <f>IF(AND(B86="",D86="",N(J86)=0),"",IF(B86="","Enter the date",IF(AND(ROW()&gt;18,B85=""),"Use the next empty row: a skipped row leaves a gap in the voucher numbers",IF(D86="","Enter who was paid",IF(N(J86)=0,"Enter the amount",IF(E86="","Pick the head of account",IF(P86="?","Pick the head from the list",IF(H86="","Pick how it was paid",IF(L86="Cancelled","Cancelled: keep this number unused and write a fresh voucher",IF(AND(H86&lt;&gt;"Cash",I86=""),"Enter the cheque no., UTR or UPI reference",IF(AND(N($E$11)&gt;0,N(J86)&gt;N($E$11),K86=""),"Above your approval limit: get it approved before paying",IF(S86&gt;10000,"Cash paid to this person today is over ₹10,000: not deductible, s.36(4)",IF(T86&gt;35000,"Cash freight to this transporter today is over ₹35,000: not deductible, s.36(6)",IF(U86&gt;10000,"Asset paid in cash over ₹10,000 today: left out of its cost, s.39(2)",IF(AND(P86="L",H86="Cash",N(J86)&gt;=20000),"Loan of ₹20,000 or more repaid in cash: barred, s.188","OK")))))))))))))))</f>
        <v/>
      </c>
      <c r="P86">
        <f>IF(E86="","",IFERROR(VLOOKUP(E86,Lists!$A$2:$B$17,2,FALSE),"?"))</f>
        <v/>
      </c>
      <c r="Q86">
        <f>IF(L86="Cancelled",0,N(J86))</f>
        <v/>
      </c>
      <c r="R86">
        <f>IF(H86="Cash",Q86,0)</f>
        <v/>
      </c>
      <c r="S86">
        <f>IF(OR(P86&lt;&gt;"E",R86=0),0,SUMIFS($R$18:$R$317,$B$18:$B$317,B86,$D$18:$D$317,D86,$P$18:$P$317,"E"))</f>
        <v/>
      </c>
      <c r="T86">
        <f>IF(OR(P86&lt;&gt;"F",R86=0),0,SUMIFS($R$18:$R$317,$B$18:$B$317,B86,$D$18:$D$317,D86,$P$18:$P$317,"F"))</f>
        <v/>
      </c>
      <c r="U86">
        <f>IF(OR(P86&lt;&gt;"A",R86=0),0,SUMIFS($R$18:$R$317,$B$18:$B$317,B86,$D$18:$D$317,D86,$P$18:$P$317,"A"))</f>
        <v/>
      </c>
      <c r="V86">
        <f>IF(OR(N86="",N86="OK",L86="Cancelled"),0,1)</f>
        <v/>
      </c>
    </row>
    <row r="87">
      <c r="B87" s="22" t="n"/>
      <c r="C87" s="23">
        <f>IF(B87="","",$E$9&amp;TEXT(N($E$10)+69,"000"))</f>
        <v/>
      </c>
      <c r="D87" s="14" t="n"/>
      <c r="E87" s="14" t="n"/>
      <c r="F87" s="14" t="n"/>
      <c r="G87" s="24" t="n"/>
      <c r="H87" s="14" t="n"/>
      <c r="I87" s="24" t="n"/>
      <c r="J87" s="25" t="n"/>
      <c r="K87" s="14" t="n"/>
      <c r="L87" s="24" t="n"/>
      <c r="M87" s="26">
        <f>IF(OR(N(J87)=0,L87="Cancelled"),"",IF(AND(N(J87)&gt;5000,H87="Cash"),"Yes: ₹1","No"))</f>
        <v/>
      </c>
      <c r="N87" s="27">
        <f>IF(AND(B87="",D87="",N(J87)=0),"",IF(B87="","Enter the date",IF(AND(ROW()&gt;18,B86=""),"Use the next empty row: a skipped row leaves a gap in the voucher numbers",IF(D87="","Enter who was paid",IF(N(J87)=0,"Enter the amount",IF(E87="","Pick the head of account",IF(P87="?","Pick the head from the list",IF(H87="","Pick how it was paid",IF(L87="Cancelled","Cancelled: keep this number unused and write a fresh voucher",IF(AND(H87&lt;&gt;"Cash",I87=""),"Enter the cheque no., UTR or UPI reference",IF(AND(N($E$11)&gt;0,N(J87)&gt;N($E$11),K87=""),"Above your approval limit: get it approved before paying",IF(S87&gt;10000,"Cash paid to this person today is over ₹10,000: not deductible, s.36(4)",IF(T87&gt;35000,"Cash freight to this transporter today is over ₹35,000: not deductible, s.36(6)",IF(U87&gt;10000,"Asset paid in cash over ₹10,000 today: left out of its cost, s.39(2)",IF(AND(P87="L",H87="Cash",N(J87)&gt;=20000),"Loan of ₹20,000 or more repaid in cash: barred, s.188","OK")))))))))))))))</f>
        <v/>
      </c>
      <c r="P87">
        <f>IF(E87="","",IFERROR(VLOOKUP(E87,Lists!$A$2:$B$17,2,FALSE),"?"))</f>
        <v/>
      </c>
      <c r="Q87">
        <f>IF(L87="Cancelled",0,N(J87))</f>
        <v/>
      </c>
      <c r="R87">
        <f>IF(H87="Cash",Q87,0)</f>
        <v/>
      </c>
      <c r="S87">
        <f>IF(OR(P87&lt;&gt;"E",R87=0),0,SUMIFS($R$18:$R$317,$B$18:$B$317,B87,$D$18:$D$317,D87,$P$18:$P$317,"E"))</f>
        <v/>
      </c>
      <c r="T87">
        <f>IF(OR(P87&lt;&gt;"F",R87=0),0,SUMIFS($R$18:$R$317,$B$18:$B$317,B87,$D$18:$D$317,D87,$P$18:$P$317,"F"))</f>
        <v/>
      </c>
      <c r="U87">
        <f>IF(OR(P87&lt;&gt;"A",R87=0),0,SUMIFS($R$18:$R$317,$B$18:$B$317,B87,$D$18:$D$317,D87,$P$18:$P$317,"A"))</f>
        <v/>
      </c>
      <c r="V87">
        <f>IF(OR(N87="",N87="OK",L87="Cancelled"),0,1)</f>
        <v/>
      </c>
    </row>
    <row r="88">
      <c r="B88" s="22" t="n"/>
      <c r="C88" s="23">
        <f>IF(B88="","",$E$9&amp;TEXT(N($E$10)+70,"000"))</f>
        <v/>
      </c>
      <c r="D88" s="14" t="n"/>
      <c r="E88" s="14" t="n"/>
      <c r="F88" s="14" t="n"/>
      <c r="G88" s="24" t="n"/>
      <c r="H88" s="14" t="n"/>
      <c r="I88" s="24" t="n"/>
      <c r="J88" s="25" t="n"/>
      <c r="K88" s="14" t="n"/>
      <c r="L88" s="24" t="n"/>
      <c r="M88" s="26">
        <f>IF(OR(N(J88)=0,L88="Cancelled"),"",IF(AND(N(J88)&gt;5000,H88="Cash"),"Yes: ₹1","No"))</f>
        <v/>
      </c>
      <c r="N88" s="27">
        <f>IF(AND(B88="",D88="",N(J88)=0),"",IF(B88="","Enter the date",IF(AND(ROW()&gt;18,B87=""),"Use the next empty row: a skipped row leaves a gap in the voucher numbers",IF(D88="","Enter who was paid",IF(N(J88)=0,"Enter the amount",IF(E88="","Pick the head of account",IF(P88="?","Pick the head from the list",IF(H88="","Pick how it was paid",IF(L88="Cancelled","Cancelled: keep this number unused and write a fresh voucher",IF(AND(H88&lt;&gt;"Cash",I88=""),"Enter the cheque no., UTR or UPI reference",IF(AND(N($E$11)&gt;0,N(J88)&gt;N($E$11),K88=""),"Above your approval limit: get it approved before paying",IF(S88&gt;10000,"Cash paid to this person today is over ₹10,000: not deductible, s.36(4)",IF(T88&gt;35000,"Cash freight to this transporter today is over ₹35,000: not deductible, s.36(6)",IF(U88&gt;10000,"Asset paid in cash over ₹10,000 today: left out of its cost, s.39(2)",IF(AND(P88="L",H88="Cash",N(J88)&gt;=20000),"Loan of ₹20,000 or more repaid in cash: barred, s.188","OK")))))))))))))))</f>
        <v/>
      </c>
      <c r="P88">
        <f>IF(E88="","",IFERROR(VLOOKUP(E88,Lists!$A$2:$B$17,2,FALSE),"?"))</f>
        <v/>
      </c>
      <c r="Q88">
        <f>IF(L88="Cancelled",0,N(J88))</f>
        <v/>
      </c>
      <c r="R88">
        <f>IF(H88="Cash",Q88,0)</f>
        <v/>
      </c>
      <c r="S88">
        <f>IF(OR(P88&lt;&gt;"E",R88=0),0,SUMIFS($R$18:$R$317,$B$18:$B$317,B88,$D$18:$D$317,D88,$P$18:$P$317,"E"))</f>
        <v/>
      </c>
      <c r="T88">
        <f>IF(OR(P88&lt;&gt;"F",R88=0),0,SUMIFS($R$18:$R$317,$B$18:$B$317,B88,$D$18:$D$317,D88,$P$18:$P$317,"F"))</f>
        <v/>
      </c>
      <c r="U88">
        <f>IF(OR(P88&lt;&gt;"A",R88=0),0,SUMIFS($R$18:$R$317,$B$18:$B$317,B88,$D$18:$D$317,D88,$P$18:$P$317,"A"))</f>
        <v/>
      </c>
      <c r="V88">
        <f>IF(OR(N88="",N88="OK",L88="Cancelled"),0,1)</f>
        <v/>
      </c>
    </row>
    <row r="89">
      <c r="B89" s="22" t="n"/>
      <c r="C89" s="23">
        <f>IF(B89="","",$E$9&amp;TEXT(N($E$10)+71,"000"))</f>
        <v/>
      </c>
      <c r="D89" s="14" t="n"/>
      <c r="E89" s="14" t="n"/>
      <c r="F89" s="14" t="n"/>
      <c r="G89" s="24" t="n"/>
      <c r="H89" s="14" t="n"/>
      <c r="I89" s="24" t="n"/>
      <c r="J89" s="25" t="n"/>
      <c r="K89" s="14" t="n"/>
      <c r="L89" s="24" t="n"/>
      <c r="M89" s="26">
        <f>IF(OR(N(J89)=0,L89="Cancelled"),"",IF(AND(N(J89)&gt;5000,H89="Cash"),"Yes: ₹1","No"))</f>
        <v/>
      </c>
      <c r="N89" s="27">
        <f>IF(AND(B89="",D89="",N(J89)=0),"",IF(B89="","Enter the date",IF(AND(ROW()&gt;18,B88=""),"Use the next empty row: a skipped row leaves a gap in the voucher numbers",IF(D89="","Enter who was paid",IF(N(J89)=0,"Enter the amount",IF(E89="","Pick the head of account",IF(P89="?","Pick the head from the list",IF(H89="","Pick how it was paid",IF(L89="Cancelled","Cancelled: keep this number unused and write a fresh voucher",IF(AND(H89&lt;&gt;"Cash",I89=""),"Enter the cheque no., UTR or UPI reference",IF(AND(N($E$11)&gt;0,N(J89)&gt;N($E$11),K89=""),"Above your approval limit: get it approved before paying",IF(S89&gt;10000,"Cash paid to this person today is over ₹10,000: not deductible, s.36(4)",IF(T89&gt;35000,"Cash freight to this transporter today is over ₹35,000: not deductible, s.36(6)",IF(U89&gt;10000,"Asset paid in cash over ₹10,000 today: left out of its cost, s.39(2)",IF(AND(P89="L",H89="Cash",N(J89)&gt;=20000),"Loan of ₹20,000 or more repaid in cash: barred, s.188","OK")))))))))))))))</f>
        <v/>
      </c>
      <c r="P89">
        <f>IF(E89="","",IFERROR(VLOOKUP(E89,Lists!$A$2:$B$17,2,FALSE),"?"))</f>
        <v/>
      </c>
      <c r="Q89">
        <f>IF(L89="Cancelled",0,N(J89))</f>
        <v/>
      </c>
      <c r="R89">
        <f>IF(H89="Cash",Q89,0)</f>
        <v/>
      </c>
      <c r="S89">
        <f>IF(OR(P89&lt;&gt;"E",R89=0),0,SUMIFS($R$18:$R$317,$B$18:$B$317,B89,$D$18:$D$317,D89,$P$18:$P$317,"E"))</f>
        <v/>
      </c>
      <c r="T89">
        <f>IF(OR(P89&lt;&gt;"F",R89=0),0,SUMIFS($R$18:$R$317,$B$18:$B$317,B89,$D$18:$D$317,D89,$P$18:$P$317,"F"))</f>
        <v/>
      </c>
      <c r="U89">
        <f>IF(OR(P89&lt;&gt;"A",R89=0),0,SUMIFS($R$18:$R$317,$B$18:$B$317,B89,$D$18:$D$317,D89,$P$18:$P$317,"A"))</f>
        <v/>
      </c>
      <c r="V89">
        <f>IF(OR(N89="",N89="OK",L89="Cancelled"),0,1)</f>
        <v/>
      </c>
    </row>
    <row r="90">
      <c r="B90" s="22" t="n"/>
      <c r="C90" s="23">
        <f>IF(B90="","",$E$9&amp;TEXT(N($E$10)+72,"000"))</f>
        <v/>
      </c>
      <c r="D90" s="14" t="n"/>
      <c r="E90" s="14" t="n"/>
      <c r="F90" s="14" t="n"/>
      <c r="G90" s="24" t="n"/>
      <c r="H90" s="14" t="n"/>
      <c r="I90" s="24" t="n"/>
      <c r="J90" s="25" t="n"/>
      <c r="K90" s="14" t="n"/>
      <c r="L90" s="24" t="n"/>
      <c r="M90" s="26">
        <f>IF(OR(N(J90)=0,L90="Cancelled"),"",IF(AND(N(J90)&gt;5000,H90="Cash"),"Yes: ₹1","No"))</f>
        <v/>
      </c>
      <c r="N90" s="27">
        <f>IF(AND(B90="",D90="",N(J90)=0),"",IF(B90="","Enter the date",IF(AND(ROW()&gt;18,B89=""),"Use the next empty row: a skipped row leaves a gap in the voucher numbers",IF(D90="","Enter who was paid",IF(N(J90)=0,"Enter the amount",IF(E90="","Pick the head of account",IF(P90="?","Pick the head from the list",IF(H90="","Pick how it was paid",IF(L90="Cancelled","Cancelled: keep this number unused and write a fresh voucher",IF(AND(H90&lt;&gt;"Cash",I90=""),"Enter the cheque no., UTR or UPI reference",IF(AND(N($E$11)&gt;0,N(J90)&gt;N($E$11),K90=""),"Above your approval limit: get it approved before paying",IF(S90&gt;10000,"Cash paid to this person today is over ₹10,000: not deductible, s.36(4)",IF(T90&gt;35000,"Cash freight to this transporter today is over ₹35,000: not deductible, s.36(6)",IF(U90&gt;10000,"Asset paid in cash over ₹10,000 today: left out of its cost, s.39(2)",IF(AND(P90="L",H90="Cash",N(J90)&gt;=20000),"Loan of ₹20,000 or more repaid in cash: barred, s.188","OK")))))))))))))))</f>
        <v/>
      </c>
      <c r="P90">
        <f>IF(E90="","",IFERROR(VLOOKUP(E90,Lists!$A$2:$B$17,2,FALSE),"?"))</f>
        <v/>
      </c>
      <c r="Q90">
        <f>IF(L90="Cancelled",0,N(J90))</f>
        <v/>
      </c>
      <c r="R90">
        <f>IF(H90="Cash",Q90,0)</f>
        <v/>
      </c>
      <c r="S90">
        <f>IF(OR(P90&lt;&gt;"E",R90=0),0,SUMIFS($R$18:$R$317,$B$18:$B$317,B90,$D$18:$D$317,D90,$P$18:$P$317,"E"))</f>
        <v/>
      </c>
      <c r="T90">
        <f>IF(OR(P90&lt;&gt;"F",R90=0),0,SUMIFS($R$18:$R$317,$B$18:$B$317,B90,$D$18:$D$317,D90,$P$18:$P$317,"F"))</f>
        <v/>
      </c>
      <c r="U90">
        <f>IF(OR(P90&lt;&gt;"A",R90=0),0,SUMIFS($R$18:$R$317,$B$18:$B$317,B90,$D$18:$D$317,D90,$P$18:$P$317,"A"))</f>
        <v/>
      </c>
      <c r="V90">
        <f>IF(OR(N90="",N90="OK",L90="Cancelled"),0,1)</f>
        <v/>
      </c>
    </row>
    <row r="91">
      <c r="B91" s="22" t="n"/>
      <c r="C91" s="23">
        <f>IF(B91="","",$E$9&amp;TEXT(N($E$10)+73,"000"))</f>
        <v/>
      </c>
      <c r="D91" s="14" t="n"/>
      <c r="E91" s="14" t="n"/>
      <c r="F91" s="14" t="n"/>
      <c r="G91" s="24" t="n"/>
      <c r="H91" s="14" t="n"/>
      <c r="I91" s="24" t="n"/>
      <c r="J91" s="25" t="n"/>
      <c r="K91" s="14" t="n"/>
      <c r="L91" s="24" t="n"/>
      <c r="M91" s="26">
        <f>IF(OR(N(J91)=0,L91="Cancelled"),"",IF(AND(N(J91)&gt;5000,H91="Cash"),"Yes: ₹1","No"))</f>
        <v/>
      </c>
      <c r="N91" s="27">
        <f>IF(AND(B91="",D91="",N(J91)=0),"",IF(B91="","Enter the date",IF(AND(ROW()&gt;18,B90=""),"Use the next empty row: a skipped row leaves a gap in the voucher numbers",IF(D91="","Enter who was paid",IF(N(J91)=0,"Enter the amount",IF(E91="","Pick the head of account",IF(P91="?","Pick the head from the list",IF(H91="","Pick how it was paid",IF(L91="Cancelled","Cancelled: keep this number unused and write a fresh voucher",IF(AND(H91&lt;&gt;"Cash",I91=""),"Enter the cheque no., UTR or UPI reference",IF(AND(N($E$11)&gt;0,N(J91)&gt;N($E$11),K91=""),"Above your approval limit: get it approved before paying",IF(S91&gt;10000,"Cash paid to this person today is over ₹10,000: not deductible, s.36(4)",IF(T91&gt;35000,"Cash freight to this transporter today is over ₹35,000: not deductible, s.36(6)",IF(U91&gt;10000,"Asset paid in cash over ₹10,000 today: left out of its cost, s.39(2)",IF(AND(P91="L",H91="Cash",N(J91)&gt;=20000),"Loan of ₹20,000 or more repaid in cash: barred, s.188","OK")))))))))))))))</f>
        <v/>
      </c>
      <c r="P91">
        <f>IF(E91="","",IFERROR(VLOOKUP(E91,Lists!$A$2:$B$17,2,FALSE),"?"))</f>
        <v/>
      </c>
      <c r="Q91">
        <f>IF(L91="Cancelled",0,N(J91))</f>
        <v/>
      </c>
      <c r="R91">
        <f>IF(H91="Cash",Q91,0)</f>
        <v/>
      </c>
      <c r="S91">
        <f>IF(OR(P91&lt;&gt;"E",R91=0),0,SUMIFS($R$18:$R$317,$B$18:$B$317,B91,$D$18:$D$317,D91,$P$18:$P$317,"E"))</f>
        <v/>
      </c>
      <c r="T91">
        <f>IF(OR(P91&lt;&gt;"F",R91=0),0,SUMIFS($R$18:$R$317,$B$18:$B$317,B91,$D$18:$D$317,D91,$P$18:$P$317,"F"))</f>
        <v/>
      </c>
      <c r="U91">
        <f>IF(OR(P91&lt;&gt;"A",R91=0),0,SUMIFS($R$18:$R$317,$B$18:$B$317,B91,$D$18:$D$317,D91,$P$18:$P$317,"A"))</f>
        <v/>
      </c>
      <c r="V91">
        <f>IF(OR(N91="",N91="OK",L91="Cancelled"),0,1)</f>
        <v/>
      </c>
    </row>
    <row r="92">
      <c r="B92" s="22" t="n"/>
      <c r="C92" s="23">
        <f>IF(B92="","",$E$9&amp;TEXT(N($E$10)+74,"000"))</f>
        <v/>
      </c>
      <c r="D92" s="14" t="n"/>
      <c r="E92" s="14" t="n"/>
      <c r="F92" s="14" t="n"/>
      <c r="G92" s="24" t="n"/>
      <c r="H92" s="14" t="n"/>
      <c r="I92" s="24" t="n"/>
      <c r="J92" s="25" t="n"/>
      <c r="K92" s="14" t="n"/>
      <c r="L92" s="24" t="n"/>
      <c r="M92" s="26">
        <f>IF(OR(N(J92)=0,L92="Cancelled"),"",IF(AND(N(J92)&gt;5000,H92="Cash"),"Yes: ₹1","No"))</f>
        <v/>
      </c>
      <c r="N92" s="27">
        <f>IF(AND(B92="",D92="",N(J92)=0),"",IF(B92="","Enter the date",IF(AND(ROW()&gt;18,B91=""),"Use the next empty row: a skipped row leaves a gap in the voucher numbers",IF(D92="","Enter who was paid",IF(N(J92)=0,"Enter the amount",IF(E92="","Pick the head of account",IF(P92="?","Pick the head from the list",IF(H92="","Pick how it was paid",IF(L92="Cancelled","Cancelled: keep this number unused and write a fresh voucher",IF(AND(H92&lt;&gt;"Cash",I92=""),"Enter the cheque no., UTR or UPI reference",IF(AND(N($E$11)&gt;0,N(J92)&gt;N($E$11),K92=""),"Above your approval limit: get it approved before paying",IF(S92&gt;10000,"Cash paid to this person today is over ₹10,000: not deductible, s.36(4)",IF(T92&gt;35000,"Cash freight to this transporter today is over ₹35,000: not deductible, s.36(6)",IF(U92&gt;10000,"Asset paid in cash over ₹10,000 today: left out of its cost, s.39(2)",IF(AND(P92="L",H92="Cash",N(J92)&gt;=20000),"Loan of ₹20,000 or more repaid in cash: barred, s.188","OK")))))))))))))))</f>
        <v/>
      </c>
      <c r="P92">
        <f>IF(E92="","",IFERROR(VLOOKUP(E92,Lists!$A$2:$B$17,2,FALSE),"?"))</f>
        <v/>
      </c>
      <c r="Q92">
        <f>IF(L92="Cancelled",0,N(J92))</f>
        <v/>
      </c>
      <c r="R92">
        <f>IF(H92="Cash",Q92,0)</f>
        <v/>
      </c>
      <c r="S92">
        <f>IF(OR(P92&lt;&gt;"E",R92=0),0,SUMIFS($R$18:$R$317,$B$18:$B$317,B92,$D$18:$D$317,D92,$P$18:$P$317,"E"))</f>
        <v/>
      </c>
      <c r="T92">
        <f>IF(OR(P92&lt;&gt;"F",R92=0),0,SUMIFS($R$18:$R$317,$B$18:$B$317,B92,$D$18:$D$317,D92,$P$18:$P$317,"F"))</f>
        <v/>
      </c>
      <c r="U92">
        <f>IF(OR(P92&lt;&gt;"A",R92=0),0,SUMIFS($R$18:$R$317,$B$18:$B$317,B92,$D$18:$D$317,D92,$P$18:$P$317,"A"))</f>
        <v/>
      </c>
      <c r="V92">
        <f>IF(OR(N92="",N92="OK",L92="Cancelled"),0,1)</f>
        <v/>
      </c>
    </row>
    <row r="93">
      <c r="B93" s="22" t="n"/>
      <c r="C93" s="23">
        <f>IF(B93="","",$E$9&amp;TEXT(N($E$10)+75,"000"))</f>
        <v/>
      </c>
      <c r="D93" s="14" t="n"/>
      <c r="E93" s="14" t="n"/>
      <c r="F93" s="14" t="n"/>
      <c r="G93" s="24" t="n"/>
      <c r="H93" s="14" t="n"/>
      <c r="I93" s="24" t="n"/>
      <c r="J93" s="25" t="n"/>
      <c r="K93" s="14" t="n"/>
      <c r="L93" s="24" t="n"/>
      <c r="M93" s="26">
        <f>IF(OR(N(J93)=0,L93="Cancelled"),"",IF(AND(N(J93)&gt;5000,H93="Cash"),"Yes: ₹1","No"))</f>
        <v/>
      </c>
      <c r="N93" s="27">
        <f>IF(AND(B93="",D93="",N(J93)=0),"",IF(B93="","Enter the date",IF(AND(ROW()&gt;18,B92=""),"Use the next empty row: a skipped row leaves a gap in the voucher numbers",IF(D93="","Enter who was paid",IF(N(J93)=0,"Enter the amount",IF(E93="","Pick the head of account",IF(P93="?","Pick the head from the list",IF(H93="","Pick how it was paid",IF(L93="Cancelled","Cancelled: keep this number unused and write a fresh voucher",IF(AND(H93&lt;&gt;"Cash",I93=""),"Enter the cheque no., UTR or UPI reference",IF(AND(N($E$11)&gt;0,N(J93)&gt;N($E$11),K93=""),"Above your approval limit: get it approved before paying",IF(S93&gt;10000,"Cash paid to this person today is over ₹10,000: not deductible, s.36(4)",IF(T93&gt;35000,"Cash freight to this transporter today is over ₹35,000: not deductible, s.36(6)",IF(U93&gt;10000,"Asset paid in cash over ₹10,000 today: left out of its cost, s.39(2)",IF(AND(P93="L",H93="Cash",N(J93)&gt;=20000),"Loan of ₹20,000 or more repaid in cash: barred, s.188","OK")))))))))))))))</f>
        <v/>
      </c>
      <c r="P93">
        <f>IF(E93="","",IFERROR(VLOOKUP(E93,Lists!$A$2:$B$17,2,FALSE),"?"))</f>
        <v/>
      </c>
      <c r="Q93">
        <f>IF(L93="Cancelled",0,N(J93))</f>
        <v/>
      </c>
      <c r="R93">
        <f>IF(H93="Cash",Q93,0)</f>
        <v/>
      </c>
      <c r="S93">
        <f>IF(OR(P93&lt;&gt;"E",R93=0),0,SUMIFS($R$18:$R$317,$B$18:$B$317,B93,$D$18:$D$317,D93,$P$18:$P$317,"E"))</f>
        <v/>
      </c>
      <c r="T93">
        <f>IF(OR(P93&lt;&gt;"F",R93=0),0,SUMIFS($R$18:$R$317,$B$18:$B$317,B93,$D$18:$D$317,D93,$P$18:$P$317,"F"))</f>
        <v/>
      </c>
      <c r="U93">
        <f>IF(OR(P93&lt;&gt;"A",R93=0),0,SUMIFS($R$18:$R$317,$B$18:$B$317,B93,$D$18:$D$317,D93,$P$18:$P$317,"A"))</f>
        <v/>
      </c>
      <c r="V93">
        <f>IF(OR(N93="",N93="OK",L93="Cancelled"),0,1)</f>
        <v/>
      </c>
    </row>
    <row r="94">
      <c r="B94" s="22" t="n"/>
      <c r="C94" s="23">
        <f>IF(B94="","",$E$9&amp;TEXT(N($E$10)+76,"000"))</f>
        <v/>
      </c>
      <c r="D94" s="14" t="n"/>
      <c r="E94" s="14" t="n"/>
      <c r="F94" s="14" t="n"/>
      <c r="G94" s="24" t="n"/>
      <c r="H94" s="14" t="n"/>
      <c r="I94" s="24" t="n"/>
      <c r="J94" s="25" t="n"/>
      <c r="K94" s="14" t="n"/>
      <c r="L94" s="24" t="n"/>
      <c r="M94" s="26">
        <f>IF(OR(N(J94)=0,L94="Cancelled"),"",IF(AND(N(J94)&gt;5000,H94="Cash"),"Yes: ₹1","No"))</f>
        <v/>
      </c>
      <c r="N94" s="27">
        <f>IF(AND(B94="",D94="",N(J94)=0),"",IF(B94="","Enter the date",IF(AND(ROW()&gt;18,B93=""),"Use the next empty row: a skipped row leaves a gap in the voucher numbers",IF(D94="","Enter who was paid",IF(N(J94)=0,"Enter the amount",IF(E94="","Pick the head of account",IF(P94="?","Pick the head from the list",IF(H94="","Pick how it was paid",IF(L94="Cancelled","Cancelled: keep this number unused and write a fresh voucher",IF(AND(H94&lt;&gt;"Cash",I94=""),"Enter the cheque no., UTR or UPI reference",IF(AND(N($E$11)&gt;0,N(J94)&gt;N($E$11),K94=""),"Above your approval limit: get it approved before paying",IF(S94&gt;10000,"Cash paid to this person today is over ₹10,000: not deductible, s.36(4)",IF(T94&gt;35000,"Cash freight to this transporter today is over ₹35,000: not deductible, s.36(6)",IF(U94&gt;10000,"Asset paid in cash over ₹10,000 today: left out of its cost, s.39(2)",IF(AND(P94="L",H94="Cash",N(J94)&gt;=20000),"Loan of ₹20,000 or more repaid in cash: barred, s.188","OK")))))))))))))))</f>
        <v/>
      </c>
      <c r="P94">
        <f>IF(E94="","",IFERROR(VLOOKUP(E94,Lists!$A$2:$B$17,2,FALSE),"?"))</f>
        <v/>
      </c>
      <c r="Q94">
        <f>IF(L94="Cancelled",0,N(J94))</f>
        <v/>
      </c>
      <c r="R94">
        <f>IF(H94="Cash",Q94,0)</f>
        <v/>
      </c>
      <c r="S94">
        <f>IF(OR(P94&lt;&gt;"E",R94=0),0,SUMIFS($R$18:$R$317,$B$18:$B$317,B94,$D$18:$D$317,D94,$P$18:$P$317,"E"))</f>
        <v/>
      </c>
      <c r="T94">
        <f>IF(OR(P94&lt;&gt;"F",R94=0),0,SUMIFS($R$18:$R$317,$B$18:$B$317,B94,$D$18:$D$317,D94,$P$18:$P$317,"F"))</f>
        <v/>
      </c>
      <c r="U94">
        <f>IF(OR(P94&lt;&gt;"A",R94=0),0,SUMIFS($R$18:$R$317,$B$18:$B$317,B94,$D$18:$D$317,D94,$P$18:$P$317,"A"))</f>
        <v/>
      </c>
      <c r="V94">
        <f>IF(OR(N94="",N94="OK",L94="Cancelled"),0,1)</f>
        <v/>
      </c>
    </row>
    <row r="95">
      <c r="B95" s="22" t="n"/>
      <c r="C95" s="23">
        <f>IF(B95="","",$E$9&amp;TEXT(N($E$10)+77,"000"))</f>
        <v/>
      </c>
      <c r="D95" s="14" t="n"/>
      <c r="E95" s="14" t="n"/>
      <c r="F95" s="14" t="n"/>
      <c r="G95" s="24" t="n"/>
      <c r="H95" s="14" t="n"/>
      <c r="I95" s="24" t="n"/>
      <c r="J95" s="25" t="n"/>
      <c r="K95" s="14" t="n"/>
      <c r="L95" s="24" t="n"/>
      <c r="M95" s="26">
        <f>IF(OR(N(J95)=0,L95="Cancelled"),"",IF(AND(N(J95)&gt;5000,H95="Cash"),"Yes: ₹1","No"))</f>
        <v/>
      </c>
      <c r="N95" s="27">
        <f>IF(AND(B95="",D95="",N(J95)=0),"",IF(B95="","Enter the date",IF(AND(ROW()&gt;18,B94=""),"Use the next empty row: a skipped row leaves a gap in the voucher numbers",IF(D95="","Enter who was paid",IF(N(J95)=0,"Enter the amount",IF(E95="","Pick the head of account",IF(P95="?","Pick the head from the list",IF(H95="","Pick how it was paid",IF(L95="Cancelled","Cancelled: keep this number unused and write a fresh voucher",IF(AND(H95&lt;&gt;"Cash",I95=""),"Enter the cheque no., UTR or UPI reference",IF(AND(N($E$11)&gt;0,N(J95)&gt;N($E$11),K95=""),"Above your approval limit: get it approved before paying",IF(S95&gt;10000,"Cash paid to this person today is over ₹10,000: not deductible, s.36(4)",IF(T95&gt;35000,"Cash freight to this transporter today is over ₹35,000: not deductible, s.36(6)",IF(U95&gt;10000,"Asset paid in cash over ₹10,000 today: left out of its cost, s.39(2)",IF(AND(P95="L",H95="Cash",N(J95)&gt;=20000),"Loan of ₹20,000 or more repaid in cash: barred, s.188","OK")))))))))))))))</f>
        <v/>
      </c>
      <c r="P95">
        <f>IF(E95="","",IFERROR(VLOOKUP(E95,Lists!$A$2:$B$17,2,FALSE),"?"))</f>
        <v/>
      </c>
      <c r="Q95">
        <f>IF(L95="Cancelled",0,N(J95))</f>
        <v/>
      </c>
      <c r="R95">
        <f>IF(H95="Cash",Q95,0)</f>
        <v/>
      </c>
      <c r="S95">
        <f>IF(OR(P95&lt;&gt;"E",R95=0),0,SUMIFS($R$18:$R$317,$B$18:$B$317,B95,$D$18:$D$317,D95,$P$18:$P$317,"E"))</f>
        <v/>
      </c>
      <c r="T95">
        <f>IF(OR(P95&lt;&gt;"F",R95=0),0,SUMIFS($R$18:$R$317,$B$18:$B$317,B95,$D$18:$D$317,D95,$P$18:$P$317,"F"))</f>
        <v/>
      </c>
      <c r="U95">
        <f>IF(OR(P95&lt;&gt;"A",R95=0),0,SUMIFS($R$18:$R$317,$B$18:$B$317,B95,$D$18:$D$317,D95,$P$18:$P$317,"A"))</f>
        <v/>
      </c>
      <c r="V95">
        <f>IF(OR(N95="",N95="OK",L95="Cancelled"),0,1)</f>
        <v/>
      </c>
    </row>
    <row r="96">
      <c r="B96" s="22" t="n"/>
      <c r="C96" s="23">
        <f>IF(B96="","",$E$9&amp;TEXT(N($E$10)+78,"000"))</f>
        <v/>
      </c>
      <c r="D96" s="14" t="n"/>
      <c r="E96" s="14" t="n"/>
      <c r="F96" s="14" t="n"/>
      <c r="G96" s="24" t="n"/>
      <c r="H96" s="14" t="n"/>
      <c r="I96" s="24" t="n"/>
      <c r="J96" s="25" t="n"/>
      <c r="K96" s="14" t="n"/>
      <c r="L96" s="24" t="n"/>
      <c r="M96" s="26">
        <f>IF(OR(N(J96)=0,L96="Cancelled"),"",IF(AND(N(J96)&gt;5000,H96="Cash"),"Yes: ₹1","No"))</f>
        <v/>
      </c>
      <c r="N96" s="27">
        <f>IF(AND(B96="",D96="",N(J96)=0),"",IF(B96="","Enter the date",IF(AND(ROW()&gt;18,B95=""),"Use the next empty row: a skipped row leaves a gap in the voucher numbers",IF(D96="","Enter who was paid",IF(N(J96)=0,"Enter the amount",IF(E96="","Pick the head of account",IF(P96="?","Pick the head from the list",IF(H96="","Pick how it was paid",IF(L96="Cancelled","Cancelled: keep this number unused and write a fresh voucher",IF(AND(H96&lt;&gt;"Cash",I96=""),"Enter the cheque no., UTR or UPI reference",IF(AND(N($E$11)&gt;0,N(J96)&gt;N($E$11),K96=""),"Above your approval limit: get it approved before paying",IF(S96&gt;10000,"Cash paid to this person today is over ₹10,000: not deductible, s.36(4)",IF(T96&gt;35000,"Cash freight to this transporter today is over ₹35,000: not deductible, s.36(6)",IF(U96&gt;10000,"Asset paid in cash over ₹10,000 today: left out of its cost, s.39(2)",IF(AND(P96="L",H96="Cash",N(J96)&gt;=20000),"Loan of ₹20,000 or more repaid in cash: barred, s.188","OK")))))))))))))))</f>
        <v/>
      </c>
      <c r="P96">
        <f>IF(E96="","",IFERROR(VLOOKUP(E96,Lists!$A$2:$B$17,2,FALSE),"?"))</f>
        <v/>
      </c>
      <c r="Q96">
        <f>IF(L96="Cancelled",0,N(J96))</f>
        <v/>
      </c>
      <c r="R96">
        <f>IF(H96="Cash",Q96,0)</f>
        <v/>
      </c>
      <c r="S96">
        <f>IF(OR(P96&lt;&gt;"E",R96=0),0,SUMIFS($R$18:$R$317,$B$18:$B$317,B96,$D$18:$D$317,D96,$P$18:$P$317,"E"))</f>
        <v/>
      </c>
      <c r="T96">
        <f>IF(OR(P96&lt;&gt;"F",R96=0),0,SUMIFS($R$18:$R$317,$B$18:$B$317,B96,$D$18:$D$317,D96,$P$18:$P$317,"F"))</f>
        <v/>
      </c>
      <c r="U96">
        <f>IF(OR(P96&lt;&gt;"A",R96=0),0,SUMIFS($R$18:$R$317,$B$18:$B$317,B96,$D$18:$D$317,D96,$P$18:$P$317,"A"))</f>
        <v/>
      </c>
      <c r="V96">
        <f>IF(OR(N96="",N96="OK",L96="Cancelled"),0,1)</f>
        <v/>
      </c>
    </row>
    <row r="97">
      <c r="B97" s="22" t="n"/>
      <c r="C97" s="23">
        <f>IF(B97="","",$E$9&amp;TEXT(N($E$10)+79,"000"))</f>
        <v/>
      </c>
      <c r="D97" s="14" t="n"/>
      <c r="E97" s="14" t="n"/>
      <c r="F97" s="14" t="n"/>
      <c r="G97" s="24" t="n"/>
      <c r="H97" s="14" t="n"/>
      <c r="I97" s="24" t="n"/>
      <c r="J97" s="25" t="n"/>
      <c r="K97" s="14" t="n"/>
      <c r="L97" s="24" t="n"/>
      <c r="M97" s="26">
        <f>IF(OR(N(J97)=0,L97="Cancelled"),"",IF(AND(N(J97)&gt;5000,H97="Cash"),"Yes: ₹1","No"))</f>
        <v/>
      </c>
      <c r="N97" s="27">
        <f>IF(AND(B97="",D97="",N(J97)=0),"",IF(B97="","Enter the date",IF(AND(ROW()&gt;18,B96=""),"Use the next empty row: a skipped row leaves a gap in the voucher numbers",IF(D97="","Enter who was paid",IF(N(J97)=0,"Enter the amount",IF(E97="","Pick the head of account",IF(P97="?","Pick the head from the list",IF(H97="","Pick how it was paid",IF(L97="Cancelled","Cancelled: keep this number unused and write a fresh voucher",IF(AND(H97&lt;&gt;"Cash",I97=""),"Enter the cheque no., UTR or UPI reference",IF(AND(N($E$11)&gt;0,N(J97)&gt;N($E$11),K97=""),"Above your approval limit: get it approved before paying",IF(S97&gt;10000,"Cash paid to this person today is over ₹10,000: not deductible, s.36(4)",IF(T97&gt;35000,"Cash freight to this transporter today is over ₹35,000: not deductible, s.36(6)",IF(U97&gt;10000,"Asset paid in cash over ₹10,000 today: left out of its cost, s.39(2)",IF(AND(P97="L",H97="Cash",N(J97)&gt;=20000),"Loan of ₹20,000 or more repaid in cash: barred, s.188","OK")))))))))))))))</f>
        <v/>
      </c>
      <c r="P97">
        <f>IF(E97="","",IFERROR(VLOOKUP(E97,Lists!$A$2:$B$17,2,FALSE),"?"))</f>
        <v/>
      </c>
      <c r="Q97">
        <f>IF(L97="Cancelled",0,N(J97))</f>
        <v/>
      </c>
      <c r="R97">
        <f>IF(H97="Cash",Q97,0)</f>
        <v/>
      </c>
      <c r="S97">
        <f>IF(OR(P97&lt;&gt;"E",R97=0),0,SUMIFS($R$18:$R$317,$B$18:$B$317,B97,$D$18:$D$317,D97,$P$18:$P$317,"E"))</f>
        <v/>
      </c>
      <c r="T97">
        <f>IF(OR(P97&lt;&gt;"F",R97=0),0,SUMIFS($R$18:$R$317,$B$18:$B$317,B97,$D$18:$D$317,D97,$P$18:$P$317,"F"))</f>
        <v/>
      </c>
      <c r="U97">
        <f>IF(OR(P97&lt;&gt;"A",R97=0),0,SUMIFS($R$18:$R$317,$B$18:$B$317,B97,$D$18:$D$317,D97,$P$18:$P$317,"A"))</f>
        <v/>
      </c>
      <c r="V97">
        <f>IF(OR(N97="",N97="OK",L97="Cancelled"),0,1)</f>
        <v/>
      </c>
    </row>
    <row r="98">
      <c r="B98" s="22" t="n"/>
      <c r="C98" s="23">
        <f>IF(B98="","",$E$9&amp;TEXT(N($E$10)+80,"000"))</f>
        <v/>
      </c>
      <c r="D98" s="14" t="n"/>
      <c r="E98" s="14" t="n"/>
      <c r="F98" s="14" t="n"/>
      <c r="G98" s="24" t="n"/>
      <c r="H98" s="14" t="n"/>
      <c r="I98" s="24" t="n"/>
      <c r="J98" s="25" t="n"/>
      <c r="K98" s="14" t="n"/>
      <c r="L98" s="24" t="n"/>
      <c r="M98" s="26">
        <f>IF(OR(N(J98)=0,L98="Cancelled"),"",IF(AND(N(J98)&gt;5000,H98="Cash"),"Yes: ₹1","No"))</f>
        <v/>
      </c>
      <c r="N98" s="27">
        <f>IF(AND(B98="",D98="",N(J98)=0),"",IF(B98="","Enter the date",IF(AND(ROW()&gt;18,B97=""),"Use the next empty row: a skipped row leaves a gap in the voucher numbers",IF(D98="","Enter who was paid",IF(N(J98)=0,"Enter the amount",IF(E98="","Pick the head of account",IF(P98="?","Pick the head from the list",IF(H98="","Pick how it was paid",IF(L98="Cancelled","Cancelled: keep this number unused and write a fresh voucher",IF(AND(H98&lt;&gt;"Cash",I98=""),"Enter the cheque no., UTR or UPI reference",IF(AND(N($E$11)&gt;0,N(J98)&gt;N($E$11),K98=""),"Above your approval limit: get it approved before paying",IF(S98&gt;10000,"Cash paid to this person today is over ₹10,000: not deductible, s.36(4)",IF(T98&gt;35000,"Cash freight to this transporter today is over ₹35,000: not deductible, s.36(6)",IF(U98&gt;10000,"Asset paid in cash over ₹10,000 today: left out of its cost, s.39(2)",IF(AND(P98="L",H98="Cash",N(J98)&gt;=20000),"Loan of ₹20,000 or more repaid in cash: barred, s.188","OK")))))))))))))))</f>
        <v/>
      </c>
      <c r="P98">
        <f>IF(E98="","",IFERROR(VLOOKUP(E98,Lists!$A$2:$B$17,2,FALSE),"?"))</f>
        <v/>
      </c>
      <c r="Q98">
        <f>IF(L98="Cancelled",0,N(J98))</f>
        <v/>
      </c>
      <c r="R98">
        <f>IF(H98="Cash",Q98,0)</f>
        <v/>
      </c>
      <c r="S98">
        <f>IF(OR(P98&lt;&gt;"E",R98=0),0,SUMIFS($R$18:$R$317,$B$18:$B$317,B98,$D$18:$D$317,D98,$P$18:$P$317,"E"))</f>
        <v/>
      </c>
      <c r="T98">
        <f>IF(OR(P98&lt;&gt;"F",R98=0),0,SUMIFS($R$18:$R$317,$B$18:$B$317,B98,$D$18:$D$317,D98,$P$18:$P$317,"F"))</f>
        <v/>
      </c>
      <c r="U98">
        <f>IF(OR(P98&lt;&gt;"A",R98=0),0,SUMIFS($R$18:$R$317,$B$18:$B$317,B98,$D$18:$D$317,D98,$P$18:$P$317,"A"))</f>
        <v/>
      </c>
      <c r="V98">
        <f>IF(OR(N98="",N98="OK",L98="Cancelled"),0,1)</f>
        <v/>
      </c>
    </row>
    <row r="99">
      <c r="B99" s="22" t="n"/>
      <c r="C99" s="23">
        <f>IF(B99="","",$E$9&amp;TEXT(N($E$10)+81,"000"))</f>
        <v/>
      </c>
      <c r="D99" s="14" t="n"/>
      <c r="E99" s="14" t="n"/>
      <c r="F99" s="14" t="n"/>
      <c r="G99" s="24" t="n"/>
      <c r="H99" s="14" t="n"/>
      <c r="I99" s="24" t="n"/>
      <c r="J99" s="25" t="n"/>
      <c r="K99" s="14" t="n"/>
      <c r="L99" s="24" t="n"/>
      <c r="M99" s="26">
        <f>IF(OR(N(J99)=0,L99="Cancelled"),"",IF(AND(N(J99)&gt;5000,H99="Cash"),"Yes: ₹1","No"))</f>
        <v/>
      </c>
      <c r="N99" s="27">
        <f>IF(AND(B99="",D99="",N(J99)=0),"",IF(B99="","Enter the date",IF(AND(ROW()&gt;18,B98=""),"Use the next empty row: a skipped row leaves a gap in the voucher numbers",IF(D99="","Enter who was paid",IF(N(J99)=0,"Enter the amount",IF(E99="","Pick the head of account",IF(P99="?","Pick the head from the list",IF(H99="","Pick how it was paid",IF(L99="Cancelled","Cancelled: keep this number unused and write a fresh voucher",IF(AND(H99&lt;&gt;"Cash",I99=""),"Enter the cheque no., UTR or UPI reference",IF(AND(N($E$11)&gt;0,N(J99)&gt;N($E$11),K99=""),"Above your approval limit: get it approved before paying",IF(S99&gt;10000,"Cash paid to this person today is over ₹10,000: not deductible, s.36(4)",IF(T99&gt;35000,"Cash freight to this transporter today is over ₹35,000: not deductible, s.36(6)",IF(U99&gt;10000,"Asset paid in cash over ₹10,000 today: left out of its cost, s.39(2)",IF(AND(P99="L",H99="Cash",N(J99)&gt;=20000),"Loan of ₹20,000 or more repaid in cash: barred, s.188","OK")))))))))))))))</f>
        <v/>
      </c>
      <c r="P99">
        <f>IF(E99="","",IFERROR(VLOOKUP(E99,Lists!$A$2:$B$17,2,FALSE),"?"))</f>
        <v/>
      </c>
      <c r="Q99">
        <f>IF(L99="Cancelled",0,N(J99))</f>
        <v/>
      </c>
      <c r="R99">
        <f>IF(H99="Cash",Q99,0)</f>
        <v/>
      </c>
      <c r="S99">
        <f>IF(OR(P99&lt;&gt;"E",R99=0),0,SUMIFS($R$18:$R$317,$B$18:$B$317,B99,$D$18:$D$317,D99,$P$18:$P$317,"E"))</f>
        <v/>
      </c>
      <c r="T99">
        <f>IF(OR(P99&lt;&gt;"F",R99=0),0,SUMIFS($R$18:$R$317,$B$18:$B$317,B99,$D$18:$D$317,D99,$P$18:$P$317,"F"))</f>
        <v/>
      </c>
      <c r="U99">
        <f>IF(OR(P99&lt;&gt;"A",R99=0),0,SUMIFS($R$18:$R$317,$B$18:$B$317,B99,$D$18:$D$317,D99,$P$18:$P$317,"A"))</f>
        <v/>
      </c>
      <c r="V99">
        <f>IF(OR(N99="",N99="OK",L99="Cancelled"),0,1)</f>
        <v/>
      </c>
    </row>
    <row r="100">
      <c r="B100" s="22" t="n"/>
      <c r="C100" s="23">
        <f>IF(B100="","",$E$9&amp;TEXT(N($E$10)+82,"000"))</f>
        <v/>
      </c>
      <c r="D100" s="14" t="n"/>
      <c r="E100" s="14" t="n"/>
      <c r="F100" s="14" t="n"/>
      <c r="G100" s="24" t="n"/>
      <c r="H100" s="14" t="n"/>
      <c r="I100" s="24" t="n"/>
      <c r="J100" s="25" t="n"/>
      <c r="K100" s="14" t="n"/>
      <c r="L100" s="24" t="n"/>
      <c r="M100" s="26">
        <f>IF(OR(N(J100)=0,L100="Cancelled"),"",IF(AND(N(J100)&gt;5000,H100="Cash"),"Yes: ₹1","No"))</f>
        <v/>
      </c>
      <c r="N100" s="27">
        <f>IF(AND(B100="",D100="",N(J100)=0),"",IF(B100="","Enter the date",IF(AND(ROW()&gt;18,B99=""),"Use the next empty row: a skipped row leaves a gap in the voucher numbers",IF(D100="","Enter who was paid",IF(N(J100)=0,"Enter the amount",IF(E100="","Pick the head of account",IF(P100="?","Pick the head from the list",IF(H100="","Pick how it was paid",IF(L100="Cancelled","Cancelled: keep this number unused and write a fresh voucher",IF(AND(H100&lt;&gt;"Cash",I100=""),"Enter the cheque no., UTR or UPI reference",IF(AND(N($E$11)&gt;0,N(J100)&gt;N($E$11),K100=""),"Above your approval limit: get it approved before paying",IF(S100&gt;10000,"Cash paid to this person today is over ₹10,000: not deductible, s.36(4)",IF(T100&gt;35000,"Cash freight to this transporter today is over ₹35,000: not deductible, s.36(6)",IF(U100&gt;10000,"Asset paid in cash over ₹10,000 today: left out of its cost, s.39(2)",IF(AND(P100="L",H100="Cash",N(J100)&gt;=20000),"Loan of ₹20,000 or more repaid in cash: barred, s.188","OK")))))))))))))))</f>
        <v/>
      </c>
      <c r="P100">
        <f>IF(E100="","",IFERROR(VLOOKUP(E100,Lists!$A$2:$B$17,2,FALSE),"?"))</f>
        <v/>
      </c>
      <c r="Q100">
        <f>IF(L100="Cancelled",0,N(J100))</f>
        <v/>
      </c>
      <c r="R100">
        <f>IF(H100="Cash",Q100,0)</f>
        <v/>
      </c>
      <c r="S100">
        <f>IF(OR(P100&lt;&gt;"E",R100=0),0,SUMIFS($R$18:$R$317,$B$18:$B$317,B100,$D$18:$D$317,D100,$P$18:$P$317,"E"))</f>
        <v/>
      </c>
      <c r="T100">
        <f>IF(OR(P100&lt;&gt;"F",R100=0),0,SUMIFS($R$18:$R$317,$B$18:$B$317,B100,$D$18:$D$317,D100,$P$18:$P$317,"F"))</f>
        <v/>
      </c>
      <c r="U100">
        <f>IF(OR(P100&lt;&gt;"A",R100=0),0,SUMIFS($R$18:$R$317,$B$18:$B$317,B100,$D$18:$D$317,D100,$P$18:$P$317,"A"))</f>
        <v/>
      </c>
      <c r="V100">
        <f>IF(OR(N100="",N100="OK",L100="Cancelled"),0,1)</f>
        <v/>
      </c>
    </row>
    <row r="101">
      <c r="B101" s="22" t="n"/>
      <c r="C101" s="23">
        <f>IF(B101="","",$E$9&amp;TEXT(N($E$10)+83,"000"))</f>
        <v/>
      </c>
      <c r="D101" s="14" t="n"/>
      <c r="E101" s="14" t="n"/>
      <c r="F101" s="14" t="n"/>
      <c r="G101" s="24" t="n"/>
      <c r="H101" s="14" t="n"/>
      <c r="I101" s="24" t="n"/>
      <c r="J101" s="25" t="n"/>
      <c r="K101" s="14" t="n"/>
      <c r="L101" s="24" t="n"/>
      <c r="M101" s="26">
        <f>IF(OR(N(J101)=0,L101="Cancelled"),"",IF(AND(N(J101)&gt;5000,H101="Cash"),"Yes: ₹1","No"))</f>
        <v/>
      </c>
      <c r="N101" s="27">
        <f>IF(AND(B101="",D101="",N(J101)=0),"",IF(B101="","Enter the date",IF(AND(ROW()&gt;18,B100=""),"Use the next empty row: a skipped row leaves a gap in the voucher numbers",IF(D101="","Enter who was paid",IF(N(J101)=0,"Enter the amount",IF(E101="","Pick the head of account",IF(P101="?","Pick the head from the list",IF(H101="","Pick how it was paid",IF(L101="Cancelled","Cancelled: keep this number unused and write a fresh voucher",IF(AND(H101&lt;&gt;"Cash",I101=""),"Enter the cheque no., UTR or UPI reference",IF(AND(N($E$11)&gt;0,N(J101)&gt;N($E$11),K101=""),"Above your approval limit: get it approved before paying",IF(S101&gt;10000,"Cash paid to this person today is over ₹10,000: not deductible, s.36(4)",IF(T101&gt;35000,"Cash freight to this transporter today is over ₹35,000: not deductible, s.36(6)",IF(U101&gt;10000,"Asset paid in cash over ₹10,000 today: left out of its cost, s.39(2)",IF(AND(P101="L",H101="Cash",N(J101)&gt;=20000),"Loan of ₹20,000 or more repaid in cash: barred, s.188","OK")))))))))))))))</f>
        <v/>
      </c>
      <c r="P101">
        <f>IF(E101="","",IFERROR(VLOOKUP(E101,Lists!$A$2:$B$17,2,FALSE),"?"))</f>
        <v/>
      </c>
      <c r="Q101">
        <f>IF(L101="Cancelled",0,N(J101))</f>
        <v/>
      </c>
      <c r="R101">
        <f>IF(H101="Cash",Q101,0)</f>
        <v/>
      </c>
      <c r="S101">
        <f>IF(OR(P101&lt;&gt;"E",R101=0),0,SUMIFS($R$18:$R$317,$B$18:$B$317,B101,$D$18:$D$317,D101,$P$18:$P$317,"E"))</f>
        <v/>
      </c>
      <c r="T101">
        <f>IF(OR(P101&lt;&gt;"F",R101=0),0,SUMIFS($R$18:$R$317,$B$18:$B$317,B101,$D$18:$D$317,D101,$P$18:$P$317,"F"))</f>
        <v/>
      </c>
      <c r="U101">
        <f>IF(OR(P101&lt;&gt;"A",R101=0),0,SUMIFS($R$18:$R$317,$B$18:$B$317,B101,$D$18:$D$317,D101,$P$18:$P$317,"A"))</f>
        <v/>
      </c>
      <c r="V101">
        <f>IF(OR(N101="",N101="OK",L101="Cancelled"),0,1)</f>
        <v/>
      </c>
    </row>
    <row r="102">
      <c r="B102" s="22" t="n"/>
      <c r="C102" s="23">
        <f>IF(B102="","",$E$9&amp;TEXT(N($E$10)+84,"000"))</f>
        <v/>
      </c>
      <c r="D102" s="14" t="n"/>
      <c r="E102" s="14" t="n"/>
      <c r="F102" s="14" t="n"/>
      <c r="G102" s="24" t="n"/>
      <c r="H102" s="14" t="n"/>
      <c r="I102" s="24" t="n"/>
      <c r="J102" s="25" t="n"/>
      <c r="K102" s="14" t="n"/>
      <c r="L102" s="24" t="n"/>
      <c r="M102" s="26">
        <f>IF(OR(N(J102)=0,L102="Cancelled"),"",IF(AND(N(J102)&gt;5000,H102="Cash"),"Yes: ₹1","No"))</f>
        <v/>
      </c>
      <c r="N102" s="27">
        <f>IF(AND(B102="",D102="",N(J102)=0),"",IF(B102="","Enter the date",IF(AND(ROW()&gt;18,B101=""),"Use the next empty row: a skipped row leaves a gap in the voucher numbers",IF(D102="","Enter who was paid",IF(N(J102)=0,"Enter the amount",IF(E102="","Pick the head of account",IF(P102="?","Pick the head from the list",IF(H102="","Pick how it was paid",IF(L102="Cancelled","Cancelled: keep this number unused and write a fresh voucher",IF(AND(H102&lt;&gt;"Cash",I102=""),"Enter the cheque no., UTR or UPI reference",IF(AND(N($E$11)&gt;0,N(J102)&gt;N($E$11),K102=""),"Above your approval limit: get it approved before paying",IF(S102&gt;10000,"Cash paid to this person today is over ₹10,000: not deductible, s.36(4)",IF(T102&gt;35000,"Cash freight to this transporter today is over ₹35,000: not deductible, s.36(6)",IF(U102&gt;10000,"Asset paid in cash over ₹10,000 today: left out of its cost, s.39(2)",IF(AND(P102="L",H102="Cash",N(J102)&gt;=20000),"Loan of ₹20,000 or more repaid in cash: barred, s.188","OK")))))))))))))))</f>
        <v/>
      </c>
      <c r="P102">
        <f>IF(E102="","",IFERROR(VLOOKUP(E102,Lists!$A$2:$B$17,2,FALSE),"?"))</f>
        <v/>
      </c>
      <c r="Q102">
        <f>IF(L102="Cancelled",0,N(J102))</f>
        <v/>
      </c>
      <c r="R102">
        <f>IF(H102="Cash",Q102,0)</f>
        <v/>
      </c>
      <c r="S102">
        <f>IF(OR(P102&lt;&gt;"E",R102=0),0,SUMIFS($R$18:$R$317,$B$18:$B$317,B102,$D$18:$D$317,D102,$P$18:$P$317,"E"))</f>
        <v/>
      </c>
      <c r="T102">
        <f>IF(OR(P102&lt;&gt;"F",R102=0),0,SUMIFS($R$18:$R$317,$B$18:$B$317,B102,$D$18:$D$317,D102,$P$18:$P$317,"F"))</f>
        <v/>
      </c>
      <c r="U102">
        <f>IF(OR(P102&lt;&gt;"A",R102=0),0,SUMIFS($R$18:$R$317,$B$18:$B$317,B102,$D$18:$D$317,D102,$P$18:$P$317,"A"))</f>
        <v/>
      </c>
      <c r="V102">
        <f>IF(OR(N102="",N102="OK",L102="Cancelled"),0,1)</f>
        <v/>
      </c>
    </row>
    <row r="103">
      <c r="B103" s="22" t="n"/>
      <c r="C103" s="23">
        <f>IF(B103="","",$E$9&amp;TEXT(N($E$10)+85,"000"))</f>
        <v/>
      </c>
      <c r="D103" s="14" t="n"/>
      <c r="E103" s="14" t="n"/>
      <c r="F103" s="14" t="n"/>
      <c r="G103" s="24" t="n"/>
      <c r="H103" s="14" t="n"/>
      <c r="I103" s="24" t="n"/>
      <c r="J103" s="25" t="n"/>
      <c r="K103" s="14" t="n"/>
      <c r="L103" s="24" t="n"/>
      <c r="M103" s="26">
        <f>IF(OR(N(J103)=0,L103="Cancelled"),"",IF(AND(N(J103)&gt;5000,H103="Cash"),"Yes: ₹1","No"))</f>
        <v/>
      </c>
      <c r="N103" s="27">
        <f>IF(AND(B103="",D103="",N(J103)=0),"",IF(B103="","Enter the date",IF(AND(ROW()&gt;18,B102=""),"Use the next empty row: a skipped row leaves a gap in the voucher numbers",IF(D103="","Enter who was paid",IF(N(J103)=0,"Enter the amount",IF(E103="","Pick the head of account",IF(P103="?","Pick the head from the list",IF(H103="","Pick how it was paid",IF(L103="Cancelled","Cancelled: keep this number unused and write a fresh voucher",IF(AND(H103&lt;&gt;"Cash",I103=""),"Enter the cheque no., UTR or UPI reference",IF(AND(N($E$11)&gt;0,N(J103)&gt;N($E$11),K103=""),"Above your approval limit: get it approved before paying",IF(S103&gt;10000,"Cash paid to this person today is over ₹10,000: not deductible, s.36(4)",IF(T103&gt;35000,"Cash freight to this transporter today is over ₹35,000: not deductible, s.36(6)",IF(U103&gt;10000,"Asset paid in cash over ₹10,000 today: left out of its cost, s.39(2)",IF(AND(P103="L",H103="Cash",N(J103)&gt;=20000),"Loan of ₹20,000 or more repaid in cash: barred, s.188","OK")))))))))))))))</f>
        <v/>
      </c>
      <c r="P103">
        <f>IF(E103="","",IFERROR(VLOOKUP(E103,Lists!$A$2:$B$17,2,FALSE),"?"))</f>
        <v/>
      </c>
      <c r="Q103">
        <f>IF(L103="Cancelled",0,N(J103))</f>
        <v/>
      </c>
      <c r="R103">
        <f>IF(H103="Cash",Q103,0)</f>
        <v/>
      </c>
      <c r="S103">
        <f>IF(OR(P103&lt;&gt;"E",R103=0),0,SUMIFS($R$18:$R$317,$B$18:$B$317,B103,$D$18:$D$317,D103,$P$18:$P$317,"E"))</f>
        <v/>
      </c>
      <c r="T103">
        <f>IF(OR(P103&lt;&gt;"F",R103=0),0,SUMIFS($R$18:$R$317,$B$18:$B$317,B103,$D$18:$D$317,D103,$P$18:$P$317,"F"))</f>
        <v/>
      </c>
      <c r="U103">
        <f>IF(OR(P103&lt;&gt;"A",R103=0),0,SUMIFS($R$18:$R$317,$B$18:$B$317,B103,$D$18:$D$317,D103,$P$18:$P$317,"A"))</f>
        <v/>
      </c>
      <c r="V103">
        <f>IF(OR(N103="",N103="OK",L103="Cancelled"),0,1)</f>
        <v/>
      </c>
    </row>
    <row r="104">
      <c r="B104" s="22" t="n"/>
      <c r="C104" s="23">
        <f>IF(B104="","",$E$9&amp;TEXT(N($E$10)+86,"000"))</f>
        <v/>
      </c>
      <c r="D104" s="14" t="n"/>
      <c r="E104" s="14" t="n"/>
      <c r="F104" s="14" t="n"/>
      <c r="G104" s="24" t="n"/>
      <c r="H104" s="14" t="n"/>
      <c r="I104" s="24" t="n"/>
      <c r="J104" s="25" t="n"/>
      <c r="K104" s="14" t="n"/>
      <c r="L104" s="24" t="n"/>
      <c r="M104" s="26">
        <f>IF(OR(N(J104)=0,L104="Cancelled"),"",IF(AND(N(J104)&gt;5000,H104="Cash"),"Yes: ₹1","No"))</f>
        <v/>
      </c>
      <c r="N104" s="27">
        <f>IF(AND(B104="",D104="",N(J104)=0),"",IF(B104="","Enter the date",IF(AND(ROW()&gt;18,B103=""),"Use the next empty row: a skipped row leaves a gap in the voucher numbers",IF(D104="","Enter who was paid",IF(N(J104)=0,"Enter the amount",IF(E104="","Pick the head of account",IF(P104="?","Pick the head from the list",IF(H104="","Pick how it was paid",IF(L104="Cancelled","Cancelled: keep this number unused and write a fresh voucher",IF(AND(H104&lt;&gt;"Cash",I104=""),"Enter the cheque no., UTR or UPI reference",IF(AND(N($E$11)&gt;0,N(J104)&gt;N($E$11),K104=""),"Above your approval limit: get it approved before paying",IF(S104&gt;10000,"Cash paid to this person today is over ₹10,000: not deductible, s.36(4)",IF(T104&gt;35000,"Cash freight to this transporter today is over ₹35,000: not deductible, s.36(6)",IF(U104&gt;10000,"Asset paid in cash over ₹10,000 today: left out of its cost, s.39(2)",IF(AND(P104="L",H104="Cash",N(J104)&gt;=20000),"Loan of ₹20,000 or more repaid in cash: barred, s.188","OK")))))))))))))))</f>
        <v/>
      </c>
      <c r="P104">
        <f>IF(E104="","",IFERROR(VLOOKUP(E104,Lists!$A$2:$B$17,2,FALSE),"?"))</f>
        <v/>
      </c>
      <c r="Q104">
        <f>IF(L104="Cancelled",0,N(J104))</f>
        <v/>
      </c>
      <c r="R104">
        <f>IF(H104="Cash",Q104,0)</f>
        <v/>
      </c>
      <c r="S104">
        <f>IF(OR(P104&lt;&gt;"E",R104=0),0,SUMIFS($R$18:$R$317,$B$18:$B$317,B104,$D$18:$D$317,D104,$P$18:$P$317,"E"))</f>
        <v/>
      </c>
      <c r="T104">
        <f>IF(OR(P104&lt;&gt;"F",R104=0),0,SUMIFS($R$18:$R$317,$B$18:$B$317,B104,$D$18:$D$317,D104,$P$18:$P$317,"F"))</f>
        <v/>
      </c>
      <c r="U104">
        <f>IF(OR(P104&lt;&gt;"A",R104=0),0,SUMIFS($R$18:$R$317,$B$18:$B$317,B104,$D$18:$D$317,D104,$P$18:$P$317,"A"))</f>
        <v/>
      </c>
      <c r="V104">
        <f>IF(OR(N104="",N104="OK",L104="Cancelled"),0,1)</f>
        <v/>
      </c>
    </row>
    <row r="105">
      <c r="B105" s="22" t="n"/>
      <c r="C105" s="23">
        <f>IF(B105="","",$E$9&amp;TEXT(N($E$10)+87,"000"))</f>
        <v/>
      </c>
      <c r="D105" s="14" t="n"/>
      <c r="E105" s="14" t="n"/>
      <c r="F105" s="14" t="n"/>
      <c r="G105" s="24" t="n"/>
      <c r="H105" s="14" t="n"/>
      <c r="I105" s="24" t="n"/>
      <c r="J105" s="25" t="n"/>
      <c r="K105" s="14" t="n"/>
      <c r="L105" s="24" t="n"/>
      <c r="M105" s="26">
        <f>IF(OR(N(J105)=0,L105="Cancelled"),"",IF(AND(N(J105)&gt;5000,H105="Cash"),"Yes: ₹1","No"))</f>
        <v/>
      </c>
      <c r="N105" s="27">
        <f>IF(AND(B105="",D105="",N(J105)=0),"",IF(B105="","Enter the date",IF(AND(ROW()&gt;18,B104=""),"Use the next empty row: a skipped row leaves a gap in the voucher numbers",IF(D105="","Enter who was paid",IF(N(J105)=0,"Enter the amount",IF(E105="","Pick the head of account",IF(P105="?","Pick the head from the list",IF(H105="","Pick how it was paid",IF(L105="Cancelled","Cancelled: keep this number unused and write a fresh voucher",IF(AND(H105&lt;&gt;"Cash",I105=""),"Enter the cheque no., UTR or UPI reference",IF(AND(N($E$11)&gt;0,N(J105)&gt;N($E$11),K105=""),"Above your approval limit: get it approved before paying",IF(S105&gt;10000,"Cash paid to this person today is over ₹10,000: not deductible, s.36(4)",IF(T105&gt;35000,"Cash freight to this transporter today is over ₹35,000: not deductible, s.36(6)",IF(U105&gt;10000,"Asset paid in cash over ₹10,000 today: left out of its cost, s.39(2)",IF(AND(P105="L",H105="Cash",N(J105)&gt;=20000),"Loan of ₹20,000 or more repaid in cash: barred, s.188","OK")))))))))))))))</f>
        <v/>
      </c>
      <c r="P105">
        <f>IF(E105="","",IFERROR(VLOOKUP(E105,Lists!$A$2:$B$17,2,FALSE),"?"))</f>
        <v/>
      </c>
      <c r="Q105">
        <f>IF(L105="Cancelled",0,N(J105))</f>
        <v/>
      </c>
      <c r="R105">
        <f>IF(H105="Cash",Q105,0)</f>
        <v/>
      </c>
      <c r="S105">
        <f>IF(OR(P105&lt;&gt;"E",R105=0),0,SUMIFS($R$18:$R$317,$B$18:$B$317,B105,$D$18:$D$317,D105,$P$18:$P$317,"E"))</f>
        <v/>
      </c>
      <c r="T105">
        <f>IF(OR(P105&lt;&gt;"F",R105=0),0,SUMIFS($R$18:$R$317,$B$18:$B$317,B105,$D$18:$D$317,D105,$P$18:$P$317,"F"))</f>
        <v/>
      </c>
      <c r="U105">
        <f>IF(OR(P105&lt;&gt;"A",R105=0),0,SUMIFS($R$18:$R$317,$B$18:$B$317,B105,$D$18:$D$317,D105,$P$18:$P$317,"A"))</f>
        <v/>
      </c>
      <c r="V105">
        <f>IF(OR(N105="",N105="OK",L105="Cancelled"),0,1)</f>
        <v/>
      </c>
    </row>
    <row r="106">
      <c r="B106" s="22" t="n"/>
      <c r="C106" s="23">
        <f>IF(B106="","",$E$9&amp;TEXT(N($E$10)+88,"000"))</f>
        <v/>
      </c>
      <c r="D106" s="14" t="n"/>
      <c r="E106" s="14" t="n"/>
      <c r="F106" s="14" t="n"/>
      <c r="G106" s="24" t="n"/>
      <c r="H106" s="14" t="n"/>
      <c r="I106" s="24" t="n"/>
      <c r="J106" s="25" t="n"/>
      <c r="K106" s="14" t="n"/>
      <c r="L106" s="24" t="n"/>
      <c r="M106" s="26">
        <f>IF(OR(N(J106)=0,L106="Cancelled"),"",IF(AND(N(J106)&gt;5000,H106="Cash"),"Yes: ₹1","No"))</f>
        <v/>
      </c>
      <c r="N106" s="27">
        <f>IF(AND(B106="",D106="",N(J106)=0),"",IF(B106="","Enter the date",IF(AND(ROW()&gt;18,B105=""),"Use the next empty row: a skipped row leaves a gap in the voucher numbers",IF(D106="","Enter who was paid",IF(N(J106)=0,"Enter the amount",IF(E106="","Pick the head of account",IF(P106="?","Pick the head from the list",IF(H106="","Pick how it was paid",IF(L106="Cancelled","Cancelled: keep this number unused and write a fresh voucher",IF(AND(H106&lt;&gt;"Cash",I106=""),"Enter the cheque no., UTR or UPI reference",IF(AND(N($E$11)&gt;0,N(J106)&gt;N($E$11),K106=""),"Above your approval limit: get it approved before paying",IF(S106&gt;10000,"Cash paid to this person today is over ₹10,000: not deductible, s.36(4)",IF(T106&gt;35000,"Cash freight to this transporter today is over ₹35,000: not deductible, s.36(6)",IF(U106&gt;10000,"Asset paid in cash over ₹10,000 today: left out of its cost, s.39(2)",IF(AND(P106="L",H106="Cash",N(J106)&gt;=20000),"Loan of ₹20,000 or more repaid in cash: barred, s.188","OK")))))))))))))))</f>
        <v/>
      </c>
      <c r="P106">
        <f>IF(E106="","",IFERROR(VLOOKUP(E106,Lists!$A$2:$B$17,2,FALSE),"?"))</f>
        <v/>
      </c>
      <c r="Q106">
        <f>IF(L106="Cancelled",0,N(J106))</f>
        <v/>
      </c>
      <c r="R106">
        <f>IF(H106="Cash",Q106,0)</f>
        <v/>
      </c>
      <c r="S106">
        <f>IF(OR(P106&lt;&gt;"E",R106=0),0,SUMIFS($R$18:$R$317,$B$18:$B$317,B106,$D$18:$D$317,D106,$P$18:$P$317,"E"))</f>
        <v/>
      </c>
      <c r="T106">
        <f>IF(OR(P106&lt;&gt;"F",R106=0),0,SUMIFS($R$18:$R$317,$B$18:$B$317,B106,$D$18:$D$317,D106,$P$18:$P$317,"F"))</f>
        <v/>
      </c>
      <c r="U106">
        <f>IF(OR(P106&lt;&gt;"A",R106=0),0,SUMIFS($R$18:$R$317,$B$18:$B$317,B106,$D$18:$D$317,D106,$P$18:$P$317,"A"))</f>
        <v/>
      </c>
      <c r="V106">
        <f>IF(OR(N106="",N106="OK",L106="Cancelled"),0,1)</f>
        <v/>
      </c>
    </row>
    <row r="107">
      <c r="B107" s="22" t="n"/>
      <c r="C107" s="23">
        <f>IF(B107="","",$E$9&amp;TEXT(N($E$10)+89,"000"))</f>
        <v/>
      </c>
      <c r="D107" s="14" t="n"/>
      <c r="E107" s="14" t="n"/>
      <c r="F107" s="14" t="n"/>
      <c r="G107" s="24" t="n"/>
      <c r="H107" s="14" t="n"/>
      <c r="I107" s="24" t="n"/>
      <c r="J107" s="25" t="n"/>
      <c r="K107" s="14" t="n"/>
      <c r="L107" s="24" t="n"/>
      <c r="M107" s="26">
        <f>IF(OR(N(J107)=0,L107="Cancelled"),"",IF(AND(N(J107)&gt;5000,H107="Cash"),"Yes: ₹1","No"))</f>
        <v/>
      </c>
      <c r="N107" s="27">
        <f>IF(AND(B107="",D107="",N(J107)=0),"",IF(B107="","Enter the date",IF(AND(ROW()&gt;18,B106=""),"Use the next empty row: a skipped row leaves a gap in the voucher numbers",IF(D107="","Enter who was paid",IF(N(J107)=0,"Enter the amount",IF(E107="","Pick the head of account",IF(P107="?","Pick the head from the list",IF(H107="","Pick how it was paid",IF(L107="Cancelled","Cancelled: keep this number unused and write a fresh voucher",IF(AND(H107&lt;&gt;"Cash",I107=""),"Enter the cheque no., UTR or UPI reference",IF(AND(N($E$11)&gt;0,N(J107)&gt;N($E$11),K107=""),"Above your approval limit: get it approved before paying",IF(S107&gt;10000,"Cash paid to this person today is over ₹10,000: not deductible, s.36(4)",IF(T107&gt;35000,"Cash freight to this transporter today is over ₹35,000: not deductible, s.36(6)",IF(U107&gt;10000,"Asset paid in cash over ₹10,000 today: left out of its cost, s.39(2)",IF(AND(P107="L",H107="Cash",N(J107)&gt;=20000),"Loan of ₹20,000 or more repaid in cash: barred, s.188","OK")))))))))))))))</f>
        <v/>
      </c>
      <c r="P107">
        <f>IF(E107="","",IFERROR(VLOOKUP(E107,Lists!$A$2:$B$17,2,FALSE),"?"))</f>
        <v/>
      </c>
      <c r="Q107">
        <f>IF(L107="Cancelled",0,N(J107))</f>
        <v/>
      </c>
      <c r="R107">
        <f>IF(H107="Cash",Q107,0)</f>
        <v/>
      </c>
      <c r="S107">
        <f>IF(OR(P107&lt;&gt;"E",R107=0),0,SUMIFS($R$18:$R$317,$B$18:$B$317,B107,$D$18:$D$317,D107,$P$18:$P$317,"E"))</f>
        <v/>
      </c>
      <c r="T107">
        <f>IF(OR(P107&lt;&gt;"F",R107=0),0,SUMIFS($R$18:$R$317,$B$18:$B$317,B107,$D$18:$D$317,D107,$P$18:$P$317,"F"))</f>
        <v/>
      </c>
      <c r="U107">
        <f>IF(OR(P107&lt;&gt;"A",R107=0),0,SUMIFS($R$18:$R$317,$B$18:$B$317,B107,$D$18:$D$317,D107,$P$18:$P$317,"A"))</f>
        <v/>
      </c>
      <c r="V107">
        <f>IF(OR(N107="",N107="OK",L107="Cancelled"),0,1)</f>
        <v/>
      </c>
    </row>
    <row r="108">
      <c r="B108" s="22" t="n"/>
      <c r="C108" s="23">
        <f>IF(B108="","",$E$9&amp;TEXT(N($E$10)+90,"000"))</f>
        <v/>
      </c>
      <c r="D108" s="14" t="n"/>
      <c r="E108" s="14" t="n"/>
      <c r="F108" s="14" t="n"/>
      <c r="G108" s="24" t="n"/>
      <c r="H108" s="14" t="n"/>
      <c r="I108" s="24" t="n"/>
      <c r="J108" s="25" t="n"/>
      <c r="K108" s="14" t="n"/>
      <c r="L108" s="24" t="n"/>
      <c r="M108" s="26">
        <f>IF(OR(N(J108)=0,L108="Cancelled"),"",IF(AND(N(J108)&gt;5000,H108="Cash"),"Yes: ₹1","No"))</f>
        <v/>
      </c>
      <c r="N108" s="27">
        <f>IF(AND(B108="",D108="",N(J108)=0),"",IF(B108="","Enter the date",IF(AND(ROW()&gt;18,B107=""),"Use the next empty row: a skipped row leaves a gap in the voucher numbers",IF(D108="","Enter who was paid",IF(N(J108)=0,"Enter the amount",IF(E108="","Pick the head of account",IF(P108="?","Pick the head from the list",IF(H108="","Pick how it was paid",IF(L108="Cancelled","Cancelled: keep this number unused and write a fresh voucher",IF(AND(H108&lt;&gt;"Cash",I108=""),"Enter the cheque no., UTR or UPI reference",IF(AND(N($E$11)&gt;0,N(J108)&gt;N($E$11),K108=""),"Above your approval limit: get it approved before paying",IF(S108&gt;10000,"Cash paid to this person today is over ₹10,000: not deductible, s.36(4)",IF(T108&gt;35000,"Cash freight to this transporter today is over ₹35,000: not deductible, s.36(6)",IF(U108&gt;10000,"Asset paid in cash over ₹10,000 today: left out of its cost, s.39(2)",IF(AND(P108="L",H108="Cash",N(J108)&gt;=20000),"Loan of ₹20,000 or more repaid in cash: barred, s.188","OK")))))))))))))))</f>
        <v/>
      </c>
      <c r="P108">
        <f>IF(E108="","",IFERROR(VLOOKUP(E108,Lists!$A$2:$B$17,2,FALSE),"?"))</f>
        <v/>
      </c>
      <c r="Q108">
        <f>IF(L108="Cancelled",0,N(J108))</f>
        <v/>
      </c>
      <c r="R108">
        <f>IF(H108="Cash",Q108,0)</f>
        <v/>
      </c>
      <c r="S108">
        <f>IF(OR(P108&lt;&gt;"E",R108=0),0,SUMIFS($R$18:$R$317,$B$18:$B$317,B108,$D$18:$D$317,D108,$P$18:$P$317,"E"))</f>
        <v/>
      </c>
      <c r="T108">
        <f>IF(OR(P108&lt;&gt;"F",R108=0),0,SUMIFS($R$18:$R$317,$B$18:$B$317,B108,$D$18:$D$317,D108,$P$18:$P$317,"F"))</f>
        <v/>
      </c>
      <c r="U108">
        <f>IF(OR(P108&lt;&gt;"A",R108=0),0,SUMIFS($R$18:$R$317,$B$18:$B$317,B108,$D$18:$D$317,D108,$P$18:$P$317,"A"))</f>
        <v/>
      </c>
      <c r="V108">
        <f>IF(OR(N108="",N108="OK",L108="Cancelled"),0,1)</f>
        <v/>
      </c>
    </row>
    <row r="109">
      <c r="B109" s="22" t="n"/>
      <c r="C109" s="23">
        <f>IF(B109="","",$E$9&amp;TEXT(N($E$10)+91,"000"))</f>
        <v/>
      </c>
      <c r="D109" s="14" t="n"/>
      <c r="E109" s="14" t="n"/>
      <c r="F109" s="14" t="n"/>
      <c r="G109" s="24" t="n"/>
      <c r="H109" s="14" t="n"/>
      <c r="I109" s="24" t="n"/>
      <c r="J109" s="25" t="n"/>
      <c r="K109" s="14" t="n"/>
      <c r="L109" s="24" t="n"/>
      <c r="M109" s="26">
        <f>IF(OR(N(J109)=0,L109="Cancelled"),"",IF(AND(N(J109)&gt;5000,H109="Cash"),"Yes: ₹1","No"))</f>
        <v/>
      </c>
      <c r="N109" s="27">
        <f>IF(AND(B109="",D109="",N(J109)=0),"",IF(B109="","Enter the date",IF(AND(ROW()&gt;18,B108=""),"Use the next empty row: a skipped row leaves a gap in the voucher numbers",IF(D109="","Enter who was paid",IF(N(J109)=0,"Enter the amount",IF(E109="","Pick the head of account",IF(P109="?","Pick the head from the list",IF(H109="","Pick how it was paid",IF(L109="Cancelled","Cancelled: keep this number unused and write a fresh voucher",IF(AND(H109&lt;&gt;"Cash",I109=""),"Enter the cheque no., UTR or UPI reference",IF(AND(N($E$11)&gt;0,N(J109)&gt;N($E$11),K109=""),"Above your approval limit: get it approved before paying",IF(S109&gt;10000,"Cash paid to this person today is over ₹10,000: not deductible, s.36(4)",IF(T109&gt;35000,"Cash freight to this transporter today is over ₹35,000: not deductible, s.36(6)",IF(U109&gt;10000,"Asset paid in cash over ₹10,000 today: left out of its cost, s.39(2)",IF(AND(P109="L",H109="Cash",N(J109)&gt;=20000),"Loan of ₹20,000 or more repaid in cash: barred, s.188","OK")))))))))))))))</f>
        <v/>
      </c>
      <c r="P109">
        <f>IF(E109="","",IFERROR(VLOOKUP(E109,Lists!$A$2:$B$17,2,FALSE),"?"))</f>
        <v/>
      </c>
      <c r="Q109">
        <f>IF(L109="Cancelled",0,N(J109))</f>
        <v/>
      </c>
      <c r="R109">
        <f>IF(H109="Cash",Q109,0)</f>
        <v/>
      </c>
      <c r="S109">
        <f>IF(OR(P109&lt;&gt;"E",R109=0),0,SUMIFS($R$18:$R$317,$B$18:$B$317,B109,$D$18:$D$317,D109,$P$18:$P$317,"E"))</f>
        <v/>
      </c>
      <c r="T109">
        <f>IF(OR(P109&lt;&gt;"F",R109=0),0,SUMIFS($R$18:$R$317,$B$18:$B$317,B109,$D$18:$D$317,D109,$P$18:$P$317,"F"))</f>
        <v/>
      </c>
      <c r="U109">
        <f>IF(OR(P109&lt;&gt;"A",R109=0),0,SUMIFS($R$18:$R$317,$B$18:$B$317,B109,$D$18:$D$317,D109,$P$18:$P$317,"A"))</f>
        <v/>
      </c>
      <c r="V109">
        <f>IF(OR(N109="",N109="OK",L109="Cancelled"),0,1)</f>
        <v/>
      </c>
    </row>
    <row r="110">
      <c r="B110" s="22" t="n"/>
      <c r="C110" s="23">
        <f>IF(B110="","",$E$9&amp;TEXT(N($E$10)+92,"000"))</f>
        <v/>
      </c>
      <c r="D110" s="14" t="n"/>
      <c r="E110" s="14" t="n"/>
      <c r="F110" s="14" t="n"/>
      <c r="G110" s="24" t="n"/>
      <c r="H110" s="14" t="n"/>
      <c r="I110" s="24" t="n"/>
      <c r="J110" s="25" t="n"/>
      <c r="K110" s="14" t="n"/>
      <c r="L110" s="24" t="n"/>
      <c r="M110" s="26">
        <f>IF(OR(N(J110)=0,L110="Cancelled"),"",IF(AND(N(J110)&gt;5000,H110="Cash"),"Yes: ₹1","No"))</f>
        <v/>
      </c>
      <c r="N110" s="27">
        <f>IF(AND(B110="",D110="",N(J110)=0),"",IF(B110="","Enter the date",IF(AND(ROW()&gt;18,B109=""),"Use the next empty row: a skipped row leaves a gap in the voucher numbers",IF(D110="","Enter who was paid",IF(N(J110)=0,"Enter the amount",IF(E110="","Pick the head of account",IF(P110="?","Pick the head from the list",IF(H110="","Pick how it was paid",IF(L110="Cancelled","Cancelled: keep this number unused and write a fresh voucher",IF(AND(H110&lt;&gt;"Cash",I110=""),"Enter the cheque no., UTR or UPI reference",IF(AND(N($E$11)&gt;0,N(J110)&gt;N($E$11),K110=""),"Above your approval limit: get it approved before paying",IF(S110&gt;10000,"Cash paid to this person today is over ₹10,000: not deductible, s.36(4)",IF(T110&gt;35000,"Cash freight to this transporter today is over ₹35,000: not deductible, s.36(6)",IF(U110&gt;10000,"Asset paid in cash over ₹10,000 today: left out of its cost, s.39(2)",IF(AND(P110="L",H110="Cash",N(J110)&gt;=20000),"Loan of ₹20,000 or more repaid in cash: barred, s.188","OK")))))))))))))))</f>
        <v/>
      </c>
      <c r="P110">
        <f>IF(E110="","",IFERROR(VLOOKUP(E110,Lists!$A$2:$B$17,2,FALSE),"?"))</f>
        <v/>
      </c>
      <c r="Q110">
        <f>IF(L110="Cancelled",0,N(J110))</f>
        <v/>
      </c>
      <c r="R110">
        <f>IF(H110="Cash",Q110,0)</f>
        <v/>
      </c>
      <c r="S110">
        <f>IF(OR(P110&lt;&gt;"E",R110=0),0,SUMIFS($R$18:$R$317,$B$18:$B$317,B110,$D$18:$D$317,D110,$P$18:$P$317,"E"))</f>
        <v/>
      </c>
      <c r="T110">
        <f>IF(OR(P110&lt;&gt;"F",R110=0),0,SUMIFS($R$18:$R$317,$B$18:$B$317,B110,$D$18:$D$317,D110,$P$18:$P$317,"F"))</f>
        <v/>
      </c>
      <c r="U110">
        <f>IF(OR(P110&lt;&gt;"A",R110=0),0,SUMIFS($R$18:$R$317,$B$18:$B$317,B110,$D$18:$D$317,D110,$P$18:$P$317,"A"))</f>
        <v/>
      </c>
      <c r="V110">
        <f>IF(OR(N110="",N110="OK",L110="Cancelled"),0,1)</f>
        <v/>
      </c>
    </row>
    <row r="111">
      <c r="B111" s="22" t="n"/>
      <c r="C111" s="23">
        <f>IF(B111="","",$E$9&amp;TEXT(N($E$10)+93,"000"))</f>
        <v/>
      </c>
      <c r="D111" s="14" t="n"/>
      <c r="E111" s="14" t="n"/>
      <c r="F111" s="14" t="n"/>
      <c r="G111" s="24" t="n"/>
      <c r="H111" s="14" t="n"/>
      <c r="I111" s="24" t="n"/>
      <c r="J111" s="25" t="n"/>
      <c r="K111" s="14" t="n"/>
      <c r="L111" s="24" t="n"/>
      <c r="M111" s="26">
        <f>IF(OR(N(J111)=0,L111="Cancelled"),"",IF(AND(N(J111)&gt;5000,H111="Cash"),"Yes: ₹1","No"))</f>
        <v/>
      </c>
      <c r="N111" s="27">
        <f>IF(AND(B111="",D111="",N(J111)=0),"",IF(B111="","Enter the date",IF(AND(ROW()&gt;18,B110=""),"Use the next empty row: a skipped row leaves a gap in the voucher numbers",IF(D111="","Enter who was paid",IF(N(J111)=0,"Enter the amount",IF(E111="","Pick the head of account",IF(P111="?","Pick the head from the list",IF(H111="","Pick how it was paid",IF(L111="Cancelled","Cancelled: keep this number unused and write a fresh voucher",IF(AND(H111&lt;&gt;"Cash",I111=""),"Enter the cheque no., UTR or UPI reference",IF(AND(N($E$11)&gt;0,N(J111)&gt;N($E$11),K111=""),"Above your approval limit: get it approved before paying",IF(S111&gt;10000,"Cash paid to this person today is over ₹10,000: not deductible, s.36(4)",IF(T111&gt;35000,"Cash freight to this transporter today is over ₹35,000: not deductible, s.36(6)",IF(U111&gt;10000,"Asset paid in cash over ₹10,000 today: left out of its cost, s.39(2)",IF(AND(P111="L",H111="Cash",N(J111)&gt;=20000),"Loan of ₹20,000 or more repaid in cash: barred, s.188","OK")))))))))))))))</f>
        <v/>
      </c>
      <c r="P111">
        <f>IF(E111="","",IFERROR(VLOOKUP(E111,Lists!$A$2:$B$17,2,FALSE),"?"))</f>
        <v/>
      </c>
      <c r="Q111">
        <f>IF(L111="Cancelled",0,N(J111))</f>
        <v/>
      </c>
      <c r="R111">
        <f>IF(H111="Cash",Q111,0)</f>
        <v/>
      </c>
      <c r="S111">
        <f>IF(OR(P111&lt;&gt;"E",R111=0),0,SUMIFS($R$18:$R$317,$B$18:$B$317,B111,$D$18:$D$317,D111,$P$18:$P$317,"E"))</f>
        <v/>
      </c>
      <c r="T111">
        <f>IF(OR(P111&lt;&gt;"F",R111=0),0,SUMIFS($R$18:$R$317,$B$18:$B$317,B111,$D$18:$D$317,D111,$P$18:$P$317,"F"))</f>
        <v/>
      </c>
      <c r="U111">
        <f>IF(OR(P111&lt;&gt;"A",R111=0),0,SUMIFS($R$18:$R$317,$B$18:$B$317,B111,$D$18:$D$317,D111,$P$18:$P$317,"A"))</f>
        <v/>
      </c>
      <c r="V111">
        <f>IF(OR(N111="",N111="OK",L111="Cancelled"),0,1)</f>
        <v/>
      </c>
    </row>
    <row r="112">
      <c r="B112" s="22" t="n"/>
      <c r="C112" s="23">
        <f>IF(B112="","",$E$9&amp;TEXT(N($E$10)+94,"000"))</f>
        <v/>
      </c>
      <c r="D112" s="14" t="n"/>
      <c r="E112" s="14" t="n"/>
      <c r="F112" s="14" t="n"/>
      <c r="G112" s="24" t="n"/>
      <c r="H112" s="14" t="n"/>
      <c r="I112" s="24" t="n"/>
      <c r="J112" s="25" t="n"/>
      <c r="K112" s="14" t="n"/>
      <c r="L112" s="24" t="n"/>
      <c r="M112" s="26">
        <f>IF(OR(N(J112)=0,L112="Cancelled"),"",IF(AND(N(J112)&gt;5000,H112="Cash"),"Yes: ₹1","No"))</f>
        <v/>
      </c>
      <c r="N112" s="27">
        <f>IF(AND(B112="",D112="",N(J112)=0),"",IF(B112="","Enter the date",IF(AND(ROW()&gt;18,B111=""),"Use the next empty row: a skipped row leaves a gap in the voucher numbers",IF(D112="","Enter who was paid",IF(N(J112)=0,"Enter the amount",IF(E112="","Pick the head of account",IF(P112="?","Pick the head from the list",IF(H112="","Pick how it was paid",IF(L112="Cancelled","Cancelled: keep this number unused and write a fresh voucher",IF(AND(H112&lt;&gt;"Cash",I112=""),"Enter the cheque no., UTR or UPI reference",IF(AND(N($E$11)&gt;0,N(J112)&gt;N($E$11),K112=""),"Above your approval limit: get it approved before paying",IF(S112&gt;10000,"Cash paid to this person today is over ₹10,000: not deductible, s.36(4)",IF(T112&gt;35000,"Cash freight to this transporter today is over ₹35,000: not deductible, s.36(6)",IF(U112&gt;10000,"Asset paid in cash over ₹10,000 today: left out of its cost, s.39(2)",IF(AND(P112="L",H112="Cash",N(J112)&gt;=20000),"Loan of ₹20,000 or more repaid in cash: barred, s.188","OK")))))))))))))))</f>
        <v/>
      </c>
      <c r="P112">
        <f>IF(E112="","",IFERROR(VLOOKUP(E112,Lists!$A$2:$B$17,2,FALSE),"?"))</f>
        <v/>
      </c>
      <c r="Q112">
        <f>IF(L112="Cancelled",0,N(J112))</f>
        <v/>
      </c>
      <c r="R112">
        <f>IF(H112="Cash",Q112,0)</f>
        <v/>
      </c>
      <c r="S112">
        <f>IF(OR(P112&lt;&gt;"E",R112=0),0,SUMIFS($R$18:$R$317,$B$18:$B$317,B112,$D$18:$D$317,D112,$P$18:$P$317,"E"))</f>
        <v/>
      </c>
      <c r="T112">
        <f>IF(OR(P112&lt;&gt;"F",R112=0),0,SUMIFS($R$18:$R$317,$B$18:$B$317,B112,$D$18:$D$317,D112,$P$18:$P$317,"F"))</f>
        <v/>
      </c>
      <c r="U112">
        <f>IF(OR(P112&lt;&gt;"A",R112=0),0,SUMIFS($R$18:$R$317,$B$18:$B$317,B112,$D$18:$D$317,D112,$P$18:$P$317,"A"))</f>
        <v/>
      </c>
      <c r="V112">
        <f>IF(OR(N112="",N112="OK",L112="Cancelled"),0,1)</f>
        <v/>
      </c>
    </row>
    <row r="113">
      <c r="B113" s="22" t="n"/>
      <c r="C113" s="23">
        <f>IF(B113="","",$E$9&amp;TEXT(N($E$10)+95,"000"))</f>
        <v/>
      </c>
      <c r="D113" s="14" t="n"/>
      <c r="E113" s="14" t="n"/>
      <c r="F113" s="14" t="n"/>
      <c r="G113" s="24" t="n"/>
      <c r="H113" s="14" t="n"/>
      <c r="I113" s="24" t="n"/>
      <c r="J113" s="25" t="n"/>
      <c r="K113" s="14" t="n"/>
      <c r="L113" s="24" t="n"/>
      <c r="M113" s="26">
        <f>IF(OR(N(J113)=0,L113="Cancelled"),"",IF(AND(N(J113)&gt;5000,H113="Cash"),"Yes: ₹1","No"))</f>
        <v/>
      </c>
      <c r="N113" s="27">
        <f>IF(AND(B113="",D113="",N(J113)=0),"",IF(B113="","Enter the date",IF(AND(ROW()&gt;18,B112=""),"Use the next empty row: a skipped row leaves a gap in the voucher numbers",IF(D113="","Enter who was paid",IF(N(J113)=0,"Enter the amount",IF(E113="","Pick the head of account",IF(P113="?","Pick the head from the list",IF(H113="","Pick how it was paid",IF(L113="Cancelled","Cancelled: keep this number unused and write a fresh voucher",IF(AND(H113&lt;&gt;"Cash",I113=""),"Enter the cheque no., UTR or UPI reference",IF(AND(N($E$11)&gt;0,N(J113)&gt;N($E$11),K113=""),"Above your approval limit: get it approved before paying",IF(S113&gt;10000,"Cash paid to this person today is over ₹10,000: not deductible, s.36(4)",IF(T113&gt;35000,"Cash freight to this transporter today is over ₹35,000: not deductible, s.36(6)",IF(U113&gt;10000,"Asset paid in cash over ₹10,000 today: left out of its cost, s.39(2)",IF(AND(P113="L",H113="Cash",N(J113)&gt;=20000),"Loan of ₹20,000 or more repaid in cash: barred, s.188","OK")))))))))))))))</f>
        <v/>
      </c>
      <c r="P113">
        <f>IF(E113="","",IFERROR(VLOOKUP(E113,Lists!$A$2:$B$17,2,FALSE),"?"))</f>
        <v/>
      </c>
      <c r="Q113">
        <f>IF(L113="Cancelled",0,N(J113))</f>
        <v/>
      </c>
      <c r="R113">
        <f>IF(H113="Cash",Q113,0)</f>
        <v/>
      </c>
      <c r="S113">
        <f>IF(OR(P113&lt;&gt;"E",R113=0),0,SUMIFS($R$18:$R$317,$B$18:$B$317,B113,$D$18:$D$317,D113,$P$18:$P$317,"E"))</f>
        <v/>
      </c>
      <c r="T113">
        <f>IF(OR(P113&lt;&gt;"F",R113=0),0,SUMIFS($R$18:$R$317,$B$18:$B$317,B113,$D$18:$D$317,D113,$P$18:$P$317,"F"))</f>
        <v/>
      </c>
      <c r="U113">
        <f>IF(OR(P113&lt;&gt;"A",R113=0),0,SUMIFS($R$18:$R$317,$B$18:$B$317,B113,$D$18:$D$317,D113,$P$18:$P$317,"A"))</f>
        <v/>
      </c>
      <c r="V113">
        <f>IF(OR(N113="",N113="OK",L113="Cancelled"),0,1)</f>
        <v/>
      </c>
    </row>
    <row r="114">
      <c r="B114" s="22" t="n"/>
      <c r="C114" s="23">
        <f>IF(B114="","",$E$9&amp;TEXT(N($E$10)+96,"000"))</f>
        <v/>
      </c>
      <c r="D114" s="14" t="n"/>
      <c r="E114" s="14" t="n"/>
      <c r="F114" s="14" t="n"/>
      <c r="G114" s="24" t="n"/>
      <c r="H114" s="14" t="n"/>
      <c r="I114" s="24" t="n"/>
      <c r="J114" s="25" t="n"/>
      <c r="K114" s="14" t="n"/>
      <c r="L114" s="24" t="n"/>
      <c r="M114" s="26">
        <f>IF(OR(N(J114)=0,L114="Cancelled"),"",IF(AND(N(J114)&gt;5000,H114="Cash"),"Yes: ₹1","No"))</f>
        <v/>
      </c>
      <c r="N114" s="27">
        <f>IF(AND(B114="",D114="",N(J114)=0),"",IF(B114="","Enter the date",IF(AND(ROW()&gt;18,B113=""),"Use the next empty row: a skipped row leaves a gap in the voucher numbers",IF(D114="","Enter who was paid",IF(N(J114)=0,"Enter the amount",IF(E114="","Pick the head of account",IF(P114="?","Pick the head from the list",IF(H114="","Pick how it was paid",IF(L114="Cancelled","Cancelled: keep this number unused and write a fresh voucher",IF(AND(H114&lt;&gt;"Cash",I114=""),"Enter the cheque no., UTR or UPI reference",IF(AND(N($E$11)&gt;0,N(J114)&gt;N($E$11),K114=""),"Above your approval limit: get it approved before paying",IF(S114&gt;10000,"Cash paid to this person today is over ₹10,000: not deductible, s.36(4)",IF(T114&gt;35000,"Cash freight to this transporter today is over ₹35,000: not deductible, s.36(6)",IF(U114&gt;10000,"Asset paid in cash over ₹10,000 today: left out of its cost, s.39(2)",IF(AND(P114="L",H114="Cash",N(J114)&gt;=20000),"Loan of ₹20,000 or more repaid in cash: barred, s.188","OK")))))))))))))))</f>
        <v/>
      </c>
      <c r="P114">
        <f>IF(E114="","",IFERROR(VLOOKUP(E114,Lists!$A$2:$B$17,2,FALSE),"?"))</f>
        <v/>
      </c>
      <c r="Q114">
        <f>IF(L114="Cancelled",0,N(J114))</f>
        <v/>
      </c>
      <c r="R114">
        <f>IF(H114="Cash",Q114,0)</f>
        <v/>
      </c>
      <c r="S114">
        <f>IF(OR(P114&lt;&gt;"E",R114=0),0,SUMIFS($R$18:$R$317,$B$18:$B$317,B114,$D$18:$D$317,D114,$P$18:$P$317,"E"))</f>
        <v/>
      </c>
      <c r="T114">
        <f>IF(OR(P114&lt;&gt;"F",R114=0),0,SUMIFS($R$18:$R$317,$B$18:$B$317,B114,$D$18:$D$317,D114,$P$18:$P$317,"F"))</f>
        <v/>
      </c>
      <c r="U114">
        <f>IF(OR(P114&lt;&gt;"A",R114=0),0,SUMIFS($R$18:$R$317,$B$18:$B$317,B114,$D$18:$D$317,D114,$P$18:$P$317,"A"))</f>
        <v/>
      </c>
      <c r="V114">
        <f>IF(OR(N114="",N114="OK",L114="Cancelled"),0,1)</f>
        <v/>
      </c>
    </row>
    <row r="115">
      <c r="B115" s="22" t="n"/>
      <c r="C115" s="23">
        <f>IF(B115="","",$E$9&amp;TEXT(N($E$10)+97,"000"))</f>
        <v/>
      </c>
      <c r="D115" s="14" t="n"/>
      <c r="E115" s="14" t="n"/>
      <c r="F115" s="14" t="n"/>
      <c r="G115" s="24" t="n"/>
      <c r="H115" s="14" t="n"/>
      <c r="I115" s="24" t="n"/>
      <c r="J115" s="25" t="n"/>
      <c r="K115" s="14" t="n"/>
      <c r="L115" s="24" t="n"/>
      <c r="M115" s="26">
        <f>IF(OR(N(J115)=0,L115="Cancelled"),"",IF(AND(N(J115)&gt;5000,H115="Cash"),"Yes: ₹1","No"))</f>
        <v/>
      </c>
      <c r="N115" s="27">
        <f>IF(AND(B115="",D115="",N(J115)=0),"",IF(B115="","Enter the date",IF(AND(ROW()&gt;18,B114=""),"Use the next empty row: a skipped row leaves a gap in the voucher numbers",IF(D115="","Enter who was paid",IF(N(J115)=0,"Enter the amount",IF(E115="","Pick the head of account",IF(P115="?","Pick the head from the list",IF(H115="","Pick how it was paid",IF(L115="Cancelled","Cancelled: keep this number unused and write a fresh voucher",IF(AND(H115&lt;&gt;"Cash",I115=""),"Enter the cheque no., UTR or UPI reference",IF(AND(N($E$11)&gt;0,N(J115)&gt;N($E$11),K115=""),"Above your approval limit: get it approved before paying",IF(S115&gt;10000,"Cash paid to this person today is over ₹10,000: not deductible, s.36(4)",IF(T115&gt;35000,"Cash freight to this transporter today is over ₹35,000: not deductible, s.36(6)",IF(U115&gt;10000,"Asset paid in cash over ₹10,000 today: left out of its cost, s.39(2)",IF(AND(P115="L",H115="Cash",N(J115)&gt;=20000),"Loan of ₹20,000 or more repaid in cash: barred, s.188","OK")))))))))))))))</f>
        <v/>
      </c>
      <c r="P115">
        <f>IF(E115="","",IFERROR(VLOOKUP(E115,Lists!$A$2:$B$17,2,FALSE),"?"))</f>
        <v/>
      </c>
      <c r="Q115">
        <f>IF(L115="Cancelled",0,N(J115))</f>
        <v/>
      </c>
      <c r="R115">
        <f>IF(H115="Cash",Q115,0)</f>
        <v/>
      </c>
      <c r="S115">
        <f>IF(OR(P115&lt;&gt;"E",R115=0),0,SUMIFS($R$18:$R$317,$B$18:$B$317,B115,$D$18:$D$317,D115,$P$18:$P$317,"E"))</f>
        <v/>
      </c>
      <c r="T115">
        <f>IF(OR(P115&lt;&gt;"F",R115=0),0,SUMIFS($R$18:$R$317,$B$18:$B$317,B115,$D$18:$D$317,D115,$P$18:$P$317,"F"))</f>
        <v/>
      </c>
      <c r="U115">
        <f>IF(OR(P115&lt;&gt;"A",R115=0),0,SUMIFS($R$18:$R$317,$B$18:$B$317,B115,$D$18:$D$317,D115,$P$18:$P$317,"A"))</f>
        <v/>
      </c>
      <c r="V115">
        <f>IF(OR(N115="",N115="OK",L115="Cancelled"),0,1)</f>
        <v/>
      </c>
    </row>
    <row r="116">
      <c r="B116" s="22" t="n"/>
      <c r="C116" s="23">
        <f>IF(B116="","",$E$9&amp;TEXT(N($E$10)+98,"000"))</f>
        <v/>
      </c>
      <c r="D116" s="14" t="n"/>
      <c r="E116" s="14" t="n"/>
      <c r="F116" s="14" t="n"/>
      <c r="G116" s="24" t="n"/>
      <c r="H116" s="14" t="n"/>
      <c r="I116" s="24" t="n"/>
      <c r="J116" s="25" t="n"/>
      <c r="K116" s="14" t="n"/>
      <c r="L116" s="24" t="n"/>
      <c r="M116" s="26">
        <f>IF(OR(N(J116)=0,L116="Cancelled"),"",IF(AND(N(J116)&gt;5000,H116="Cash"),"Yes: ₹1","No"))</f>
        <v/>
      </c>
      <c r="N116" s="27">
        <f>IF(AND(B116="",D116="",N(J116)=0),"",IF(B116="","Enter the date",IF(AND(ROW()&gt;18,B115=""),"Use the next empty row: a skipped row leaves a gap in the voucher numbers",IF(D116="","Enter who was paid",IF(N(J116)=0,"Enter the amount",IF(E116="","Pick the head of account",IF(P116="?","Pick the head from the list",IF(H116="","Pick how it was paid",IF(L116="Cancelled","Cancelled: keep this number unused and write a fresh voucher",IF(AND(H116&lt;&gt;"Cash",I116=""),"Enter the cheque no., UTR or UPI reference",IF(AND(N($E$11)&gt;0,N(J116)&gt;N($E$11),K116=""),"Above your approval limit: get it approved before paying",IF(S116&gt;10000,"Cash paid to this person today is over ₹10,000: not deductible, s.36(4)",IF(T116&gt;35000,"Cash freight to this transporter today is over ₹35,000: not deductible, s.36(6)",IF(U116&gt;10000,"Asset paid in cash over ₹10,000 today: left out of its cost, s.39(2)",IF(AND(P116="L",H116="Cash",N(J116)&gt;=20000),"Loan of ₹20,000 or more repaid in cash: barred, s.188","OK")))))))))))))))</f>
        <v/>
      </c>
      <c r="P116">
        <f>IF(E116="","",IFERROR(VLOOKUP(E116,Lists!$A$2:$B$17,2,FALSE),"?"))</f>
        <v/>
      </c>
      <c r="Q116">
        <f>IF(L116="Cancelled",0,N(J116))</f>
        <v/>
      </c>
      <c r="R116">
        <f>IF(H116="Cash",Q116,0)</f>
        <v/>
      </c>
      <c r="S116">
        <f>IF(OR(P116&lt;&gt;"E",R116=0),0,SUMIFS($R$18:$R$317,$B$18:$B$317,B116,$D$18:$D$317,D116,$P$18:$P$317,"E"))</f>
        <v/>
      </c>
      <c r="T116">
        <f>IF(OR(P116&lt;&gt;"F",R116=0),0,SUMIFS($R$18:$R$317,$B$18:$B$317,B116,$D$18:$D$317,D116,$P$18:$P$317,"F"))</f>
        <v/>
      </c>
      <c r="U116">
        <f>IF(OR(P116&lt;&gt;"A",R116=0),0,SUMIFS($R$18:$R$317,$B$18:$B$317,B116,$D$18:$D$317,D116,$P$18:$P$317,"A"))</f>
        <v/>
      </c>
      <c r="V116">
        <f>IF(OR(N116="",N116="OK",L116="Cancelled"),0,1)</f>
        <v/>
      </c>
    </row>
    <row r="117">
      <c r="B117" s="22" t="n"/>
      <c r="C117" s="23">
        <f>IF(B117="","",$E$9&amp;TEXT(N($E$10)+99,"000"))</f>
        <v/>
      </c>
      <c r="D117" s="14" t="n"/>
      <c r="E117" s="14" t="n"/>
      <c r="F117" s="14" t="n"/>
      <c r="G117" s="24" t="n"/>
      <c r="H117" s="14" t="n"/>
      <c r="I117" s="24" t="n"/>
      <c r="J117" s="25" t="n"/>
      <c r="K117" s="14" t="n"/>
      <c r="L117" s="24" t="n"/>
      <c r="M117" s="26">
        <f>IF(OR(N(J117)=0,L117="Cancelled"),"",IF(AND(N(J117)&gt;5000,H117="Cash"),"Yes: ₹1","No"))</f>
        <v/>
      </c>
      <c r="N117" s="27">
        <f>IF(AND(B117="",D117="",N(J117)=0),"",IF(B117="","Enter the date",IF(AND(ROW()&gt;18,B116=""),"Use the next empty row: a skipped row leaves a gap in the voucher numbers",IF(D117="","Enter who was paid",IF(N(J117)=0,"Enter the amount",IF(E117="","Pick the head of account",IF(P117="?","Pick the head from the list",IF(H117="","Pick how it was paid",IF(L117="Cancelled","Cancelled: keep this number unused and write a fresh voucher",IF(AND(H117&lt;&gt;"Cash",I117=""),"Enter the cheque no., UTR or UPI reference",IF(AND(N($E$11)&gt;0,N(J117)&gt;N($E$11),K117=""),"Above your approval limit: get it approved before paying",IF(S117&gt;10000,"Cash paid to this person today is over ₹10,000: not deductible, s.36(4)",IF(T117&gt;35000,"Cash freight to this transporter today is over ₹35,000: not deductible, s.36(6)",IF(U117&gt;10000,"Asset paid in cash over ₹10,000 today: left out of its cost, s.39(2)",IF(AND(P117="L",H117="Cash",N(J117)&gt;=20000),"Loan of ₹20,000 or more repaid in cash: barred, s.188","OK")))))))))))))))</f>
        <v/>
      </c>
      <c r="P117">
        <f>IF(E117="","",IFERROR(VLOOKUP(E117,Lists!$A$2:$B$17,2,FALSE),"?"))</f>
        <v/>
      </c>
      <c r="Q117">
        <f>IF(L117="Cancelled",0,N(J117))</f>
        <v/>
      </c>
      <c r="R117">
        <f>IF(H117="Cash",Q117,0)</f>
        <v/>
      </c>
      <c r="S117">
        <f>IF(OR(P117&lt;&gt;"E",R117=0),0,SUMIFS($R$18:$R$317,$B$18:$B$317,B117,$D$18:$D$317,D117,$P$18:$P$317,"E"))</f>
        <v/>
      </c>
      <c r="T117">
        <f>IF(OR(P117&lt;&gt;"F",R117=0),0,SUMIFS($R$18:$R$317,$B$18:$B$317,B117,$D$18:$D$317,D117,$P$18:$P$317,"F"))</f>
        <v/>
      </c>
      <c r="U117">
        <f>IF(OR(P117&lt;&gt;"A",R117=0),0,SUMIFS($R$18:$R$317,$B$18:$B$317,B117,$D$18:$D$317,D117,$P$18:$P$317,"A"))</f>
        <v/>
      </c>
      <c r="V117">
        <f>IF(OR(N117="",N117="OK",L117="Cancelled"),0,1)</f>
        <v/>
      </c>
    </row>
    <row r="118">
      <c r="B118" s="22" t="n"/>
      <c r="C118" s="23">
        <f>IF(B118="","",$E$9&amp;TEXT(N($E$10)+100,"000"))</f>
        <v/>
      </c>
      <c r="D118" s="14" t="n"/>
      <c r="E118" s="14" t="n"/>
      <c r="F118" s="14" t="n"/>
      <c r="G118" s="24" t="n"/>
      <c r="H118" s="14" t="n"/>
      <c r="I118" s="24" t="n"/>
      <c r="J118" s="25" t="n"/>
      <c r="K118" s="14" t="n"/>
      <c r="L118" s="24" t="n"/>
      <c r="M118" s="26">
        <f>IF(OR(N(J118)=0,L118="Cancelled"),"",IF(AND(N(J118)&gt;5000,H118="Cash"),"Yes: ₹1","No"))</f>
        <v/>
      </c>
      <c r="N118" s="27">
        <f>IF(AND(B118="",D118="",N(J118)=0),"",IF(B118="","Enter the date",IF(AND(ROW()&gt;18,B117=""),"Use the next empty row: a skipped row leaves a gap in the voucher numbers",IF(D118="","Enter who was paid",IF(N(J118)=0,"Enter the amount",IF(E118="","Pick the head of account",IF(P118="?","Pick the head from the list",IF(H118="","Pick how it was paid",IF(L118="Cancelled","Cancelled: keep this number unused and write a fresh voucher",IF(AND(H118&lt;&gt;"Cash",I118=""),"Enter the cheque no., UTR or UPI reference",IF(AND(N($E$11)&gt;0,N(J118)&gt;N($E$11),K118=""),"Above your approval limit: get it approved before paying",IF(S118&gt;10000,"Cash paid to this person today is over ₹10,000: not deductible, s.36(4)",IF(T118&gt;35000,"Cash freight to this transporter today is over ₹35,000: not deductible, s.36(6)",IF(U118&gt;10000,"Asset paid in cash over ₹10,000 today: left out of its cost, s.39(2)",IF(AND(P118="L",H118="Cash",N(J118)&gt;=20000),"Loan of ₹20,000 or more repaid in cash: barred, s.188","OK")))))))))))))))</f>
        <v/>
      </c>
      <c r="P118">
        <f>IF(E118="","",IFERROR(VLOOKUP(E118,Lists!$A$2:$B$17,2,FALSE),"?"))</f>
        <v/>
      </c>
      <c r="Q118">
        <f>IF(L118="Cancelled",0,N(J118))</f>
        <v/>
      </c>
      <c r="R118">
        <f>IF(H118="Cash",Q118,0)</f>
        <v/>
      </c>
      <c r="S118">
        <f>IF(OR(P118&lt;&gt;"E",R118=0),0,SUMIFS($R$18:$R$317,$B$18:$B$317,B118,$D$18:$D$317,D118,$P$18:$P$317,"E"))</f>
        <v/>
      </c>
      <c r="T118">
        <f>IF(OR(P118&lt;&gt;"F",R118=0),0,SUMIFS($R$18:$R$317,$B$18:$B$317,B118,$D$18:$D$317,D118,$P$18:$P$317,"F"))</f>
        <v/>
      </c>
      <c r="U118">
        <f>IF(OR(P118&lt;&gt;"A",R118=0),0,SUMIFS($R$18:$R$317,$B$18:$B$317,B118,$D$18:$D$317,D118,$P$18:$P$317,"A"))</f>
        <v/>
      </c>
      <c r="V118">
        <f>IF(OR(N118="",N118="OK",L118="Cancelled"),0,1)</f>
        <v/>
      </c>
    </row>
    <row r="119">
      <c r="B119" s="22" t="n"/>
      <c r="C119" s="23">
        <f>IF(B119="","",$E$9&amp;TEXT(N($E$10)+101,"000"))</f>
        <v/>
      </c>
      <c r="D119" s="14" t="n"/>
      <c r="E119" s="14" t="n"/>
      <c r="F119" s="14" t="n"/>
      <c r="G119" s="24" t="n"/>
      <c r="H119" s="14" t="n"/>
      <c r="I119" s="24" t="n"/>
      <c r="J119" s="25" t="n"/>
      <c r="K119" s="14" t="n"/>
      <c r="L119" s="24" t="n"/>
      <c r="M119" s="26">
        <f>IF(OR(N(J119)=0,L119="Cancelled"),"",IF(AND(N(J119)&gt;5000,H119="Cash"),"Yes: ₹1","No"))</f>
        <v/>
      </c>
      <c r="N119" s="27">
        <f>IF(AND(B119="",D119="",N(J119)=0),"",IF(B119="","Enter the date",IF(AND(ROW()&gt;18,B118=""),"Use the next empty row: a skipped row leaves a gap in the voucher numbers",IF(D119="","Enter who was paid",IF(N(J119)=0,"Enter the amount",IF(E119="","Pick the head of account",IF(P119="?","Pick the head from the list",IF(H119="","Pick how it was paid",IF(L119="Cancelled","Cancelled: keep this number unused and write a fresh voucher",IF(AND(H119&lt;&gt;"Cash",I119=""),"Enter the cheque no., UTR or UPI reference",IF(AND(N($E$11)&gt;0,N(J119)&gt;N($E$11),K119=""),"Above your approval limit: get it approved before paying",IF(S119&gt;10000,"Cash paid to this person today is over ₹10,000: not deductible, s.36(4)",IF(T119&gt;35000,"Cash freight to this transporter today is over ₹35,000: not deductible, s.36(6)",IF(U119&gt;10000,"Asset paid in cash over ₹10,000 today: left out of its cost, s.39(2)",IF(AND(P119="L",H119="Cash",N(J119)&gt;=20000),"Loan of ₹20,000 or more repaid in cash: barred, s.188","OK")))))))))))))))</f>
        <v/>
      </c>
      <c r="P119">
        <f>IF(E119="","",IFERROR(VLOOKUP(E119,Lists!$A$2:$B$17,2,FALSE),"?"))</f>
        <v/>
      </c>
      <c r="Q119">
        <f>IF(L119="Cancelled",0,N(J119))</f>
        <v/>
      </c>
      <c r="R119">
        <f>IF(H119="Cash",Q119,0)</f>
        <v/>
      </c>
      <c r="S119">
        <f>IF(OR(P119&lt;&gt;"E",R119=0),0,SUMIFS($R$18:$R$317,$B$18:$B$317,B119,$D$18:$D$317,D119,$P$18:$P$317,"E"))</f>
        <v/>
      </c>
      <c r="T119">
        <f>IF(OR(P119&lt;&gt;"F",R119=0),0,SUMIFS($R$18:$R$317,$B$18:$B$317,B119,$D$18:$D$317,D119,$P$18:$P$317,"F"))</f>
        <v/>
      </c>
      <c r="U119">
        <f>IF(OR(P119&lt;&gt;"A",R119=0),0,SUMIFS($R$18:$R$317,$B$18:$B$317,B119,$D$18:$D$317,D119,$P$18:$P$317,"A"))</f>
        <v/>
      </c>
      <c r="V119">
        <f>IF(OR(N119="",N119="OK",L119="Cancelled"),0,1)</f>
        <v/>
      </c>
    </row>
    <row r="120">
      <c r="B120" s="22" t="n"/>
      <c r="C120" s="23">
        <f>IF(B120="","",$E$9&amp;TEXT(N($E$10)+102,"000"))</f>
        <v/>
      </c>
      <c r="D120" s="14" t="n"/>
      <c r="E120" s="14" t="n"/>
      <c r="F120" s="14" t="n"/>
      <c r="G120" s="24" t="n"/>
      <c r="H120" s="14" t="n"/>
      <c r="I120" s="24" t="n"/>
      <c r="J120" s="25" t="n"/>
      <c r="K120" s="14" t="n"/>
      <c r="L120" s="24" t="n"/>
      <c r="M120" s="26">
        <f>IF(OR(N(J120)=0,L120="Cancelled"),"",IF(AND(N(J120)&gt;5000,H120="Cash"),"Yes: ₹1","No"))</f>
        <v/>
      </c>
      <c r="N120" s="27">
        <f>IF(AND(B120="",D120="",N(J120)=0),"",IF(B120="","Enter the date",IF(AND(ROW()&gt;18,B119=""),"Use the next empty row: a skipped row leaves a gap in the voucher numbers",IF(D120="","Enter who was paid",IF(N(J120)=0,"Enter the amount",IF(E120="","Pick the head of account",IF(P120="?","Pick the head from the list",IF(H120="","Pick how it was paid",IF(L120="Cancelled","Cancelled: keep this number unused and write a fresh voucher",IF(AND(H120&lt;&gt;"Cash",I120=""),"Enter the cheque no., UTR or UPI reference",IF(AND(N($E$11)&gt;0,N(J120)&gt;N($E$11),K120=""),"Above your approval limit: get it approved before paying",IF(S120&gt;10000,"Cash paid to this person today is over ₹10,000: not deductible, s.36(4)",IF(T120&gt;35000,"Cash freight to this transporter today is over ₹35,000: not deductible, s.36(6)",IF(U120&gt;10000,"Asset paid in cash over ₹10,000 today: left out of its cost, s.39(2)",IF(AND(P120="L",H120="Cash",N(J120)&gt;=20000),"Loan of ₹20,000 or more repaid in cash: barred, s.188","OK")))))))))))))))</f>
        <v/>
      </c>
      <c r="P120">
        <f>IF(E120="","",IFERROR(VLOOKUP(E120,Lists!$A$2:$B$17,2,FALSE),"?"))</f>
        <v/>
      </c>
      <c r="Q120">
        <f>IF(L120="Cancelled",0,N(J120))</f>
        <v/>
      </c>
      <c r="R120">
        <f>IF(H120="Cash",Q120,0)</f>
        <v/>
      </c>
      <c r="S120">
        <f>IF(OR(P120&lt;&gt;"E",R120=0),0,SUMIFS($R$18:$R$317,$B$18:$B$317,B120,$D$18:$D$317,D120,$P$18:$P$317,"E"))</f>
        <v/>
      </c>
      <c r="T120">
        <f>IF(OR(P120&lt;&gt;"F",R120=0),0,SUMIFS($R$18:$R$317,$B$18:$B$317,B120,$D$18:$D$317,D120,$P$18:$P$317,"F"))</f>
        <v/>
      </c>
      <c r="U120">
        <f>IF(OR(P120&lt;&gt;"A",R120=0),0,SUMIFS($R$18:$R$317,$B$18:$B$317,B120,$D$18:$D$317,D120,$P$18:$P$317,"A"))</f>
        <v/>
      </c>
      <c r="V120">
        <f>IF(OR(N120="",N120="OK",L120="Cancelled"),0,1)</f>
        <v/>
      </c>
    </row>
    <row r="121">
      <c r="B121" s="22" t="n"/>
      <c r="C121" s="23">
        <f>IF(B121="","",$E$9&amp;TEXT(N($E$10)+103,"000"))</f>
        <v/>
      </c>
      <c r="D121" s="14" t="n"/>
      <c r="E121" s="14" t="n"/>
      <c r="F121" s="14" t="n"/>
      <c r="G121" s="24" t="n"/>
      <c r="H121" s="14" t="n"/>
      <c r="I121" s="24" t="n"/>
      <c r="J121" s="25" t="n"/>
      <c r="K121" s="14" t="n"/>
      <c r="L121" s="24" t="n"/>
      <c r="M121" s="26">
        <f>IF(OR(N(J121)=0,L121="Cancelled"),"",IF(AND(N(J121)&gt;5000,H121="Cash"),"Yes: ₹1","No"))</f>
        <v/>
      </c>
      <c r="N121" s="27">
        <f>IF(AND(B121="",D121="",N(J121)=0),"",IF(B121="","Enter the date",IF(AND(ROW()&gt;18,B120=""),"Use the next empty row: a skipped row leaves a gap in the voucher numbers",IF(D121="","Enter who was paid",IF(N(J121)=0,"Enter the amount",IF(E121="","Pick the head of account",IF(P121="?","Pick the head from the list",IF(H121="","Pick how it was paid",IF(L121="Cancelled","Cancelled: keep this number unused and write a fresh voucher",IF(AND(H121&lt;&gt;"Cash",I121=""),"Enter the cheque no., UTR or UPI reference",IF(AND(N($E$11)&gt;0,N(J121)&gt;N($E$11),K121=""),"Above your approval limit: get it approved before paying",IF(S121&gt;10000,"Cash paid to this person today is over ₹10,000: not deductible, s.36(4)",IF(T121&gt;35000,"Cash freight to this transporter today is over ₹35,000: not deductible, s.36(6)",IF(U121&gt;10000,"Asset paid in cash over ₹10,000 today: left out of its cost, s.39(2)",IF(AND(P121="L",H121="Cash",N(J121)&gt;=20000),"Loan of ₹20,000 or more repaid in cash: barred, s.188","OK")))))))))))))))</f>
        <v/>
      </c>
      <c r="P121">
        <f>IF(E121="","",IFERROR(VLOOKUP(E121,Lists!$A$2:$B$17,2,FALSE),"?"))</f>
        <v/>
      </c>
      <c r="Q121">
        <f>IF(L121="Cancelled",0,N(J121))</f>
        <v/>
      </c>
      <c r="R121">
        <f>IF(H121="Cash",Q121,0)</f>
        <v/>
      </c>
      <c r="S121">
        <f>IF(OR(P121&lt;&gt;"E",R121=0),0,SUMIFS($R$18:$R$317,$B$18:$B$317,B121,$D$18:$D$317,D121,$P$18:$P$317,"E"))</f>
        <v/>
      </c>
      <c r="T121">
        <f>IF(OR(P121&lt;&gt;"F",R121=0),0,SUMIFS($R$18:$R$317,$B$18:$B$317,B121,$D$18:$D$317,D121,$P$18:$P$317,"F"))</f>
        <v/>
      </c>
      <c r="U121">
        <f>IF(OR(P121&lt;&gt;"A",R121=0),0,SUMIFS($R$18:$R$317,$B$18:$B$317,B121,$D$18:$D$317,D121,$P$18:$P$317,"A"))</f>
        <v/>
      </c>
      <c r="V121">
        <f>IF(OR(N121="",N121="OK",L121="Cancelled"),0,1)</f>
        <v/>
      </c>
    </row>
    <row r="122">
      <c r="B122" s="22" t="n"/>
      <c r="C122" s="23">
        <f>IF(B122="","",$E$9&amp;TEXT(N($E$10)+104,"000"))</f>
        <v/>
      </c>
      <c r="D122" s="14" t="n"/>
      <c r="E122" s="14" t="n"/>
      <c r="F122" s="14" t="n"/>
      <c r="G122" s="24" t="n"/>
      <c r="H122" s="14" t="n"/>
      <c r="I122" s="24" t="n"/>
      <c r="J122" s="25" t="n"/>
      <c r="K122" s="14" t="n"/>
      <c r="L122" s="24" t="n"/>
      <c r="M122" s="26">
        <f>IF(OR(N(J122)=0,L122="Cancelled"),"",IF(AND(N(J122)&gt;5000,H122="Cash"),"Yes: ₹1","No"))</f>
        <v/>
      </c>
      <c r="N122" s="27">
        <f>IF(AND(B122="",D122="",N(J122)=0),"",IF(B122="","Enter the date",IF(AND(ROW()&gt;18,B121=""),"Use the next empty row: a skipped row leaves a gap in the voucher numbers",IF(D122="","Enter who was paid",IF(N(J122)=0,"Enter the amount",IF(E122="","Pick the head of account",IF(P122="?","Pick the head from the list",IF(H122="","Pick how it was paid",IF(L122="Cancelled","Cancelled: keep this number unused and write a fresh voucher",IF(AND(H122&lt;&gt;"Cash",I122=""),"Enter the cheque no., UTR or UPI reference",IF(AND(N($E$11)&gt;0,N(J122)&gt;N($E$11),K122=""),"Above your approval limit: get it approved before paying",IF(S122&gt;10000,"Cash paid to this person today is over ₹10,000: not deductible, s.36(4)",IF(T122&gt;35000,"Cash freight to this transporter today is over ₹35,000: not deductible, s.36(6)",IF(U122&gt;10000,"Asset paid in cash over ₹10,000 today: left out of its cost, s.39(2)",IF(AND(P122="L",H122="Cash",N(J122)&gt;=20000),"Loan of ₹20,000 or more repaid in cash: barred, s.188","OK")))))))))))))))</f>
        <v/>
      </c>
      <c r="P122">
        <f>IF(E122="","",IFERROR(VLOOKUP(E122,Lists!$A$2:$B$17,2,FALSE),"?"))</f>
        <v/>
      </c>
      <c r="Q122">
        <f>IF(L122="Cancelled",0,N(J122))</f>
        <v/>
      </c>
      <c r="R122">
        <f>IF(H122="Cash",Q122,0)</f>
        <v/>
      </c>
      <c r="S122">
        <f>IF(OR(P122&lt;&gt;"E",R122=0),0,SUMIFS($R$18:$R$317,$B$18:$B$317,B122,$D$18:$D$317,D122,$P$18:$P$317,"E"))</f>
        <v/>
      </c>
      <c r="T122">
        <f>IF(OR(P122&lt;&gt;"F",R122=0),0,SUMIFS($R$18:$R$317,$B$18:$B$317,B122,$D$18:$D$317,D122,$P$18:$P$317,"F"))</f>
        <v/>
      </c>
      <c r="U122">
        <f>IF(OR(P122&lt;&gt;"A",R122=0),0,SUMIFS($R$18:$R$317,$B$18:$B$317,B122,$D$18:$D$317,D122,$P$18:$P$317,"A"))</f>
        <v/>
      </c>
      <c r="V122">
        <f>IF(OR(N122="",N122="OK",L122="Cancelled"),0,1)</f>
        <v/>
      </c>
    </row>
    <row r="123">
      <c r="B123" s="22" t="n"/>
      <c r="C123" s="23">
        <f>IF(B123="","",$E$9&amp;TEXT(N($E$10)+105,"000"))</f>
        <v/>
      </c>
      <c r="D123" s="14" t="n"/>
      <c r="E123" s="14" t="n"/>
      <c r="F123" s="14" t="n"/>
      <c r="G123" s="24" t="n"/>
      <c r="H123" s="14" t="n"/>
      <c r="I123" s="24" t="n"/>
      <c r="J123" s="25" t="n"/>
      <c r="K123" s="14" t="n"/>
      <c r="L123" s="24" t="n"/>
      <c r="M123" s="26">
        <f>IF(OR(N(J123)=0,L123="Cancelled"),"",IF(AND(N(J123)&gt;5000,H123="Cash"),"Yes: ₹1","No"))</f>
        <v/>
      </c>
      <c r="N123" s="27">
        <f>IF(AND(B123="",D123="",N(J123)=0),"",IF(B123="","Enter the date",IF(AND(ROW()&gt;18,B122=""),"Use the next empty row: a skipped row leaves a gap in the voucher numbers",IF(D123="","Enter who was paid",IF(N(J123)=0,"Enter the amount",IF(E123="","Pick the head of account",IF(P123="?","Pick the head from the list",IF(H123="","Pick how it was paid",IF(L123="Cancelled","Cancelled: keep this number unused and write a fresh voucher",IF(AND(H123&lt;&gt;"Cash",I123=""),"Enter the cheque no., UTR or UPI reference",IF(AND(N($E$11)&gt;0,N(J123)&gt;N($E$11),K123=""),"Above your approval limit: get it approved before paying",IF(S123&gt;10000,"Cash paid to this person today is over ₹10,000: not deductible, s.36(4)",IF(T123&gt;35000,"Cash freight to this transporter today is over ₹35,000: not deductible, s.36(6)",IF(U123&gt;10000,"Asset paid in cash over ₹10,000 today: left out of its cost, s.39(2)",IF(AND(P123="L",H123="Cash",N(J123)&gt;=20000),"Loan of ₹20,000 or more repaid in cash: barred, s.188","OK")))))))))))))))</f>
        <v/>
      </c>
      <c r="P123">
        <f>IF(E123="","",IFERROR(VLOOKUP(E123,Lists!$A$2:$B$17,2,FALSE),"?"))</f>
        <v/>
      </c>
      <c r="Q123">
        <f>IF(L123="Cancelled",0,N(J123))</f>
        <v/>
      </c>
      <c r="R123">
        <f>IF(H123="Cash",Q123,0)</f>
        <v/>
      </c>
      <c r="S123">
        <f>IF(OR(P123&lt;&gt;"E",R123=0),0,SUMIFS($R$18:$R$317,$B$18:$B$317,B123,$D$18:$D$317,D123,$P$18:$P$317,"E"))</f>
        <v/>
      </c>
      <c r="T123">
        <f>IF(OR(P123&lt;&gt;"F",R123=0),0,SUMIFS($R$18:$R$317,$B$18:$B$317,B123,$D$18:$D$317,D123,$P$18:$P$317,"F"))</f>
        <v/>
      </c>
      <c r="U123">
        <f>IF(OR(P123&lt;&gt;"A",R123=0),0,SUMIFS($R$18:$R$317,$B$18:$B$317,B123,$D$18:$D$317,D123,$P$18:$P$317,"A"))</f>
        <v/>
      </c>
      <c r="V123">
        <f>IF(OR(N123="",N123="OK",L123="Cancelled"),0,1)</f>
        <v/>
      </c>
    </row>
    <row r="124">
      <c r="B124" s="22" t="n"/>
      <c r="C124" s="23">
        <f>IF(B124="","",$E$9&amp;TEXT(N($E$10)+106,"000"))</f>
        <v/>
      </c>
      <c r="D124" s="14" t="n"/>
      <c r="E124" s="14" t="n"/>
      <c r="F124" s="14" t="n"/>
      <c r="G124" s="24" t="n"/>
      <c r="H124" s="14" t="n"/>
      <c r="I124" s="24" t="n"/>
      <c r="J124" s="25" t="n"/>
      <c r="K124" s="14" t="n"/>
      <c r="L124" s="24" t="n"/>
      <c r="M124" s="26">
        <f>IF(OR(N(J124)=0,L124="Cancelled"),"",IF(AND(N(J124)&gt;5000,H124="Cash"),"Yes: ₹1","No"))</f>
        <v/>
      </c>
      <c r="N124" s="27">
        <f>IF(AND(B124="",D124="",N(J124)=0),"",IF(B124="","Enter the date",IF(AND(ROW()&gt;18,B123=""),"Use the next empty row: a skipped row leaves a gap in the voucher numbers",IF(D124="","Enter who was paid",IF(N(J124)=0,"Enter the amount",IF(E124="","Pick the head of account",IF(P124="?","Pick the head from the list",IF(H124="","Pick how it was paid",IF(L124="Cancelled","Cancelled: keep this number unused and write a fresh voucher",IF(AND(H124&lt;&gt;"Cash",I124=""),"Enter the cheque no., UTR or UPI reference",IF(AND(N($E$11)&gt;0,N(J124)&gt;N($E$11),K124=""),"Above your approval limit: get it approved before paying",IF(S124&gt;10000,"Cash paid to this person today is over ₹10,000: not deductible, s.36(4)",IF(T124&gt;35000,"Cash freight to this transporter today is over ₹35,000: not deductible, s.36(6)",IF(U124&gt;10000,"Asset paid in cash over ₹10,000 today: left out of its cost, s.39(2)",IF(AND(P124="L",H124="Cash",N(J124)&gt;=20000),"Loan of ₹20,000 or more repaid in cash: barred, s.188","OK")))))))))))))))</f>
        <v/>
      </c>
      <c r="P124">
        <f>IF(E124="","",IFERROR(VLOOKUP(E124,Lists!$A$2:$B$17,2,FALSE),"?"))</f>
        <v/>
      </c>
      <c r="Q124">
        <f>IF(L124="Cancelled",0,N(J124))</f>
        <v/>
      </c>
      <c r="R124">
        <f>IF(H124="Cash",Q124,0)</f>
        <v/>
      </c>
      <c r="S124">
        <f>IF(OR(P124&lt;&gt;"E",R124=0),0,SUMIFS($R$18:$R$317,$B$18:$B$317,B124,$D$18:$D$317,D124,$P$18:$P$317,"E"))</f>
        <v/>
      </c>
      <c r="T124">
        <f>IF(OR(P124&lt;&gt;"F",R124=0),0,SUMIFS($R$18:$R$317,$B$18:$B$317,B124,$D$18:$D$317,D124,$P$18:$P$317,"F"))</f>
        <v/>
      </c>
      <c r="U124">
        <f>IF(OR(P124&lt;&gt;"A",R124=0),0,SUMIFS($R$18:$R$317,$B$18:$B$317,B124,$D$18:$D$317,D124,$P$18:$P$317,"A"))</f>
        <v/>
      </c>
      <c r="V124">
        <f>IF(OR(N124="",N124="OK",L124="Cancelled"),0,1)</f>
        <v/>
      </c>
    </row>
    <row r="125">
      <c r="B125" s="22" t="n"/>
      <c r="C125" s="23">
        <f>IF(B125="","",$E$9&amp;TEXT(N($E$10)+107,"000"))</f>
        <v/>
      </c>
      <c r="D125" s="14" t="n"/>
      <c r="E125" s="14" t="n"/>
      <c r="F125" s="14" t="n"/>
      <c r="G125" s="24" t="n"/>
      <c r="H125" s="14" t="n"/>
      <c r="I125" s="24" t="n"/>
      <c r="J125" s="25" t="n"/>
      <c r="K125" s="14" t="n"/>
      <c r="L125" s="24" t="n"/>
      <c r="M125" s="26">
        <f>IF(OR(N(J125)=0,L125="Cancelled"),"",IF(AND(N(J125)&gt;5000,H125="Cash"),"Yes: ₹1","No"))</f>
        <v/>
      </c>
      <c r="N125" s="27">
        <f>IF(AND(B125="",D125="",N(J125)=0),"",IF(B125="","Enter the date",IF(AND(ROW()&gt;18,B124=""),"Use the next empty row: a skipped row leaves a gap in the voucher numbers",IF(D125="","Enter who was paid",IF(N(J125)=0,"Enter the amount",IF(E125="","Pick the head of account",IF(P125="?","Pick the head from the list",IF(H125="","Pick how it was paid",IF(L125="Cancelled","Cancelled: keep this number unused and write a fresh voucher",IF(AND(H125&lt;&gt;"Cash",I125=""),"Enter the cheque no., UTR or UPI reference",IF(AND(N($E$11)&gt;0,N(J125)&gt;N($E$11),K125=""),"Above your approval limit: get it approved before paying",IF(S125&gt;10000,"Cash paid to this person today is over ₹10,000: not deductible, s.36(4)",IF(T125&gt;35000,"Cash freight to this transporter today is over ₹35,000: not deductible, s.36(6)",IF(U125&gt;10000,"Asset paid in cash over ₹10,000 today: left out of its cost, s.39(2)",IF(AND(P125="L",H125="Cash",N(J125)&gt;=20000),"Loan of ₹20,000 or more repaid in cash: barred, s.188","OK")))))))))))))))</f>
        <v/>
      </c>
      <c r="P125">
        <f>IF(E125="","",IFERROR(VLOOKUP(E125,Lists!$A$2:$B$17,2,FALSE),"?"))</f>
        <v/>
      </c>
      <c r="Q125">
        <f>IF(L125="Cancelled",0,N(J125))</f>
        <v/>
      </c>
      <c r="R125">
        <f>IF(H125="Cash",Q125,0)</f>
        <v/>
      </c>
      <c r="S125">
        <f>IF(OR(P125&lt;&gt;"E",R125=0),0,SUMIFS($R$18:$R$317,$B$18:$B$317,B125,$D$18:$D$317,D125,$P$18:$P$317,"E"))</f>
        <v/>
      </c>
      <c r="T125">
        <f>IF(OR(P125&lt;&gt;"F",R125=0),0,SUMIFS($R$18:$R$317,$B$18:$B$317,B125,$D$18:$D$317,D125,$P$18:$P$317,"F"))</f>
        <v/>
      </c>
      <c r="U125">
        <f>IF(OR(P125&lt;&gt;"A",R125=0),0,SUMIFS($R$18:$R$317,$B$18:$B$317,B125,$D$18:$D$317,D125,$P$18:$P$317,"A"))</f>
        <v/>
      </c>
      <c r="V125">
        <f>IF(OR(N125="",N125="OK",L125="Cancelled"),0,1)</f>
        <v/>
      </c>
    </row>
    <row r="126">
      <c r="B126" s="22" t="n"/>
      <c r="C126" s="23">
        <f>IF(B126="","",$E$9&amp;TEXT(N($E$10)+108,"000"))</f>
        <v/>
      </c>
      <c r="D126" s="14" t="n"/>
      <c r="E126" s="14" t="n"/>
      <c r="F126" s="14" t="n"/>
      <c r="G126" s="24" t="n"/>
      <c r="H126" s="14" t="n"/>
      <c r="I126" s="24" t="n"/>
      <c r="J126" s="25" t="n"/>
      <c r="K126" s="14" t="n"/>
      <c r="L126" s="24" t="n"/>
      <c r="M126" s="26">
        <f>IF(OR(N(J126)=0,L126="Cancelled"),"",IF(AND(N(J126)&gt;5000,H126="Cash"),"Yes: ₹1","No"))</f>
        <v/>
      </c>
      <c r="N126" s="27">
        <f>IF(AND(B126="",D126="",N(J126)=0),"",IF(B126="","Enter the date",IF(AND(ROW()&gt;18,B125=""),"Use the next empty row: a skipped row leaves a gap in the voucher numbers",IF(D126="","Enter who was paid",IF(N(J126)=0,"Enter the amount",IF(E126="","Pick the head of account",IF(P126="?","Pick the head from the list",IF(H126="","Pick how it was paid",IF(L126="Cancelled","Cancelled: keep this number unused and write a fresh voucher",IF(AND(H126&lt;&gt;"Cash",I126=""),"Enter the cheque no., UTR or UPI reference",IF(AND(N($E$11)&gt;0,N(J126)&gt;N($E$11),K126=""),"Above your approval limit: get it approved before paying",IF(S126&gt;10000,"Cash paid to this person today is over ₹10,000: not deductible, s.36(4)",IF(T126&gt;35000,"Cash freight to this transporter today is over ₹35,000: not deductible, s.36(6)",IF(U126&gt;10000,"Asset paid in cash over ₹10,000 today: left out of its cost, s.39(2)",IF(AND(P126="L",H126="Cash",N(J126)&gt;=20000),"Loan of ₹20,000 or more repaid in cash: barred, s.188","OK")))))))))))))))</f>
        <v/>
      </c>
      <c r="P126">
        <f>IF(E126="","",IFERROR(VLOOKUP(E126,Lists!$A$2:$B$17,2,FALSE),"?"))</f>
        <v/>
      </c>
      <c r="Q126">
        <f>IF(L126="Cancelled",0,N(J126))</f>
        <v/>
      </c>
      <c r="R126">
        <f>IF(H126="Cash",Q126,0)</f>
        <v/>
      </c>
      <c r="S126">
        <f>IF(OR(P126&lt;&gt;"E",R126=0),0,SUMIFS($R$18:$R$317,$B$18:$B$317,B126,$D$18:$D$317,D126,$P$18:$P$317,"E"))</f>
        <v/>
      </c>
      <c r="T126">
        <f>IF(OR(P126&lt;&gt;"F",R126=0),0,SUMIFS($R$18:$R$317,$B$18:$B$317,B126,$D$18:$D$317,D126,$P$18:$P$317,"F"))</f>
        <v/>
      </c>
      <c r="U126">
        <f>IF(OR(P126&lt;&gt;"A",R126=0),0,SUMIFS($R$18:$R$317,$B$18:$B$317,B126,$D$18:$D$317,D126,$P$18:$P$317,"A"))</f>
        <v/>
      </c>
      <c r="V126">
        <f>IF(OR(N126="",N126="OK",L126="Cancelled"),0,1)</f>
        <v/>
      </c>
    </row>
    <row r="127">
      <c r="B127" s="22" t="n"/>
      <c r="C127" s="23">
        <f>IF(B127="","",$E$9&amp;TEXT(N($E$10)+109,"000"))</f>
        <v/>
      </c>
      <c r="D127" s="14" t="n"/>
      <c r="E127" s="14" t="n"/>
      <c r="F127" s="14" t="n"/>
      <c r="G127" s="24" t="n"/>
      <c r="H127" s="14" t="n"/>
      <c r="I127" s="24" t="n"/>
      <c r="J127" s="25" t="n"/>
      <c r="K127" s="14" t="n"/>
      <c r="L127" s="24" t="n"/>
      <c r="M127" s="26">
        <f>IF(OR(N(J127)=0,L127="Cancelled"),"",IF(AND(N(J127)&gt;5000,H127="Cash"),"Yes: ₹1","No"))</f>
        <v/>
      </c>
      <c r="N127" s="27">
        <f>IF(AND(B127="",D127="",N(J127)=0),"",IF(B127="","Enter the date",IF(AND(ROW()&gt;18,B126=""),"Use the next empty row: a skipped row leaves a gap in the voucher numbers",IF(D127="","Enter who was paid",IF(N(J127)=0,"Enter the amount",IF(E127="","Pick the head of account",IF(P127="?","Pick the head from the list",IF(H127="","Pick how it was paid",IF(L127="Cancelled","Cancelled: keep this number unused and write a fresh voucher",IF(AND(H127&lt;&gt;"Cash",I127=""),"Enter the cheque no., UTR or UPI reference",IF(AND(N($E$11)&gt;0,N(J127)&gt;N($E$11),K127=""),"Above your approval limit: get it approved before paying",IF(S127&gt;10000,"Cash paid to this person today is over ₹10,000: not deductible, s.36(4)",IF(T127&gt;35000,"Cash freight to this transporter today is over ₹35,000: not deductible, s.36(6)",IF(U127&gt;10000,"Asset paid in cash over ₹10,000 today: left out of its cost, s.39(2)",IF(AND(P127="L",H127="Cash",N(J127)&gt;=20000),"Loan of ₹20,000 or more repaid in cash: barred, s.188","OK")))))))))))))))</f>
        <v/>
      </c>
      <c r="P127">
        <f>IF(E127="","",IFERROR(VLOOKUP(E127,Lists!$A$2:$B$17,2,FALSE),"?"))</f>
        <v/>
      </c>
      <c r="Q127">
        <f>IF(L127="Cancelled",0,N(J127))</f>
        <v/>
      </c>
      <c r="R127">
        <f>IF(H127="Cash",Q127,0)</f>
        <v/>
      </c>
      <c r="S127">
        <f>IF(OR(P127&lt;&gt;"E",R127=0),0,SUMIFS($R$18:$R$317,$B$18:$B$317,B127,$D$18:$D$317,D127,$P$18:$P$317,"E"))</f>
        <v/>
      </c>
      <c r="T127">
        <f>IF(OR(P127&lt;&gt;"F",R127=0),0,SUMIFS($R$18:$R$317,$B$18:$B$317,B127,$D$18:$D$317,D127,$P$18:$P$317,"F"))</f>
        <v/>
      </c>
      <c r="U127">
        <f>IF(OR(P127&lt;&gt;"A",R127=0),0,SUMIFS($R$18:$R$317,$B$18:$B$317,B127,$D$18:$D$317,D127,$P$18:$P$317,"A"))</f>
        <v/>
      </c>
      <c r="V127">
        <f>IF(OR(N127="",N127="OK",L127="Cancelled"),0,1)</f>
        <v/>
      </c>
    </row>
    <row r="128">
      <c r="B128" s="22" t="n"/>
      <c r="C128" s="23">
        <f>IF(B128="","",$E$9&amp;TEXT(N($E$10)+110,"000"))</f>
        <v/>
      </c>
      <c r="D128" s="14" t="n"/>
      <c r="E128" s="14" t="n"/>
      <c r="F128" s="14" t="n"/>
      <c r="G128" s="24" t="n"/>
      <c r="H128" s="14" t="n"/>
      <c r="I128" s="24" t="n"/>
      <c r="J128" s="25" t="n"/>
      <c r="K128" s="14" t="n"/>
      <c r="L128" s="24" t="n"/>
      <c r="M128" s="26">
        <f>IF(OR(N(J128)=0,L128="Cancelled"),"",IF(AND(N(J128)&gt;5000,H128="Cash"),"Yes: ₹1","No"))</f>
        <v/>
      </c>
      <c r="N128" s="27">
        <f>IF(AND(B128="",D128="",N(J128)=0),"",IF(B128="","Enter the date",IF(AND(ROW()&gt;18,B127=""),"Use the next empty row: a skipped row leaves a gap in the voucher numbers",IF(D128="","Enter who was paid",IF(N(J128)=0,"Enter the amount",IF(E128="","Pick the head of account",IF(P128="?","Pick the head from the list",IF(H128="","Pick how it was paid",IF(L128="Cancelled","Cancelled: keep this number unused and write a fresh voucher",IF(AND(H128&lt;&gt;"Cash",I128=""),"Enter the cheque no., UTR or UPI reference",IF(AND(N($E$11)&gt;0,N(J128)&gt;N($E$11),K128=""),"Above your approval limit: get it approved before paying",IF(S128&gt;10000,"Cash paid to this person today is over ₹10,000: not deductible, s.36(4)",IF(T128&gt;35000,"Cash freight to this transporter today is over ₹35,000: not deductible, s.36(6)",IF(U128&gt;10000,"Asset paid in cash over ₹10,000 today: left out of its cost, s.39(2)",IF(AND(P128="L",H128="Cash",N(J128)&gt;=20000),"Loan of ₹20,000 or more repaid in cash: barred, s.188","OK")))))))))))))))</f>
        <v/>
      </c>
      <c r="P128">
        <f>IF(E128="","",IFERROR(VLOOKUP(E128,Lists!$A$2:$B$17,2,FALSE),"?"))</f>
        <v/>
      </c>
      <c r="Q128">
        <f>IF(L128="Cancelled",0,N(J128))</f>
        <v/>
      </c>
      <c r="R128">
        <f>IF(H128="Cash",Q128,0)</f>
        <v/>
      </c>
      <c r="S128">
        <f>IF(OR(P128&lt;&gt;"E",R128=0),0,SUMIFS($R$18:$R$317,$B$18:$B$317,B128,$D$18:$D$317,D128,$P$18:$P$317,"E"))</f>
        <v/>
      </c>
      <c r="T128">
        <f>IF(OR(P128&lt;&gt;"F",R128=0),0,SUMIFS($R$18:$R$317,$B$18:$B$317,B128,$D$18:$D$317,D128,$P$18:$P$317,"F"))</f>
        <v/>
      </c>
      <c r="U128">
        <f>IF(OR(P128&lt;&gt;"A",R128=0),0,SUMIFS($R$18:$R$317,$B$18:$B$317,B128,$D$18:$D$317,D128,$P$18:$P$317,"A"))</f>
        <v/>
      </c>
      <c r="V128">
        <f>IF(OR(N128="",N128="OK",L128="Cancelled"),0,1)</f>
        <v/>
      </c>
    </row>
    <row r="129">
      <c r="B129" s="22" t="n"/>
      <c r="C129" s="23">
        <f>IF(B129="","",$E$9&amp;TEXT(N($E$10)+111,"000"))</f>
        <v/>
      </c>
      <c r="D129" s="14" t="n"/>
      <c r="E129" s="14" t="n"/>
      <c r="F129" s="14" t="n"/>
      <c r="G129" s="24" t="n"/>
      <c r="H129" s="14" t="n"/>
      <c r="I129" s="24" t="n"/>
      <c r="J129" s="25" t="n"/>
      <c r="K129" s="14" t="n"/>
      <c r="L129" s="24" t="n"/>
      <c r="M129" s="26">
        <f>IF(OR(N(J129)=0,L129="Cancelled"),"",IF(AND(N(J129)&gt;5000,H129="Cash"),"Yes: ₹1","No"))</f>
        <v/>
      </c>
      <c r="N129" s="27">
        <f>IF(AND(B129="",D129="",N(J129)=0),"",IF(B129="","Enter the date",IF(AND(ROW()&gt;18,B128=""),"Use the next empty row: a skipped row leaves a gap in the voucher numbers",IF(D129="","Enter who was paid",IF(N(J129)=0,"Enter the amount",IF(E129="","Pick the head of account",IF(P129="?","Pick the head from the list",IF(H129="","Pick how it was paid",IF(L129="Cancelled","Cancelled: keep this number unused and write a fresh voucher",IF(AND(H129&lt;&gt;"Cash",I129=""),"Enter the cheque no., UTR or UPI reference",IF(AND(N($E$11)&gt;0,N(J129)&gt;N($E$11),K129=""),"Above your approval limit: get it approved before paying",IF(S129&gt;10000,"Cash paid to this person today is over ₹10,000: not deductible, s.36(4)",IF(T129&gt;35000,"Cash freight to this transporter today is over ₹35,000: not deductible, s.36(6)",IF(U129&gt;10000,"Asset paid in cash over ₹10,000 today: left out of its cost, s.39(2)",IF(AND(P129="L",H129="Cash",N(J129)&gt;=20000),"Loan of ₹20,000 or more repaid in cash: barred, s.188","OK")))))))))))))))</f>
        <v/>
      </c>
      <c r="P129">
        <f>IF(E129="","",IFERROR(VLOOKUP(E129,Lists!$A$2:$B$17,2,FALSE),"?"))</f>
        <v/>
      </c>
      <c r="Q129">
        <f>IF(L129="Cancelled",0,N(J129))</f>
        <v/>
      </c>
      <c r="R129">
        <f>IF(H129="Cash",Q129,0)</f>
        <v/>
      </c>
      <c r="S129">
        <f>IF(OR(P129&lt;&gt;"E",R129=0),0,SUMIFS($R$18:$R$317,$B$18:$B$317,B129,$D$18:$D$317,D129,$P$18:$P$317,"E"))</f>
        <v/>
      </c>
      <c r="T129">
        <f>IF(OR(P129&lt;&gt;"F",R129=0),0,SUMIFS($R$18:$R$317,$B$18:$B$317,B129,$D$18:$D$317,D129,$P$18:$P$317,"F"))</f>
        <v/>
      </c>
      <c r="U129">
        <f>IF(OR(P129&lt;&gt;"A",R129=0),0,SUMIFS($R$18:$R$317,$B$18:$B$317,B129,$D$18:$D$317,D129,$P$18:$P$317,"A"))</f>
        <v/>
      </c>
      <c r="V129">
        <f>IF(OR(N129="",N129="OK",L129="Cancelled"),0,1)</f>
        <v/>
      </c>
    </row>
    <row r="130">
      <c r="B130" s="22" t="n"/>
      <c r="C130" s="23">
        <f>IF(B130="","",$E$9&amp;TEXT(N($E$10)+112,"000"))</f>
        <v/>
      </c>
      <c r="D130" s="14" t="n"/>
      <c r="E130" s="14" t="n"/>
      <c r="F130" s="14" t="n"/>
      <c r="G130" s="24" t="n"/>
      <c r="H130" s="14" t="n"/>
      <c r="I130" s="24" t="n"/>
      <c r="J130" s="25" t="n"/>
      <c r="K130" s="14" t="n"/>
      <c r="L130" s="24" t="n"/>
      <c r="M130" s="26">
        <f>IF(OR(N(J130)=0,L130="Cancelled"),"",IF(AND(N(J130)&gt;5000,H130="Cash"),"Yes: ₹1","No"))</f>
        <v/>
      </c>
      <c r="N130" s="27">
        <f>IF(AND(B130="",D130="",N(J130)=0),"",IF(B130="","Enter the date",IF(AND(ROW()&gt;18,B129=""),"Use the next empty row: a skipped row leaves a gap in the voucher numbers",IF(D130="","Enter who was paid",IF(N(J130)=0,"Enter the amount",IF(E130="","Pick the head of account",IF(P130="?","Pick the head from the list",IF(H130="","Pick how it was paid",IF(L130="Cancelled","Cancelled: keep this number unused and write a fresh voucher",IF(AND(H130&lt;&gt;"Cash",I130=""),"Enter the cheque no., UTR or UPI reference",IF(AND(N($E$11)&gt;0,N(J130)&gt;N($E$11),K130=""),"Above your approval limit: get it approved before paying",IF(S130&gt;10000,"Cash paid to this person today is over ₹10,000: not deductible, s.36(4)",IF(T130&gt;35000,"Cash freight to this transporter today is over ₹35,000: not deductible, s.36(6)",IF(U130&gt;10000,"Asset paid in cash over ₹10,000 today: left out of its cost, s.39(2)",IF(AND(P130="L",H130="Cash",N(J130)&gt;=20000),"Loan of ₹20,000 or more repaid in cash: barred, s.188","OK")))))))))))))))</f>
        <v/>
      </c>
      <c r="P130">
        <f>IF(E130="","",IFERROR(VLOOKUP(E130,Lists!$A$2:$B$17,2,FALSE),"?"))</f>
        <v/>
      </c>
      <c r="Q130">
        <f>IF(L130="Cancelled",0,N(J130))</f>
        <v/>
      </c>
      <c r="R130">
        <f>IF(H130="Cash",Q130,0)</f>
        <v/>
      </c>
      <c r="S130">
        <f>IF(OR(P130&lt;&gt;"E",R130=0),0,SUMIFS($R$18:$R$317,$B$18:$B$317,B130,$D$18:$D$317,D130,$P$18:$P$317,"E"))</f>
        <v/>
      </c>
      <c r="T130">
        <f>IF(OR(P130&lt;&gt;"F",R130=0),0,SUMIFS($R$18:$R$317,$B$18:$B$317,B130,$D$18:$D$317,D130,$P$18:$P$317,"F"))</f>
        <v/>
      </c>
      <c r="U130">
        <f>IF(OR(P130&lt;&gt;"A",R130=0),0,SUMIFS($R$18:$R$317,$B$18:$B$317,B130,$D$18:$D$317,D130,$P$18:$P$317,"A"))</f>
        <v/>
      </c>
      <c r="V130">
        <f>IF(OR(N130="",N130="OK",L130="Cancelled"),0,1)</f>
        <v/>
      </c>
    </row>
    <row r="131">
      <c r="B131" s="22" t="n"/>
      <c r="C131" s="23">
        <f>IF(B131="","",$E$9&amp;TEXT(N($E$10)+113,"000"))</f>
        <v/>
      </c>
      <c r="D131" s="14" t="n"/>
      <c r="E131" s="14" t="n"/>
      <c r="F131" s="14" t="n"/>
      <c r="G131" s="24" t="n"/>
      <c r="H131" s="14" t="n"/>
      <c r="I131" s="24" t="n"/>
      <c r="J131" s="25" t="n"/>
      <c r="K131" s="14" t="n"/>
      <c r="L131" s="24" t="n"/>
      <c r="M131" s="26">
        <f>IF(OR(N(J131)=0,L131="Cancelled"),"",IF(AND(N(J131)&gt;5000,H131="Cash"),"Yes: ₹1","No"))</f>
        <v/>
      </c>
      <c r="N131" s="27">
        <f>IF(AND(B131="",D131="",N(J131)=0),"",IF(B131="","Enter the date",IF(AND(ROW()&gt;18,B130=""),"Use the next empty row: a skipped row leaves a gap in the voucher numbers",IF(D131="","Enter who was paid",IF(N(J131)=0,"Enter the amount",IF(E131="","Pick the head of account",IF(P131="?","Pick the head from the list",IF(H131="","Pick how it was paid",IF(L131="Cancelled","Cancelled: keep this number unused and write a fresh voucher",IF(AND(H131&lt;&gt;"Cash",I131=""),"Enter the cheque no., UTR or UPI reference",IF(AND(N($E$11)&gt;0,N(J131)&gt;N($E$11),K131=""),"Above your approval limit: get it approved before paying",IF(S131&gt;10000,"Cash paid to this person today is over ₹10,000: not deductible, s.36(4)",IF(T131&gt;35000,"Cash freight to this transporter today is over ₹35,000: not deductible, s.36(6)",IF(U131&gt;10000,"Asset paid in cash over ₹10,000 today: left out of its cost, s.39(2)",IF(AND(P131="L",H131="Cash",N(J131)&gt;=20000),"Loan of ₹20,000 or more repaid in cash: barred, s.188","OK")))))))))))))))</f>
        <v/>
      </c>
      <c r="P131">
        <f>IF(E131="","",IFERROR(VLOOKUP(E131,Lists!$A$2:$B$17,2,FALSE),"?"))</f>
        <v/>
      </c>
      <c r="Q131">
        <f>IF(L131="Cancelled",0,N(J131))</f>
        <v/>
      </c>
      <c r="R131">
        <f>IF(H131="Cash",Q131,0)</f>
        <v/>
      </c>
      <c r="S131">
        <f>IF(OR(P131&lt;&gt;"E",R131=0),0,SUMIFS($R$18:$R$317,$B$18:$B$317,B131,$D$18:$D$317,D131,$P$18:$P$317,"E"))</f>
        <v/>
      </c>
      <c r="T131">
        <f>IF(OR(P131&lt;&gt;"F",R131=0),0,SUMIFS($R$18:$R$317,$B$18:$B$317,B131,$D$18:$D$317,D131,$P$18:$P$317,"F"))</f>
        <v/>
      </c>
      <c r="U131">
        <f>IF(OR(P131&lt;&gt;"A",R131=0),0,SUMIFS($R$18:$R$317,$B$18:$B$317,B131,$D$18:$D$317,D131,$P$18:$P$317,"A"))</f>
        <v/>
      </c>
      <c r="V131">
        <f>IF(OR(N131="",N131="OK",L131="Cancelled"),0,1)</f>
        <v/>
      </c>
    </row>
    <row r="132">
      <c r="B132" s="22" t="n"/>
      <c r="C132" s="23">
        <f>IF(B132="","",$E$9&amp;TEXT(N($E$10)+114,"000"))</f>
        <v/>
      </c>
      <c r="D132" s="14" t="n"/>
      <c r="E132" s="14" t="n"/>
      <c r="F132" s="14" t="n"/>
      <c r="G132" s="24" t="n"/>
      <c r="H132" s="14" t="n"/>
      <c r="I132" s="24" t="n"/>
      <c r="J132" s="25" t="n"/>
      <c r="K132" s="14" t="n"/>
      <c r="L132" s="24" t="n"/>
      <c r="M132" s="26">
        <f>IF(OR(N(J132)=0,L132="Cancelled"),"",IF(AND(N(J132)&gt;5000,H132="Cash"),"Yes: ₹1","No"))</f>
        <v/>
      </c>
      <c r="N132" s="27">
        <f>IF(AND(B132="",D132="",N(J132)=0),"",IF(B132="","Enter the date",IF(AND(ROW()&gt;18,B131=""),"Use the next empty row: a skipped row leaves a gap in the voucher numbers",IF(D132="","Enter who was paid",IF(N(J132)=0,"Enter the amount",IF(E132="","Pick the head of account",IF(P132="?","Pick the head from the list",IF(H132="","Pick how it was paid",IF(L132="Cancelled","Cancelled: keep this number unused and write a fresh voucher",IF(AND(H132&lt;&gt;"Cash",I132=""),"Enter the cheque no., UTR or UPI reference",IF(AND(N($E$11)&gt;0,N(J132)&gt;N($E$11),K132=""),"Above your approval limit: get it approved before paying",IF(S132&gt;10000,"Cash paid to this person today is over ₹10,000: not deductible, s.36(4)",IF(T132&gt;35000,"Cash freight to this transporter today is over ₹35,000: not deductible, s.36(6)",IF(U132&gt;10000,"Asset paid in cash over ₹10,000 today: left out of its cost, s.39(2)",IF(AND(P132="L",H132="Cash",N(J132)&gt;=20000),"Loan of ₹20,000 or more repaid in cash: barred, s.188","OK")))))))))))))))</f>
        <v/>
      </c>
      <c r="P132">
        <f>IF(E132="","",IFERROR(VLOOKUP(E132,Lists!$A$2:$B$17,2,FALSE),"?"))</f>
        <v/>
      </c>
      <c r="Q132">
        <f>IF(L132="Cancelled",0,N(J132))</f>
        <v/>
      </c>
      <c r="R132">
        <f>IF(H132="Cash",Q132,0)</f>
        <v/>
      </c>
      <c r="S132">
        <f>IF(OR(P132&lt;&gt;"E",R132=0),0,SUMIFS($R$18:$R$317,$B$18:$B$317,B132,$D$18:$D$317,D132,$P$18:$P$317,"E"))</f>
        <v/>
      </c>
      <c r="T132">
        <f>IF(OR(P132&lt;&gt;"F",R132=0),0,SUMIFS($R$18:$R$317,$B$18:$B$317,B132,$D$18:$D$317,D132,$P$18:$P$317,"F"))</f>
        <v/>
      </c>
      <c r="U132">
        <f>IF(OR(P132&lt;&gt;"A",R132=0),0,SUMIFS($R$18:$R$317,$B$18:$B$317,B132,$D$18:$D$317,D132,$P$18:$P$317,"A"))</f>
        <v/>
      </c>
      <c r="V132">
        <f>IF(OR(N132="",N132="OK",L132="Cancelled"),0,1)</f>
        <v/>
      </c>
    </row>
    <row r="133">
      <c r="B133" s="22" t="n"/>
      <c r="C133" s="23">
        <f>IF(B133="","",$E$9&amp;TEXT(N($E$10)+115,"000"))</f>
        <v/>
      </c>
      <c r="D133" s="14" t="n"/>
      <c r="E133" s="14" t="n"/>
      <c r="F133" s="14" t="n"/>
      <c r="G133" s="24" t="n"/>
      <c r="H133" s="14" t="n"/>
      <c r="I133" s="24" t="n"/>
      <c r="J133" s="25" t="n"/>
      <c r="K133" s="14" t="n"/>
      <c r="L133" s="24" t="n"/>
      <c r="M133" s="26">
        <f>IF(OR(N(J133)=0,L133="Cancelled"),"",IF(AND(N(J133)&gt;5000,H133="Cash"),"Yes: ₹1","No"))</f>
        <v/>
      </c>
      <c r="N133" s="27">
        <f>IF(AND(B133="",D133="",N(J133)=0),"",IF(B133="","Enter the date",IF(AND(ROW()&gt;18,B132=""),"Use the next empty row: a skipped row leaves a gap in the voucher numbers",IF(D133="","Enter who was paid",IF(N(J133)=0,"Enter the amount",IF(E133="","Pick the head of account",IF(P133="?","Pick the head from the list",IF(H133="","Pick how it was paid",IF(L133="Cancelled","Cancelled: keep this number unused and write a fresh voucher",IF(AND(H133&lt;&gt;"Cash",I133=""),"Enter the cheque no., UTR or UPI reference",IF(AND(N($E$11)&gt;0,N(J133)&gt;N($E$11),K133=""),"Above your approval limit: get it approved before paying",IF(S133&gt;10000,"Cash paid to this person today is over ₹10,000: not deductible, s.36(4)",IF(T133&gt;35000,"Cash freight to this transporter today is over ₹35,000: not deductible, s.36(6)",IF(U133&gt;10000,"Asset paid in cash over ₹10,000 today: left out of its cost, s.39(2)",IF(AND(P133="L",H133="Cash",N(J133)&gt;=20000),"Loan of ₹20,000 or more repaid in cash: barred, s.188","OK")))))))))))))))</f>
        <v/>
      </c>
      <c r="P133">
        <f>IF(E133="","",IFERROR(VLOOKUP(E133,Lists!$A$2:$B$17,2,FALSE),"?"))</f>
        <v/>
      </c>
      <c r="Q133">
        <f>IF(L133="Cancelled",0,N(J133))</f>
        <v/>
      </c>
      <c r="R133">
        <f>IF(H133="Cash",Q133,0)</f>
        <v/>
      </c>
      <c r="S133">
        <f>IF(OR(P133&lt;&gt;"E",R133=0),0,SUMIFS($R$18:$R$317,$B$18:$B$317,B133,$D$18:$D$317,D133,$P$18:$P$317,"E"))</f>
        <v/>
      </c>
      <c r="T133">
        <f>IF(OR(P133&lt;&gt;"F",R133=0),0,SUMIFS($R$18:$R$317,$B$18:$B$317,B133,$D$18:$D$317,D133,$P$18:$P$317,"F"))</f>
        <v/>
      </c>
      <c r="U133">
        <f>IF(OR(P133&lt;&gt;"A",R133=0),0,SUMIFS($R$18:$R$317,$B$18:$B$317,B133,$D$18:$D$317,D133,$P$18:$P$317,"A"))</f>
        <v/>
      </c>
      <c r="V133">
        <f>IF(OR(N133="",N133="OK",L133="Cancelled"),0,1)</f>
        <v/>
      </c>
    </row>
    <row r="134">
      <c r="B134" s="22" t="n"/>
      <c r="C134" s="23">
        <f>IF(B134="","",$E$9&amp;TEXT(N($E$10)+116,"000"))</f>
        <v/>
      </c>
      <c r="D134" s="14" t="n"/>
      <c r="E134" s="14" t="n"/>
      <c r="F134" s="14" t="n"/>
      <c r="G134" s="24" t="n"/>
      <c r="H134" s="14" t="n"/>
      <c r="I134" s="24" t="n"/>
      <c r="J134" s="25" t="n"/>
      <c r="K134" s="14" t="n"/>
      <c r="L134" s="24" t="n"/>
      <c r="M134" s="26">
        <f>IF(OR(N(J134)=0,L134="Cancelled"),"",IF(AND(N(J134)&gt;5000,H134="Cash"),"Yes: ₹1","No"))</f>
        <v/>
      </c>
      <c r="N134" s="27">
        <f>IF(AND(B134="",D134="",N(J134)=0),"",IF(B134="","Enter the date",IF(AND(ROW()&gt;18,B133=""),"Use the next empty row: a skipped row leaves a gap in the voucher numbers",IF(D134="","Enter who was paid",IF(N(J134)=0,"Enter the amount",IF(E134="","Pick the head of account",IF(P134="?","Pick the head from the list",IF(H134="","Pick how it was paid",IF(L134="Cancelled","Cancelled: keep this number unused and write a fresh voucher",IF(AND(H134&lt;&gt;"Cash",I134=""),"Enter the cheque no., UTR or UPI reference",IF(AND(N($E$11)&gt;0,N(J134)&gt;N($E$11),K134=""),"Above your approval limit: get it approved before paying",IF(S134&gt;10000,"Cash paid to this person today is over ₹10,000: not deductible, s.36(4)",IF(T134&gt;35000,"Cash freight to this transporter today is over ₹35,000: not deductible, s.36(6)",IF(U134&gt;10000,"Asset paid in cash over ₹10,000 today: left out of its cost, s.39(2)",IF(AND(P134="L",H134="Cash",N(J134)&gt;=20000),"Loan of ₹20,000 or more repaid in cash: barred, s.188","OK")))))))))))))))</f>
        <v/>
      </c>
      <c r="P134">
        <f>IF(E134="","",IFERROR(VLOOKUP(E134,Lists!$A$2:$B$17,2,FALSE),"?"))</f>
        <v/>
      </c>
      <c r="Q134">
        <f>IF(L134="Cancelled",0,N(J134))</f>
        <v/>
      </c>
      <c r="R134">
        <f>IF(H134="Cash",Q134,0)</f>
        <v/>
      </c>
      <c r="S134">
        <f>IF(OR(P134&lt;&gt;"E",R134=0),0,SUMIFS($R$18:$R$317,$B$18:$B$317,B134,$D$18:$D$317,D134,$P$18:$P$317,"E"))</f>
        <v/>
      </c>
      <c r="T134">
        <f>IF(OR(P134&lt;&gt;"F",R134=0),0,SUMIFS($R$18:$R$317,$B$18:$B$317,B134,$D$18:$D$317,D134,$P$18:$P$317,"F"))</f>
        <v/>
      </c>
      <c r="U134">
        <f>IF(OR(P134&lt;&gt;"A",R134=0),0,SUMIFS($R$18:$R$317,$B$18:$B$317,B134,$D$18:$D$317,D134,$P$18:$P$317,"A"))</f>
        <v/>
      </c>
      <c r="V134">
        <f>IF(OR(N134="",N134="OK",L134="Cancelled"),0,1)</f>
        <v/>
      </c>
    </row>
    <row r="135">
      <c r="B135" s="22" t="n"/>
      <c r="C135" s="23">
        <f>IF(B135="","",$E$9&amp;TEXT(N($E$10)+117,"000"))</f>
        <v/>
      </c>
      <c r="D135" s="14" t="n"/>
      <c r="E135" s="14" t="n"/>
      <c r="F135" s="14" t="n"/>
      <c r="G135" s="24" t="n"/>
      <c r="H135" s="14" t="n"/>
      <c r="I135" s="24" t="n"/>
      <c r="J135" s="25" t="n"/>
      <c r="K135" s="14" t="n"/>
      <c r="L135" s="24" t="n"/>
      <c r="M135" s="26">
        <f>IF(OR(N(J135)=0,L135="Cancelled"),"",IF(AND(N(J135)&gt;5000,H135="Cash"),"Yes: ₹1","No"))</f>
        <v/>
      </c>
      <c r="N135" s="27">
        <f>IF(AND(B135="",D135="",N(J135)=0),"",IF(B135="","Enter the date",IF(AND(ROW()&gt;18,B134=""),"Use the next empty row: a skipped row leaves a gap in the voucher numbers",IF(D135="","Enter who was paid",IF(N(J135)=0,"Enter the amount",IF(E135="","Pick the head of account",IF(P135="?","Pick the head from the list",IF(H135="","Pick how it was paid",IF(L135="Cancelled","Cancelled: keep this number unused and write a fresh voucher",IF(AND(H135&lt;&gt;"Cash",I135=""),"Enter the cheque no., UTR or UPI reference",IF(AND(N($E$11)&gt;0,N(J135)&gt;N($E$11),K135=""),"Above your approval limit: get it approved before paying",IF(S135&gt;10000,"Cash paid to this person today is over ₹10,000: not deductible, s.36(4)",IF(T135&gt;35000,"Cash freight to this transporter today is over ₹35,000: not deductible, s.36(6)",IF(U135&gt;10000,"Asset paid in cash over ₹10,000 today: left out of its cost, s.39(2)",IF(AND(P135="L",H135="Cash",N(J135)&gt;=20000),"Loan of ₹20,000 or more repaid in cash: barred, s.188","OK")))))))))))))))</f>
        <v/>
      </c>
      <c r="P135">
        <f>IF(E135="","",IFERROR(VLOOKUP(E135,Lists!$A$2:$B$17,2,FALSE),"?"))</f>
        <v/>
      </c>
      <c r="Q135">
        <f>IF(L135="Cancelled",0,N(J135))</f>
        <v/>
      </c>
      <c r="R135">
        <f>IF(H135="Cash",Q135,0)</f>
        <v/>
      </c>
      <c r="S135">
        <f>IF(OR(P135&lt;&gt;"E",R135=0),0,SUMIFS($R$18:$R$317,$B$18:$B$317,B135,$D$18:$D$317,D135,$P$18:$P$317,"E"))</f>
        <v/>
      </c>
      <c r="T135">
        <f>IF(OR(P135&lt;&gt;"F",R135=0),0,SUMIFS($R$18:$R$317,$B$18:$B$317,B135,$D$18:$D$317,D135,$P$18:$P$317,"F"))</f>
        <v/>
      </c>
      <c r="U135">
        <f>IF(OR(P135&lt;&gt;"A",R135=0),0,SUMIFS($R$18:$R$317,$B$18:$B$317,B135,$D$18:$D$317,D135,$P$18:$P$317,"A"))</f>
        <v/>
      </c>
      <c r="V135">
        <f>IF(OR(N135="",N135="OK",L135="Cancelled"),0,1)</f>
        <v/>
      </c>
    </row>
    <row r="136">
      <c r="B136" s="22" t="n"/>
      <c r="C136" s="23">
        <f>IF(B136="","",$E$9&amp;TEXT(N($E$10)+118,"000"))</f>
        <v/>
      </c>
      <c r="D136" s="14" t="n"/>
      <c r="E136" s="14" t="n"/>
      <c r="F136" s="14" t="n"/>
      <c r="G136" s="24" t="n"/>
      <c r="H136" s="14" t="n"/>
      <c r="I136" s="24" t="n"/>
      <c r="J136" s="25" t="n"/>
      <c r="K136" s="14" t="n"/>
      <c r="L136" s="24" t="n"/>
      <c r="M136" s="26">
        <f>IF(OR(N(J136)=0,L136="Cancelled"),"",IF(AND(N(J136)&gt;5000,H136="Cash"),"Yes: ₹1","No"))</f>
        <v/>
      </c>
      <c r="N136" s="27">
        <f>IF(AND(B136="",D136="",N(J136)=0),"",IF(B136="","Enter the date",IF(AND(ROW()&gt;18,B135=""),"Use the next empty row: a skipped row leaves a gap in the voucher numbers",IF(D136="","Enter who was paid",IF(N(J136)=0,"Enter the amount",IF(E136="","Pick the head of account",IF(P136="?","Pick the head from the list",IF(H136="","Pick how it was paid",IF(L136="Cancelled","Cancelled: keep this number unused and write a fresh voucher",IF(AND(H136&lt;&gt;"Cash",I136=""),"Enter the cheque no., UTR or UPI reference",IF(AND(N($E$11)&gt;0,N(J136)&gt;N($E$11),K136=""),"Above your approval limit: get it approved before paying",IF(S136&gt;10000,"Cash paid to this person today is over ₹10,000: not deductible, s.36(4)",IF(T136&gt;35000,"Cash freight to this transporter today is over ₹35,000: not deductible, s.36(6)",IF(U136&gt;10000,"Asset paid in cash over ₹10,000 today: left out of its cost, s.39(2)",IF(AND(P136="L",H136="Cash",N(J136)&gt;=20000),"Loan of ₹20,000 or more repaid in cash: barred, s.188","OK")))))))))))))))</f>
        <v/>
      </c>
      <c r="P136">
        <f>IF(E136="","",IFERROR(VLOOKUP(E136,Lists!$A$2:$B$17,2,FALSE),"?"))</f>
        <v/>
      </c>
      <c r="Q136">
        <f>IF(L136="Cancelled",0,N(J136))</f>
        <v/>
      </c>
      <c r="R136">
        <f>IF(H136="Cash",Q136,0)</f>
        <v/>
      </c>
      <c r="S136">
        <f>IF(OR(P136&lt;&gt;"E",R136=0),0,SUMIFS($R$18:$R$317,$B$18:$B$317,B136,$D$18:$D$317,D136,$P$18:$P$317,"E"))</f>
        <v/>
      </c>
      <c r="T136">
        <f>IF(OR(P136&lt;&gt;"F",R136=0),0,SUMIFS($R$18:$R$317,$B$18:$B$317,B136,$D$18:$D$317,D136,$P$18:$P$317,"F"))</f>
        <v/>
      </c>
      <c r="U136">
        <f>IF(OR(P136&lt;&gt;"A",R136=0),0,SUMIFS($R$18:$R$317,$B$18:$B$317,B136,$D$18:$D$317,D136,$P$18:$P$317,"A"))</f>
        <v/>
      </c>
      <c r="V136">
        <f>IF(OR(N136="",N136="OK",L136="Cancelled"),0,1)</f>
        <v/>
      </c>
    </row>
    <row r="137">
      <c r="B137" s="22" t="n"/>
      <c r="C137" s="23">
        <f>IF(B137="","",$E$9&amp;TEXT(N($E$10)+119,"000"))</f>
        <v/>
      </c>
      <c r="D137" s="14" t="n"/>
      <c r="E137" s="14" t="n"/>
      <c r="F137" s="14" t="n"/>
      <c r="G137" s="24" t="n"/>
      <c r="H137" s="14" t="n"/>
      <c r="I137" s="24" t="n"/>
      <c r="J137" s="25" t="n"/>
      <c r="K137" s="14" t="n"/>
      <c r="L137" s="24" t="n"/>
      <c r="M137" s="26">
        <f>IF(OR(N(J137)=0,L137="Cancelled"),"",IF(AND(N(J137)&gt;5000,H137="Cash"),"Yes: ₹1","No"))</f>
        <v/>
      </c>
      <c r="N137" s="27">
        <f>IF(AND(B137="",D137="",N(J137)=0),"",IF(B137="","Enter the date",IF(AND(ROW()&gt;18,B136=""),"Use the next empty row: a skipped row leaves a gap in the voucher numbers",IF(D137="","Enter who was paid",IF(N(J137)=0,"Enter the amount",IF(E137="","Pick the head of account",IF(P137="?","Pick the head from the list",IF(H137="","Pick how it was paid",IF(L137="Cancelled","Cancelled: keep this number unused and write a fresh voucher",IF(AND(H137&lt;&gt;"Cash",I137=""),"Enter the cheque no., UTR or UPI reference",IF(AND(N($E$11)&gt;0,N(J137)&gt;N($E$11),K137=""),"Above your approval limit: get it approved before paying",IF(S137&gt;10000,"Cash paid to this person today is over ₹10,000: not deductible, s.36(4)",IF(T137&gt;35000,"Cash freight to this transporter today is over ₹35,000: not deductible, s.36(6)",IF(U137&gt;10000,"Asset paid in cash over ₹10,000 today: left out of its cost, s.39(2)",IF(AND(P137="L",H137="Cash",N(J137)&gt;=20000),"Loan of ₹20,000 or more repaid in cash: barred, s.188","OK")))))))))))))))</f>
        <v/>
      </c>
      <c r="P137">
        <f>IF(E137="","",IFERROR(VLOOKUP(E137,Lists!$A$2:$B$17,2,FALSE),"?"))</f>
        <v/>
      </c>
      <c r="Q137">
        <f>IF(L137="Cancelled",0,N(J137))</f>
        <v/>
      </c>
      <c r="R137">
        <f>IF(H137="Cash",Q137,0)</f>
        <v/>
      </c>
      <c r="S137">
        <f>IF(OR(P137&lt;&gt;"E",R137=0),0,SUMIFS($R$18:$R$317,$B$18:$B$317,B137,$D$18:$D$317,D137,$P$18:$P$317,"E"))</f>
        <v/>
      </c>
      <c r="T137">
        <f>IF(OR(P137&lt;&gt;"F",R137=0),0,SUMIFS($R$18:$R$317,$B$18:$B$317,B137,$D$18:$D$317,D137,$P$18:$P$317,"F"))</f>
        <v/>
      </c>
      <c r="U137">
        <f>IF(OR(P137&lt;&gt;"A",R137=0),0,SUMIFS($R$18:$R$317,$B$18:$B$317,B137,$D$18:$D$317,D137,$P$18:$P$317,"A"))</f>
        <v/>
      </c>
      <c r="V137">
        <f>IF(OR(N137="",N137="OK",L137="Cancelled"),0,1)</f>
        <v/>
      </c>
    </row>
    <row r="138">
      <c r="B138" s="22" t="n"/>
      <c r="C138" s="23">
        <f>IF(B138="","",$E$9&amp;TEXT(N($E$10)+120,"000"))</f>
        <v/>
      </c>
      <c r="D138" s="14" t="n"/>
      <c r="E138" s="14" t="n"/>
      <c r="F138" s="14" t="n"/>
      <c r="G138" s="24" t="n"/>
      <c r="H138" s="14" t="n"/>
      <c r="I138" s="24" t="n"/>
      <c r="J138" s="25" t="n"/>
      <c r="K138" s="14" t="n"/>
      <c r="L138" s="24" t="n"/>
      <c r="M138" s="26">
        <f>IF(OR(N(J138)=0,L138="Cancelled"),"",IF(AND(N(J138)&gt;5000,H138="Cash"),"Yes: ₹1","No"))</f>
        <v/>
      </c>
      <c r="N138" s="27">
        <f>IF(AND(B138="",D138="",N(J138)=0),"",IF(B138="","Enter the date",IF(AND(ROW()&gt;18,B137=""),"Use the next empty row: a skipped row leaves a gap in the voucher numbers",IF(D138="","Enter who was paid",IF(N(J138)=0,"Enter the amount",IF(E138="","Pick the head of account",IF(P138="?","Pick the head from the list",IF(H138="","Pick how it was paid",IF(L138="Cancelled","Cancelled: keep this number unused and write a fresh voucher",IF(AND(H138&lt;&gt;"Cash",I138=""),"Enter the cheque no., UTR or UPI reference",IF(AND(N($E$11)&gt;0,N(J138)&gt;N($E$11),K138=""),"Above your approval limit: get it approved before paying",IF(S138&gt;10000,"Cash paid to this person today is over ₹10,000: not deductible, s.36(4)",IF(T138&gt;35000,"Cash freight to this transporter today is over ₹35,000: not deductible, s.36(6)",IF(U138&gt;10000,"Asset paid in cash over ₹10,000 today: left out of its cost, s.39(2)",IF(AND(P138="L",H138="Cash",N(J138)&gt;=20000),"Loan of ₹20,000 or more repaid in cash: barred, s.188","OK")))))))))))))))</f>
        <v/>
      </c>
      <c r="P138">
        <f>IF(E138="","",IFERROR(VLOOKUP(E138,Lists!$A$2:$B$17,2,FALSE),"?"))</f>
        <v/>
      </c>
      <c r="Q138">
        <f>IF(L138="Cancelled",0,N(J138))</f>
        <v/>
      </c>
      <c r="R138">
        <f>IF(H138="Cash",Q138,0)</f>
        <v/>
      </c>
      <c r="S138">
        <f>IF(OR(P138&lt;&gt;"E",R138=0),0,SUMIFS($R$18:$R$317,$B$18:$B$317,B138,$D$18:$D$317,D138,$P$18:$P$317,"E"))</f>
        <v/>
      </c>
      <c r="T138">
        <f>IF(OR(P138&lt;&gt;"F",R138=0),0,SUMIFS($R$18:$R$317,$B$18:$B$317,B138,$D$18:$D$317,D138,$P$18:$P$317,"F"))</f>
        <v/>
      </c>
      <c r="U138">
        <f>IF(OR(P138&lt;&gt;"A",R138=0),0,SUMIFS($R$18:$R$317,$B$18:$B$317,B138,$D$18:$D$317,D138,$P$18:$P$317,"A"))</f>
        <v/>
      </c>
      <c r="V138">
        <f>IF(OR(N138="",N138="OK",L138="Cancelled"),0,1)</f>
        <v/>
      </c>
    </row>
    <row r="139">
      <c r="B139" s="22" t="n"/>
      <c r="C139" s="23">
        <f>IF(B139="","",$E$9&amp;TEXT(N($E$10)+121,"000"))</f>
        <v/>
      </c>
      <c r="D139" s="14" t="n"/>
      <c r="E139" s="14" t="n"/>
      <c r="F139" s="14" t="n"/>
      <c r="G139" s="24" t="n"/>
      <c r="H139" s="14" t="n"/>
      <c r="I139" s="24" t="n"/>
      <c r="J139" s="25" t="n"/>
      <c r="K139" s="14" t="n"/>
      <c r="L139" s="24" t="n"/>
      <c r="M139" s="26">
        <f>IF(OR(N(J139)=0,L139="Cancelled"),"",IF(AND(N(J139)&gt;5000,H139="Cash"),"Yes: ₹1","No"))</f>
        <v/>
      </c>
      <c r="N139" s="27">
        <f>IF(AND(B139="",D139="",N(J139)=0),"",IF(B139="","Enter the date",IF(AND(ROW()&gt;18,B138=""),"Use the next empty row: a skipped row leaves a gap in the voucher numbers",IF(D139="","Enter who was paid",IF(N(J139)=0,"Enter the amount",IF(E139="","Pick the head of account",IF(P139="?","Pick the head from the list",IF(H139="","Pick how it was paid",IF(L139="Cancelled","Cancelled: keep this number unused and write a fresh voucher",IF(AND(H139&lt;&gt;"Cash",I139=""),"Enter the cheque no., UTR or UPI reference",IF(AND(N($E$11)&gt;0,N(J139)&gt;N($E$11),K139=""),"Above your approval limit: get it approved before paying",IF(S139&gt;10000,"Cash paid to this person today is over ₹10,000: not deductible, s.36(4)",IF(T139&gt;35000,"Cash freight to this transporter today is over ₹35,000: not deductible, s.36(6)",IF(U139&gt;10000,"Asset paid in cash over ₹10,000 today: left out of its cost, s.39(2)",IF(AND(P139="L",H139="Cash",N(J139)&gt;=20000),"Loan of ₹20,000 or more repaid in cash: barred, s.188","OK")))))))))))))))</f>
        <v/>
      </c>
      <c r="P139">
        <f>IF(E139="","",IFERROR(VLOOKUP(E139,Lists!$A$2:$B$17,2,FALSE),"?"))</f>
        <v/>
      </c>
      <c r="Q139">
        <f>IF(L139="Cancelled",0,N(J139))</f>
        <v/>
      </c>
      <c r="R139">
        <f>IF(H139="Cash",Q139,0)</f>
        <v/>
      </c>
      <c r="S139">
        <f>IF(OR(P139&lt;&gt;"E",R139=0),0,SUMIFS($R$18:$R$317,$B$18:$B$317,B139,$D$18:$D$317,D139,$P$18:$P$317,"E"))</f>
        <v/>
      </c>
      <c r="T139">
        <f>IF(OR(P139&lt;&gt;"F",R139=0),0,SUMIFS($R$18:$R$317,$B$18:$B$317,B139,$D$18:$D$317,D139,$P$18:$P$317,"F"))</f>
        <v/>
      </c>
      <c r="U139">
        <f>IF(OR(P139&lt;&gt;"A",R139=0),0,SUMIFS($R$18:$R$317,$B$18:$B$317,B139,$D$18:$D$317,D139,$P$18:$P$317,"A"))</f>
        <v/>
      </c>
      <c r="V139">
        <f>IF(OR(N139="",N139="OK",L139="Cancelled"),0,1)</f>
        <v/>
      </c>
    </row>
    <row r="140">
      <c r="B140" s="22" t="n"/>
      <c r="C140" s="23">
        <f>IF(B140="","",$E$9&amp;TEXT(N($E$10)+122,"000"))</f>
        <v/>
      </c>
      <c r="D140" s="14" t="n"/>
      <c r="E140" s="14" t="n"/>
      <c r="F140" s="14" t="n"/>
      <c r="G140" s="24" t="n"/>
      <c r="H140" s="14" t="n"/>
      <c r="I140" s="24" t="n"/>
      <c r="J140" s="25" t="n"/>
      <c r="K140" s="14" t="n"/>
      <c r="L140" s="24" t="n"/>
      <c r="M140" s="26">
        <f>IF(OR(N(J140)=0,L140="Cancelled"),"",IF(AND(N(J140)&gt;5000,H140="Cash"),"Yes: ₹1","No"))</f>
        <v/>
      </c>
      <c r="N140" s="27">
        <f>IF(AND(B140="",D140="",N(J140)=0),"",IF(B140="","Enter the date",IF(AND(ROW()&gt;18,B139=""),"Use the next empty row: a skipped row leaves a gap in the voucher numbers",IF(D140="","Enter who was paid",IF(N(J140)=0,"Enter the amount",IF(E140="","Pick the head of account",IF(P140="?","Pick the head from the list",IF(H140="","Pick how it was paid",IF(L140="Cancelled","Cancelled: keep this number unused and write a fresh voucher",IF(AND(H140&lt;&gt;"Cash",I140=""),"Enter the cheque no., UTR or UPI reference",IF(AND(N($E$11)&gt;0,N(J140)&gt;N($E$11),K140=""),"Above your approval limit: get it approved before paying",IF(S140&gt;10000,"Cash paid to this person today is over ₹10,000: not deductible, s.36(4)",IF(T140&gt;35000,"Cash freight to this transporter today is over ₹35,000: not deductible, s.36(6)",IF(U140&gt;10000,"Asset paid in cash over ₹10,000 today: left out of its cost, s.39(2)",IF(AND(P140="L",H140="Cash",N(J140)&gt;=20000),"Loan of ₹20,000 or more repaid in cash: barred, s.188","OK")))))))))))))))</f>
        <v/>
      </c>
      <c r="P140">
        <f>IF(E140="","",IFERROR(VLOOKUP(E140,Lists!$A$2:$B$17,2,FALSE),"?"))</f>
        <v/>
      </c>
      <c r="Q140">
        <f>IF(L140="Cancelled",0,N(J140))</f>
        <v/>
      </c>
      <c r="R140">
        <f>IF(H140="Cash",Q140,0)</f>
        <v/>
      </c>
      <c r="S140">
        <f>IF(OR(P140&lt;&gt;"E",R140=0),0,SUMIFS($R$18:$R$317,$B$18:$B$317,B140,$D$18:$D$317,D140,$P$18:$P$317,"E"))</f>
        <v/>
      </c>
      <c r="T140">
        <f>IF(OR(P140&lt;&gt;"F",R140=0),0,SUMIFS($R$18:$R$317,$B$18:$B$317,B140,$D$18:$D$317,D140,$P$18:$P$317,"F"))</f>
        <v/>
      </c>
      <c r="U140">
        <f>IF(OR(P140&lt;&gt;"A",R140=0),0,SUMIFS($R$18:$R$317,$B$18:$B$317,B140,$D$18:$D$317,D140,$P$18:$P$317,"A"))</f>
        <v/>
      </c>
      <c r="V140">
        <f>IF(OR(N140="",N140="OK",L140="Cancelled"),0,1)</f>
        <v/>
      </c>
    </row>
    <row r="141">
      <c r="B141" s="22" t="n"/>
      <c r="C141" s="23">
        <f>IF(B141="","",$E$9&amp;TEXT(N($E$10)+123,"000"))</f>
        <v/>
      </c>
      <c r="D141" s="14" t="n"/>
      <c r="E141" s="14" t="n"/>
      <c r="F141" s="14" t="n"/>
      <c r="G141" s="24" t="n"/>
      <c r="H141" s="14" t="n"/>
      <c r="I141" s="24" t="n"/>
      <c r="J141" s="25" t="n"/>
      <c r="K141" s="14" t="n"/>
      <c r="L141" s="24" t="n"/>
      <c r="M141" s="26">
        <f>IF(OR(N(J141)=0,L141="Cancelled"),"",IF(AND(N(J141)&gt;5000,H141="Cash"),"Yes: ₹1","No"))</f>
        <v/>
      </c>
      <c r="N141" s="27">
        <f>IF(AND(B141="",D141="",N(J141)=0),"",IF(B141="","Enter the date",IF(AND(ROW()&gt;18,B140=""),"Use the next empty row: a skipped row leaves a gap in the voucher numbers",IF(D141="","Enter who was paid",IF(N(J141)=0,"Enter the amount",IF(E141="","Pick the head of account",IF(P141="?","Pick the head from the list",IF(H141="","Pick how it was paid",IF(L141="Cancelled","Cancelled: keep this number unused and write a fresh voucher",IF(AND(H141&lt;&gt;"Cash",I141=""),"Enter the cheque no., UTR or UPI reference",IF(AND(N($E$11)&gt;0,N(J141)&gt;N($E$11),K141=""),"Above your approval limit: get it approved before paying",IF(S141&gt;10000,"Cash paid to this person today is over ₹10,000: not deductible, s.36(4)",IF(T141&gt;35000,"Cash freight to this transporter today is over ₹35,000: not deductible, s.36(6)",IF(U141&gt;10000,"Asset paid in cash over ₹10,000 today: left out of its cost, s.39(2)",IF(AND(P141="L",H141="Cash",N(J141)&gt;=20000),"Loan of ₹20,000 or more repaid in cash: barred, s.188","OK")))))))))))))))</f>
        <v/>
      </c>
      <c r="P141">
        <f>IF(E141="","",IFERROR(VLOOKUP(E141,Lists!$A$2:$B$17,2,FALSE),"?"))</f>
        <v/>
      </c>
      <c r="Q141">
        <f>IF(L141="Cancelled",0,N(J141))</f>
        <v/>
      </c>
      <c r="R141">
        <f>IF(H141="Cash",Q141,0)</f>
        <v/>
      </c>
      <c r="S141">
        <f>IF(OR(P141&lt;&gt;"E",R141=0),0,SUMIFS($R$18:$R$317,$B$18:$B$317,B141,$D$18:$D$317,D141,$P$18:$P$317,"E"))</f>
        <v/>
      </c>
      <c r="T141">
        <f>IF(OR(P141&lt;&gt;"F",R141=0),0,SUMIFS($R$18:$R$317,$B$18:$B$317,B141,$D$18:$D$317,D141,$P$18:$P$317,"F"))</f>
        <v/>
      </c>
      <c r="U141">
        <f>IF(OR(P141&lt;&gt;"A",R141=0),0,SUMIFS($R$18:$R$317,$B$18:$B$317,B141,$D$18:$D$317,D141,$P$18:$P$317,"A"))</f>
        <v/>
      </c>
      <c r="V141">
        <f>IF(OR(N141="",N141="OK",L141="Cancelled"),0,1)</f>
        <v/>
      </c>
    </row>
    <row r="142">
      <c r="B142" s="22" t="n"/>
      <c r="C142" s="23">
        <f>IF(B142="","",$E$9&amp;TEXT(N($E$10)+124,"000"))</f>
        <v/>
      </c>
      <c r="D142" s="14" t="n"/>
      <c r="E142" s="14" t="n"/>
      <c r="F142" s="14" t="n"/>
      <c r="G142" s="24" t="n"/>
      <c r="H142" s="14" t="n"/>
      <c r="I142" s="24" t="n"/>
      <c r="J142" s="25" t="n"/>
      <c r="K142" s="14" t="n"/>
      <c r="L142" s="24" t="n"/>
      <c r="M142" s="26">
        <f>IF(OR(N(J142)=0,L142="Cancelled"),"",IF(AND(N(J142)&gt;5000,H142="Cash"),"Yes: ₹1","No"))</f>
        <v/>
      </c>
      <c r="N142" s="27">
        <f>IF(AND(B142="",D142="",N(J142)=0),"",IF(B142="","Enter the date",IF(AND(ROW()&gt;18,B141=""),"Use the next empty row: a skipped row leaves a gap in the voucher numbers",IF(D142="","Enter who was paid",IF(N(J142)=0,"Enter the amount",IF(E142="","Pick the head of account",IF(P142="?","Pick the head from the list",IF(H142="","Pick how it was paid",IF(L142="Cancelled","Cancelled: keep this number unused and write a fresh voucher",IF(AND(H142&lt;&gt;"Cash",I142=""),"Enter the cheque no., UTR or UPI reference",IF(AND(N($E$11)&gt;0,N(J142)&gt;N($E$11),K142=""),"Above your approval limit: get it approved before paying",IF(S142&gt;10000,"Cash paid to this person today is over ₹10,000: not deductible, s.36(4)",IF(T142&gt;35000,"Cash freight to this transporter today is over ₹35,000: not deductible, s.36(6)",IF(U142&gt;10000,"Asset paid in cash over ₹10,000 today: left out of its cost, s.39(2)",IF(AND(P142="L",H142="Cash",N(J142)&gt;=20000),"Loan of ₹20,000 or more repaid in cash: barred, s.188","OK")))))))))))))))</f>
        <v/>
      </c>
      <c r="P142">
        <f>IF(E142="","",IFERROR(VLOOKUP(E142,Lists!$A$2:$B$17,2,FALSE),"?"))</f>
        <v/>
      </c>
      <c r="Q142">
        <f>IF(L142="Cancelled",0,N(J142))</f>
        <v/>
      </c>
      <c r="R142">
        <f>IF(H142="Cash",Q142,0)</f>
        <v/>
      </c>
      <c r="S142">
        <f>IF(OR(P142&lt;&gt;"E",R142=0),0,SUMIFS($R$18:$R$317,$B$18:$B$317,B142,$D$18:$D$317,D142,$P$18:$P$317,"E"))</f>
        <v/>
      </c>
      <c r="T142">
        <f>IF(OR(P142&lt;&gt;"F",R142=0),0,SUMIFS($R$18:$R$317,$B$18:$B$317,B142,$D$18:$D$317,D142,$P$18:$P$317,"F"))</f>
        <v/>
      </c>
      <c r="U142">
        <f>IF(OR(P142&lt;&gt;"A",R142=0),0,SUMIFS($R$18:$R$317,$B$18:$B$317,B142,$D$18:$D$317,D142,$P$18:$P$317,"A"))</f>
        <v/>
      </c>
      <c r="V142">
        <f>IF(OR(N142="",N142="OK",L142="Cancelled"),0,1)</f>
        <v/>
      </c>
    </row>
    <row r="143">
      <c r="B143" s="22" t="n"/>
      <c r="C143" s="23">
        <f>IF(B143="","",$E$9&amp;TEXT(N($E$10)+125,"000"))</f>
        <v/>
      </c>
      <c r="D143" s="14" t="n"/>
      <c r="E143" s="14" t="n"/>
      <c r="F143" s="14" t="n"/>
      <c r="G143" s="24" t="n"/>
      <c r="H143" s="14" t="n"/>
      <c r="I143" s="24" t="n"/>
      <c r="J143" s="25" t="n"/>
      <c r="K143" s="14" t="n"/>
      <c r="L143" s="24" t="n"/>
      <c r="M143" s="26">
        <f>IF(OR(N(J143)=0,L143="Cancelled"),"",IF(AND(N(J143)&gt;5000,H143="Cash"),"Yes: ₹1","No"))</f>
        <v/>
      </c>
      <c r="N143" s="27">
        <f>IF(AND(B143="",D143="",N(J143)=0),"",IF(B143="","Enter the date",IF(AND(ROW()&gt;18,B142=""),"Use the next empty row: a skipped row leaves a gap in the voucher numbers",IF(D143="","Enter who was paid",IF(N(J143)=0,"Enter the amount",IF(E143="","Pick the head of account",IF(P143="?","Pick the head from the list",IF(H143="","Pick how it was paid",IF(L143="Cancelled","Cancelled: keep this number unused and write a fresh voucher",IF(AND(H143&lt;&gt;"Cash",I143=""),"Enter the cheque no., UTR or UPI reference",IF(AND(N($E$11)&gt;0,N(J143)&gt;N($E$11),K143=""),"Above your approval limit: get it approved before paying",IF(S143&gt;10000,"Cash paid to this person today is over ₹10,000: not deductible, s.36(4)",IF(T143&gt;35000,"Cash freight to this transporter today is over ₹35,000: not deductible, s.36(6)",IF(U143&gt;10000,"Asset paid in cash over ₹10,000 today: left out of its cost, s.39(2)",IF(AND(P143="L",H143="Cash",N(J143)&gt;=20000),"Loan of ₹20,000 or more repaid in cash: barred, s.188","OK")))))))))))))))</f>
        <v/>
      </c>
      <c r="P143">
        <f>IF(E143="","",IFERROR(VLOOKUP(E143,Lists!$A$2:$B$17,2,FALSE),"?"))</f>
        <v/>
      </c>
      <c r="Q143">
        <f>IF(L143="Cancelled",0,N(J143))</f>
        <v/>
      </c>
      <c r="R143">
        <f>IF(H143="Cash",Q143,0)</f>
        <v/>
      </c>
      <c r="S143">
        <f>IF(OR(P143&lt;&gt;"E",R143=0),0,SUMIFS($R$18:$R$317,$B$18:$B$317,B143,$D$18:$D$317,D143,$P$18:$P$317,"E"))</f>
        <v/>
      </c>
      <c r="T143">
        <f>IF(OR(P143&lt;&gt;"F",R143=0),0,SUMIFS($R$18:$R$317,$B$18:$B$317,B143,$D$18:$D$317,D143,$P$18:$P$317,"F"))</f>
        <v/>
      </c>
      <c r="U143">
        <f>IF(OR(P143&lt;&gt;"A",R143=0),0,SUMIFS($R$18:$R$317,$B$18:$B$317,B143,$D$18:$D$317,D143,$P$18:$P$317,"A"))</f>
        <v/>
      </c>
      <c r="V143">
        <f>IF(OR(N143="",N143="OK",L143="Cancelled"),0,1)</f>
        <v/>
      </c>
    </row>
    <row r="144">
      <c r="B144" s="22" t="n"/>
      <c r="C144" s="23">
        <f>IF(B144="","",$E$9&amp;TEXT(N($E$10)+126,"000"))</f>
        <v/>
      </c>
      <c r="D144" s="14" t="n"/>
      <c r="E144" s="14" t="n"/>
      <c r="F144" s="14" t="n"/>
      <c r="G144" s="24" t="n"/>
      <c r="H144" s="14" t="n"/>
      <c r="I144" s="24" t="n"/>
      <c r="J144" s="25" t="n"/>
      <c r="K144" s="14" t="n"/>
      <c r="L144" s="24" t="n"/>
      <c r="M144" s="26">
        <f>IF(OR(N(J144)=0,L144="Cancelled"),"",IF(AND(N(J144)&gt;5000,H144="Cash"),"Yes: ₹1","No"))</f>
        <v/>
      </c>
      <c r="N144" s="27">
        <f>IF(AND(B144="",D144="",N(J144)=0),"",IF(B144="","Enter the date",IF(AND(ROW()&gt;18,B143=""),"Use the next empty row: a skipped row leaves a gap in the voucher numbers",IF(D144="","Enter who was paid",IF(N(J144)=0,"Enter the amount",IF(E144="","Pick the head of account",IF(P144="?","Pick the head from the list",IF(H144="","Pick how it was paid",IF(L144="Cancelled","Cancelled: keep this number unused and write a fresh voucher",IF(AND(H144&lt;&gt;"Cash",I144=""),"Enter the cheque no., UTR or UPI reference",IF(AND(N($E$11)&gt;0,N(J144)&gt;N($E$11),K144=""),"Above your approval limit: get it approved before paying",IF(S144&gt;10000,"Cash paid to this person today is over ₹10,000: not deductible, s.36(4)",IF(T144&gt;35000,"Cash freight to this transporter today is over ₹35,000: not deductible, s.36(6)",IF(U144&gt;10000,"Asset paid in cash over ₹10,000 today: left out of its cost, s.39(2)",IF(AND(P144="L",H144="Cash",N(J144)&gt;=20000),"Loan of ₹20,000 or more repaid in cash: barred, s.188","OK")))))))))))))))</f>
        <v/>
      </c>
      <c r="P144">
        <f>IF(E144="","",IFERROR(VLOOKUP(E144,Lists!$A$2:$B$17,2,FALSE),"?"))</f>
        <v/>
      </c>
      <c r="Q144">
        <f>IF(L144="Cancelled",0,N(J144))</f>
        <v/>
      </c>
      <c r="R144">
        <f>IF(H144="Cash",Q144,0)</f>
        <v/>
      </c>
      <c r="S144">
        <f>IF(OR(P144&lt;&gt;"E",R144=0),0,SUMIFS($R$18:$R$317,$B$18:$B$317,B144,$D$18:$D$317,D144,$P$18:$P$317,"E"))</f>
        <v/>
      </c>
      <c r="T144">
        <f>IF(OR(P144&lt;&gt;"F",R144=0),0,SUMIFS($R$18:$R$317,$B$18:$B$317,B144,$D$18:$D$317,D144,$P$18:$P$317,"F"))</f>
        <v/>
      </c>
      <c r="U144">
        <f>IF(OR(P144&lt;&gt;"A",R144=0),0,SUMIFS($R$18:$R$317,$B$18:$B$317,B144,$D$18:$D$317,D144,$P$18:$P$317,"A"))</f>
        <v/>
      </c>
      <c r="V144">
        <f>IF(OR(N144="",N144="OK",L144="Cancelled"),0,1)</f>
        <v/>
      </c>
    </row>
    <row r="145">
      <c r="B145" s="22" t="n"/>
      <c r="C145" s="23">
        <f>IF(B145="","",$E$9&amp;TEXT(N($E$10)+127,"000"))</f>
        <v/>
      </c>
      <c r="D145" s="14" t="n"/>
      <c r="E145" s="14" t="n"/>
      <c r="F145" s="14" t="n"/>
      <c r="G145" s="24" t="n"/>
      <c r="H145" s="14" t="n"/>
      <c r="I145" s="24" t="n"/>
      <c r="J145" s="25" t="n"/>
      <c r="K145" s="14" t="n"/>
      <c r="L145" s="24" t="n"/>
      <c r="M145" s="26">
        <f>IF(OR(N(J145)=0,L145="Cancelled"),"",IF(AND(N(J145)&gt;5000,H145="Cash"),"Yes: ₹1","No"))</f>
        <v/>
      </c>
      <c r="N145" s="27">
        <f>IF(AND(B145="",D145="",N(J145)=0),"",IF(B145="","Enter the date",IF(AND(ROW()&gt;18,B144=""),"Use the next empty row: a skipped row leaves a gap in the voucher numbers",IF(D145="","Enter who was paid",IF(N(J145)=0,"Enter the amount",IF(E145="","Pick the head of account",IF(P145="?","Pick the head from the list",IF(H145="","Pick how it was paid",IF(L145="Cancelled","Cancelled: keep this number unused and write a fresh voucher",IF(AND(H145&lt;&gt;"Cash",I145=""),"Enter the cheque no., UTR or UPI reference",IF(AND(N($E$11)&gt;0,N(J145)&gt;N($E$11),K145=""),"Above your approval limit: get it approved before paying",IF(S145&gt;10000,"Cash paid to this person today is over ₹10,000: not deductible, s.36(4)",IF(T145&gt;35000,"Cash freight to this transporter today is over ₹35,000: not deductible, s.36(6)",IF(U145&gt;10000,"Asset paid in cash over ₹10,000 today: left out of its cost, s.39(2)",IF(AND(P145="L",H145="Cash",N(J145)&gt;=20000),"Loan of ₹20,000 or more repaid in cash: barred, s.188","OK")))))))))))))))</f>
        <v/>
      </c>
      <c r="P145">
        <f>IF(E145="","",IFERROR(VLOOKUP(E145,Lists!$A$2:$B$17,2,FALSE),"?"))</f>
        <v/>
      </c>
      <c r="Q145">
        <f>IF(L145="Cancelled",0,N(J145))</f>
        <v/>
      </c>
      <c r="R145">
        <f>IF(H145="Cash",Q145,0)</f>
        <v/>
      </c>
      <c r="S145">
        <f>IF(OR(P145&lt;&gt;"E",R145=0),0,SUMIFS($R$18:$R$317,$B$18:$B$317,B145,$D$18:$D$317,D145,$P$18:$P$317,"E"))</f>
        <v/>
      </c>
      <c r="T145">
        <f>IF(OR(P145&lt;&gt;"F",R145=0),0,SUMIFS($R$18:$R$317,$B$18:$B$317,B145,$D$18:$D$317,D145,$P$18:$P$317,"F"))</f>
        <v/>
      </c>
      <c r="U145">
        <f>IF(OR(P145&lt;&gt;"A",R145=0),0,SUMIFS($R$18:$R$317,$B$18:$B$317,B145,$D$18:$D$317,D145,$P$18:$P$317,"A"))</f>
        <v/>
      </c>
      <c r="V145">
        <f>IF(OR(N145="",N145="OK",L145="Cancelled"),0,1)</f>
        <v/>
      </c>
    </row>
    <row r="146">
      <c r="B146" s="22" t="n"/>
      <c r="C146" s="23">
        <f>IF(B146="","",$E$9&amp;TEXT(N($E$10)+128,"000"))</f>
        <v/>
      </c>
      <c r="D146" s="14" t="n"/>
      <c r="E146" s="14" t="n"/>
      <c r="F146" s="14" t="n"/>
      <c r="G146" s="24" t="n"/>
      <c r="H146" s="14" t="n"/>
      <c r="I146" s="24" t="n"/>
      <c r="J146" s="25" t="n"/>
      <c r="K146" s="14" t="n"/>
      <c r="L146" s="24" t="n"/>
      <c r="M146" s="26">
        <f>IF(OR(N(J146)=0,L146="Cancelled"),"",IF(AND(N(J146)&gt;5000,H146="Cash"),"Yes: ₹1","No"))</f>
        <v/>
      </c>
      <c r="N146" s="27">
        <f>IF(AND(B146="",D146="",N(J146)=0),"",IF(B146="","Enter the date",IF(AND(ROW()&gt;18,B145=""),"Use the next empty row: a skipped row leaves a gap in the voucher numbers",IF(D146="","Enter who was paid",IF(N(J146)=0,"Enter the amount",IF(E146="","Pick the head of account",IF(P146="?","Pick the head from the list",IF(H146="","Pick how it was paid",IF(L146="Cancelled","Cancelled: keep this number unused and write a fresh voucher",IF(AND(H146&lt;&gt;"Cash",I146=""),"Enter the cheque no., UTR or UPI reference",IF(AND(N($E$11)&gt;0,N(J146)&gt;N($E$11),K146=""),"Above your approval limit: get it approved before paying",IF(S146&gt;10000,"Cash paid to this person today is over ₹10,000: not deductible, s.36(4)",IF(T146&gt;35000,"Cash freight to this transporter today is over ₹35,000: not deductible, s.36(6)",IF(U146&gt;10000,"Asset paid in cash over ₹10,000 today: left out of its cost, s.39(2)",IF(AND(P146="L",H146="Cash",N(J146)&gt;=20000),"Loan of ₹20,000 or more repaid in cash: barred, s.188","OK")))))))))))))))</f>
        <v/>
      </c>
      <c r="P146">
        <f>IF(E146="","",IFERROR(VLOOKUP(E146,Lists!$A$2:$B$17,2,FALSE),"?"))</f>
        <v/>
      </c>
      <c r="Q146">
        <f>IF(L146="Cancelled",0,N(J146))</f>
        <v/>
      </c>
      <c r="R146">
        <f>IF(H146="Cash",Q146,0)</f>
        <v/>
      </c>
      <c r="S146">
        <f>IF(OR(P146&lt;&gt;"E",R146=0),0,SUMIFS($R$18:$R$317,$B$18:$B$317,B146,$D$18:$D$317,D146,$P$18:$P$317,"E"))</f>
        <v/>
      </c>
      <c r="T146">
        <f>IF(OR(P146&lt;&gt;"F",R146=0),0,SUMIFS($R$18:$R$317,$B$18:$B$317,B146,$D$18:$D$317,D146,$P$18:$P$317,"F"))</f>
        <v/>
      </c>
      <c r="U146">
        <f>IF(OR(P146&lt;&gt;"A",R146=0),0,SUMIFS($R$18:$R$317,$B$18:$B$317,B146,$D$18:$D$317,D146,$P$18:$P$317,"A"))</f>
        <v/>
      </c>
      <c r="V146">
        <f>IF(OR(N146="",N146="OK",L146="Cancelled"),0,1)</f>
        <v/>
      </c>
    </row>
    <row r="147">
      <c r="B147" s="22" t="n"/>
      <c r="C147" s="23">
        <f>IF(B147="","",$E$9&amp;TEXT(N($E$10)+129,"000"))</f>
        <v/>
      </c>
      <c r="D147" s="14" t="n"/>
      <c r="E147" s="14" t="n"/>
      <c r="F147" s="14" t="n"/>
      <c r="G147" s="24" t="n"/>
      <c r="H147" s="14" t="n"/>
      <c r="I147" s="24" t="n"/>
      <c r="J147" s="25" t="n"/>
      <c r="K147" s="14" t="n"/>
      <c r="L147" s="24" t="n"/>
      <c r="M147" s="26">
        <f>IF(OR(N(J147)=0,L147="Cancelled"),"",IF(AND(N(J147)&gt;5000,H147="Cash"),"Yes: ₹1","No"))</f>
        <v/>
      </c>
      <c r="N147" s="27">
        <f>IF(AND(B147="",D147="",N(J147)=0),"",IF(B147="","Enter the date",IF(AND(ROW()&gt;18,B146=""),"Use the next empty row: a skipped row leaves a gap in the voucher numbers",IF(D147="","Enter who was paid",IF(N(J147)=0,"Enter the amount",IF(E147="","Pick the head of account",IF(P147="?","Pick the head from the list",IF(H147="","Pick how it was paid",IF(L147="Cancelled","Cancelled: keep this number unused and write a fresh voucher",IF(AND(H147&lt;&gt;"Cash",I147=""),"Enter the cheque no., UTR or UPI reference",IF(AND(N($E$11)&gt;0,N(J147)&gt;N($E$11),K147=""),"Above your approval limit: get it approved before paying",IF(S147&gt;10000,"Cash paid to this person today is over ₹10,000: not deductible, s.36(4)",IF(T147&gt;35000,"Cash freight to this transporter today is over ₹35,000: not deductible, s.36(6)",IF(U147&gt;10000,"Asset paid in cash over ₹10,000 today: left out of its cost, s.39(2)",IF(AND(P147="L",H147="Cash",N(J147)&gt;=20000),"Loan of ₹20,000 or more repaid in cash: barred, s.188","OK")))))))))))))))</f>
        <v/>
      </c>
      <c r="P147">
        <f>IF(E147="","",IFERROR(VLOOKUP(E147,Lists!$A$2:$B$17,2,FALSE),"?"))</f>
        <v/>
      </c>
      <c r="Q147">
        <f>IF(L147="Cancelled",0,N(J147))</f>
        <v/>
      </c>
      <c r="R147">
        <f>IF(H147="Cash",Q147,0)</f>
        <v/>
      </c>
      <c r="S147">
        <f>IF(OR(P147&lt;&gt;"E",R147=0),0,SUMIFS($R$18:$R$317,$B$18:$B$317,B147,$D$18:$D$317,D147,$P$18:$P$317,"E"))</f>
        <v/>
      </c>
      <c r="T147">
        <f>IF(OR(P147&lt;&gt;"F",R147=0),0,SUMIFS($R$18:$R$317,$B$18:$B$317,B147,$D$18:$D$317,D147,$P$18:$P$317,"F"))</f>
        <v/>
      </c>
      <c r="U147">
        <f>IF(OR(P147&lt;&gt;"A",R147=0),0,SUMIFS($R$18:$R$317,$B$18:$B$317,B147,$D$18:$D$317,D147,$P$18:$P$317,"A"))</f>
        <v/>
      </c>
      <c r="V147">
        <f>IF(OR(N147="",N147="OK",L147="Cancelled"),0,1)</f>
        <v/>
      </c>
    </row>
    <row r="148">
      <c r="B148" s="22" t="n"/>
      <c r="C148" s="23">
        <f>IF(B148="","",$E$9&amp;TEXT(N($E$10)+130,"000"))</f>
        <v/>
      </c>
      <c r="D148" s="14" t="n"/>
      <c r="E148" s="14" t="n"/>
      <c r="F148" s="14" t="n"/>
      <c r="G148" s="24" t="n"/>
      <c r="H148" s="14" t="n"/>
      <c r="I148" s="24" t="n"/>
      <c r="J148" s="25" t="n"/>
      <c r="K148" s="14" t="n"/>
      <c r="L148" s="24" t="n"/>
      <c r="M148" s="26">
        <f>IF(OR(N(J148)=0,L148="Cancelled"),"",IF(AND(N(J148)&gt;5000,H148="Cash"),"Yes: ₹1","No"))</f>
        <v/>
      </c>
      <c r="N148" s="27">
        <f>IF(AND(B148="",D148="",N(J148)=0),"",IF(B148="","Enter the date",IF(AND(ROW()&gt;18,B147=""),"Use the next empty row: a skipped row leaves a gap in the voucher numbers",IF(D148="","Enter who was paid",IF(N(J148)=0,"Enter the amount",IF(E148="","Pick the head of account",IF(P148="?","Pick the head from the list",IF(H148="","Pick how it was paid",IF(L148="Cancelled","Cancelled: keep this number unused and write a fresh voucher",IF(AND(H148&lt;&gt;"Cash",I148=""),"Enter the cheque no., UTR or UPI reference",IF(AND(N($E$11)&gt;0,N(J148)&gt;N($E$11),K148=""),"Above your approval limit: get it approved before paying",IF(S148&gt;10000,"Cash paid to this person today is over ₹10,000: not deductible, s.36(4)",IF(T148&gt;35000,"Cash freight to this transporter today is over ₹35,000: not deductible, s.36(6)",IF(U148&gt;10000,"Asset paid in cash over ₹10,000 today: left out of its cost, s.39(2)",IF(AND(P148="L",H148="Cash",N(J148)&gt;=20000),"Loan of ₹20,000 or more repaid in cash: barred, s.188","OK")))))))))))))))</f>
        <v/>
      </c>
      <c r="P148">
        <f>IF(E148="","",IFERROR(VLOOKUP(E148,Lists!$A$2:$B$17,2,FALSE),"?"))</f>
        <v/>
      </c>
      <c r="Q148">
        <f>IF(L148="Cancelled",0,N(J148))</f>
        <v/>
      </c>
      <c r="R148">
        <f>IF(H148="Cash",Q148,0)</f>
        <v/>
      </c>
      <c r="S148">
        <f>IF(OR(P148&lt;&gt;"E",R148=0),0,SUMIFS($R$18:$R$317,$B$18:$B$317,B148,$D$18:$D$317,D148,$P$18:$P$317,"E"))</f>
        <v/>
      </c>
      <c r="T148">
        <f>IF(OR(P148&lt;&gt;"F",R148=0),0,SUMIFS($R$18:$R$317,$B$18:$B$317,B148,$D$18:$D$317,D148,$P$18:$P$317,"F"))</f>
        <v/>
      </c>
      <c r="U148">
        <f>IF(OR(P148&lt;&gt;"A",R148=0),0,SUMIFS($R$18:$R$317,$B$18:$B$317,B148,$D$18:$D$317,D148,$P$18:$P$317,"A"))</f>
        <v/>
      </c>
      <c r="V148">
        <f>IF(OR(N148="",N148="OK",L148="Cancelled"),0,1)</f>
        <v/>
      </c>
    </row>
    <row r="149">
      <c r="B149" s="22" t="n"/>
      <c r="C149" s="23">
        <f>IF(B149="","",$E$9&amp;TEXT(N($E$10)+131,"000"))</f>
        <v/>
      </c>
      <c r="D149" s="14" t="n"/>
      <c r="E149" s="14" t="n"/>
      <c r="F149" s="14" t="n"/>
      <c r="G149" s="24" t="n"/>
      <c r="H149" s="14" t="n"/>
      <c r="I149" s="24" t="n"/>
      <c r="J149" s="25" t="n"/>
      <c r="K149" s="14" t="n"/>
      <c r="L149" s="24" t="n"/>
      <c r="M149" s="26">
        <f>IF(OR(N(J149)=0,L149="Cancelled"),"",IF(AND(N(J149)&gt;5000,H149="Cash"),"Yes: ₹1","No"))</f>
        <v/>
      </c>
      <c r="N149" s="27">
        <f>IF(AND(B149="",D149="",N(J149)=0),"",IF(B149="","Enter the date",IF(AND(ROW()&gt;18,B148=""),"Use the next empty row: a skipped row leaves a gap in the voucher numbers",IF(D149="","Enter who was paid",IF(N(J149)=0,"Enter the amount",IF(E149="","Pick the head of account",IF(P149="?","Pick the head from the list",IF(H149="","Pick how it was paid",IF(L149="Cancelled","Cancelled: keep this number unused and write a fresh voucher",IF(AND(H149&lt;&gt;"Cash",I149=""),"Enter the cheque no., UTR or UPI reference",IF(AND(N($E$11)&gt;0,N(J149)&gt;N($E$11),K149=""),"Above your approval limit: get it approved before paying",IF(S149&gt;10000,"Cash paid to this person today is over ₹10,000: not deductible, s.36(4)",IF(T149&gt;35000,"Cash freight to this transporter today is over ₹35,000: not deductible, s.36(6)",IF(U149&gt;10000,"Asset paid in cash over ₹10,000 today: left out of its cost, s.39(2)",IF(AND(P149="L",H149="Cash",N(J149)&gt;=20000),"Loan of ₹20,000 or more repaid in cash: barred, s.188","OK")))))))))))))))</f>
        <v/>
      </c>
      <c r="P149">
        <f>IF(E149="","",IFERROR(VLOOKUP(E149,Lists!$A$2:$B$17,2,FALSE),"?"))</f>
        <v/>
      </c>
      <c r="Q149">
        <f>IF(L149="Cancelled",0,N(J149))</f>
        <v/>
      </c>
      <c r="R149">
        <f>IF(H149="Cash",Q149,0)</f>
        <v/>
      </c>
      <c r="S149">
        <f>IF(OR(P149&lt;&gt;"E",R149=0),0,SUMIFS($R$18:$R$317,$B$18:$B$317,B149,$D$18:$D$317,D149,$P$18:$P$317,"E"))</f>
        <v/>
      </c>
      <c r="T149">
        <f>IF(OR(P149&lt;&gt;"F",R149=0),0,SUMIFS($R$18:$R$317,$B$18:$B$317,B149,$D$18:$D$317,D149,$P$18:$P$317,"F"))</f>
        <v/>
      </c>
      <c r="U149">
        <f>IF(OR(P149&lt;&gt;"A",R149=0),0,SUMIFS($R$18:$R$317,$B$18:$B$317,B149,$D$18:$D$317,D149,$P$18:$P$317,"A"))</f>
        <v/>
      </c>
      <c r="V149">
        <f>IF(OR(N149="",N149="OK",L149="Cancelled"),0,1)</f>
        <v/>
      </c>
    </row>
    <row r="150">
      <c r="B150" s="22" t="n"/>
      <c r="C150" s="23">
        <f>IF(B150="","",$E$9&amp;TEXT(N($E$10)+132,"000"))</f>
        <v/>
      </c>
      <c r="D150" s="14" t="n"/>
      <c r="E150" s="14" t="n"/>
      <c r="F150" s="14" t="n"/>
      <c r="G150" s="24" t="n"/>
      <c r="H150" s="14" t="n"/>
      <c r="I150" s="24" t="n"/>
      <c r="J150" s="25" t="n"/>
      <c r="K150" s="14" t="n"/>
      <c r="L150" s="24" t="n"/>
      <c r="M150" s="26">
        <f>IF(OR(N(J150)=0,L150="Cancelled"),"",IF(AND(N(J150)&gt;5000,H150="Cash"),"Yes: ₹1","No"))</f>
        <v/>
      </c>
      <c r="N150" s="27">
        <f>IF(AND(B150="",D150="",N(J150)=0),"",IF(B150="","Enter the date",IF(AND(ROW()&gt;18,B149=""),"Use the next empty row: a skipped row leaves a gap in the voucher numbers",IF(D150="","Enter who was paid",IF(N(J150)=0,"Enter the amount",IF(E150="","Pick the head of account",IF(P150="?","Pick the head from the list",IF(H150="","Pick how it was paid",IF(L150="Cancelled","Cancelled: keep this number unused and write a fresh voucher",IF(AND(H150&lt;&gt;"Cash",I150=""),"Enter the cheque no., UTR or UPI reference",IF(AND(N($E$11)&gt;0,N(J150)&gt;N($E$11),K150=""),"Above your approval limit: get it approved before paying",IF(S150&gt;10000,"Cash paid to this person today is over ₹10,000: not deductible, s.36(4)",IF(T150&gt;35000,"Cash freight to this transporter today is over ₹35,000: not deductible, s.36(6)",IF(U150&gt;10000,"Asset paid in cash over ₹10,000 today: left out of its cost, s.39(2)",IF(AND(P150="L",H150="Cash",N(J150)&gt;=20000),"Loan of ₹20,000 or more repaid in cash: barred, s.188","OK")))))))))))))))</f>
        <v/>
      </c>
      <c r="P150">
        <f>IF(E150="","",IFERROR(VLOOKUP(E150,Lists!$A$2:$B$17,2,FALSE),"?"))</f>
        <v/>
      </c>
      <c r="Q150">
        <f>IF(L150="Cancelled",0,N(J150))</f>
        <v/>
      </c>
      <c r="R150">
        <f>IF(H150="Cash",Q150,0)</f>
        <v/>
      </c>
      <c r="S150">
        <f>IF(OR(P150&lt;&gt;"E",R150=0),0,SUMIFS($R$18:$R$317,$B$18:$B$317,B150,$D$18:$D$317,D150,$P$18:$P$317,"E"))</f>
        <v/>
      </c>
      <c r="T150">
        <f>IF(OR(P150&lt;&gt;"F",R150=0),0,SUMIFS($R$18:$R$317,$B$18:$B$317,B150,$D$18:$D$317,D150,$P$18:$P$317,"F"))</f>
        <v/>
      </c>
      <c r="U150">
        <f>IF(OR(P150&lt;&gt;"A",R150=0),0,SUMIFS($R$18:$R$317,$B$18:$B$317,B150,$D$18:$D$317,D150,$P$18:$P$317,"A"))</f>
        <v/>
      </c>
      <c r="V150">
        <f>IF(OR(N150="",N150="OK",L150="Cancelled"),0,1)</f>
        <v/>
      </c>
    </row>
    <row r="151">
      <c r="B151" s="22" t="n"/>
      <c r="C151" s="23">
        <f>IF(B151="","",$E$9&amp;TEXT(N($E$10)+133,"000"))</f>
        <v/>
      </c>
      <c r="D151" s="14" t="n"/>
      <c r="E151" s="14" t="n"/>
      <c r="F151" s="14" t="n"/>
      <c r="G151" s="24" t="n"/>
      <c r="H151" s="14" t="n"/>
      <c r="I151" s="24" t="n"/>
      <c r="J151" s="25" t="n"/>
      <c r="K151" s="14" t="n"/>
      <c r="L151" s="24" t="n"/>
      <c r="M151" s="26">
        <f>IF(OR(N(J151)=0,L151="Cancelled"),"",IF(AND(N(J151)&gt;5000,H151="Cash"),"Yes: ₹1","No"))</f>
        <v/>
      </c>
      <c r="N151" s="27">
        <f>IF(AND(B151="",D151="",N(J151)=0),"",IF(B151="","Enter the date",IF(AND(ROW()&gt;18,B150=""),"Use the next empty row: a skipped row leaves a gap in the voucher numbers",IF(D151="","Enter who was paid",IF(N(J151)=0,"Enter the amount",IF(E151="","Pick the head of account",IF(P151="?","Pick the head from the list",IF(H151="","Pick how it was paid",IF(L151="Cancelled","Cancelled: keep this number unused and write a fresh voucher",IF(AND(H151&lt;&gt;"Cash",I151=""),"Enter the cheque no., UTR or UPI reference",IF(AND(N($E$11)&gt;0,N(J151)&gt;N($E$11),K151=""),"Above your approval limit: get it approved before paying",IF(S151&gt;10000,"Cash paid to this person today is over ₹10,000: not deductible, s.36(4)",IF(T151&gt;35000,"Cash freight to this transporter today is over ₹35,000: not deductible, s.36(6)",IF(U151&gt;10000,"Asset paid in cash over ₹10,000 today: left out of its cost, s.39(2)",IF(AND(P151="L",H151="Cash",N(J151)&gt;=20000),"Loan of ₹20,000 or more repaid in cash: barred, s.188","OK")))))))))))))))</f>
        <v/>
      </c>
      <c r="P151">
        <f>IF(E151="","",IFERROR(VLOOKUP(E151,Lists!$A$2:$B$17,2,FALSE),"?"))</f>
        <v/>
      </c>
      <c r="Q151">
        <f>IF(L151="Cancelled",0,N(J151))</f>
        <v/>
      </c>
      <c r="R151">
        <f>IF(H151="Cash",Q151,0)</f>
        <v/>
      </c>
      <c r="S151">
        <f>IF(OR(P151&lt;&gt;"E",R151=0),0,SUMIFS($R$18:$R$317,$B$18:$B$317,B151,$D$18:$D$317,D151,$P$18:$P$317,"E"))</f>
        <v/>
      </c>
      <c r="T151">
        <f>IF(OR(P151&lt;&gt;"F",R151=0),0,SUMIFS($R$18:$R$317,$B$18:$B$317,B151,$D$18:$D$317,D151,$P$18:$P$317,"F"))</f>
        <v/>
      </c>
      <c r="U151">
        <f>IF(OR(P151&lt;&gt;"A",R151=0),0,SUMIFS($R$18:$R$317,$B$18:$B$317,B151,$D$18:$D$317,D151,$P$18:$P$317,"A"))</f>
        <v/>
      </c>
      <c r="V151">
        <f>IF(OR(N151="",N151="OK",L151="Cancelled"),0,1)</f>
        <v/>
      </c>
    </row>
    <row r="152">
      <c r="B152" s="22" t="n"/>
      <c r="C152" s="23">
        <f>IF(B152="","",$E$9&amp;TEXT(N($E$10)+134,"000"))</f>
        <v/>
      </c>
      <c r="D152" s="14" t="n"/>
      <c r="E152" s="14" t="n"/>
      <c r="F152" s="14" t="n"/>
      <c r="G152" s="24" t="n"/>
      <c r="H152" s="14" t="n"/>
      <c r="I152" s="24" t="n"/>
      <c r="J152" s="25" t="n"/>
      <c r="K152" s="14" t="n"/>
      <c r="L152" s="24" t="n"/>
      <c r="M152" s="26">
        <f>IF(OR(N(J152)=0,L152="Cancelled"),"",IF(AND(N(J152)&gt;5000,H152="Cash"),"Yes: ₹1","No"))</f>
        <v/>
      </c>
      <c r="N152" s="27">
        <f>IF(AND(B152="",D152="",N(J152)=0),"",IF(B152="","Enter the date",IF(AND(ROW()&gt;18,B151=""),"Use the next empty row: a skipped row leaves a gap in the voucher numbers",IF(D152="","Enter who was paid",IF(N(J152)=0,"Enter the amount",IF(E152="","Pick the head of account",IF(P152="?","Pick the head from the list",IF(H152="","Pick how it was paid",IF(L152="Cancelled","Cancelled: keep this number unused and write a fresh voucher",IF(AND(H152&lt;&gt;"Cash",I152=""),"Enter the cheque no., UTR or UPI reference",IF(AND(N($E$11)&gt;0,N(J152)&gt;N($E$11),K152=""),"Above your approval limit: get it approved before paying",IF(S152&gt;10000,"Cash paid to this person today is over ₹10,000: not deductible, s.36(4)",IF(T152&gt;35000,"Cash freight to this transporter today is over ₹35,000: not deductible, s.36(6)",IF(U152&gt;10000,"Asset paid in cash over ₹10,000 today: left out of its cost, s.39(2)",IF(AND(P152="L",H152="Cash",N(J152)&gt;=20000),"Loan of ₹20,000 or more repaid in cash: barred, s.188","OK")))))))))))))))</f>
        <v/>
      </c>
      <c r="P152">
        <f>IF(E152="","",IFERROR(VLOOKUP(E152,Lists!$A$2:$B$17,2,FALSE),"?"))</f>
        <v/>
      </c>
      <c r="Q152">
        <f>IF(L152="Cancelled",0,N(J152))</f>
        <v/>
      </c>
      <c r="R152">
        <f>IF(H152="Cash",Q152,0)</f>
        <v/>
      </c>
      <c r="S152">
        <f>IF(OR(P152&lt;&gt;"E",R152=0),0,SUMIFS($R$18:$R$317,$B$18:$B$317,B152,$D$18:$D$317,D152,$P$18:$P$317,"E"))</f>
        <v/>
      </c>
      <c r="T152">
        <f>IF(OR(P152&lt;&gt;"F",R152=0),0,SUMIFS($R$18:$R$317,$B$18:$B$317,B152,$D$18:$D$317,D152,$P$18:$P$317,"F"))</f>
        <v/>
      </c>
      <c r="U152">
        <f>IF(OR(P152&lt;&gt;"A",R152=0),0,SUMIFS($R$18:$R$317,$B$18:$B$317,B152,$D$18:$D$317,D152,$P$18:$P$317,"A"))</f>
        <v/>
      </c>
      <c r="V152">
        <f>IF(OR(N152="",N152="OK",L152="Cancelled"),0,1)</f>
        <v/>
      </c>
    </row>
    <row r="153">
      <c r="B153" s="22" t="n"/>
      <c r="C153" s="23">
        <f>IF(B153="","",$E$9&amp;TEXT(N($E$10)+135,"000"))</f>
        <v/>
      </c>
      <c r="D153" s="14" t="n"/>
      <c r="E153" s="14" t="n"/>
      <c r="F153" s="14" t="n"/>
      <c r="G153" s="24" t="n"/>
      <c r="H153" s="14" t="n"/>
      <c r="I153" s="24" t="n"/>
      <c r="J153" s="25" t="n"/>
      <c r="K153" s="14" t="n"/>
      <c r="L153" s="24" t="n"/>
      <c r="M153" s="26">
        <f>IF(OR(N(J153)=0,L153="Cancelled"),"",IF(AND(N(J153)&gt;5000,H153="Cash"),"Yes: ₹1","No"))</f>
        <v/>
      </c>
      <c r="N153" s="27">
        <f>IF(AND(B153="",D153="",N(J153)=0),"",IF(B153="","Enter the date",IF(AND(ROW()&gt;18,B152=""),"Use the next empty row: a skipped row leaves a gap in the voucher numbers",IF(D153="","Enter who was paid",IF(N(J153)=0,"Enter the amount",IF(E153="","Pick the head of account",IF(P153="?","Pick the head from the list",IF(H153="","Pick how it was paid",IF(L153="Cancelled","Cancelled: keep this number unused and write a fresh voucher",IF(AND(H153&lt;&gt;"Cash",I153=""),"Enter the cheque no., UTR or UPI reference",IF(AND(N($E$11)&gt;0,N(J153)&gt;N($E$11),K153=""),"Above your approval limit: get it approved before paying",IF(S153&gt;10000,"Cash paid to this person today is over ₹10,000: not deductible, s.36(4)",IF(T153&gt;35000,"Cash freight to this transporter today is over ₹35,000: not deductible, s.36(6)",IF(U153&gt;10000,"Asset paid in cash over ₹10,000 today: left out of its cost, s.39(2)",IF(AND(P153="L",H153="Cash",N(J153)&gt;=20000),"Loan of ₹20,000 or more repaid in cash: barred, s.188","OK")))))))))))))))</f>
        <v/>
      </c>
      <c r="P153">
        <f>IF(E153="","",IFERROR(VLOOKUP(E153,Lists!$A$2:$B$17,2,FALSE),"?"))</f>
        <v/>
      </c>
      <c r="Q153">
        <f>IF(L153="Cancelled",0,N(J153))</f>
        <v/>
      </c>
      <c r="R153">
        <f>IF(H153="Cash",Q153,0)</f>
        <v/>
      </c>
      <c r="S153">
        <f>IF(OR(P153&lt;&gt;"E",R153=0),0,SUMIFS($R$18:$R$317,$B$18:$B$317,B153,$D$18:$D$317,D153,$P$18:$P$317,"E"))</f>
        <v/>
      </c>
      <c r="T153">
        <f>IF(OR(P153&lt;&gt;"F",R153=0),0,SUMIFS($R$18:$R$317,$B$18:$B$317,B153,$D$18:$D$317,D153,$P$18:$P$317,"F"))</f>
        <v/>
      </c>
      <c r="U153">
        <f>IF(OR(P153&lt;&gt;"A",R153=0),0,SUMIFS($R$18:$R$317,$B$18:$B$317,B153,$D$18:$D$317,D153,$P$18:$P$317,"A"))</f>
        <v/>
      </c>
      <c r="V153">
        <f>IF(OR(N153="",N153="OK",L153="Cancelled"),0,1)</f>
        <v/>
      </c>
    </row>
    <row r="154">
      <c r="B154" s="22" t="n"/>
      <c r="C154" s="23">
        <f>IF(B154="","",$E$9&amp;TEXT(N($E$10)+136,"000"))</f>
        <v/>
      </c>
      <c r="D154" s="14" t="n"/>
      <c r="E154" s="14" t="n"/>
      <c r="F154" s="14" t="n"/>
      <c r="G154" s="24" t="n"/>
      <c r="H154" s="14" t="n"/>
      <c r="I154" s="24" t="n"/>
      <c r="J154" s="25" t="n"/>
      <c r="K154" s="14" t="n"/>
      <c r="L154" s="24" t="n"/>
      <c r="M154" s="26">
        <f>IF(OR(N(J154)=0,L154="Cancelled"),"",IF(AND(N(J154)&gt;5000,H154="Cash"),"Yes: ₹1","No"))</f>
        <v/>
      </c>
      <c r="N154" s="27">
        <f>IF(AND(B154="",D154="",N(J154)=0),"",IF(B154="","Enter the date",IF(AND(ROW()&gt;18,B153=""),"Use the next empty row: a skipped row leaves a gap in the voucher numbers",IF(D154="","Enter who was paid",IF(N(J154)=0,"Enter the amount",IF(E154="","Pick the head of account",IF(P154="?","Pick the head from the list",IF(H154="","Pick how it was paid",IF(L154="Cancelled","Cancelled: keep this number unused and write a fresh voucher",IF(AND(H154&lt;&gt;"Cash",I154=""),"Enter the cheque no., UTR or UPI reference",IF(AND(N($E$11)&gt;0,N(J154)&gt;N($E$11),K154=""),"Above your approval limit: get it approved before paying",IF(S154&gt;10000,"Cash paid to this person today is over ₹10,000: not deductible, s.36(4)",IF(T154&gt;35000,"Cash freight to this transporter today is over ₹35,000: not deductible, s.36(6)",IF(U154&gt;10000,"Asset paid in cash over ₹10,000 today: left out of its cost, s.39(2)",IF(AND(P154="L",H154="Cash",N(J154)&gt;=20000),"Loan of ₹20,000 or more repaid in cash: barred, s.188","OK")))))))))))))))</f>
        <v/>
      </c>
      <c r="P154">
        <f>IF(E154="","",IFERROR(VLOOKUP(E154,Lists!$A$2:$B$17,2,FALSE),"?"))</f>
        <v/>
      </c>
      <c r="Q154">
        <f>IF(L154="Cancelled",0,N(J154))</f>
        <v/>
      </c>
      <c r="R154">
        <f>IF(H154="Cash",Q154,0)</f>
        <v/>
      </c>
      <c r="S154">
        <f>IF(OR(P154&lt;&gt;"E",R154=0),0,SUMIFS($R$18:$R$317,$B$18:$B$317,B154,$D$18:$D$317,D154,$P$18:$P$317,"E"))</f>
        <v/>
      </c>
      <c r="T154">
        <f>IF(OR(P154&lt;&gt;"F",R154=0),0,SUMIFS($R$18:$R$317,$B$18:$B$317,B154,$D$18:$D$317,D154,$P$18:$P$317,"F"))</f>
        <v/>
      </c>
      <c r="U154">
        <f>IF(OR(P154&lt;&gt;"A",R154=0),0,SUMIFS($R$18:$R$317,$B$18:$B$317,B154,$D$18:$D$317,D154,$P$18:$P$317,"A"))</f>
        <v/>
      </c>
      <c r="V154">
        <f>IF(OR(N154="",N154="OK",L154="Cancelled"),0,1)</f>
        <v/>
      </c>
    </row>
    <row r="155">
      <c r="B155" s="22" t="n"/>
      <c r="C155" s="23">
        <f>IF(B155="","",$E$9&amp;TEXT(N($E$10)+137,"000"))</f>
        <v/>
      </c>
      <c r="D155" s="14" t="n"/>
      <c r="E155" s="14" t="n"/>
      <c r="F155" s="14" t="n"/>
      <c r="G155" s="24" t="n"/>
      <c r="H155" s="14" t="n"/>
      <c r="I155" s="24" t="n"/>
      <c r="J155" s="25" t="n"/>
      <c r="K155" s="14" t="n"/>
      <c r="L155" s="24" t="n"/>
      <c r="M155" s="26">
        <f>IF(OR(N(J155)=0,L155="Cancelled"),"",IF(AND(N(J155)&gt;5000,H155="Cash"),"Yes: ₹1","No"))</f>
        <v/>
      </c>
      <c r="N155" s="27">
        <f>IF(AND(B155="",D155="",N(J155)=0),"",IF(B155="","Enter the date",IF(AND(ROW()&gt;18,B154=""),"Use the next empty row: a skipped row leaves a gap in the voucher numbers",IF(D155="","Enter who was paid",IF(N(J155)=0,"Enter the amount",IF(E155="","Pick the head of account",IF(P155="?","Pick the head from the list",IF(H155="","Pick how it was paid",IF(L155="Cancelled","Cancelled: keep this number unused and write a fresh voucher",IF(AND(H155&lt;&gt;"Cash",I155=""),"Enter the cheque no., UTR or UPI reference",IF(AND(N($E$11)&gt;0,N(J155)&gt;N($E$11),K155=""),"Above your approval limit: get it approved before paying",IF(S155&gt;10000,"Cash paid to this person today is over ₹10,000: not deductible, s.36(4)",IF(T155&gt;35000,"Cash freight to this transporter today is over ₹35,000: not deductible, s.36(6)",IF(U155&gt;10000,"Asset paid in cash over ₹10,000 today: left out of its cost, s.39(2)",IF(AND(P155="L",H155="Cash",N(J155)&gt;=20000),"Loan of ₹20,000 or more repaid in cash: barred, s.188","OK")))))))))))))))</f>
        <v/>
      </c>
      <c r="P155">
        <f>IF(E155="","",IFERROR(VLOOKUP(E155,Lists!$A$2:$B$17,2,FALSE),"?"))</f>
        <v/>
      </c>
      <c r="Q155">
        <f>IF(L155="Cancelled",0,N(J155))</f>
        <v/>
      </c>
      <c r="R155">
        <f>IF(H155="Cash",Q155,0)</f>
        <v/>
      </c>
      <c r="S155">
        <f>IF(OR(P155&lt;&gt;"E",R155=0),0,SUMIFS($R$18:$R$317,$B$18:$B$317,B155,$D$18:$D$317,D155,$P$18:$P$317,"E"))</f>
        <v/>
      </c>
      <c r="T155">
        <f>IF(OR(P155&lt;&gt;"F",R155=0),0,SUMIFS($R$18:$R$317,$B$18:$B$317,B155,$D$18:$D$317,D155,$P$18:$P$317,"F"))</f>
        <v/>
      </c>
      <c r="U155">
        <f>IF(OR(P155&lt;&gt;"A",R155=0),0,SUMIFS($R$18:$R$317,$B$18:$B$317,B155,$D$18:$D$317,D155,$P$18:$P$317,"A"))</f>
        <v/>
      </c>
      <c r="V155">
        <f>IF(OR(N155="",N155="OK",L155="Cancelled"),0,1)</f>
        <v/>
      </c>
    </row>
    <row r="156">
      <c r="B156" s="22" t="n"/>
      <c r="C156" s="23">
        <f>IF(B156="","",$E$9&amp;TEXT(N($E$10)+138,"000"))</f>
        <v/>
      </c>
      <c r="D156" s="14" t="n"/>
      <c r="E156" s="14" t="n"/>
      <c r="F156" s="14" t="n"/>
      <c r="G156" s="24" t="n"/>
      <c r="H156" s="14" t="n"/>
      <c r="I156" s="24" t="n"/>
      <c r="J156" s="25" t="n"/>
      <c r="K156" s="14" t="n"/>
      <c r="L156" s="24" t="n"/>
      <c r="M156" s="26">
        <f>IF(OR(N(J156)=0,L156="Cancelled"),"",IF(AND(N(J156)&gt;5000,H156="Cash"),"Yes: ₹1","No"))</f>
        <v/>
      </c>
      <c r="N156" s="27">
        <f>IF(AND(B156="",D156="",N(J156)=0),"",IF(B156="","Enter the date",IF(AND(ROW()&gt;18,B155=""),"Use the next empty row: a skipped row leaves a gap in the voucher numbers",IF(D156="","Enter who was paid",IF(N(J156)=0,"Enter the amount",IF(E156="","Pick the head of account",IF(P156="?","Pick the head from the list",IF(H156="","Pick how it was paid",IF(L156="Cancelled","Cancelled: keep this number unused and write a fresh voucher",IF(AND(H156&lt;&gt;"Cash",I156=""),"Enter the cheque no., UTR or UPI reference",IF(AND(N($E$11)&gt;0,N(J156)&gt;N($E$11),K156=""),"Above your approval limit: get it approved before paying",IF(S156&gt;10000,"Cash paid to this person today is over ₹10,000: not deductible, s.36(4)",IF(T156&gt;35000,"Cash freight to this transporter today is over ₹35,000: not deductible, s.36(6)",IF(U156&gt;10000,"Asset paid in cash over ₹10,000 today: left out of its cost, s.39(2)",IF(AND(P156="L",H156="Cash",N(J156)&gt;=20000),"Loan of ₹20,000 or more repaid in cash: barred, s.188","OK")))))))))))))))</f>
        <v/>
      </c>
      <c r="P156">
        <f>IF(E156="","",IFERROR(VLOOKUP(E156,Lists!$A$2:$B$17,2,FALSE),"?"))</f>
        <v/>
      </c>
      <c r="Q156">
        <f>IF(L156="Cancelled",0,N(J156))</f>
        <v/>
      </c>
      <c r="R156">
        <f>IF(H156="Cash",Q156,0)</f>
        <v/>
      </c>
      <c r="S156">
        <f>IF(OR(P156&lt;&gt;"E",R156=0),0,SUMIFS($R$18:$R$317,$B$18:$B$317,B156,$D$18:$D$317,D156,$P$18:$P$317,"E"))</f>
        <v/>
      </c>
      <c r="T156">
        <f>IF(OR(P156&lt;&gt;"F",R156=0),0,SUMIFS($R$18:$R$317,$B$18:$B$317,B156,$D$18:$D$317,D156,$P$18:$P$317,"F"))</f>
        <v/>
      </c>
      <c r="U156">
        <f>IF(OR(P156&lt;&gt;"A",R156=0),0,SUMIFS($R$18:$R$317,$B$18:$B$317,B156,$D$18:$D$317,D156,$P$18:$P$317,"A"))</f>
        <v/>
      </c>
      <c r="V156">
        <f>IF(OR(N156="",N156="OK",L156="Cancelled"),0,1)</f>
        <v/>
      </c>
    </row>
    <row r="157">
      <c r="B157" s="22" t="n"/>
      <c r="C157" s="23">
        <f>IF(B157="","",$E$9&amp;TEXT(N($E$10)+139,"000"))</f>
        <v/>
      </c>
      <c r="D157" s="14" t="n"/>
      <c r="E157" s="14" t="n"/>
      <c r="F157" s="14" t="n"/>
      <c r="G157" s="24" t="n"/>
      <c r="H157" s="14" t="n"/>
      <c r="I157" s="24" t="n"/>
      <c r="J157" s="25" t="n"/>
      <c r="K157" s="14" t="n"/>
      <c r="L157" s="24" t="n"/>
      <c r="M157" s="26">
        <f>IF(OR(N(J157)=0,L157="Cancelled"),"",IF(AND(N(J157)&gt;5000,H157="Cash"),"Yes: ₹1","No"))</f>
        <v/>
      </c>
      <c r="N157" s="27">
        <f>IF(AND(B157="",D157="",N(J157)=0),"",IF(B157="","Enter the date",IF(AND(ROW()&gt;18,B156=""),"Use the next empty row: a skipped row leaves a gap in the voucher numbers",IF(D157="","Enter who was paid",IF(N(J157)=0,"Enter the amount",IF(E157="","Pick the head of account",IF(P157="?","Pick the head from the list",IF(H157="","Pick how it was paid",IF(L157="Cancelled","Cancelled: keep this number unused and write a fresh voucher",IF(AND(H157&lt;&gt;"Cash",I157=""),"Enter the cheque no., UTR or UPI reference",IF(AND(N($E$11)&gt;0,N(J157)&gt;N($E$11),K157=""),"Above your approval limit: get it approved before paying",IF(S157&gt;10000,"Cash paid to this person today is over ₹10,000: not deductible, s.36(4)",IF(T157&gt;35000,"Cash freight to this transporter today is over ₹35,000: not deductible, s.36(6)",IF(U157&gt;10000,"Asset paid in cash over ₹10,000 today: left out of its cost, s.39(2)",IF(AND(P157="L",H157="Cash",N(J157)&gt;=20000),"Loan of ₹20,000 or more repaid in cash: barred, s.188","OK")))))))))))))))</f>
        <v/>
      </c>
      <c r="P157">
        <f>IF(E157="","",IFERROR(VLOOKUP(E157,Lists!$A$2:$B$17,2,FALSE),"?"))</f>
        <v/>
      </c>
      <c r="Q157">
        <f>IF(L157="Cancelled",0,N(J157))</f>
        <v/>
      </c>
      <c r="R157">
        <f>IF(H157="Cash",Q157,0)</f>
        <v/>
      </c>
      <c r="S157">
        <f>IF(OR(P157&lt;&gt;"E",R157=0),0,SUMIFS($R$18:$R$317,$B$18:$B$317,B157,$D$18:$D$317,D157,$P$18:$P$317,"E"))</f>
        <v/>
      </c>
      <c r="T157">
        <f>IF(OR(P157&lt;&gt;"F",R157=0),0,SUMIFS($R$18:$R$317,$B$18:$B$317,B157,$D$18:$D$317,D157,$P$18:$P$317,"F"))</f>
        <v/>
      </c>
      <c r="U157">
        <f>IF(OR(P157&lt;&gt;"A",R157=0),0,SUMIFS($R$18:$R$317,$B$18:$B$317,B157,$D$18:$D$317,D157,$P$18:$P$317,"A"))</f>
        <v/>
      </c>
      <c r="V157">
        <f>IF(OR(N157="",N157="OK",L157="Cancelled"),0,1)</f>
        <v/>
      </c>
    </row>
    <row r="158">
      <c r="B158" s="22" t="n"/>
      <c r="C158" s="23">
        <f>IF(B158="","",$E$9&amp;TEXT(N($E$10)+140,"000"))</f>
        <v/>
      </c>
      <c r="D158" s="14" t="n"/>
      <c r="E158" s="14" t="n"/>
      <c r="F158" s="14" t="n"/>
      <c r="G158" s="24" t="n"/>
      <c r="H158" s="14" t="n"/>
      <c r="I158" s="24" t="n"/>
      <c r="J158" s="25" t="n"/>
      <c r="K158" s="14" t="n"/>
      <c r="L158" s="24" t="n"/>
      <c r="M158" s="26">
        <f>IF(OR(N(J158)=0,L158="Cancelled"),"",IF(AND(N(J158)&gt;5000,H158="Cash"),"Yes: ₹1","No"))</f>
        <v/>
      </c>
      <c r="N158" s="27">
        <f>IF(AND(B158="",D158="",N(J158)=0),"",IF(B158="","Enter the date",IF(AND(ROW()&gt;18,B157=""),"Use the next empty row: a skipped row leaves a gap in the voucher numbers",IF(D158="","Enter who was paid",IF(N(J158)=0,"Enter the amount",IF(E158="","Pick the head of account",IF(P158="?","Pick the head from the list",IF(H158="","Pick how it was paid",IF(L158="Cancelled","Cancelled: keep this number unused and write a fresh voucher",IF(AND(H158&lt;&gt;"Cash",I158=""),"Enter the cheque no., UTR or UPI reference",IF(AND(N($E$11)&gt;0,N(J158)&gt;N($E$11),K158=""),"Above your approval limit: get it approved before paying",IF(S158&gt;10000,"Cash paid to this person today is over ₹10,000: not deductible, s.36(4)",IF(T158&gt;35000,"Cash freight to this transporter today is over ₹35,000: not deductible, s.36(6)",IF(U158&gt;10000,"Asset paid in cash over ₹10,000 today: left out of its cost, s.39(2)",IF(AND(P158="L",H158="Cash",N(J158)&gt;=20000),"Loan of ₹20,000 or more repaid in cash: barred, s.188","OK")))))))))))))))</f>
        <v/>
      </c>
      <c r="P158">
        <f>IF(E158="","",IFERROR(VLOOKUP(E158,Lists!$A$2:$B$17,2,FALSE),"?"))</f>
        <v/>
      </c>
      <c r="Q158">
        <f>IF(L158="Cancelled",0,N(J158))</f>
        <v/>
      </c>
      <c r="R158">
        <f>IF(H158="Cash",Q158,0)</f>
        <v/>
      </c>
      <c r="S158">
        <f>IF(OR(P158&lt;&gt;"E",R158=0),0,SUMIFS($R$18:$R$317,$B$18:$B$317,B158,$D$18:$D$317,D158,$P$18:$P$317,"E"))</f>
        <v/>
      </c>
      <c r="T158">
        <f>IF(OR(P158&lt;&gt;"F",R158=0),0,SUMIFS($R$18:$R$317,$B$18:$B$317,B158,$D$18:$D$317,D158,$P$18:$P$317,"F"))</f>
        <v/>
      </c>
      <c r="U158">
        <f>IF(OR(P158&lt;&gt;"A",R158=0),0,SUMIFS($R$18:$R$317,$B$18:$B$317,B158,$D$18:$D$317,D158,$P$18:$P$317,"A"))</f>
        <v/>
      </c>
      <c r="V158">
        <f>IF(OR(N158="",N158="OK",L158="Cancelled"),0,1)</f>
        <v/>
      </c>
    </row>
    <row r="159">
      <c r="B159" s="22" t="n"/>
      <c r="C159" s="23">
        <f>IF(B159="","",$E$9&amp;TEXT(N($E$10)+141,"000"))</f>
        <v/>
      </c>
      <c r="D159" s="14" t="n"/>
      <c r="E159" s="14" t="n"/>
      <c r="F159" s="14" t="n"/>
      <c r="G159" s="24" t="n"/>
      <c r="H159" s="14" t="n"/>
      <c r="I159" s="24" t="n"/>
      <c r="J159" s="25" t="n"/>
      <c r="K159" s="14" t="n"/>
      <c r="L159" s="24" t="n"/>
      <c r="M159" s="26">
        <f>IF(OR(N(J159)=0,L159="Cancelled"),"",IF(AND(N(J159)&gt;5000,H159="Cash"),"Yes: ₹1","No"))</f>
        <v/>
      </c>
      <c r="N159" s="27">
        <f>IF(AND(B159="",D159="",N(J159)=0),"",IF(B159="","Enter the date",IF(AND(ROW()&gt;18,B158=""),"Use the next empty row: a skipped row leaves a gap in the voucher numbers",IF(D159="","Enter who was paid",IF(N(J159)=0,"Enter the amount",IF(E159="","Pick the head of account",IF(P159="?","Pick the head from the list",IF(H159="","Pick how it was paid",IF(L159="Cancelled","Cancelled: keep this number unused and write a fresh voucher",IF(AND(H159&lt;&gt;"Cash",I159=""),"Enter the cheque no., UTR or UPI reference",IF(AND(N($E$11)&gt;0,N(J159)&gt;N($E$11),K159=""),"Above your approval limit: get it approved before paying",IF(S159&gt;10000,"Cash paid to this person today is over ₹10,000: not deductible, s.36(4)",IF(T159&gt;35000,"Cash freight to this transporter today is over ₹35,000: not deductible, s.36(6)",IF(U159&gt;10000,"Asset paid in cash over ₹10,000 today: left out of its cost, s.39(2)",IF(AND(P159="L",H159="Cash",N(J159)&gt;=20000),"Loan of ₹20,000 or more repaid in cash: barred, s.188","OK")))))))))))))))</f>
        <v/>
      </c>
      <c r="P159">
        <f>IF(E159="","",IFERROR(VLOOKUP(E159,Lists!$A$2:$B$17,2,FALSE),"?"))</f>
        <v/>
      </c>
      <c r="Q159">
        <f>IF(L159="Cancelled",0,N(J159))</f>
        <v/>
      </c>
      <c r="R159">
        <f>IF(H159="Cash",Q159,0)</f>
        <v/>
      </c>
      <c r="S159">
        <f>IF(OR(P159&lt;&gt;"E",R159=0),0,SUMIFS($R$18:$R$317,$B$18:$B$317,B159,$D$18:$D$317,D159,$P$18:$P$317,"E"))</f>
        <v/>
      </c>
      <c r="T159">
        <f>IF(OR(P159&lt;&gt;"F",R159=0),0,SUMIFS($R$18:$R$317,$B$18:$B$317,B159,$D$18:$D$317,D159,$P$18:$P$317,"F"))</f>
        <v/>
      </c>
      <c r="U159">
        <f>IF(OR(P159&lt;&gt;"A",R159=0),0,SUMIFS($R$18:$R$317,$B$18:$B$317,B159,$D$18:$D$317,D159,$P$18:$P$317,"A"))</f>
        <v/>
      </c>
      <c r="V159">
        <f>IF(OR(N159="",N159="OK",L159="Cancelled"),0,1)</f>
        <v/>
      </c>
    </row>
    <row r="160">
      <c r="B160" s="22" t="n"/>
      <c r="C160" s="23">
        <f>IF(B160="","",$E$9&amp;TEXT(N($E$10)+142,"000"))</f>
        <v/>
      </c>
      <c r="D160" s="14" t="n"/>
      <c r="E160" s="14" t="n"/>
      <c r="F160" s="14" t="n"/>
      <c r="G160" s="24" t="n"/>
      <c r="H160" s="14" t="n"/>
      <c r="I160" s="24" t="n"/>
      <c r="J160" s="25" t="n"/>
      <c r="K160" s="14" t="n"/>
      <c r="L160" s="24" t="n"/>
      <c r="M160" s="26">
        <f>IF(OR(N(J160)=0,L160="Cancelled"),"",IF(AND(N(J160)&gt;5000,H160="Cash"),"Yes: ₹1","No"))</f>
        <v/>
      </c>
      <c r="N160" s="27">
        <f>IF(AND(B160="",D160="",N(J160)=0),"",IF(B160="","Enter the date",IF(AND(ROW()&gt;18,B159=""),"Use the next empty row: a skipped row leaves a gap in the voucher numbers",IF(D160="","Enter who was paid",IF(N(J160)=0,"Enter the amount",IF(E160="","Pick the head of account",IF(P160="?","Pick the head from the list",IF(H160="","Pick how it was paid",IF(L160="Cancelled","Cancelled: keep this number unused and write a fresh voucher",IF(AND(H160&lt;&gt;"Cash",I160=""),"Enter the cheque no., UTR or UPI reference",IF(AND(N($E$11)&gt;0,N(J160)&gt;N($E$11),K160=""),"Above your approval limit: get it approved before paying",IF(S160&gt;10000,"Cash paid to this person today is over ₹10,000: not deductible, s.36(4)",IF(T160&gt;35000,"Cash freight to this transporter today is over ₹35,000: not deductible, s.36(6)",IF(U160&gt;10000,"Asset paid in cash over ₹10,000 today: left out of its cost, s.39(2)",IF(AND(P160="L",H160="Cash",N(J160)&gt;=20000),"Loan of ₹20,000 or more repaid in cash: barred, s.188","OK")))))))))))))))</f>
        <v/>
      </c>
      <c r="P160">
        <f>IF(E160="","",IFERROR(VLOOKUP(E160,Lists!$A$2:$B$17,2,FALSE),"?"))</f>
        <v/>
      </c>
      <c r="Q160">
        <f>IF(L160="Cancelled",0,N(J160))</f>
        <v/>
      </c>
      <c r="R160">
        <f>IF(H160="Cash",Q160,0)</f>
        <v/>
      </c>
      <c r="S160">
        <f>IF(OR(P160&lt;&gt;"E",R160=0),0,SUMIFS($R$18:$R$317,$B$18:$B$317,B160,$D$18:$D$317,D160,$P$18:$P$317,"E"))</f>
        <v/>
      </c>
      <c r="T160">
        <f>IF(OR(P160&lt;&gt;"F",R160=0),0,SUMIFS($R$18:$R$317,$B$18:$B$317,B160,$D$18:$D$317,D160,$P$18:$P$317,"F"))</f>
        <v/>
      </c>
      <c r="U160">
        <f>IF(OR(P160&lt;&gt;"A",R160=0),0,SUMIFS($R$18:$R$317,$B$18:$B$317,B160,$D$18:$D$317,D160,$P$18:$P$317,"A"))</f>
        <v/>
      </c>
      <c r="V160">
        <f>IF(OR(N160="",N160="OK",L160="Cancelled"),0,1)</f>
        <v/>
      </c>
    </row>
    <row r="161">
      <c r="B161" s="22" t="n"/>
      <c r="C161" s="23">
        <f>IF(B161="","",$E$9&amp;TEXT(N($E$10)+143,"000"))</f>
        <v/>
      </c>
      <c r="D161" s="14" t="n"/>
      <c r="E161" s="14" t="n"/>
      <c r="F161" s="14" t="n"/>
      <c r="G161" s="24" t="n"/>
      <c r="H161" s="14" t="n"/>
      <c r="I161" s="24" t="n"/>
      <c r="J161" s="25" t="n"/>
      <c r="K161" s="14" t="n"/>
      <c r="L161" s="24" t="n"/>
      <c r="M161" s="26">
        <f>IF(OR(N(J161)=0,L161="Cancelled"),"",IF(AND(N(J161)&gt;5000,H161="Cash"),"Yes: ₹1","No"))</f>
        <v/>
      </c>
      <c r="N161" s="27">
        <f>IF(AND(B161="",D161="",N(J161)=0),"",IF(B161="","Enter the date",IF(AND(ROW()&gt;18,B160=""),"Use the next empty row: a skipped row leaves a gap in the voucher numbers",IF(D161="","Enter who was paid",IF(N(J161)=0,"Enter the amount",IF(E161="","Pick the head of account",IF(P161="?","Pick the head from the list",IF(H161="","Pick how it was paid",IF(L161="Cancelled","Cancelled: keep this number unused and write a fresh voucher",IF(AND(H161&lt;&gt;"Cash",I161=""),"Enter the cheque no., UTR or UPI reference",IF(AND(N($E$11)&gt;0,N(J161)&gt;N($E$11),K161=""),"Above your approval limit: get it approved before paying",IF(S161&gt;10000,"Cash paid to this person today is over ₹10,000: not deductible, s.36(4)",IF(T161&gt;35000,"Cash freight to this transporter today is over ₹35,000: not deductible, s.36(6)",IF(U161&gt;10000,"Asset paid in cash over ₹10,000 today: left out of its cost, s.39(2)",IF(AND(P161="L",H161="Cash",N(J161)&gt;=20000),"Loan of ₹20,000 or more repaid in cash: barred, s.188","OK")))))))))))))))</f>
        <v/>
      </c>
      <c r="P161">
        <f>IF(E161="","",IFERROR(VLOOKUP(E161,Lists!$A$2:$B$17,2,FALSE),"?"))</f>
        <v/>
      </c>
      <c r="Q161">
        <f>IF(L161="Cancelled",0,N(J161))</f>
        <v/>
      </c>
      <c r="R161">
        <f>IF(H161="Cash",Q161,0)</f>
        <v/>
      </c>
      <c r="S161">
        <f>IF(OR(P161&lt;&gt;"E",R161=0),0,SUMIFS($R$18:$R$317,$B$18:$B$317,B161,$D$18:$D$317,D161,$P$18:$P$317,"E"))</f>
        <v/>
      </c>
      <c r="T161">
        <f>IF(OR(P161&lt;&gt;"F",R161=0),0,SUMIFS($R$18:$R$317,$B$18:$B$317,B161,$D$18:$D$317,D161,$P$18:$P$317,"F"))</f>
        <v/>
      </c>
      <c r="U161">
        <f>IF(OR(P161&lt;&gt;"A",R161=0),0,SUMIFS($R$18:$R$317,$B$18:$B$317,B161,$D$18:$D$317,D161,$P$18:$P$317,"A"))</f>
        <v/>
      </c>
      <c r="V161">
        <f>IF(OR(N161="",N161="OK",L161="Cancelled"),0,1)</f>
        <v/>
      </c>
    </row>
    <row r="162">
      <c r="B162" s="22" t="n"/>
      <c r="C162" s="23">
        <f>IF(B162="","",$E$9&amp;TEXT(N($E$10)+144,"000"))</f>
        <v/>
      </c>
      <c r="D162" s="14" t="n"/>
      <c r="E162" s="14" t="n"/>
      <c r="F162" s="14" t="n"/>
      <c r="G162" s="24" t="n"/>
      <c r="H162" s="14" t="n"/>
      <c r="I162" s="24" t="n"/>
      <c r="J162" s="25" t="n"/>
      <c r="K162" s="14" t="n"/>
      <c r="L162" s="24" t="n"/>
      <c r="M162" s="26">
        <f>IF(OR(N(J162)=0,L162="Cancelled"),"",IF(AND(N(J162)&gt;5000,H162="Cash"),"Yes: ₹1","No"))</f>
        <v/>
      </c>
      <c r="N162" s="27">
        <f>IF(AND(B162="",D162="",N(J162)=0),"",IF(B162="","Enter the date",IF(AND(ROW()&gt;18,B161=""),"Use the next empty row: a skipped row leaves a gap in the voucher numbers",IF(D162="","Enter who was paid",IF(N(J162)=0,"Enter the amount",IF(E162="","Pick the head of account",IF(P162="?","Pick the head from the list",IF(H162="","Pick how it was paid",IF(L162="Cancelled","Cancelled: keep this number unused and write a fresh voucher",IF(AND(H162&lt;&gt;"Cash",I162=""),"Enter the cheque no., UTR or UPI reference",IF(AND(N($E$11)&gt;0,N(J162)&gt;N($E$11),K162=""),"Above your approval limit: get it approved before paying",IF(S162&gt;10000,"Cash paid to this person today is over ₹10,000: not deductible, s.36(4)",IF(T162&gt;35000,"Cash freight to this transporter today is over ₹35,000: not deductible, s.36(6)",IF(U162&gt;10000,"Asset paid in cash over ₹10,000 today: left out of its cost, s.39(2)",IF(AND(P162="L",H162="Cash",N(J162)&gt;=20000),"Loan of ₹20,000 or more repaid in cash: barred, s.188","OK")))))))))))))))</f>
        <v/>
      </c>
      <c r="P162">
        <f>IF(E162="","",IFERROR(VLOOKUP(E162,Lists!$A$2:$B$17,2,FALSE),"?"))</f>
        <v/>
      </c>
      <c r="Q162">
        <f>IF(L162="Cancelled",0,N(J162))</f>
        <v/>
      </c>
      <c r="R162">
        <f>IF(H162="Cash",Q162,0)</f>
        <v/>
      </c>
      <c r="S162">
        <f>IF(OR(P162&lt;&gt;"E",R162=0),0,SUMIFS($R$18:$R$317,$B$18:$B$317,B162,$D$18:$D$317,D162,$P$18:$P$317,"E"))</f>
        <v/>
      </c>
      <c r="T162">
        <f>IF(OR(P162&lt;&gt;"F",R162=0),0,SUMIFS($R$18:$R$317,$B$18:$B$317,B162,$D$18:$D$317,D162,$P$18:$P$317,"F"))</f>
        <v/>
      </c>
      <c r="U162">
        <f>IF(OR(P162&lt;&gt;"A",R162=0),0,SUMIFS($R$18:$R$317,$B$18:$B$317,B162,$D$18:$D$317,D162,$P$18:$P$317,"A"))</f>
        <v/>
      </c>
      <c r="V162">
        <f>IF(OR(N162="",N162="OK",L162="Cancelled"),0,1)</f>
        <v/>
      </c>
    </row>
    <row r="163">
      <c r="B163" s="22" t="n"/>
      <c r="C163" s="23">
        <f>IF(B163="","",$E$9&amp;TEXT(N($E$10)+145,"000"))</f>
        <v/>
      </c>
      <c r="D163" s="14" t="n"/>
      <c r="E163" s="14" t="n"/>
      <c r="F163" s="14" t="n"/>
      <c r="G163" s="24" t="n"/>
      <c r="H163" s="14" t="n"/>
      <c r="I163" s="24" t="n"/>
      <c r="J163" s="25" t="n"/>
      <c r="K163" s="14" t="n"/>
      <c r="L163" s="24" t="n"/>
      <c r="M163" s="26">
        <f>IF(OR(N(J163)=0,L163="Cancelled"),"",IF(AND(N(J163)&gt;5000,H163="Cash"),"Yes: ₹1","No"))</f>
        <v/>
      </c>
      <c r="N163" s="27">
        <f>IF(AND(B163="",D163="",N(J163)=0),"",IF(B163="","Enter the date",IF(AND(ROW()&gt;18,B162=""),"Use the next empty row: a skipped row leaves a gap in the voucher numbers",IF(D163="","Enter who was paid",IF(N(J163)=0,"Enter the amount",IF(E163="","Pick the head of account",IF(P163="?","Pick the head from the list",IF(H163="","Pick how it was paid",IF(L163="Cancelled","Cancelled: keep this number unused and write a fresh voucher",IF(AND(H163&lt;&gt;"Cash",I163=""),"Enter the cheque no., UTR or UPI reference",IF(AND(N($E$11)&gt;0,N(J163)&gt;N($E$11),K163=""),"Above your approval limit: get it approved before paying",IF(S163&gt;10000,"Cash paid to this person today is over ₹10,000: not deductible, s.36(4)",IF(T163&gt;35000,"Cash freight to this transporter today is over ₹35,000: not deductible, s.36(6)",IF(U163&gt;10000,"Asset paid in cash over ₹10,000 today: left out of its cost, s.39(2)",IF(AND(P163="L",H163="Cash",N(J163)&gt;=20000),"Loan of ₹20,000 or more repaid in cash: barred, s.188","OK")))))))))))))))</f>
        <v/>
      </c>
      <c r="P163">
        <f>IF(E163="","",IFERROR(VLOOKUP(E163,Lists!$A$2:$B$17,2,FALSE),"?"))</f>
        <v/>
      </c>
      <c r="Q163">
        <f>IF(L163="Cancelled",0,N(J163))</f>
        <v/>
      </c>
      <c r="R163">
        <f>IF(H163="Cash",Q163,0)</f>
        <v/>
      </c>
      <c r="S163">
        <f>IF(OR(P163&lt;&gt;"E",R163=0),0,SUMIFS($R$18:$R$317,$B$18:$B$317,B163,$D$18:$D$317,D163,$P$18:$P$317,"E"))</f>
        <v/>
      </c>
      <c r="T163">
        <f>IF(OR(P163&lt;&gt;"F",R163=0),0,SUMIFS($R$18:$R$317,$B$18:$B$317,B163,$D$18:$D$317,D163,$P$18:$P$317,"F"))</f>
        <v/>
      </c>
      <c r="U163">
        <f>IF(OR(P163&lt;&gt;"A",R163=0),0,SUMIFS($R$18:$R$317,$B$18:$B$317,B163,$D$18:$D$317,D163,$P$18:$P$317,"A"))</f>
        <v/>
      </c>
      <c r="V163">
        <f>IF(OR(N163="",N163="OK",L163="Cancelled"),0,1)</f>
        <v/>
      </c>
    </row>
    <row r="164">
      <c r="B164" s="22" t="n"/>
      <c r="C164" s="23">
        <f>IF(B164="","",$E$9&amp;TEXT(N($E$10)+146,"000"))</f>
        <v/>
      </c>
      <c r="D164" s="14" t="n"/>
      <c r="E164" s="14" t="n"/>
      <c r="F164" s="14" t="n"/>
      <c r="G164" s="24" t="n"/>
      <c r="H164" s="14" t="n"/>
      <c r="I164" s="24" t="n"/>
      <c r="J164" s="25" t="n"/>
      <c r="K164" s="14" t="n"/>
      <c r="L164" s="24" t="n"/>
      <c r="M164" s="26">
        <f>IF(OR(N(J164)=0,L164="Cancelled"),"",IF(AND(N(J164)&gt;5000,H164="Cash"),"Yes: ₹1","No"))</f>
        <v/>
      </c>
      <c r="N164" s="27">
        <f>IF(AND(B164="",D164="",N(J164)=0),"",IF(B164="","Enter the date",IF(AND(ROW()&gt;18,B163=""),"Use the next empty row: a skipped row leaves a gap in the voucher numbers",IF(D164="","Enter who was paid",IF(N(J164)=0,"Enter the amount",IF(E164="","Pick the head of account",IF(P164="?","Pick the head from the list",IF(H164="","Pick how it was paid",IF(L164="Cancelled","Cancelled: keep this number unused and write a fresh voucher",IF(AND(H164&lt;&gt;"Cash",I164=""),"Enter the cheque no., UTR or UPI reference",IF(AND(N($E$11)&gt;0,N(J164)&gt;N($E$11),K164=""),"Above your approval limit: get it approved before paying",IF(S164&gt;10000,"Cash paid to this person today is over ₹10,000: not deductible, s.36(4)",IF(T164&gt;35000,"Cash freight to this transporter today is over ₹35,000: not deductible, s.36(6)",IF(U164&gt;10000,"Asset paid in cash over ₹10,000 today: left out of its cost, s.39(2)",IF(AND(P164="L",H164="Cash",N(J164)&gt;=20000),"Loan of ₹20,000 or more repaid in cash: barred, s.188","OK")))))))))))))))</f>
        <v/>
      </c>
      <c r="P164">
        <f>IF(E164="","",IFERROR(VLOOKUP(E164,Lists!$A$2:$B$17,2,FALSE),"?"))</f>
        <v/>
      </c>
      <c r="Q164">
        <f>IF(L164="Cancelled",0,N(J164))</f>
        <v/>
      </c>
      <c r="R164">
        <f>IF(H164="Cash",Q164,0)</f>
        <v/>
      </c>
      <c r="S164">
        <f>IF(OR(P164&lt;&gt;"E",R164=0),0,SUMIFS($R$18:$R$317,$B$18:$B$317,B164,$D$18:$D$317,D164,$P$18:$P$317,"E"))</f>
        <v/>
      </c>
      <c r="T164">
        <f>IF(OR(P164&lt;&gt;"F",R164=0),0,SUMIFS($R$18:$R$317,$B$18:$B$317,B164,$D$18:$D$317,D164,$P$18:$P$317,"F"))</f>
        <v/>
      </c>
      <c r="U164">
        <f>IF(OR(P164&lt;&gt;"A",R164=0),0,SUMIFS($R$18:$R$317,$B$18:$B$317,B164,$D$18:$D$317,D164,$P$18:$P$317,"A"))</f>
        <v/>
      </c>
      <c r="V164">
        <f>IF(OR(N164="",N164="OK",L164="Cancelled"),0,1)</f>
        <v/>
      </c>
    </row>
    <row r="165">
      <c r="B165" s="22" t="n"/>
      <c r="C165" s="23">
        <f>IF(B165="","",$E$9&amp;TEXT(N($E$10)+147,"000"))</f>
        <v/>
      </c>
      <c r="D165" s="14" t="n"/>
      <c r="E165" s="14" t="n"/>
      <c r="F165" s="14" t="n"/>
      <c r="G165" s="24" t="n"/>
      <c r="H165" s="14" t="n"/>
      <c r="I165" s="24" t="n"/>
      <c r="J165" s="25" t="n"/>
      <c r="K165" s="14" t="n"/>
      <c r="L165" s="24" t="n"/>
      <c r="M165" s="26">
        <f>IF(OR(N(J165)=0,L165="Cancelled"),"",IF(AND(N(J165)&gt;5000,H165="Cash"),"Yes: ₹1","No"))</f>
        <v/>
      </c>
      <c r="N165" s="27">
        <f>IF(AND(B165="",D165="",N(J165)=0),"",IF(B165="","Enter the date",IF(AND(ROW()&gt;18,B164=""),"Use the next empty row: a skipped row leaves a gap in the voucher numbers",IF(D165="","Enter who was paid",IF(N(J165)=0,"Enter the amount",IF(E165="","Pick the head of account",IF(P165="?","Pick the head from the list",IF(H165="","Pick how it was paid",IF(L165="Cancelled","Cancelled: keep this number unused and write a fresh voucher",IF(AND(H165&lt;&gt;"Cash",I165=""),"Enter the cheque no., UTR or UPI reference",IF(AND(N($E$11)&gt;0,N(J165)&gt;N($E$11),K165=""),"Above your approval limit: get it approved before paying",IF(S165&gt;10000,"Cash paid to this person today is over ₹10,000: not deductible, s.36(4)",IF(T165&gt;35000,"Cash freight to this transporter today is over ₹35,000: not deductible, s.36(6)",IF(U165&gt;10000,"Asset paid in cash over ₹10,000 today: left out of its cost, s.39(2)",IF(AND(P165="L",H165="Cash",N(J165)&gt;=20000),"Loan of ₹20,000 or more repaid in cash: barred, s.188","OK")))))))))))))))</f>
        <v/>
      </c>
      <c r="P165">
        <f>IF(E165="","",IFERROR(VLOOKUP(E165,Lists!$A$2:$B$17,2,FALSE),"?"))</f>
        <v/>
      </c>
      <c r="Q165">
        <f>IF(L165="Cancelled",0,N(J165))</f>
        <v/>
      </c>
      <c r="R165">
        <f>IF(H165="Cash",Q165,0)</f>
        <v/>
      </c>
      <c r="S165">
        <f>IF(OR(P165&lt;&gt;"E",R165=0),0,SUMIFS($R$18:$R$317,$B$18:$B$317,B165,$D$18:$D$317,D165,$P$18:$P$317,"E"))</f>
        <v/>
      </c>
      <c r="T165">
        <f>IF(OR(P165&lt;&gt;"F",R165=0),0,SUMIFS($R$18:$R$317,$B$18:$B$317,B165,$D$18:$D$317,D165,$P$18:$P$317,"F"))</f>
        <v/>
      </c>
      <c r="U165">
        <f>IF(OR(P165&lt;&gt;"A",R165=0),0,SUMIFS($R$18:$R$317,$B$18:$B$317,B165,$D$18:$D$317,D165,$P$18:$P$317,"A"))</f>
        <v/>
      </c>
      <c r="V165">
        <f>IF(OR(N165="",N165="OK",L165="Cancelled"),0,1)</f>
        <v/>
      </c>
    </row>
    <row r="166">
      <c r="B166" s="22" t="n"/>
      <c r="C166" s="23">
        <f>IF(B166="","",$E$9&amp;TEXT(N($E$10)+148,"000"))</f>
        <v/>
      </c>
      <c r="D166" s="14" t="n"/>
      <c r="E166" s="14" t="n"/>
      <c r="F166" s="14" t="n"/>
      <c r="G166" s="24" t="n"/>
      <c r="H166" s="14" t="n"/>
      <c r="I166" s="24" t="n"/>
      <c r="J166" s="25" t="n"/>
      <c r="K166" s="14" t="n"/>
      <c r="L166" s="24" t="n"/>
      <c r="M166" s="26">
        <f>IF(OR(N(J166)=0,L166="Cancelled"),"",IF(AND(N(J166)&gt;5000,H166="Cash"),"Yes: ₹1","No"))</f>
        <v/>
      </c>
      <c r="N166" s="27">
        <f>IF(AND(B166="",D166="",N(J166)=0),"",IF(B166="","Enter the date",IF(AND(ROW()&gt;18,B165=""),"Use the next empty row: a skipped row leaves a gap in the voucher numbers",IF(D166="","Enter who was paid",IF(N(J166)=0,"Enter the amount",IF(E166="","Pick the head of account",IF(P166="?","Pick the head from the list",IF(H166="","Pick how it was paid",IF(L166="Cancelled","Cancelled: keep this number unused and write a fresh voucher",IF(AND(H166&lt;&gt;"Cash",I166=""),"Enter the cheque no., UTR or UPI reference",IF(AND(N($E$11)&gt;0,N(J166)&gt;N($E$11),K166=""),"Above your approval limit: get it approved before paying",IF(S166&gt;10000,"Cash paid to this person today is over ₹10,000: not deductible, s.36(4)",IF(T166&gt;35000,"Cash freight to this transporter today is over ₹35,000: not deductible, s.36(6)",IF(U166&gt;10000,"Asset paid in cash over ₹10,000 today: left out of its cost, s.39(2)",IF(AND(P166="L",H166="Cash",N(J166)&gt;=20000),"Loan of ₹20,000 or more repaid in cash: barred, s.188","OK")))))))))))))))</f>
        <v/>
      </c>
      <c r="P166">
        <f>IF(E166="","",IFERROR(VLOOKUP(E166,Lists!$A$2:$B$17,2,FALSE),"?"))</f>
        <v/>
      </c>
      <c r="Q166">
        <f>IF(L166="Cancelled",0,N(J166))</f>
        <v/>
      </c>
      <c r="R166">
        <f>IF(H166="Cash",Q166,0)</f>
        <v/>
      </c>
      <c r="S166">
        <f>IF(OR(P166&lt;&gt;"E",R166=0),0,SUMIFS($R$18:$R$317,$B$18:$B$317,B166,$D$18:$D$317,D166,$P$18:$P$317,"E"))</f>
        <v/>
      </c>
      <c r="T166">
        <f>IF(OR(P166&lt;&gt;"F",R166=0),0,SUMIFS($R$18:$R$317,$B$18:$B$317,B166,$D$18:$D$317,D166,$P$18:$P$317,"F"))</f>
        <v/>
      </c>
      <c r="U166">
        <f>IF(OR(P166&lt;&gt;"A",R166=0),0,SUMIFS($R$18:$R$317,$B$18:$B$317,B166,$D$18:$D$317,D166,$P$18:$P$317,"A"))</f>
        <v/>
      </c>
      <c r="V166">
        <f>IF(OR(N166="",N166="OK",L166="Cancelled"),0,1)</f>
        <v/>
      </c>
    </row>
    <row r="167">
      <c r="B167" s="22" t="n"/>
      <c r="C167" s="23">
        <f>IF(B167="","",$E$9&amp;TEXT(N($E$10)+149,"000"))</f>
        <v/>
      </c>
      <c r="D167" s="14" t="n"/>
      <c r="E167" s="14" t="n"/>
      <c r="F167" s="14" t="n"/>
      <c r="G167" s="24" t="n"/>
      <c r="H167" s="14" t="n"/>
      <c r="I167" s="24" t="n"/>
      <c r="J167" s="25" t="n"/>
      <c r="K167" s="14" t="n"/>
      <c r="L167" s="24" t="n"/>
      <c r="M167" s="26">
        <f>IF(OR(N(J167)=0,L167="Cancelled"),"",IF(AND(N(J167)&gt;5000,H167="Cash"),"Yes: ₹1","No"))</f>
        <v/>
      </c>
      <c r="N167" s="27">
        <f>IF(AND(B167="",D167="",N(J167)=0),"",IF(B167="","Enter the date",IF(AND(ROW()&gt;18,B166=""),"Use the next empty row: a skipped row leaves a gap in the voucher numbers",IF(D167="","Enter who was paid",IF(N(J167)=0,"Enter the amount",IF(E167="","Pick the head of account",IF(P167="?","Pick the head from the list",IF(H167="","Pick how it was paid",IF(L167="Cancelled","Cancelled: keep this number unused and write a fresh voucher",IF(AND(H167&lt;&gt;"Cash",I167=""),"Enter the cheque no., UTR or UPI reference",IF(AND(N($E$11)&gt;0,N(J167)&gt;N($E$11),K167=""),"Above your approval limit: get it approved before paying",IF(S167&gt;10000,"Cash paid to this person today is over ₹10,000: not deductible, s.36(4)",IF(T167&gt;35000,"Cash freight to this transporter today is over ₹35,000: not deductible, s.36(6)",IF(U167&gt;10000,"Asset paid in cash over ₹10,000 today: left out of its cost, s.39(2)",IF(AND(P167="L",H167="Cash",N(J167)&gt;=20000),"Loan of ₹20,000 or more repaid in cash: barred, s.188","OK")))))))))))))))</f>
        <v/>
      </c>
      <c r="P167">
        <f>IF(E167="","",IFERROR(VLOOKUP(E167,Lists!$A$2:$B$17,2,FALSE),"?"))</f>
        <v/>
      </c>
      <c r="Q167">
        <f>IF(L167="Cancelled",0,N(J167))</f>
        <v/>
      </c>
      <c r="R167">
        <f>IF(H167="Cash",Q167,0)</f>
        <v/>
      </c>
      <c r="S167">
        <f>IF(OR(P167&lt;&gt;"E",R167=0),0,SUMIFS($R$18:$R$317,$B$18:$B$317,B167,$D$18:$D$317,D167,$P$18:$P$317,"E"))</f>
        <v/>
      </c>
      <c r="T167">
        <f>IF(OR(P167&lt;&gt;"F",R167=0),0,SUMIFS($R$18:$R$317,$B$18:$B$317,B167,$D$18:$D$317,D167,$P$18:$P$317,"F"))</f>
        <v/>
      </c>
      <c r="U167">
        <f>IF(OR(P167&lt;&gt;"A",R167=0),0,SUMIFS($R$18:$R$317,$B$18:$B$317,B167,$D$18:$D$317,D167,$P$18:$P$317,"A"))</f>
        <v/>
      </c>
      <c r="V167">
        <f>IF(OR(N167="",N167="OK",L167="Cancelled"),0,1)</f>
        <v/>
      </c>
    </row>
    <row r="168">
      <c r="B168" s="22" t="n"/>
      <c r="C168" s="23">
        <f>IF(B168="","",$E$9&amp;TEXT(N($E$10)+150,"000"))</f>
        <v/>
      </c>
      <c r="D168" s="14" t="n"/>
      <c r="E168" s="14" t="n"/>
      <c r="F168" s="14" t="n"/>
      <c r="G168" s="24" t="n"/>
      <c r="H168" s="14" t="n"/>
      <c r="I168" s="24" t="n"/>
      <c r="J168" s="25" t="n"/>
      <c r="K168" s="14" t="n"/>
      <c r="L168" s="24" t="n"/>
      <c r="M168" s="26">
        <f>IF(OR(N(J168)=0,L168="Cancelled"),"",IF(AND(N(J168)&gt;5000,H168="Cash"),"Yes: ₹1","No"))</f>
        <v/>
      </c>
      <c r="N168" s="27">
        <f>IF(AND(B168="",D168="",N(J168)=0),"",IF(B168="","Enter the date",IF(AND(ROW()&gt;18,B167=""),"Use the next empty row: a skipped row leaves a gap in the voucher numbers",IF(D168="","Enter who was paid",IF(N(J168)=0,"Enter the amount",IF(E168="","Pick the head of account",IF(P168="?","Pick the head from the list",IF(H168="","Pick how it was paid",IF(L168="Cancelled","Cancelled: keep this number unused and write a fresh voucher",IF(AND(H168&lt;&gt;"Cash",I168=""),"Enter the cheque no., UTR or UPI reference",IF(AND(N($E$11)&gt;0,N(J168)&gt;N($E$11),K168=""),"Above your approval limit: get it approved before paying",IF(S168&gt;10000,"Cash paid to this person today is over ₹10,000: not deductible, s.36(4)",IF(T168&gt;35000,"Cash freight to this transporter today is over ₹35,000: not deductible, s.36(6)",IF(U168&gt;10000,"Asset paid in cash over ₹10,000 today: left out of its cost, s.39(2)",IF(AND(P168="L",H168="Cash",N(J168)&gt;=20000),"Loan of ₹20,000 or more repaid in cash: barred, s.188","OK")))))))))))))))</f>
        <v/>
      </c>
      <c r="P168">
        <f>IF(E168="","",IFERROR(VLOOKUP(E168,Lists!$A$2:$B$17,2,FALSE),"?"))</f>
        <v/>
      </c>
      <c r="Q168">
        <f>IF(L168="Cancelled",0,N(J168))</f>
        <v/>
      </c>
      <c r="R168">
        <f>IF(H168="Cash",Q168,0)</f>
        <v/>
      </c>
      <c r="S168">
        <f>IF(OR(P168&lt;&gt;"E",R168=0),0,SUMIFS($R$18:$R$317,$B$18:$B$317,B168,$D$18:$D$317,D168,$P$18:$P$317,"E"))</f>
        <v/>
      </c>
      <c r="T168">
        <f>IF(OR(P168&lt;&gt;"F",R168=0),0,SUMIFS($R$18:$R$317,$B$18:$B$317,B168,$D$18:$D$317,D168,$P$18:$P$317,"F"))</f>
        <v/>
      </c>
      <c r="U168">
        <f>IF(OR(P168&lt;&gt;"A",R168=0),0,SUMIFS($R$18:$R$317,$B$18:$B$317,B168,$D$18:$D$317,D168,$P$18:$P$317,"A"))</f>
        <v/>
      </c>
      <c r="V168">
        <f>IF(OR(N168="",N168="OK",L168="Cancelled"),0,1)</f>
        <v/>
      </c>
    </row>
    <row r="169">
      <c r="B169" s="22" t="n"/>
      <c r="C169" s="23">
        <f>IF(B169="","",$E$9&amp;TEXT(N($E$10)+151,"000"))</f>
        <v/>
      </c>
      <c r="D169" s="14" t="n"/>
      <c r="E169" s="14" t="n"/>
      <c r="F169" s="14" t="n"/>
      <c r="G169" s="24" t="n"/>
      <c r="H169" s="14" t="n"/>
      <c r="I169" s="24" t="n"/>
      <c r="J169" s="25" t="n"/>
      <c r="K169" s="14" t="n"/>
      <c r="L169" s="24" t="n"/>
      <c r="M169" s="26">
        <f>IF(OR(N(J169)=0,L169="Cancelled"),"",IF(AND(N(J169)&gt;5000,H169="Cash"),"Yes: ₹1","No"))</f>
        <v/>
      </c>
      <c r="N169" s="27">
        <f>IF(AND(B169="",D169="",N(J169)=0),"",IF(B169="","Enter the date",IF(AND(ROW()&gt;18,B168=""),"Use the next empty row: a skipped row leaves a gap in the voucher numbers",IF(D169="","Enter who was paid",IF(N(J169)=0,"Enter the amount",IF(E169="","Pick the head of account",IF(P169="?","Pick the head from the list",IF(H169="","Pick how it was paid",IF(L169="Cancelled","Cancelled: keep this number unused and write a fresh voucher",IF(AND(H169&lt;&gt;"Cash",I169=""),"Enter the cheque no., UTR or UPI reference",IF(AND(N($E$11)&gt;0,N(J169)&gt;N($E$11),K169=""),"Above your approval limit: get it approved before paying",IF(S169&gt;10000,"Cash paid to this person today is over ₹10,000: not deductible, s.36(4)",IF(T169&gt;35000,"Cash freight to this transporter today is over ₹35,000: not deductible, s.36(6)",IF(U169&gt;10000,"Asset paid in cash over ₹10,000 today: left out of its cost, s.39(2)",IF(AND(P169="L",H169="Cash",N(J169)&gt;=20000),"Loan of ₹20,000 or more repaid in cash: barred, s.188","OK")))))))))))))))</f>
        <v/>
      </c>
      <c r="P169">
        <f>IF(E169="","",IFERROR(VLOOKUP(E169,Lists!$A$2:$B$17,2,FALSE),"?"))</f>
        <v/>
      </c>
      <c r="Q169">
        <f>IF(L169="Cancelled",0,N(J169))</f>
        <v/>
      </c>
      <c r="R169">
        <f>IF(H169="Cash",Q169,0)</f>
        <v/>
      </c>
      <c r="S169">
        <f>IF(OR(P169&lt;&gt;"E",R169=0),0,SUMIFS($R$18:$R$317,$B$18:$B$317,B169,$D$18:$D$317,D169,$P$18:$P$317,"E"))</f>
        <v/>
      </c>
      <c r="T169">
        <f>IF(OR(P169&lt;&gt;"F",R169=0),0,SUMIFS($R$18:$R$317,$B$18:$B$317,B169,$D$18:$D$317,D169,$P$18:$P$317,"F"))</f>
        <v/>
      </c>
      <c r="U169">
        <f>IF(OR(P169&lt;&gt;"A",R169=0),0,SUMIFS($R$18:$R$317,$B$18:$B$317,B169,$D$18:$D$317,D169,$P$18:$P$317,"A"))</f>
        <v/>
      </c>
      <c r="V169">
        <f>IF(OR(N169="",N169="OK",L169="Cancelled"),0,1)</f>
        <v/>
      </c>
    </row>
    <row r="170">
      <c r="B170" s="22" t="n"/>
      <c r="C170" s="23">
        <f>IF(B170="","",$E$9&amp;TEXT(N($E$10)+152,"000"))</f>
        <v/>
      </c>
      <c r="D170" s="14" t="n"/>
      <c r="E170" s="14" t="n"/>
      <c r="F170" s="14" t="n"/>
      <c r="G170" s="24" t="n"/>
      <c r="H170" s="14" t="n"/>
      <c r="I170" s="24" t="n"/>
      <c r="J170" s="25" t="n"/>
      <c r="K170" s="14" t="n"/>
      <c r="L170" s="24" t="n"/>
      <c r="M170" s="26">
        <f>IF(OR(N(J170)=0,L170="Cancelled"),"",IF(AND(N(J170)&gt;5000,H170="Cash"),"Yes: ₹1","No"))</f>
        <v/>
      </c>
      <c r="N170" s="27">
        <f>IF(AND(B170="",D170="",N(J170)=0),"",IF(B170="","Enter the date",IF(AND(ROW()&gt;18,B169=""),"Use the next empty row: a skipped row leaves a gap in the voucher numbers",IF(D170="","Enter who was paid",IF(N(J170)=0,"Enter the amount",IF(E170="","Pick the head of account",IF(P170="?","Pick the head from the list",IF(H170="","Pick how it was paid",IF(L170="Cancelled","Cancelled: keep this number unused and write a fresh voucher",IF(AND(H170&lt;&gt;"Cash",I170=""),"Enter the cheque no., UTR or UPI reference",IF(AND(N($E$11)&gt;0,N(J170)&gt;N($E$11),K170=""),"Above your approval limit: get it approved before paying",IF(S170&gt;10000,"Cash paid to this person today is over ₹10,000: not deductible, s.36(4)",IF(T170&gt;35000,"Cash freight to this transporter today is over ₹35,000: not deductible, s.36(6)",IF(U170&gt;10000,"Asset paid in cash over ₹10,000 today: left out of its cost, s.39(2)",IF(AND(P170="L",H170="Cash",N(J170)&gt;=20000),"Loan of ₹20,000 or more repaid in cash: barred, s.188","OK")))))))))))))))</f>
        <v/>
      </c>
      <c r="P170">
        <f>IF(E170="","",IFERROR(VLOOKUP(E170,Lists!$A$2:$B$17,2,FALSE),"?"))</f>
        <v/>
      </c>
      <c r="Q170">
        <f>IF(L170="Cancelled",0,N(J170))</f>
        <v/>
      </c>
      <c r="R170">
        <f>IF(H170="Cash",Q170,0)</f>
        <v/>
      </c>
      <c r="S170">
        <f>IF(OR(P170&lt;&gt;"E",R170=0),0,SUMIFS($R$18:$R$317,$B$18:$B$317,B170,$D$18:$D$317,D170,$P$18:$P$317,"E"))</f>
        <v/>
      </c>
      <c r="T170">
        <f>IF(OR(P170&lt;&gt;"F",R170=0),0,SUMIFS($R$18:$R$317,$B$18:$B$317,B170,$D$18:$D$317,D170,$P$18:$P$317,"F"))</f>
        <v/>
      </c>
      <c r="U170">
        <f>IF(OR(P170&lt;&gt;"A",R170=0),0,SUMIFS($R$18:$R$317,$B$18:$B$317,B170,$D$18:$D$317,D170,$P$18:$P$317,"A"))</f>
        <v/>
      </c>
      <c r="V170">
        <f>IF(OR(N170="",N170="OK",L170="Cancelled"),0,1)</f>
        <v/>
      </c>
    </row>
    <row r="171">
      <c r="B171" s="22" t="n"/>
      <c r="C171" s="23">
        <f>IF(B171="","",$E$9&amp;TEXT(N($E$10)+153,"000"))</f>
        <v/>
      </c>
      <c r="D171" s="14" t="n"/>
      <c r="E171" s="14" t="n"/>
      <c r="F171" s="14" t="n"/>
      <c r="G171" s="24" t="n"/>
      <c r="H171" s="14" t="n"/>
      <c r="I171" s="24" t="n"/>
      <c r="J171" s="25" t="n"/>
      <c r="K171" s="14" t="n"/>
      <c r="L171" s="24" t="n"/>
      <c r="M171" s="26">
        <f>IF(OR(N(J171)=0,L171="Cancelled"),"",IF(AND(N(J171)&gt;5000,H171="Cash"),"Yes: ₹1","No"))</f>
        <v/>
      </c>
      <c r="N171" s="27">
        <f>IF(AND(B171="",D171="",N(J171)=0),"",IF(B171="","Enter the date",IF(AND(ROW()&gt;18,B170=""),"Use the next empty row: a skipped row leaves a gap in the voucher numbers",IF(D171="","Enter who was paid",IF(N(J171)=0,"Enter the amount",IF(E171="","Pick the head of account",IF(P171="?","Pick the head from the list",IF(H171="","Pick how it was paid",IF(L171="Cancelled","Cancelled: keep this number unused and write a fresh voucher",IF(AND(H171&lt;&gt;"Cash",I171=""),"Enter the cheque no., UTR or UPI reference",IF(AND(N($E$11)&gt;0,N(J171)&gt;N($E$11),K171=""),"Above your approval limit: get it approved before paying",IF(S171&gt;10000,"Cash paid to this person today is over ₹10,000: not deductible, s.36(4)",IF(T171&gt;35000,"Cash freight to this transporter today is over ₹35,000: not deductible, s.36(6)",IF(U171&gt;10000,"Asset paid in cash over ₹10,000 today: left out of its cost, s.39(2)",IF(AND(P171="L",H171="Cash",N(J171)&gt;=20000),"Loan of ₹20,000 or more repaid in cash: barred, s.188","OK")))))))))))))))</f>
        <v/>
      </c>
      <c r="P171">
        <f>IF(E171="","",IFERROR(VLOOKUP(E171,Lists!$A$2:$B$17,2,FALSE),"?"))</f>
        <v/>
      </c>
      <c r="Q171">
        <f>IF(L171="Cancelled",0,N(J171))</f>
        <v/>
      </c>
      <c r="R171">
        <f>IF(H171="Cash",Q171,0)</f>
        <v/>
      </c>
      <c r="S171">
        <f>IF(OR(P171&lt;&gt;"E",R171=0),0,SUMIFS($R$18:$R$317,$B$18:$B$317,B171,$D$18:$D$317,D171,$P$18:$P$317,"E"))</f>
        <v/>
      </c>
      <c r="T171">
        <f>IF(OR(P171&lt;&gt;"F",R171=0),0,SUMIFS($R$18:$R$317,$B$18:$B$317,B171,$D$18:$D$317,D171,$P$18:$P$317,"F"))</f>
        <v/>
      </c>
      <c r="U171">
        <f>IF(OR(P171&lt;&gt;"A",R171=0),0,SUMIFS($R$18:$R$317,$B$18:$B$317,B171,$D$18:$D$317,D171,$P$18:$P$317,"A"))</f>
        <v/>
      </c>
      <c r="V171">
        <f>IF(OR(N171="",N171="OK",L171="Cancelled"),0,1)</f>
        <v/>
      </c>
    </row>
    <row r="172">
      <c r="B172" s="22" t="n"/>
      <c r="C172" s="23">
        <f>IF(B172="","",$E$9&amp;TEXT(N($E$10)+154,"000"))</f>
        <v/>
      </c>
      <c r="D172" s="14" t="n"/>
      <c r="E172" s="14" t="n"/>
      <c r="F172" s="14" t="n"/>
      <c r="G172" s="24" t="n"/>
      <c r="H172" s="14" t="n"/>
      <c r="I172" s="24" t="n"/>
      <c r="J172" s="25" t="n"/>
      <c r="K172" s="14" t="n"/>
      <c r="L172" s="24" t="n"/>
      <c r="M172" s="26">
        <f>IF(OR(N(J172)=0,L172="Cancelled"),"",IF(AND(N(J172)&gt;5000,H172="Cash"),"Yes: ₹1","No"))</f>
        <v/>
      </c>
      <c r="N172" s="27">
        <f>IF(AND(B172="",D172="",N(J172)=0),"",IF(B172="","Enter the date",IF(AND(ROW()&gt;18,B171=""),"Use the next empty row: a skipped row leaves a gap in the voucher numbers",IF(D172="","Enter who was paid",IF(N(J172)=0,"Enter the amount",IF(E172="","Pick the head of account",IF(P172="?","Pick the head from the list",IF(H172="","Pick how it was paid",IF(L172="Cancelled","Cancelled: keep this number unused and write a fresh voucher",IF(AND(H172&lt;&gt;"Cash",I172=""),"Enter the cheque no., UTR or UPI reference",IF(AND(N($E$11)&gt;0,N(J172)&gt;N($E$11),K172=""),"Above your approval limit: get it approved before paying",IF(S172&gt;10000,"Cash paid to this person today is over ₹10,000: not deductible, s.36(4)",IF(T172&gt;35000,"Cash freight to this transporter today is over ₹35,000: not deductible, s.36(6)",IF(U172&gt;10000,"Asset paid in cash over ₹10,000 today: left out of its cost, s.39(2)",IF(AND(P172="L",H172="Cash",N(J172)&gt;=20000),"Loan of ₹20,000 or more repaid in cash: barred, s.188","OK")))))))))))))))</f>
        <v/>
      </c>
      <c r="P172">
        <f>IF(E172="","",IFERROR(VLOOKUP(E172,Lists!$A$2:$B$17,2,FALSE),"?"))</f>
        <v/>
      </c>
      <c r="Q172">
        <f>IF(L172="Cancelled",0,N(J172))</f>
        <v/>
      </c>
      <c r="R172">
        <f>IF(H172="Cash",Q172,0)</f>
        <v/>
      </c>
      <c r="S172">
        <f>IF(OR(P172&lt;&gt;"E",R172=0),0,SUMIFS($R$18:$R$317,$B$18:$B$317,B172,$D$18:$D$317,D172,$P$18:$P$317,"E"))</f>
        <v/>
      </c>
      <c r="T172">
        <f>IF(OR(P172&lt;&gt;"F",R172=0),0,SUMIFS($R$18:$R$317,$B$18:$B$317,B172,$D$18:$D$317,D172,$P$18:$P$317,"F"))</f>
        <v/>
      </c>
      <c r="U172">
        <f>IF(OR(P172&lt;&gt;"A",R172=0),0,SUMIFS($R$18:$R$317,$B$18:$B$317,B172,$D$18:$D$317,D172,$P$18:$P$317,"A"))</f>
        <v/>
      </c>
      <c r="V172">
        <f>IF(OR(N172="",N172="OK",L172="Cancelled"),0,1)</f>
        <v/>
      </c>
    </row>
    <row r="173">
      <c r="B173" s="22" t="n"/>
      <c r="C173" s="23">
        <f>IF(B173="","",$E$9&amp;TEXT(N($E$10)+155,"000"))</f>
        <v/>
      </c>
      <c r="D173" s="14" t="n"/>
      <c r="E173" s="14" t="n"/>
      <c r="F173" s="14" t="n"/>
      <c r="G173" s="24" t="n"/>
      <c r="H173" s="14" t="n"/>
      <c r="I173" s="24" t="n"/>
      <c r="J173" s="25" t="n"/>
      <c r="K173" s="14" t="n"/>
      <c r="L173" s="24" t="n"/>
      <c r="M173" s="26">
        <f>IF(OR(N(J173)=0,L173="Cancelled"),"",IF(AND(N(J173)&gt;5000,H173="Cash"),"Yes: ₹1","No"))</f>
        <v/>
      </c>
      <c r="N173" s="27">
        <f>IF(AND(B173="",D173="",N(J173)=0),"",IF(B173="","Enter the date",IF(AND(ROW()&gt;18,B172=""),"Use the next empty row: a skipped row leaves a gap in the voucher numbers",IF(D173="","Enter who was paid",IF(N(J173)=0,"Enter the amount",IF(E173="","Pick the head of account",IF(P173="?","Pick the head from the list",IF(H173="","Pick how it was paid",IF(L173="Cancelled","Cancelled: keep this number unused and write a fresh voucher",IF(AND(H173&lt;&gt;"Cash",I173=""),"Enter the cheque no., UTR or UPI reference",IF(AND(N($E$11)&gt;0,N(J173)&gt;N($E$11),K173=""),"Above your approval limit: get it approved before paying",IF(S173&gt;10000,"Cash paid to this person today is over ₹10,000: not deductible, s.36(4)",IF(T173&gt;35000,"Cash freight to this transporter today is over ₹35,000: not deductible, s.36(6)",IF(U173&gt;10000,"Asset paid in cash over ₹10,000 today: left out of its cost, s.39(2)",IF(AND(P173="L",H173="Cash",N(J173)&gt;=20000),"Loan of ₹20,000 or more repaid in cash: barred, s.188","OK")))))))))))))))</f>
        <v/>
      </c>
      <c r="P173">
        <f>IF(E173="","",IFERROR(VLOOKUP(E173,Lists!$A$2:$B$17,2,FALSE),"?"))</f>
        <v/>
      </c>
      <c r="Q173">
        <f>IF(L173="Cancelled",0,N(J173))</f>
        <v/>
      </c>
      <c r="R173">
        <f>IF(H173="Cash",Q173,0)</f>
        <v/>
      </c>
      <c r="S173">
        <f>IF(OR(P173&lt;&gt;"E",R173=0),0,SUMIFS($R$18:$R$317,$B$18:$B$317,B173,$D$18:$D$317,D173,$P$18:$P$317,"E"))</f>
        <v/>
      </c>
      <c r="T173">
        <f>IF(OR(P173&lt;&gt;"F",R173=0),0,SUMIFS($R$18:$R$317,$B$18:$B$317,B173,$D$18:$D$317,D173,$P$18:$P$317,"F"))</f>
        <v/>
      </c>
      <c r="U173">
        <f>IF(OR(P173&lt;&gt;"A",R173=0),0,SUMIFS($R$18:$R$317,$B$18:$B$317,B173,$D$18:$D$317,D173,$P$18:$P$317,"A"))</f>
        <v/>
      </c>
      <c r="V173">
        <f>IF(OR(N173="",N173="OK",L173="Cancelled"),0,1)</f>
        <v/>
      </c>
    </row>
    <row r="174">
      <c r="B174" s="22" t="n"/>
      <c r="C174" s="23">
        <f>IF(B174="","",$E$9&amp;TEXT(N($E$10)+156,"000"))</f>
        <v/>
      </c>
      <c r="D174" s="14" t="n"/>
      <c r="E174" s="14" t="n"/>
      <c r="F174" s="14" t="n"/>
      <c r="G174" s="24" t="n"/>
      <c r="H174" s="14" t="n"/>
      <c r="I174" s="24" t="n"/>
      <c r="J174" s="25" t="n"/>
      <c r="K174" s="14" t="n"/>
      <c r="L174" s="24" t="n"/>
      <c r="M174" s="26">
        <f>IF(OR(N(J174)=0,L174="Cancelled"),"",IF(AND(N(J174)&gt;5000,H174="Cash"),"Yes: ₹1","No"))</f>
        <v/>
      </c>
      <c r="N174" s="27">
        <f>IF(AND(B174="",D174="",N(J174)=0),"",IF(B174="","Enter the date",IF(AND(ROW()&gt;18,B173=""),"Use the next empty row: a skipped row leaves a gap in the voucher numbers",IF(D174="","Enter who was paid",IF(N(J174)=0,"Enter the amount",IF(E174="","Pick the head of account",IF(P174="?","Pick the head from the list",IF(H174="","Pick how it was paid",IF(L174="Cancelled","Cancelled: keep this number unused and write a fresh voucher",IF(AND(H174&lt;&gt;"Cash",I174=""),"Enter the cheque no., UTR or UPI reference",IF(AND(N($E$11)&gt;0,N(J174)&gt;N($E$11),K174=""),"Above your approval limit: get it approved before paying",IF(S174&gt;10000,"Cash paid to this person today is over ₹10,000: not deductible, s.36(4)",IF(T174&gt;35000,"Cash freight to this transporter today is over ₹35,000: not deductible, s.36(6)",IF(U174&gt;10000,"Asset paid in cash over ₹10,000 today: left out of its cost, s.39(2)",IF(AND(P174="L",H174="Cash",N(J174)&gt;=20000),"Loan of ₹20,000 or more repaid in cash: barred, s.188","OK")))))))))))))))</f>
        <v/>
      </c>
      <c r="P174">
        <f>IF(E174="","",IFERROR(VLOOKUP(E174,Lists!$A$2:$B$17,2,FALSE),"?"))</f>
        <v/>
      </c>
      <c r="Q174">
        <f>IF(L174="Cancelled",0,N(J174))</f>
        <v/>
      </c>
      <c r="R174">
        <f>IF(H174="Cash",Q174,0)</f>
        <v/>
      </c>
      <c r="S174">
        <f>IF(OR(P174&lt;&gt;"E",R174=0),0,SUMIFS($R$18:$R$317,$B$18:$B$317,B174,$D$18:$D$317,D174,$P$18:$P$317,"E"))</f>
        <v/>
      </c>
      <c r="T174">
        <f>IF(OR(P174&lt;&gt;"F",R174=0),0,SUMIFS($R$18:$R$317,$B$18:$B$317,B174,$D$18:$D$317,D174,$P$18:$P$317,"F"))</f>
        <v/>
      </c>
      <c r="U174">
        <f>IF(OR(P174&lt;&gt;"A",R174=0),0,SUMIFS($R$18:$R$317,$B$18:$B$317,B174,$D$18:$D$317,D174,$P$18:$P$317,"A"))</f>
        <v/>
      </c>
      <c r="V174">
        <f>IF(OR(N174="",N174="OK",L174="Cancelled"),0,1)</f>
        <v/>
      </c>
    </row>
    <row r="175">
      <c r="B175" s="22" t="n"/>
      <c r="C175" s="23">
        <f>IF(B175="","",$E$9&amp;TEXT(N($E$10)+157,"000"))</f>
        <v/>
      </c>
      <c r="D175" s="14" t="n"/>
      <c r="E175" s="14" t="n"/>
      <c r="F175" s="14" t="n"/>
      <c r="G175" s="24" t="n"/>
      <c r="H175" s="14" t="n"/>
      <c r="I175" s="24" t="n"/>
      <c r="J175" s="25" t="n"/>
      <c r="K175" s="14" t="n"/>
      <c r="L175" s="24" t="n"/>
      <c r="M175" s="26">
        <f>IF(OR(N(J175)=0,L175="Cancelled"),"",IF(AND(N(J175)&gt;5000,H175="Cash"),"Yes: ₹1","No"))</f>
        <v/>
      </c>
      <c r="N175" s="27">
        <f>IF(AND(B175="",D175="",N(J175)=0),"",IF(B175="","Enter the date",IF(AND(ROW()&gt;18,B174=""),"Use the next empty row: a skipped row leaves a gap in the voucher numbers",IF(D175="","Enter who was paid",IF(N(J175)=0,"Enter the amount",IF(E175="","Pick the head of account",IF(P175="?","Pick the head from the list",IF(H175="","Pick how it was paid",IF(L175="Cancelled","Cancelled: keep this number unused and write a fresh voucher",IF(AND(H175&lt;&gt;"Cash",I175=""),"Enter the cheque no., UTR or UPI reference",IF(AND(N($E$11)&gt;0,N(J175)&gt;N($E$11),K175=""),"Above your approval limit: get it approved before paying",IF(S175&gt;10000,"Cash paid to this person today is over ₹10,000: not deductible, s.36(4)",IF(T175&gt;35000,"Cash freight to this transporter today is over ₹35,000: not deductible, s.36(6)",IF(U175&gt;10000,"Asset paid in cash over ₹10,000 today: left out of its cost, s.39(2)",IF(AND(P175="L",H175="Cash",N(J175)&gt;=20000),"Loan of ₹20,000 or more repaid in cash: barred, s.188","OK")))))))))))))))</f>
        <v/>
      </c>
      <c r="P175">
        <f>IF(E175="","",IFERROR(VLOOKUP(E175,Lists!$A$2:$B$17,2,FALSE),"?"))</f>
        <v/>
      </c>
      <c r="Q175">
        <f>IF(L175="Cancelled",0,N(J175))</f>
        <v/>
      </c>
      <c r="R175">
        <f>IF(H175="Cash",Q175,0)</f>
        <v/>
      </c>
      <c r="S175">
        <f>IF(OR(P175&lt;&gt;"E",R175=0),0,SUMIFS($R$18:$R$317,$B$18:$B$317,B175,$D$18:$D$317,D175,$P$18:$P$317,"E"))</f>
        <v/>
      </c>
      <c r="T175">
        <f>IF(OR(P175&lt;&gt;"F",R175=0),0,SUMIFS($R$18:$R$317,$B$18:$B$317,B175,$D$18:$D$317,D175,$P$18:$P$317,"F"))</f>
        <v/>
      </c>
      <c r="U175">
        <f>IF(OR(P175&lt;&gt;"A",R175=0),0,SUMIFS($R$18:$R$317,$B$18:$B$317,B175,$D$18:$D$317,D175,$P$18:$P$317,"A"))</f>
        <v/>
      </c>
      <c r="V175">
        <f>IF(OR(N175="",N175="OK",L175="Cancelled"),0,1)</f>
        <v/>
      </c>
    </row>
    <row r="176">
      <c r="B176" s="22" t="n"/>
      <c r="C176" s="23">
        <f>IF(B176="","",$E$9&amp;TEXT(N($E$10)+158,"000"))</f>
        <v/>
      </c>
      <c r="D176" s="14" t="n"/>
      <c r="E176" s="14" t="n"/>
      <c r="F176" s="14" t="n"/>
      <c r="G176" s="24" t="n"/>
      <c r="H176" s="14" t="n"/>
      <c r="I176" s="24" t="n"/>
      <c r="J176" s="25" t="n"/>
      <c r="K176" s="14" t="n"/>
      <c r="L176" s="24" t="n"/>
      <c r="M176" s="26">
        <f>IF(OR(N(J176)=0,L176="Cancelled"),"",IF(AND(N(J176)&gt;5000,H176="Cash"),"Yes: ₹1","No"))</f>
        <v/>
      </c>
      <c r="N176" s="27">
        <f>IF(AND(B176="",D176="",N(J176)=0),"",IF(B176="","Enter the date",IF(AND(ROW()&gt;18,B175=""),"Use the next empty row: a skipped row leaves a gap in the voucher numbers",IF(D176="","Enter who was paid",IF(N(J176)=0,"Enter the amount",IF(E176="","Pick the head of account",IF(P176="?","Pick the head from the list",IF(H176="","Pick how it was paid",IF(L176="Cancelled","Cancelled: keep this number unused and write a fresh voucher",IF(AND(H176&lt;&gt;"Cash",I176=""),"Enter the cheque no., UTR or UPI reference",IF(AND(N($E$11)&gt;0,N(J176)&gt;N($E$11),K176=""),"Above your approval limit: get it approved before paying",IF(S176&gt;10000,"Cash paid to this person today is over ₹10,000: not deductible, s.36(4)",IF(T176&gt;35000,"Cash freight to this transporter today is over ₹35,000: not deductible, s.36(6)",IF(U176&gt;10000,"Asset paid in cash over ₹10,000 today: left out of its cost, s.39(2)",IF(AND(P176="L",H176="Cash",N(J176)&gt;=20000),"Loan of ₹20,000 or more repaid in cash: barred, s.188","OK")))))))))))))))</f>
        <v/>
      </c>
      <c r="P176">
        <f>IF(E176="","",IFERROR(VLOOKUP(E176,Lists!$A$2:$B$17,2,FALSE),"?"))</f>
        <v/>
      </c>
      <c r="Q176">
        <f>IF(L176="Cancelled",0,N(J176))</f>
        <v/>
      </c>
      <c r="R176">
        <f>IF(H176="Cash",Q176,0)</f>
        <v/>
      </c>
      <c r="S176">
        <f>IF(OR(P176&lt;&gt;"E",R176=0),0,SUMIFS($R$18:$R$317,$B$18:$B$317,B176,$D$18:$D$317,D176,$P$18:$P$317,"E"))</f>
        <v/>
      </c>
      <c r="T176">
        <f>IF(OR(P176&lt;&gt;"F",R176=0),0,SUMIFS($R$18:$R$317,$B$18:$B$317,B176,$D$18:$D$317,D176,$P$18:$P$317,"F"))</f>
        <v/>
      </c>
      <c r="U176">
        <f>IF(OR(P176&lt;&gt;"A",R176=0),0,SUMIFS($R$18:$R$317,$B$18:$B$317,B176,$D$18:$D$317,D176,$P$18:$P$317,"A"))</f>
        <v/>
      </c>
      <c r="V176">
        <f>IF(OR(N176="",N176="OK",L176="Cancelled"),0,1)</f>
        <v/>
      </c>
    </row>
    <row r="177">
      <c r="B177" s="22" t="n"/>
      <c r="C177" s="23">
        <f>IF(B177="","",$E$9&amp;TEXT(N($E$10)+159,"000"))</f>
        <v/>
      </c>
      <c r="D177" s="14" t="n"/>
      <c r="E177" s="14" t="n"/>
      <c r="F177" s="14" t="n"/>
      <c r="G177" s="24" t="n"/>
      <c r="H177" s="14" t="n"/>
      <c r="I177" s="24" t="n"/>
      <c r="J177" s="25" t="n"/>
      <c r="K177" s="14" t="n"/>
      <c r="L177" s="24" t="n"/>
      <c r="M177" s="26">
        <f>IF(OR(N(J177)=0,L177="Cancelled"),"",IF(AND(N(J177)&gt;5000,H177="Cash"),"Yes: ₹1","No"))</f>
        <v/>
      </c>
      <c r="N177" s="27">
        <f>IF(AND(B177="",D177="",N(J177)=0),"",IF(B177="","Enter the date",IF(AND(ROW()&gt;18,B176=""),"Use the next empty row: a skipped row leaves a gap in the voucher numbers",IF(D177="","Enter who was paid",IF(N(J177)=0,"Enter the amount",IF(E177="","Pick the head of account",IF(P177="?","Pick the head from the list",IF(H177="","Pick how it was paid",IF(L177="Cancelled","Cancelled: keep this number unused and write a fresh voucher",IF(AND(H177&lt;&gt;"Cash",I177=""),"Enter the cheque no., UTR or UPI reference",IF(AND(N($E$11)&gt;0,N(J177)&gt;N($E$11),K177=""),"Above your approval limit: get it approved before paying",IF(S177&gt;10000,"Cash paid to this person today is over ₹10,000: not deductible, s.36(4)",IF(T177&gt;35000,"Cash freight to this transporter today is over ₹35,000: not deductible, s.36(6)",IF(U177&gt;10000,"Asset paid in cash over ₹10,000 today: left out of its cost, s.39(2)",IF(AND(P177="L",H177="Cash",N(J177)&gt;=20000),"Loan of ₹20,000 or more repaid in cash: barred, s.188","OK")))))))))))))))</f>
        <v/>
      </c>
      <c r="P177">
        <f>IF(E177="","",IFERROR(VLOOKUP(E177,Lists!$A$2:$B$17,2,FALSE),"?"))</f>
        <v/>
      </c>
      <c r="Q177">
        <f>IF(L177="Cancelled",0,N(J177))</f>
        <v/>
      </c>
      <c r="R177">
        <f>IF(H177="Cash",Q177,0)</f>
        <v/>
      </c>
      <c r="S177">
        <f>IF(OR(P177&lt;&gt;"E",R177=0),0,SUMIFS($R$18:$R$317,$B$18:$B$317,B177,$D$18:$D$317,D177,$P$18:$P$317,"E"))</f>
        <v/>
      </c>
      <c r="T177">
        <f>IF(OR(P177&lt;&gt;"F",R177=0),0,SUMIFS($R$18:$R$317,$B$18:$B$317,B177,$D$18:$D$317,D177,$P$18:$P$317,"F"))</f>
        <v/>
      </c>
      <c r="U177">
        <f>IF(OR(P177&lt;&gt;"A",R177=0),0,SUMIFS($R$18:$R$317,$B$18:$B$317,B177,$D$18:$D$317,D177,$P$18:$P$317,"A"))</f>
        <v/>
      </c>
      <c r="V177">
        <f>IF(OR(N177="",N177="OK",L177="Cancelled"),0,1)</f>
        <v/>
      </c>
    </row>
    <row r="178">
      <c r="B178" s="22" t="n"/>
      <c r="C178" s="23">
        <f>IF(B178="","",$E$9&amp;TEXT(N($E$10)+160,"000"))</f>
        <v/>
      </c>
      <c r="D178" s="14" t="n"/>
      <c r="E178" s="14" t="n"/>
      <c r="F178" s="14" t="n"/>
      <c r="G178" s="24" t="n"/>
      <c r="H178" s="14" t="n"/>
      <c r="I178" s="24" t="n"/>
      <c r="J178" s="25" t="n"/>
      <c r="K178" s="14" t="n"/>
      <c r="L178" s="24" t="n"/>
      <c r="M178" s="26">
        <f>IF(OR(N(J178)=0,L178="Cancelled"),"",IF(AND(N(J178)&gt;5000,H178="Cash"),"Yes: ₹1","No"))</f>
        <v/>
      </c>
      <c r="N178" s="27">
        <f>IF(AND(B178="",D178="",N(J178)=0),"",IF(B178="","Enter the date",IF(AND(ROW()&gt;18,B177=""),"Use the next empty row: a skipped row leaves a gap in the voucher numbers",IF(D178="","Enter who was paid",IF(N(J178)=0,"Enter the amount",IF(E178="","Pick the head of account",IF(P178="?","Pick the head from the list",IF(H178="","Pick how it was paid",IF(L178="Cancelled","Cancelled: keep this number unused and write a fresh voucher",IF(AND(H178&lt;&gt;"Cash",I178=""),"Enter the cheque no., UTR or UPI reference",IF(AND(N($E$11)&gt;0,N(J178)&gt;N($E$11),K178=""),"Above your approval limit: get it approved before paying",IF(S178&gt;10000,"Cash paid to this person today is over ₹10,000: not deductible, s.36(4)",IF(T178&gt;35000,"Cash freight to this transporter today is over ₹35,000: not deductible, s.36(6)",IF(U178&gt;10000,"Asset paid in cash over ₹10,000 today: left out of its cost, s.39(2)",IF(AND(P178="L",H178="Cash",N(J178)&gt;=20000),"Loan of ₹20,000 or more repaid in cash: barred, s.188","OK")))))))))))))))</f>
        <v/>
      </c>
      <c r="P178">
        <f>IF(E178="","",IFERROR(VLOOKUP(E178,Lists!$A$2:$B$17,2,FALSE),"?"))</f>
        <v/>
      </c>
      <c r="Q178">
        <f>IF(L178="Cancelled",0,N(J178))</f>
        <v/>
      </c>
      <c r="R178">
        <f>IF(H178="Cash",Q178,0)</f>
        <v/>
      </c>
      <c r="S178">
        <f>IF(OR(P178&lt;&gt;"E",R178=0),0,SUMIFS($R$18:$R$317,$B$18:$B$317,B178,$D$18:$D$317,D178,$P$18:$P$317,"E"))</f>
        <v/>
      </c>
      <c r="T178">
        <f>IF(OR(P178&lt;&gt;"F",R178=0),0,SUMIFS($R$18:$R$317,$B$18:$B$317,B178,$D$18:$D$317,D178,$P$18:$P$317,"F"))</f>
        <v/>
      </c>
      <c r="U178">
        <f>IF(OR(P178&lt;&gt;"A",R178=0),0,SUMIFS($R$18:$R$317,$B$18:$B$317,B178,$D$18:$D$317,D178,$P$18:$P$317,"A"))</f>
        <v/>
      </c>
      <c r="V178">
        <f>IF(OR(N178="",N178="OK",L178="Cancelled"),0,1)</f>
        <v/>
      </c>
    </row>
    <row r="179">
      <c r="B179" s="22" t="n"/>
      <c r="C179" s="23">
        <f>IF(B179="","",$E$9&amp;TEXT(N($E$10)+161,"000"))</f>
        <v/>
      </c>
      <c r="D179" s="14" t="n"/>
      <c r="E179" s="14" t="n"/>
      <c r="F179" s="14" t="n"/>
      <c r="G179" s="24" t="n"/>
      <c r="H179" s="14" t="n"/>
      <c r="I179" s="24" t="n"/>
      <c r="J179" s="25" t="n"/>
      <c r="K179" s="14" t="n"/>
      <c r="L179" s="24" t="n"/>
      <c r="M179" s="26">
        <f>IF(OR(N(J179)=0,L179="Cancelled"),"",IF(AND(N(J179)&gt;5000,H179="Cash"),"Yes: ₹1","No"))</f>
        <v/>
      </c>
      <c r="N179" s="27">
        <f>IF(AND(B179="",D179="",N(J179)=0),"",IF(B179="","Enter the date",IF(AND(ROW()&gt;18,B178=""),"Use the next empty row: a skipped row leaves a gap in the voucher numbers",IF(D179="","Enter who was paid",IF(N(J179)=0,"Enter the amount",IF(E179="","Pick the head of account",IF(P179="?","Pick the head from the list",IF(H179="","Pick how it was paid",IF(L179="Cancelled","Cancelled: keep this number unused and write a fresh voucher",IF(AND(H179&lt;&gt;"Cash",I179=""),"Enter the cheque no., UTR or UPI reference",IF(AND(N($E$11)&gt;0,N(J179)&gt;N($E$11),K179=""),"Above your approval limit: get it approved before paying",IF(S179&gt;10000,"Cash paid to this person today is over ₹10,000: not deductible, s.36(4)",IF(T179&gt;35000,"Cash freight to this transporter today is over ₹35,000: not deductible, s.36(6)",IF(U179&gt;10000,"Asset paid in cash over ₹10,000 today: left out of its cost, s.39(2)",IF(AND(P179="L",H179="Cash",N(J179)&gt;=20000),"Loan of ₹20,000 or more repaid in cash: barred, s.188","OK")))))))))))))))</f>
        <v/>
      </c>
      <c r="P179">
        <f>IF(E179="","",IFERROR(VLOOKUP(E179,Lists!$A$2:$B$17,2,FALSE),"?"))</f>
        <v/>
      </c>
      <c r="Q179">
        <f>IF(L179="Cancelled",0,N(J179))</f>
        <v/>
      </c>
      <c r="R179">
        <f>IF(H179="Cash",Q179,0)</f>
        <v/>
      </c>
      <c r="S179">
        <f>IF(OR(P179&lt;&gt;"E",R179=0),0,SUMIFS($R$18:$R$317,$B$18:$B$317,B179,$D$18:$D$317,D179,$P$18:$P$317,"E"))</f>
        <v/>
      </c>
      <c r="T179">
        <f>IF(OR(P179&lt;&gt;"F",R179=0),0,SUMIFS($R$18:$R$317,$B$18:$B$317,B179,$D$18:$D$317,D179,$P$18:$P$317,"F"))</f>
        <v/>
      </c>
      <c r="U179">
        <f>IF(OR(P179&lt;&gt;"A",R179=0),0,SUMIFS($R$18:$R$317,$B$18:$B$317,B179,$D$18:$D$317,D179,$P$18:$P$317,"A"))</f>
        <v/>
      </c>
      <c r="V179">
        <f>IF(OR(N179="",N179="OK",L179="Cancelled"),0,1)</f>
        <v/>
      </c>
    </row>
    <row r="180">
      <c r="B180" s="22" t="n"/>
      <c r="C180" s="23">
        <f>IF(B180="","",$E$9&amp;TEXT(N($E$10)+162,"000"))</f>
        <v/>
      </c>
      <c r="D180" s="14" t="n"/>
      <c r="E180" s="14" t="n"/>
      <c r="F180" s="14" t="n"/>
      <c r="G180" s="24" t="n"/>
      <c r="H180" s="14" t="n"/>
      <c r="I180" s="24" t="n"/>
      <c r="J180" s="25" t="n"/>
      <c r="K180" s="14" t="n"/>
      <c r="L180" s="24" t="n"/>
      <c r="M180" s="26">
        <f>IF(OR(N(J180)=0,L180="Cancelled"),"",IF(AND(N(J180)&gt;5000,H180="Cash"),"Yes: ₹1","No"))</f>
        <v/>
      </c>
      <c r="N180" s="27">
        <f>IF(AND(B180="",D180="",N(J180)=0),"",IF(B180="","Enter the date",IF(AND(ROW()&gt;18,B179=""),"Use the next empty row: a skipped row leaves a gap in the voucher numbers",IF(D180="","Enter who was paid",IF(N(J180)=0,"Enter the amount",IF(E180="","Pick the head of account",IF(P180="?","Pick the head from the list",IF(H180="","Pick how it was paid",IF(L180="Cancelled","Cancelled: keep this number unused and write a fresh voucher",IF(AND(H180&lt;&gt;"Cash",I180=""),"Enter the cheque no., UTR or UPI reference",IF(AND(N($E$11)&gt;0,N(J180)&gt;N($E$11),K180=""),"Above your approval limit: get it approved before paying",IF(S180&gt;10000,"Cash paid to this person today is over ₹10,000: not deductible, s.36(4)",IF(T180&gt;35000,"Cash freight to this transporter today is over ₹35,000: not deductible, s.36(6)",IF(U180&gt;10000,"Asset paid in cash over ₹10,000 today: left out of its cost, s.39(2)",IF(AND(P180="L",H180="Cash",N(J180)&gt;=20000),"Loan of ₹20,000 or more repaid in cash: barred, s.188","OK")))))))))))))))</f>
        <v/>
      </c>
      <c r="P180">
        <f>IF(E180="","",IFERROR(VLOOKUP(E180,Lists!$A$2:$B$17,2,FALSE),"?"))</f>
        <v/>
      </c>
      <c r="Q180">
        <f>IF(L180="Cancelled",0,N(J180))</f>
        <v/>
      </c>
      <c r="R180">
        <f>IF(H180="Cash",Q180,0)</f>
        <v/>
      </c>
      <c r="S180">
        <f>IF(OR(P180&lt;&gt;"E",R180=0),0,SUMIFS($R$18:$R$317,$B$18:$B$317,B180,$D$18:$D$317,D180,$P$18:$P$317,"E"))</f>
        <v/>
      </c>
      <c r="T180">
        <f>IF(OR(P180&lt;&gt;"F",R180=0),0,SUMIFS($R$18:$R$317,$B$18:$B$317,B180,$D$18:$D$317,D180,$P$18:$P$317,"F"))</f>
        <v/>
      </c>
      <c r="U180">
        <f>IF(OR(P180&lt;&gt;"A",R180=0),0,SUMIFS($R$18:$R$317,$B$18:$B$317,B180,$D$18:$D$317,D180,$P$18:$P$317,"A"))</f>
        <v/>
      </c>
      <c r="V180">
        <f>IF(OR(N180="",N180="OK",L180="Cancelled"),0,1)</f>
        <v/>
      </c>
    </row>
    <row r="181">
      <c r="B181" s="22" t="n"/>
      <c r="C181" s="23">
        <f>IF(B181="","",$E$9&amp;TEXT(N($E$10)+163,"000"))</f>
        <v/>
      </c>
      <c r="D181" s="14" t="n"/>
      <c r="E181" s="14" t="n"/>
      <c r="F181" s="14" t="n"/>
      <c r="G181" s="24" t="n"/>
      <c r="H181" s="14" t="n"/>
      <c r="I181" s="24" t="n"/>
      <c r="J181" s="25" t="n"/>
      <c r="K181" s="14" t="n"/>
      <c r="L181" s="24" t="n"/>
      <c r="M181" s="26">
        <f>IF(OR(N(J181)=0,L181="Cancelled"),"",IF(AND(N(J181)&gt;5000,H181="Cash"),"Yes: ₹1","No"))</f>
        <v/>
      </c>
      <c r="N181" s="27">
        <f>IF(AND(B181="",D181="",N(J181)=0),"",IF(B181="","Enter the date",IF(AND(ROW()&gt;18,B180=""),"Use the next empty row: a skipped row leaves a gap in the voucher numbers",IF(D181="","Enter who was paid",IF(N(J181)=0,"Enter the amount",IF(E181="","Pick the head of account",IF(P181="?","Pick the head from the list",IF(H181="","Pick how it was paid",IF(L181="Cancelled","Cancelled: keep this number unused and write a fresh voucher",IF(AND(H181&lt;&gt;"Cash",I181=""),"Enter the cheque no., UTR or UPI reference",IF(AND(N($E$11)&gt;0,N(J181)&gt;N($E$11),K181=""),"Above your approval limit: get it approved before paying",IF(S181&gt;10000,"Cash paid to this person today is over ₹10,000: not deductible, s.36(4)",IF(T181&gt;35000,"Cash freight to this transporter today is over ₹35,000: not deductible, s.36(6)",IF(U181&gt;10000,"Asset paid in cash over ₹10,000 today: left out of its cost, s.39(2)",IF(AND(P181="L",H181="Cash",N(J181)&gt;=20000),"Loan of ₹20,000 or more repaid in cash: barred, s.188","OK")))))))))))))))</f>
        <v/>
      </c>
      <c r="P181">
        <f>IF(E181="","",IFERROR(VLOOKUP(E181,Lists!$A$2:$B$17,2,FALSE),"?"))</f>
        <v/>
      </c>
      <c r="Q181">
        <f>IF(L181="Cancelled",0,N(J181))</f>
        <v/>
      </c>
      <c r="R181">
        <f>IF(H181="Cash",Q181,0)</f>
        <v/>
      </c>
      <c r="S181">
        <f>IF(OR(P181&lt;&gt;"E",R181=0),0,SUMIFS($R$18:$R$317,$B$18:$B$317,B181,$D$18:$D$317,D181,$P$18:$P$317,"E"))</f>
        <v/>
      </c>
      <c r="T181">
        <f>IF(OR(P181&lt;&gt;"F",R181=0),0,SUMIFS($R$18:$R$317,$B$18:$B$317,B181,$D$18:$D$317,D181,$P$18:$P$317,"F"))</f>
        <v/>
      </c>
      <c r="U181">
        <f>IF(OR(P181&lt;&gt;"A",R181=0),0,SUMIFS($R$18:$R$317,$B$18:$B$317,B181,$D$18:$D$317,D181,$P$18:$P$317,"A"))</f>
        <v/>
      </c>
      <c r="V181">
        <f>IF(OR(N181="",N181="OK",L181="Cancelled"),0,1)</f>
        <v/>
      </c>
    </row>
    <row r="182">
      <c r="B182" s="22" t="n"/>
      <c r="C182" s="23">
        <f>IF(B182="","",$E$9&amp;TEXT(N($E$10)+164,"000"))</f>
        <v/>
      </c>
      <c r="D182" s="14" t="n"/>
      <c r="E182" s="14" t="n"/>
      <c r="F182" s="14" t="n"/>
      <c r="G182" s="24" t="n"/>
      <c r="H182" s="14" t="n"/>
      <c r="I182" s="24" t="n"/>
      <c r="J182" s="25" t="n"/>
      <c r="K182" s="14" t="n"/>
      <c r="L182" s="24" t="n"/>
      <c r="M182" s="26">
        <f>IF(OR(N(J182)=0,L182="Cancelled"),"",IF(AND(N(J182)&gt;5000,H182="Cash"),"Yes: ₹1","No"))</f>
        <v/>
      </c>
      <c r="N182" s="27">
        <f>IF(AND(B182="",D182="",N(J182)=0),"",IF(B182="","Enter the date",IF(AND(ROW()&gt;18,B181=""),"Use the next empty row: a skipped row leaves a gap in the voucher numbers",IF(D182="","Enter who was paid",IF(N(J182)=0,"Enter the amount",IF(E182="","Pick the head of account",IF(P182="?","Pick the head from the list",IF(H182="","Pick how it was paid",IF(L182="Cancelled","Cancelled: keep this number unused and write a fresh voucher",IF(AND(H182&lt;&gt;"Cash",I182=""),"Enter the cheque no., UTR or UPI reference",IF(AND(N($E$11)&gt;0,N(J182)&gt;N($E$11),K182=""),"Above your approval limit: get it approved before paying",IF(S182&gt;10000,"Cash paid to this person today is over ₹10,000: not deductible, s.36(4)",IF(T182&gt;35000,"Cash freight to this transporter today is over ₹35,000: not deductible, s.36(6)",IF(U182&gt;10000,"Asset paid in cash over ₹10,000 today: left out of its cost, s.39(2)",IF(AND(P182="L",H182="Cash",N(J182)&gt;=20000),"Loan of ₹20,000 or more repaid in cash: barred, s.188","OK")))))))))))))))</f>
        <v/>
      </c>
      <c r="P182">
        <f>IF(E182="","",IFERROR(VLOOKUP(E182,Lists!$A$2:$B$17,2,FALSE),"?"))</f>
        <v/>
      </c>
      <c r="Q182">
        <f>IF(L182="Cancelled",0,N(J182))</f>
        <v/>
      </c>
      <c r="R182">
        <f>IF(H182="Cash",Q182,0)</f>
        <v/>
      </c>
      <c r="S182">
        <f>IF(OR(P182&lt;&gt;"E",R182=0),0,SUMIFS($R$18:$R$317,$B$18:$B$317,B182,$D$18:$D$317,D182,$P$18:$P$317,"E"))</f>
        <v/>
      </c>
      <c r="T182">
        <f>IF(OR(P182&lt;&gt;"F",R182=0),0,SUMIFS($R$18:$R$317,$B$18:$B$317,B182,$D$18:$D$317,D182,$P$18:$P$317,"F"))</f>
        <v/>
      </c>
      <c r="U182">
        <f>IF(OR(P182&lt;&gt;"A",R182=0),0,SUMIFS($R$18:$R$317,$B$18:$B$317,B182,$D$18:$D$317,D182,$P$18:$P$317,"A"))</f>
        <v/>
      </c>
      <c r="V182">
        <f>IF(OR(N182="",N182="OK",L182="Cancelled"),0,1)</f>
        <v/>
      </c>
    </row>
    <row r="183">
      <c r="B183" s="22" t="n"/>
      <c r="C183" s="23">
        <f>IF(B183="","",$E$9&amp;TEXT(N($E$10)+165,"000"))</f>
        <v/>
      </c>
      <c r="D183" s="14" t="n"/>
      <c r="E183" s="14" t="n"/>
      <c r="F183" s="14" t="n"/>
      <c r="G183" s="24" t="n"/>
      <c r="H183" s="14" t="n"/>
      <c r="I183" s="24" t="n"/>
      <c r="J183" s="25" t="n"/>
      <c r="K183" s="14" t="n"/>
      <c r="L183" s="24" t="n"/>
      <c r="M183" s="26">
        <f>IF(OR(N(J183)=0,L183="Cancelled"),"",IF(AND(N(J183)&gt;5000,H183="Cash"),"Yes: ₹1","No"))</f>
        <v/>
      </c>
      <c r="N183" s="27">
        <f>IF(AND(B183="",D183="",N(J183)=0),"",IF(B183="","Enter the date",IF(AND(ROW()&gt;18,B182=""),"Use the next empty row: a skipped row leaves a gap in the voucher numbers",IF(D183="","Enter who was paid",IF(N(J183)=0,"Enter the amount",IF(E183="","Pick the head of account",IF(P183="?","Pick the head from the list",IF(H183="","Pick how it was paid",IF(L183="Cancelled","Cancelled: keep this number unused and write a fresh voucher",IF(AND(H183&lt;&gt;"Cash",I183=""),"Enter the cheque no., UTR or UPI reference",IF(AND(N($E$11)&gt;0,N(J183)&gt;N($E$11),K183=""),"Above your approval limit: get it approved before paying",IF(S183&gt;10000,"Cash paid to this person today is over ₹10,000: not deductible, s.36(4)",IF(T183&gt;35000,"Cash freight to this transporter today is over ₹35,000: not deductible, s.36(6)",IF(U183&gt;10000,"Asset paid in cash over ₹10,000 today: left out of its cost, s.39(2)",IF(AND(P183="L",H183="Cash",N(J183)&gt;=20000),"Loan of ₹20,000 or more repaid in cash: barred, s.188","OK")))))))))))))))</f>
        <v/>
      </c>
      <c r="P183">
        <f>IF(E183="","",IFERROR(VLOOKUP(E183,Lists!$A$2:$B$17,2,FALSE),"?"))</f>
        <v/>
      </c>
      <c r="Q183">
        <f>IF(L183="Cancelled",0,N(J183))</f>
        <v/>
      </c>
      <c r="R183">
        <f>IF(H183="Cash",Q183,0)</f>
        <v/>
      </c>
      <c r="S183">
        <f>IF(OR(P183&lt;&gt;"E",R183=0),0,SUMIFS($R$18:$R$317,$B$18:$B$317,B183,$D$18:$D$317,D183,$P$18:$P$317,"E"))</f>
        <v/>
      </c>
      <c r="T183">
        <f>IF(OR(P183&lt;&gt;"F",R183=0),0,SUMIFS($R$18:$R$317,$B$18:$B$317,B183,$D$18:$D$317,D183,$P$18:$P$317,"F"))</f>
        <v/>
      </c>
      <c r="U183">
        <f>IF(OR(P183&lt;&gt;"A",R183=0),0,SUMIFS($R$18:$R$317,$B$18:$B$317,B183,$D$18:$D$317,D183,$P$18:$P$317,"A"))</f>
        <v/>
      </c>
      <c r="V183">
        <f>IF(OR(N183="",N183="OK",L183="Cancelled"),0,1)</f>
        <v/>
      </c>
    </row>
    <row r="184">
      <c r="B184" s="22" t="n"/>
      <c r="C184" s="23">
        <f>IF(B184="","",$E$9&amp;TEXT(N($E$10)+166,"000"))</f>
        <v/>
      </c>
      <c r="D184" s="14" t="n"/>
      <c r="E184" s="14" t="n"/>
      <c r="F184" s="14" t="n"/>
      <c r="G184" s="24" t="n"/>
      <c r="H184" s="14" t="n"/>
      <c r="I184" s="24" t="n"/>
      <c r="J184" s="25" t="n"/>
      <c r="K184" s="14" t="n"/>
      <c r="L184" s="24" t="n"/>
      <c r="M184" s="26">
        <f>IF(OR(N(J184)=0,L184="Cancelled"),"",IF(AND(N(J184)&gt;5000,H184="Cash"),"Yes: ₹1","No"))</f>
        <v/>
      </c>
      <c r="N184" s="27">
        <f>IF(AND(B184="",D184="",N(J184)=0),"",IF(B184="","Enter the date",IF(AND(ROW()&gt;18,B183=""),"Use the next empty row: a skipped row leaves a gap in the voucher numbers",IF(D184="","Enter who was paid",IF(N(J184)=0,"Enter the amount",IF(E184="","Pick the head of account",IF(P184="?","Pick the head from the list",IF(H184="","Pick how it was paid",IF(L184="Cancelled","Cancelled: keep this number unused and write a fresh voucher",IF(AND(H184&lt;&gt;"Cash",I184=""),"Enter the cheque no., UTR or UPI reference",IF(AND(N($E$11)&gt;0,N(J184)&gt;N($E$11),K184=""),"Above your approval limit: get it approved before paying",IF(S184&gt;10000,"Cash paid to this person today is over ₹10,000: not deductible, s.36(4)",IF(T184&gt;35000,"Cash freight to this transporter today is over ₹35,000: not deductible, s.36(6)",IF(U184&gt;10000,"Asset paid in cash over ₹10,000 today: left out of its cost, s.39(2)",IF(AND(P184="L",H184="Cash",N(J184)&gt;=20000),"Loan of ₹20,000 or more repaid in cash: barred, s.188","OK")))))))))))))))</f>
        <v/>
      </c>
      <c r="P184">
        <f>IF(E184="","",IFERROR(VLOOKUP(E184,Lists!$A$2:$B$17,2,FALSE),"?"))</f>
        <v/>
      </c>
      <c r="Q184">
        <f>IF(L184="Cancelled",0,N(J184))</f>
        <v/>
      </c>
      <c r="R184">
        <f>IF(H184="Cash",Q184,0)</f>
        <v/>
      </c>
      <c r="S184">
        <f>IF(OR(P184&lt;&gt;"E",R184=0),0,SUMIFS($R$18:$R$317,$B$18:$B$317,B184,$D$18:$D$317,D184,$P$18:$P$317,"E"))</f>
        <v/>
      </c>
      <c r="T184">
        <f>IF(OR(P184&lt;&gt;"F",R184=0),0,SUMIFS($R$18:$R$317,$B$18:$B$317,B184,$D$18:$D$317,D184,$P$18:$P$317,"F"))</f>
        <v/>
      </c>
      <c r="U184">
        <f>IF(OR(P184&lt;&gt;"A",R184=0),0,SUMIFS($R$18:$R$317,$B$18:$B$317,B184,$D$18:$D$317,D184,$P$18:$P$317,"A"))</f>
        <v/>
      </c>
      <c r="V184">
        <f>IF(OR(N184="",N184="OK",L184="Cancelled"),0,1)</f>
        <v/>
      </c>
    </row>
    <row r="185">
      <c r="B185" s="22" t="n"/>
      <c r="C185" s="23">
        <f>IF(B185="","",$E$9&amp;TEXT(N($E$10)+167,"000"))</f>
        <v/>
      </c>
      <c r="D185" s="14" t="n"/>
      <c r="E185" s="14" t="n"/>
      <c r="F185" s="14" t="n"/>
      <c r="G185" s="24" t="n"/>
      <c r="H185" s="14" t="n"/>
      <c r="I185" s="24" t="n"/>
      <c r="J185" s="25" t="n"/>
      <c r="K185" s="14" t="n"/>
      <c r="L185" s="24" t="n"/>
      <c r="M185" s="26">
        <f>IF(OR(N(J185)=0,L185="Cancelled"),"",IF(AND(N(J185)&gt;5000,H185="Cash"),"Yes: ₹1","No"))</f>
        <v/>
      </c>
      <c r="N185" s="27">
        <f>IF(AND(B185="",D185="",N(J185)=0),"",IF(B185="","Enter the date",IF(AND(ROW()&gt;18,B184=""),"Use the next empty row: a skipped row leaves a gap in the voucher numbers",IF(D185="","Enter who was paid",IF(N(J185)=0,"Enter the amount",IF(E185="","Pick the head of account",IF(P185="?","Pick the head from the list",IF(H185="","Pick how it was paid",IF(L185="Cancelled","Cancelled: keep this number unused and write a fresh voucher",IF(AND(H185&lt;&gt;"Cash",I185=""),"Enter the cheque no., UTR or UPI reference",IF(AND(N($E$11)&gt;0,N(J185)&gt;N($E$11),K185=""),"Above your approval limit: get it approved before paying",IF(S185&gt;10000,"Cash paid to this person today is over ₹10,000: not deductible, s.36(4)",IF(T185&gt;35000,"Cash freight to this transporter today is over ₹35,000: not deductible, s.36(6)",IF(U185&gt;10000,"Asset paid in cash over ₹10,000 today: left out of its cost, s.39(2)",IF(AND(P185="L",H185="Cash",N(J185)&gt;=20000),"Loan of ₹20,000 or more repaid in cash: barred, s.188","OK")))))))))))))))</f>
        <v/>
      </c>
      <c r="P185">
        <f>IF(E185="","",IFERROR(VLOOKUP(E185,Lists!$A$2:$B$17,2,FALSE),"?"))</f>
        <v/>
      </c>
      <c r="Q185">
        <f>IF(L185="Cancelled",0,N(J185))</f>
        <v/>
      </c>
      <c r="R185">
        <f>IF(H185="Cash",Q185,0)</f>
        <v/>
      </c>
      <c r="S185">
        <f>IF(OR(P185&lt;&gt;"E",R185=0),0,SUMIFS($R$18:$R$317,$B$18:$B$317,B185,$D$18:$D$317,D185,$P$18:$P$317,"E"))</f>
        <v/>
      </c>
      <c r="T185">
        <f>IF(OR(P185&lt;&gt;"F",R185=0),0,SUMIFS($R$18:$R$317,$B$18:$B$317,B185,$D$18:$D$317,D185,$P$18:$P$317,"F"))</f>
        <v/>
      </c>
      <c r="U185">
        <f>IF(OR(P185&lt;&gt;"A",R185=0),0,SUMIFS($R$18:$R$317,$B$18:$B$317,B185,$D$18:$D$317,D185,$P$18:$P$317,"A"))</f>
        <v/>
      </c>
      <c r="V185">
        <f>IF(OR(N185="",N185="OK",L185="Cancelled"),0,1)</f>
        <v/>
      </c>
    </row>
    <row r="186">
      <c r="B186" s="22" t="n"/>
      <c r="C186" s="23">
        <f>IF(B186="","",$E$9&amp;TEXT(N($E$10)+168,"000"))</f>
        <v/>
      </c>
      <c r="D186" s="14" t="n"/>
      <c r="E186" s="14" t="n"/>
      <c r="F186" s="14" t="n"/>
      <c r="G186" s="24" t="n"/>
      <c r="H186" s="14" t="n"/>
      <c r="I186" s="24" t="n"/>
      <c r="J186" s="25" t="n"/>
      <c r="K186" s="14" t="n"/>
      <c r="L186" s="24" t="n"/>
      <c r="M186" s="26">
        <f>IF(OR(N(J186)=0,L186="Cancelled"),"",IF(AND(N(J186)&gt;5000,H186="Cash"),"Yes: ₹1","No"))</f>
        <v/>
      </c>
      <c r="N186" s="27">
        <f>IF(AND(B186="",D186="",N(J186)=0),"",IF(B186="","Enter the date",IF(AND(ROW()&gt;18,B185=""),"Use the next empty row: a skipped row leaves a gap in the voucher numbers",IF(D186="","Enter who was paid",IF(N(J186)=0,"Enter the amount",IF(E186="","Pick the head of account",IF(P186="?","Pick the head from the list",IF(H186="","Pick how it was paid",IF(L186="Cancelled","Cancelled: keep this number unused and write a fresh voucher",IF(AND(H186&lt;&gt;"Cash",I186=""),"Enter the cheque no., UTR or UPI reference",IF(AND(N($E$11)&gt;0,N(J186)&gt;N($E$11),K186=""),"Above your approval limit: get it approved before paying",IF(S186&gt;10000,"Cash paid to this person today is over ₹10,000: not deductible, s.36(4)",IF(T186&gt;35000,"Cash freight to this transporter today is over ₹35,000: not deductible, s.36(6)",IF(U186&gt;10000,"Asset paid in cash over ₹10,000 today: left out of its cost, s.39(2)",IF(AND(P186="L",H186="Cash",N(J186)&gt;=20000),"Loan of ₹20,000 or more repaid in cash: barred, s.188","OK")))))))))))))))</f>
        <v/>
      </c>
      <c r="P186">
        <f>IF(E186="","",IFERROR(VLOOKUP(E186,Lists!$A$2:$B$17,2,FALSE),"?"))</f>
        <v/>
      </c>
      <c r="Q186">
        <f>IF(L186="Cancelled",0,N(J186))</f>
        <v/>
      </c>
      <c r="R186">
        <f>IF(H186="Cash",Q186,0)</f>
        <v/>
      </c>
      <c r="S186">
        <f>IF(OR(P186&lt;&gt;"E",R186=0),0,SUMIFS($R$18:$R$317,$B$18:$B$317,B186,$D$18:$D$317,D186,$P$18:$P$317,"E"))</f>
        <v/>
      </c>
      <c r="T186">
        <f>IF(OR(P186&lt;&gt;"F",R186=0),0,SUMIFS($R$18:$R$317,$B$18:$B$317,B186,$D$18:$D$317,D186,$P$18:$P$317,"F"))</f>
        <v/>
      </c>
      <c r="U186">
        <f>IF(OR(P186&lt;&gt;"A",R186=0),0,SUMIFS($R$18:$R$317,$B$18:$B$317,B186,$D$18:$D$317,D186,$P$18:$P$317,"A"))</f>
        <v/>
      </c>
      <c r="V186">
        <f>IF(OR(N186="",N186="OK",L186="Cancelled"),0,1)</f>
        <v/>
      </c>
    </row>
    <row r="187">
      <c r="B187" s="22" t="n"/>
      <c r="C187" s="23">
        <f>IF(B187="","",$E$9&amp;TEXT(N($E$10)+169,"000"))</f>
        <v/>
      </c>
      <c r="D187" s="14" t="n"/>
      <c r="E187" s="14" t="n"/>
      <c r="F187" s="14" t="n"/>
      <c r="G187" s="24" t="n"/>
      <c r="H187" s="14" t="n"/>
      <c r="I187" s="24" t="n"/>
      <c r="J187" s="25" t="n"/>
      <c r="K187" s="14" t="n"/>
      <c r="L187" s="24" t="n"/>
      <c r="M187" s="26">
        <f>IF(OR(N(J187)=0,L187="Cancelled"),"",IF(AND(N(J187)&gt;5000,H187="Cash"),"Yes: ₹1","No"))</f>
        <v/>
      </c>
      <c r="N187" s="27">
        <f>IF(AND(B187="",D187="",N(J187)=0),"",IF(B187="","Enter the date",IF(AND(ROW()&gt;18,B186=""),"Use the next empty row: a skipped row leaves a gap in the voucher numbers",IF(D187="","Enter who was paid",IF(N(J187)=0,"Enter the amount",IF(E187="","Pick the head of account",IF(P187="?","Pick the head from the list",IF(H187="","Pick how it was paid",IF(L187="Cancelled","Cancelled: keep this number unused and write a fresh voucher",IF(AND(H187&lt;&gt;"Cash",I187=""),"Enter the cheque no., UTR or UPI reference",IF(AND(N($E$11)&gt;0,N(J187)&gt;N($E$11),K187=""),"Above your approval limit: get it approved before paying",IF(S187&gt;10000,"Cash paid to this person today is over ₹10,000: not deductible, s.36(4)",IF(T187&gt;35000,"Cash freight to this transporter today is over ₹35,000: not deductible, s.36(6)",IF(U187&gt;10000,"Asset paid in cash over ₹10,000 today: left out of its cost, s.39(2)",IF(AND(P187="L",H187="Cash",N(J187)&gt;=20000),"Loan of ₹20,000 or more repaid in cash: barred, s.188","OK")))))))))))))))</f>
        <v/>
      </c>
      <c r="P187">
        <f>IF(E187="","",IFERROR(VLOOKUP(E187,Lists!$A$2:$B$17,2,FALSE),"?"))</f>
        <v/>
      </c>
      <c r="Q187">
        <f>IF(L187="Cancelled",0,N(J187))</f>
        <v/>
      </c>
      <c r="R187">
        <f>IF(H187="Cash",Q187,0)</f>
        <v/>
      </c>
      <c r="S187">
        <f>IF(OR(P187&lt;&gt;"E",R187=0),0,SUMIFS($R$18:$R$317,$B$18:$B$317,B187,$D$18:$D$317,D187,$P$18:$P$317,"E"))</f>
        <v/>
      </c>
      <c r="T187">
        <f>IF(OR(P187&lt;&gt;"F",R187=0),0,SUMIFS($R$18:$R$317,$B$18:$B$317,B187,$D$18:$D$317,D187,$P$18:$P$317,"F"))</f>
        <v/>
      </c>
      <c r="U187">
        <f>IF(OR(P187&lt;&gt;"A",R187=0),0,SUMIFS($R$18:$R$317,$B$18:$B$317,B187,$D$18:$D$317,D187,$P$18:$P$317,"A"))</f>
        <v/>
      </c>
      <c r="V187">
        <f>IF(OR(N187="",N187="OK",L187="Cancelled"),0,1)</f>
        <v/>
      </c>
    </row>
    <row r="188">
      <c r="B188" s="22" t="n"/>
      <c r="C188" s="23">
        <f>IF(B188="","",$E$9&amp;TEXT(N($E$10)+170,"000"))</f>
        <v/>
      </c>
      <c r="D188" s="14" t="n"/>
      <c r="E188" s="14" t="n"/>
      <c r="F188" s="14" t="n"/>
      <c r="G188" s="24" t="n"/>
      <c r="H188" s="14" t="n"/>
      <c r="I188" s="24" t="n"/>
      <c r="J188" s="25" t="n"/>
      <c r="K188" s="14" t="n"/>
      <c r="L188" s="24" t="n"/>
      <c r="M188" s="26">
        <f>IF(OR(N(J188)=0,L188="Cancelled"),"",IF(AND(N(J188)&gt;5000,H188="Cash"),"Yes: ₹1","No"))</f>
        <v/>
      </c>
      <c r="N188" s="27">
        <f>IF(AND(B188="",D188="",N(J188)=0),"",IF(B188="","Enter the date",IF(AND(ROW()&gt;18,B187=""),"Use the next empty row: a skipped row leaves a gap in the voucher numbers",IF(D188="","Enter who was paid",IF(N(J188)=0,"Enter the amount",IF(E188="","Pick the head of account",IF(P188="?","Pick the head from the list",IF(H188="","Pick how it was paid",IF(L188="Cancelled","Cancelled: keep this number unused and write a fresh voucher",IF(AND(H188&lt;&gt;"Cash",I188=""),"Enter the cheque no., UTR or UPI reference",IF(AND(N($E$11)&gt;0,N(J188)&gt;N($E$11),K188=""),"Above your approval limit: get it approved before paying",IF(S188&gt;10000,"Cash paid to this person today is over ₹10,000: not deductible, s.36(4)",IF(T188&gt;35000,"Cash freight to this transporter today is over ₹35,000: not deductible, s.36(6)",IF(U188&gt;10000,"Asset paid in cash over ₹10,000 today: left out of its cost, s.39(2)",IF(AND(P188="L",H188="Cash",N(J188)&gt;=20000),"Loan of ₹20,000 or more repaid in cash: barred, s.188","OK")))))))))))))))</f>
        <v/>
      </c>
      <c r="P188">
        <f>IF(E188="","",IFERROR(VLOOKUP(E188,Lists!$A$2:$B$17,2,FALSE),"?"))</f>
        <v/>
      </c>
      <c r="Q188">
        <f>IF(L188="Cancelled",0,N(J188))</f>
        <v/>
      </c>
      <c r="R188">
        <f>IF(H188="Cash",Q188,0)</f>
        <v/>
      </c>
      <c r="S188">
        <f>IF(OR(P188&lt;&gt;"E",R188=0),0,SUMIFS($R$18:$R$317,$B$18:$B$317,B188,$D$18:$D$317,D188,$P$18:$P$317,"E"))</f>
        <v/>
      </c>
      <c r="T188">
        <f>IF(OR(P188&lt;&gt;"F",R188=0),0,SUMIFS($R$18:$R$317,$B$18:$B$317,B188,$D$18:$D$317,D188,$P$18:$P$317,"F"))</f>
        <v/>
      </c>
      <c r="U188">
        <f>IF(OR(P188&lt;&gt;"A",R188=0),0,SUMIFS($R$18:$R$317,$B$18:$B$317,B188,$D$18:$D$317,D188,$P$18:$P$317,"A"))</f>
        <v/>
      </c>
      <c r="V188">
        <f>IF(OR(N188="",N188="OK",L188="Cancelled"),0,1)</f>
        <v/>
      </c>
    </row>
    <row r="189">
      <c r="B189" s="22" t="n"/>
      <c r="C189" s="23">
        <f>IF(B189="","",$E$9&amp;TEXT(N($E$10)+171,"000"))</f>
        <v/>
      </c>
      <c r="D189" s="14" t="n"/>
      <c r="E189" s="14" t="n"/>
      <c r="F189" s="14" t="n"/>
      <c r="G189" s="24" t="n"/>
      <c r="H189" s="14" t="n"/>
      <c r="I189" s="24" t="n"/>
      <c r="J189" s="25" t="n"/>
      <c r="K189" s="14" t="n"/>
      <c r="L189" s="24" t="n"/>
      <c r="M189" s="26">
        <f>IF(OR(N(J189)=0,L189="Cancelled"),"",IF(AND(N(J189)&gt;5000,H189="Cash"),"Yes: ₹1","No"))</f>
        <v/>
      </c>
      <c r="N189" s="27">
        <f>IF(AND(B189="",D189="",N(J189)=0),"",IF(B189="","Enter the date",IF(AND(ROW()&gt;18,B188=""),"Use the next empty row: a skipped row leaves a gap in the voucher numbers",IF(D189="","Enter who was paid",IF(N(J189)=0,"Enter the amount",IF(E189="","Pick the head of account",IF(P189="?","Pick the head from the list",IF(H189="","Pick how it was paid",IF(L189="Cancelled","Cancelled: keep this number unused and write a fresh voucher",IF(AND(H189&lt;&gt;"Cash",I189=""),"Enter the cheque no., UTR or UPI reference",IF(AND(N($E$11)&gt;0,N(J189)&gt;N($E$11),K189=""),"Above your approval limit: get it approved before paying",IF(S189&gt;10000,"Cash paid to this person today is over ₹10,000: not deductible, s.36(4)",IF(T189&gt;35000,"Cash freight to this transporter today is over ₹35,000: not deductible, s.36(6)",IF(U189&gt;10000,"Asset paid in cash over ₹10,000 today: left out of its cost, s.39(2)",IF(AND(P189="L",H189="Cash",N(J189)&gt;=20000),"Loan of ₹20,000 or more repaid in cash: barred, s.188","OK")))))))))))))))</f>
        <v/>
      </c>
      <c r="P189">
        <f>IF(E189="","",IFERROR(VLOOKUP(E189,Lists!$A$2:$B$17,2,FALSE),"?"))</f>
        <v/>
      </c>
      <c r="Q189">
        <f>IF(L189="Cancelled",0,N(J189))</f>
        <v/>
      </c>
      <c r="R189">
        <f>IF(H189="Cash",Q189,0)</f>
        <v/>
      </c>
      <c r="S189">
        <f>IF(OR(P189&lt;&gt;"E",R189=0),0,SUMIFS($R$18:$R$317,$B$18:$B$317,B189,$D$18:$D$317,D189,$P$18:$P$317,"E"))</f>
        <v/>
      </c>
      <c r="T189">
        <f>IF(OR(P189&lt;&gt;"F",R189=0),0,SUMIFS($R$18:$R$317,$B$18:$B$317,B189,$D$18:$D$317,D189,$P$18:$P$317,"F"))</f>
        <v/>
      </c>
      <c r="U189">
        <f>IF(OR(P189&lt;&gt;"A",R189=0),0,SUMIFS($R$18:$R$317,$B$18:$B$317,B189,$D$18:$D$317,D189,$P$18:$P$317,"A"))</f>
        <v/>
      </c>
      <c r="V189">
        <f>IF(OR(N189="",N189="OK",L189="Cancelled"),0,1)</f>
        <v/>
      </c>
    </row>
    <row r="190">
      <c r="B190" s="22" t="n"/>
      <c r="C190" s="23">
        <f>IF(B190="","",$E$9&amp;TEXT(N($E$10)+172,"000"))</f>
        <v/>
      </c>
      <c r="D190" s="14" t="n"/>
      <c r="E190" s="14" t="n"/>
      <c r="F190" s="14" t="n"/>
      <c r="G190" s="24" t="n"/>
      <c r="H190" s="14" t="n"/>
      <c r="I190" s="24" t="n"/>
      <c r="J190" s="25" t="n"/>
      <c r="K190" s="14" t="n"/>
      <c r="L190" s="24" t="n"/>
      <c r="M190" s="26">
        <f>IF(OR(N(J190)=0,L190="Cancelled"),"",IF(AND(N(J190)&gt;5000,H190="Cash"),"Yes: ₹1","No"))</f>
        <v/>
      </c>
      <c r="N190" s="27">
        <f>IF(AND(B190="",D190="",N(J190)=0),"",IF(B190="","Enter the date",IF(AND(ROW()&gt;18,B189=""),"Use the next empty row: a skipped row leaves a gap in the voucher numbers",IF(D190="","Enter who was paid",IF(N(J190)=0,"Enter the amount",IF(E190="","Pick the head of account",IF(P190="?","Pick the head from the list",IF(H190="","Pick how it was paid",IF(L190="Cancelled","Cancelled: keep this number unused and write a fresh voucher",IF(AND(H190&lt;&gt;"Cash",I190=""),"Enter the cheque no., UTR or UPI reference",IF(AND(N($E$11)&gt;0,N(J190)&gt;N($E$11),K190=""),"Above your approval limit: get it approved before paying",IF(S190&gt;10000,"Cash paid to this person today is over ₹10,000: not deductible, s.36(4)",IF(T190&gt;35000,"Cash freight to this transporter today is over ₹35,000: not deductible, s.36(6)",IF(U190&gt;10000,"Asset paid in cash over ₹10,000 today: left out of its cost, s.39(2)",IF(AND(P190="L",H190="Cash",N(J190)&gt;=20000),"Loan of ₹20,000 or more repaid in cash: barred, s.188","OK")))))))))))))))</f>
        <v/>
      </c>
      <c r="P190">
        <f>IF(E190="","",IFERROR(VLOOKUP(E190,Lists!$A$2:$B$17,2,FALSE),"?"))</f>
        <v/>
      </c>
      <c r="Q190">
        <f>IF(L190="Cancelled",0,N(J190))</f>
        <v/>
      </c>
      <c r="R190">
        <f>IF(H190="Cash",Q190,0)</f>
        <v/>
      </c>
      <c r="S190">
        <f>IF(OR(P190&lt;&gt;"E",R190=0),0,SUMIFS($R$18:$R$317,$B$18:$B$317,B190,$D$18:$D$317,D190,$P$18:$P$317,"E"))</f>
        <v/>
      </c>
      <c r="T190">
        <f>IF(OR(P190&lt;&gt;"F",R190=0),0,SUMIFS($R$18:$R$317,$B$18:$B$317,B190,$D$18:$D$317,D190,$P$18:$P$317,"F"))</f>
        <v/>
      </c>
      <c r="U190">
        <f>IF(OR(P190&lt;&gt;"A",R190=0),0,SUMIFS($R$18:$R$317,$B$18:$B$317,B190,$D$18:$D$317,D190,$P$18:$P$317,"A"))</f>
        <v/>
      </c>
      <c r="V190">
        <f>IF(OR(N190="",N190="OK",L190="Cancelled"),0,1)</f>
        <v/>
      </c>
    </row>
    <row r="191">
      <c r="B191" s="22" t="n"/>
      <c r="C191" s="23">
        <f>IF(B191="","",$E$9&amp;TEXT(N($E$10)+173,"000"))</f>
        <v/>
      </c>
      <c r="D191" s="14" t="n"/>
      <c r="E191" s="14" t="n"/>
      <c r="F191" s="14" t="n"/>
      <c r="G191" s="24" t="n"/>
      <c r="H191" s="14" t="n"/>
      <c r="I191" s="24" t="n"/>
      <c r="J191" s="25" t="n"/>
      <c r="K191" s="14" t="n"/>
      <c r="L191" s="24" t="n"/>
      <c r="M191" s="26">
        <f>IF(OR(N(J191)=0,L191="Cancelled"),"",IF(AND(N(J191)&gt;5000,H191="Cash"),"Yes: ₹1","No"))</f>
        <v/>
      </c>
      <c r="N191" s="27">
        <f>IF(AND(B191="",D191="",N(J191)=0),"",IF(B191="","Enter the date",IF(AND(ROW()&gt;18,B190=""),"Use the next empty row: a skipped row leaves a gap in the voucher numbers",IF(D191="","Enter who was paid",IF(N(J191)=0,"Enter the amount",IF(E191="","Pick the head of account",IF(P191="?","Pick the head from the list",IF(H191="","Pick how it was paid",IF(L191="Cancelled","Cancelled: keep this number unused and write a fresh voucher",IF(AND(H191&lt;&gt;"Cash",I191=""),"Enter the cheque no., UTR or UPI reference",IF(AND(N($E$11)&gt;0,N(J191)&gt;N($E$11),K191=""),"Above your approval limit: get it approved before paying",IF(S191&gt;10000,"Cash paid to this person today is over ₹10,000: not deductible, s.36(4)",IF(T191&gt;35000,"Cash freight to this transporter today is over ₹35,000: not deductible, s.36(6)",IF(U191&gt;10000,"Asset paid in cash over ₹10,000 today: left out of its cost, s.39(2)",IF(AND(P191="L",H191="Cash",N(J191)&gt;=20000),"Loan of ₹20,000 or more repaid in cash: barred, s.188","OK")))))))))))))))</f>
        <v/>
      </c>
      <c r="P191">
        <f>IF(E191="","",IFERROR(VLOOKUP(E191,Lists!$A$2:$B$17,2,FALSE),"?"))</f>
        <v/>
      </c>
      <c r="Q191">
        <f>IF(L191="Cancelled",0,N(J191))</f>
        <v/>
      </c>
      <c r="R191">
        <f>IF(H191="Cash",Q191,0)</f>
        <v/>
      </c>
      <c r="S191">
        <f>IF(OR(P191&lt;&gt;"E",R191=0),0,SUMIFS($R$18:$R$317,$B$18:$B$317,B191,$D$18:$D$317,D191,$P$18:$P$317,"E"))</f>
        <v/>
      </c>
      <c r="T191">
        <f>IF(OR(P191&lt;&gt;"F",R191=0),0,SUMIFS($R$18:$R$317,$B$18:$B$317,B191,$D$18:$D$317,D191,$P$18:$P$317,"F"))</f>
        <v/>
      </c>
      <c r="U191">
        <f>IF(OR(P191&lt;&gt;"A",R191=0),0,SUMIFS($R$18:$R$317,$B$18:$B$317,B191,$D$18:$D$317,D191,$P$18:$P$317,"A"))</f>
        <v/>
      </c>
      <c r="V191">
        <f>IF(OR(N191="",N191="OK",L191="Cancelled"),0,1)</f>
        <v/>
      </c>
    </row>
    <row r="192">
      <c r="B192" s="22" t="n"/>
      <c r="C192" s="23">
        <f>IF(B192="","",$E$9&amp;TEXT(N($E$10)+174,"000"))</f>
        <v/>
      </c>
      <c r="D192" s="14" t="n"/>
      <c r="E192" s="14" t="n"/>
      <c r="F192" s="14" t="n"/>
      <c r="G192" s="24" t="n"/>
      <c r="H192" s="14" t="n"/>
      <c r="I192" s="24" t="n"/>
      <c r="J192" s="25" t="n"/>
      <c r="K192" s="14" t="n"/>
      <c r="L192" s="24" t="n"/>
      <c r="M192" s="26">
        <f>IF(OR(N(J192)=0,L192="Cancelled"),"",IF(AND(N(J192)&gt;5000,H192="Cash"),"Yes: ₹1","No"))</f>
        <v/>
      </c>
      <c r="N192" s="27">
        <f>IF(AND(B192="",D192="",N(J192)=0),"",IF(B192="","Enter the date",IF(AND(ROW()&gt;18,B191=""),"Use the next empty row: a skipped row leaves a gap in the voucher numbers",IF(D192="","Enter who was paid",IF(N(J192)=0,"Enter the amount",IF(E192="","Pick the head of account",IF(P192="?","Pick the head from the list",IF(H192="","Pick how it was paid",IF(L192="Cancelled","Cancelled: keep this number unused and write a fresh voucher",IF(AND(H192&lt;&gt;"Cash",I192=""),"Enter the cheque no., UTR or UPI reference",IF(AND(N($E$11)&gt;0,N(J192)&gt;N($E$11),K192=""),"Above your approval limit: get it approved before paying",IF(S192&gt;10000,"Cash paid to this person today is over ₹10,000: not deductible, s.36(4)",IF(T192&gt;35000,"Cash freight to this transporter today is over ₹35,000: not deductible, s.36(6)",IF(U192&gt;10000,"Asset paid in cash over ₹10,000 today: left out of its cost, s.39(2)",IF(AND(P192="L",H192="Cash",N(J192)&gt;=20000),"Loan of ₹20,000 or more repaid in cash: barred, s.188","OK")))))))))))))))</f>
        <v/>
      </c>
      <c r="P192">
        <f>IF(E192="","",IFERROR(VLOOKUP(E192,Lists!$A$2:$B$17,2,FALSE),"?"))</f>
        <v/>
      </c>
      <c r="Q192">
        <f>IF(L192="Cancelled",0,N(J192))</f>
        <v/>
      </c>
      <c r="R192">
        <f>IF(H192="Cash",Q192,0)</f>
        <v/>
      </c>
      <c r="S192">
        <f>IF(OR(P192&lt;&gt;"E",R192=0),0,SUMIFS($R$18:$R$317,$B$18:$B$317,B192,$D$18:$D$317,D192,$P$18:$P$317,"E"))</f>
        <v/>
      </c>
      <c r="T192">
        <f>IF(OR(P192&lt;&gt;"F",R192=0),0,SUMIFS($R$18:$R$317,$B$18:$B$317,B192,$D$18:$D$317,D192,$P$18:$P$317,"F"))</f>
        <v/>
      </c>
      <c r="U192">
        <f>IF(OR(P192&lt;&gt;"A",R192=0),0,SUMIFS($R$18:$R$317,$B$18:$B$317,B192,$D$18:$D$317,D192,$P$18:$P$317,"A"))</f>
        <v/>
      </c>
      <c r="V192">
        <f>IF(OR(N192="",N192="OK",L192="Cancelled"),0,1)</f>
        <v/>
      </c>
    </row>
    <row r="193">
      <c r="B193" s="22" t="n"/>
      <c r="C193" s="23">
        <f>IF(B193="","",$E$9&amp;TEXT(N($E$10)+175,"000"))</f>
        <v/>
      </c>
      <c r="D193" s="14" t="n"/>
      <c r="E193" s="14" t="n"/>
      <c r="F193" s="14" t="n"/>
      <c r="G193" s="24" t="n"/>
      <c r="H193" s="14" t="n"/>
      <c r="I193" s="24" t="n"/>
      <c r="J193" s="25" t="n"/>
      <c r="K193" s="14" t="n"/>
      <c r="L193" s="24" t="n"/>
      <c r="M193" s="26">
        <f>IF(OR(N(J193)=0,L193="Cancelled"),"",IF(AND(N(J193)&gt;5000,H193="Cash"),"Yes: ₹1","No"))</f>
        <v/>
      </c>
      <c r="N193" s="27">
        <f>IF(AND(B193="",D193="",N(J193)=0),"",IF(B193="","Enter the date",IF(AND(ROW()&gt;18,B192=""),"Use the next empty row: a skipped row leaves a gap in the voucher numbers",IF(D193="","Enter who was paid",IF(N(J193)=0,"Enter the amount",IF(E193="","Pick the head of account",IF(P193="?","Pick the head from the list",IF(H193="","Pick how it was paid",IF(L193="Cancelled","Cancelled: keep this number unused and write a fresh voucher",IF(AND(H193&lt;&gt;"Cash",I193=""),"Enter the cheque no., UTR or UPI reference",IF(AND(N($E$11)&gt;0,N(J193)&gt;N($E$11),K193=""),"Above your approval limit: get it approved before paying",IF(S193&gt;10000,"Cash paid to this person today is over ₹10,000: not deductible, s.36(4)",IF(T193&gt;35000,"Cash freight to this transporter today is over ₹35,000: not deductible, s.36(6)",IF(U193&gt;10000,"Asset paid in cash over ₹10,000 today: left out of its cost, s.39(2)",IF(AND(P193="L",H193="Cash",N(J193)&gt;=20000),"Loan of ₹20,000 or more repaid in cash: barred, s.188","OK")))))))))))))))</f>
        <v/>
      </c>
      <c r="P193">
        <f>IF(E193="","",IFERROR(VLOOKUP(E193,Lists!$A$2:$B$17,2,FALSE),"?"))</f>
        <v/>
      </c>
      <c r="Q193">
        <f>IF(L193="Cancelled",0,N(J193))</f>
        <v/>
      </c>
      <c r="R193">
        <f>IF(H193="Cash",Q193,0)</f>
        <v/>
      </c>
      <c r="S193">
        <f>IF(OR(P193&lt;&gt;"E",R193=0),0,SUMIFS($R$18:$R$317,$B$18:$B$317,B193,$D$18:$D$317,D193,$P$18:$P$317,"E"))</f>
        <v/>
      </c>
      <c r="T193">
        <f>IF(OR(P193&lt;&gt;"F",R193=0),0,SUMIFS($R$18:$R$317,$B$18:$B$317,B193,$D$18:$D$317,D193,$P$18:$P$317,"F"))</f>
        <v/>
      </c>
      <c r="U193">
        <f>IF(OR(P193&lt;&gt;"A",R193=0),0,SUMIFS($R$18:$R$317,$B$18:$B$317,B193,$D$18:$D$317,D193,$P$18:$P$317,"A"))</f>
        <v/>
      </c>
      <c r="V193">
        <f>IF(OR(N193="",N193="OK",L193="Cancelled"),0,1)</f>
        <v/>
      </c>
    </row>
    <row r="194">
      <c r="B194" s="22" t="n"/>
      <c r="C194" s="23">
        <f>IF(B194="","",$E$9&amp;TEXT(N($E$10)+176,"000"))</f>
        <v/>
      </c>
      <c r="D194" s="14" t="n"/>
      <c r="E194" s="14" t="n"/>
      <c r="F194" s="14" t="n"/>
      <c r="G194" s="24" t="n"/>
      <c r="H194" s="14" t="n"/>
      <c r="I194" s="24" t="n"/>
      <c r="J194" s="25" t="n"/>
      <c r="K194" s="14" t="n"/>
      <c r="L194" s="24" t="n"/>
      <c r="M194" s="26">
        <f>IF(OR(N(J194)=0,L194="Cancelled"),"",IF(AND(N(J194)&gt;5000,H194="Cash"),"Yes: ₹1","No"))</f>
        <v/>
      </c>
      <c r="N194" s="27">
        <f>IF(AND(B194="",D194="",N(J194)=0),"",IF(B194="","Enter the date",IF(AND(ROW()&gt;18,B193=""),"Use the next empty row: a skipped row leaves a gap in the voucher numbers",IF(D194="","Enter who was paid",IF(N(J194)=0,"Enter the amount",IF(E194="","Pick the head of account",IF(P194="?","Pick the head from the list",IF(H194="","Pick how it was paid",IF(L194="Cancelled","Cancelled: keep this number unused and write a fresh voucher",IF(AND(H194&lt;&gt;"Cash",I194=""),"Enter the cheque no., UTR or UPI reference",IF(AND(N($E$11)&gt;0,N(J194)&gt;N($E$11),K194=""),"Above your approval limit: get it approved before paying",IF(S194&gt;10000,"Cash paid to this person today is over ₹10,000: not deductible, s.36(4)",IF(T194&gt;35000,"Cash freight to this transporter today is over ₹35,000: not deductible, s.36(6)",IF(U194&gt;10000,"Asset paid in cash over ₹10,000 today: left out of its cost, s.39(2)",IF(AND(P194="L",H194="Cash",N(J194)&gt;=20000),"Loan of ₹20,000 or more repaid in cash: barred, s.188","OK")))))))))))))))</f>
        <v/>
      </c>
      <c r="P194">
        <f>IF(E194="","",IFERROR(VLOOKUP(E194,Lists!$A$2:$B$17,2,FALSE),"?"))</f>
        <v/>
      </c>
      <c r="Q194">
        <f>IF(L194="Cancelled",0,N(J194))</f>
        <v/>
      </c>
      <c r="R194">
        <f>IF(H194="Cash",Q194,0)</f>
        <v/>
      </c>
      <c r="S194">
        <f>IF(OR(P194&lt;&gt;"E",R194=0),0,SUMIFS($R$18:$R$317,$B$18:$B$317,B194,$D$18:$D$317,D194,$P$18:$P$317,"E"))</f>
        <v/>
      </c>
      <c r="T194">
        <f>IF(OR(P194&lt;&gt;"F",R194=0),0,SUMIFS($R$18:$R$317,$B$18:$B$317,B194,$D$18:$D$317,D194,$P$18:$P$317,"F"))</f>
        <v/>
      </c>
      <c r="U194">
        <f>IF(OR(P194&lt;&gt;"A",R194=0),0,SUMIFS($R$18:$R$317,$B$18:$B$317,B194,$D$18:$D$317,D194,$P$18:$P$317,"A"))</f>
        <v/>
      </c>
      <c r="V194">
        <f>IF(OR(N194="",N194="OK",L194="Cancelled"),0,1)</f>
        <v/>
      </c>
    </row>
    <row r="195">
      <c r="B195" s="22" t="n"/>
      <c r="C195" s="23">
        <f>IF(B195="","",$E$9&amp;TEXT(N($E$10)+177,"000"))</f>
        <v/>
      </c>
      <c r="D195" s="14" t="n"/>
      <c r="E195" s="14" t="n"/>
      <c r="F195" s="14" t="n"/>
      <c r="G195" s="24" t="n"/>
      <c r="H195" s="14" t="n"/>
      <c r="I195" s="24" t="n"/>
      <c r="J195" s="25" t="n"/>
      <c r="K195" s="14" t="n"/>
      <c r="L195" s="24" t="n"/>
      <c r="M195" s="26">
        <f>IF(OR(N(J195)=0,L195="Cancelled"),"",IF(AND(N(J195)&gt;5000,H195="Cash"),"Yes: ₹1","No"))</f>
        <v/>
      </c>
      <c r="N195" s="27">
        <f>IF(AND(B195="",D195="",N(J195)=0),"",IF(B195="","Enter the date",IF(AND(ROW()&gt;18,B194=""),"Use the next empty row: a skipped row leaves a gap in the voucher numbers",IF(D195="","Enter who was paid",IF(N(J195)=0,"Enter the amount",IF(E195="","Pick the head of account",IF(P195="?","Pick the head from the list",IF(H195="","Pick how it was paid",IF(L195="Cancelled","Cancelled: keep this number unused and write a fresh voucher",IF(AND(H195&lt;&gt;"Cash",I195=""),"Enter the cheque no., UTR or UPI reference",IF(AND(N($E$11)&gt;0,N(J195)&gt;N($E$11),K195=""),"Above your approval limit: get it approved before paying",IF(S195&gt;10000,"Cash paid to this person today is over ₹10,000: not deductible, s.36(4)",IF(T195&gt;35000,"Cash freight to this transporter today is over ₹35,000: not deductible, s.36(6)",IF(U195&gt;10000,"Asset paid in cash over ₹10,000 today: left out of its cost, s.39(2)",IF(AND(P195="L",H195="Cash",N(J195)&gt;=20000),"Loan of ₹20,000 or more repaid in cash: barred, s.188","OK")))))))))))))))</f>
        <v/>
      </c>
      <c r="P195">
        <f>IF(E195="","",IFERROR(VLOOKUP(E195,Lists!$A$2:$B$17,2,FALSE),"?"))</f>
        <v/>
      </c>
      <c r="Q195">
        <f>IF(L195="Cancelled",0,N(J195))</f>
        <v/>
      </c>
      <c r="R195">
        <f>IF(H195="Cash",Q195,0)</f>
        <v/>
      </c>
      <c r="S195">
        <f>IF(OR(P195&lt;&gt;"E",R195=0),0,SUMIFS($R$18:$R$317,$B$18:$B$317,B195,$D$18:$D$317,D195,$P$18:$P$317,"E"))</f>
        <v/>
      </c>
      <c r="T195">
        <f>IF(OR(P195&lt;&gt;"F",R195=0),0,SUMIFS($R$18:$R$317,$B$18:$B$317,B195,$D$18:$D$317,D195,$P$18:$P$317,"F"))</f>
        <v/>
      </c>
      <c r="U195">
        <f>IF(OR(P195&lt;&gt;"A",R195=0),0,SUMIFS($R$18:$R$317,$B$18:$B$317,B195,$D$18:$D$317,D195,$P$18:$P$317,"A"))</f>
        <v/>
      </c>
      <c r="V195">
        <f>IF(OR(N195="",N195="OK",L195="Cancelled"),0,1)</f>
        <v/>
      </c>
    </row>
    <row r="196">
      <c r="B196" s="22" t="n"/>
      <c r="C196" s="23">
        <f>IF(B196="","",$E$9&amp;TEXT(N($E$10)+178,"000"))</f>
        <v/>
      </c>
      <c r="D196" s="14" t="n"/>
      <c r="E196" s="14" t="n"/>
      <c r="F196" s="14" t="n"/>
      <c r="G196" s="24" t="n"/>
      <c r="H196" s="14" t="n"/>
      <c r="I196" s="24" t="n"/>
      <c r="J196" s="25" t="n"/>
      <c r="K196" s="14" t="n"/>
      <c r="L196" s="24" t="n"/>
      <c r="M196" s="26">
        <f>IF(OR(N(J196)=0,L196="Cancelled"),"",IF(AND(N(J196)&gt;5000,H196="Cash"),"Yes: ₹1","No"))</f>
        <v/>
      </c>
      <c r="N196" s="27">
        <f>IF(AND(B196="",D196="",N(J196)=0),"",IF(B196="","Enter the date",IF(AND(ROW()&gt;18,B195=""),"Use the next empty row: a skipped row leaves a gap in the voucher numbers",IF(D196="","Enter who was paid",IF(N(J196)=0,"Enter the amount",IF(E196="","Pick the head of account",IF(P196="?","Pick the head from the list",IF(H196="","Pick how it was paid",IF(L196="Cancelled","Cancelled: keep this number unused and write a fresh voucher",IF(AND(H196&lt;&gt;"Cash",I196=""),"Enter the cheque no., UTR or UPI reference",IF(AND(N($E$11)&gt;0,N(J196)&gt;N($E$11),K196=""),"Above your approval limit: get it approved before paying",IF(S196&gt;10000,"Cash paid to this person today is over ₹10,000: not deductible, s.36(4)",IF(T196&gt;35000,"Cash freight to this transporter today is over ₹35,000: not deductible, s.36(6)",IF(U196&gt;10000,"Asset paid in cash over ₹10,000 today: left out of its cost, s.39(2)",IF(AND(P196="L",H196="Cash",N(J196)&gt;=20000),"Loan of ₹20,000 or more repaid in cash: barred, s.188","OK")))))))))))))))</f>
        <v/>
      </c>
      <c r="P196">
        <f>IF(E196="","",IFERROR(VLOOKUP(E196,Lists!$A$2:$B$17,2,FALSE),"?"))</f>
        <v/>
      </c>
      <c r="Q196">
        <f>IF(L196="Cancelled",0,N(J196))</f>
        <v/>
      </c>
      <c r="R196">
        <f>IF(H196="Cash",Q196,0)</f>
        <v/>
      </c>
      <c r="S196">
        <f>IF(OR(P196&lt;&gt;"E",R196=0),0,SUMIFS($R$18:$R$317,$B$18:$B$317,B196,$D$18:$D$317,D196,$P$18:$P$317,"E"))</f>
        <v/>
      </c>
      <c r="T196">
        <f>IF(OR(P196&lt;&gt;"F",R196=0),0,SUMIFS($R$18:$R$317,$B$18:$B$317,B196,$D$18:$D$317,D196,$P$18:$P$317,"F"))</f>
        <v/>
      </c>
      <c r="U196">
        <f>IF(OR(P196&lt;&gt;"A",R196=0),0,SUMIFS($R$18:$R$317,$B$18:$B$317,B196,$D$18:$D$317,D196,$P$18:$P$317,"A"))</f>
        <v/>
      </c>
      <c r="V196">
        <f>IF(OR(N196="",N196="OK",L196="Cancelled"),0,1)</f>
        <v/>
      </c>
    </row>
    <row r="197">
      <c r="B197" s="22" t="n"/>
      <c r="C197" s="23">
        <f>IF(B197="","",$E$9&amp;TEXT(N($E$10)+179,"000"))</f>
        <v/>
      </c>
      <c r="D197" s="14" t="n"/>
      <c r="E197" s="14" t="n"/>
      <c r="F197" s="14" t="n"/>
      <c r="G197" s="24" t="n"/>
      <c r="H197" s="14" t="n"/>
      <c r="I197" s="24" t="n"/>
      <c r="J197" s="25" t="n"/>
      <c r="K197" s="14" t="n"/>
      <c r="L197" s="24" t="n"/>
      <c r="M197" s="26">
        <f>IF(OR(N(J197)=0,L197="Cancelled"),"",IF(AND(N(J197)&gt;5000,H197="Cash"),"Yes: ₹1","No"))</f>
        <v/>
      </c>
      <c r="N197" s="27">
        <f>IF(AND(B197="",D197="",N(J197)=0),"",IF(B197="","Enter the date",IF(AND(ROW()&gt;18,B196=""),"Use the next empty row: a skipped row leaves a gap in the voucher numbers",IF(D197="","Enter who was paid",IF(N(J197)=0,"Enter the amount",IF(E197="","Pick the head of account",IF(P197="?","Pick the head from the list",IF(H197="","Pick how it was paid",IF(L197="Cancelled","Cancelled: keep this number unused and write a fresh voucher",IF(AND(H197&lt;&gt;"Cash",I197=""),"Enter the cheque no., UTR or UPI reference",IF(AND(N($E$11)&gt;0,N(J197)&gt;N($E$11),K197=""),"Above your approval limit: get it approved before paying",IF(S197&gt;10000,"Cash paid to this person today is over ₹10,000: not deductible, s.36(4)",IF(T197&gt;35000,"Cash freight to this transporter today is over ₹35,000: not deductible, s.36(6)",IF(U197&gt;10000,"Asset paid in cash over ₹10,000 today: left out of its cost, s.39(2)",IF(AND(P197="L",H197="Cash",N(J197)&gt;=20000),"Loan of ₹20,000 or more repaid in cash: barred, s.188","OK")))))))))))))))</f>
        <v/>
      </c>
      <c r="P197">
        <f>IF(E197="","",IFERROR(VLOOKUP(E197,Lists!$A$2:$B$17,2,FALSE),"?"))</f>
        <v/>
      </c>
      <c r="Q197">
        <f>IF(L197="Cancelled",0,N(J197))</f>
        <v/>
      </c>
      <c r="R197">
        <f>IF(H197="Cash",Q197,0)</f>
        <v/>
      </c>
      <c r="S197">
        <f>IF(OR(P197&lt;&gt;"E",R197=0),0,SUMIFS($R$18:$R$317,$B$18:$B$317,B197,$D$18:$D$317,D197,$P$18:$P$317,"E"))</f>
        <v/>
      </c>
      <c r="T197">
        <f>IF(OR(P197&lt;&gt;"F",R197=0),0,SUMIFS($R$18:$R$317,$B$18:$B$317,B197,$D$18:$D$317,D197,$P$18:$P$317,"F"))</f>
        <v/>
      </c>
      <c r="U197">
        <f>IF(OR(P197&lt;&gt;"A",R197=0),0,SUMIFS($R$18:$R$317,$B$18:$B$317,B197,$D$18:$D$317,D197,$P$18:$P$317,"A"))</f>
        <v/>
      </c>
      <c r="V197">
        <f>IF(OR(N197="",N197="OK",L197="Cancelled"),0,1)</f>
        <v/>
      </c>
    </row>
    <row r="198">
      <c r="B198" s="22" t="n"/>
      <c r="C198" s="23">
        <f>IF(B198="","",$E$9&amp;TEXT(N($E$10)+180,"000"))</f>
        <v/>
      </c>
      <c r="D198" s="14" t="n"/>
      <c r="E198" s="14" t="n"/>
      <c r="F198" s="14" t="n"/>
      <c r="G198" s="24" t="n"/>
      <c r="H198" s="14" t="n"/>
      <c r="I198" s="24" t="n"/>
      <c r="J198" s="25" t="n"/>
      <c r="K198" s="14" t="n"/>
      <c r="L198" s="24" t="n"/>
      <c r="M198" s="26">
        <f>IF(OR(N(J198)=0,L198="Cancelled"),"",IF(AND(N(J198)&gt;5000,H198="Cash"),"Yes: ₹1","No"))</f>
        <v/>
      </c>
      <c r="N198" s="27">
        <f>IF(AND(B198="",D198="",N(J198)=0),"",IF(B198="","Enter the date",IF(AND(ROW()&gt;18,B197=""),"Use the next empty row: a skipped row leaves a gap in the voucher numbers",IF(D198="","Enter who was paid",IF(N(J198)=0,"Enter the amount",IF(E198="","Pick the head of account",IF(P198="?","Pick the head from the list",IF(H198="","Pick how it was paid",IF(L198="Cancelled","Cancelled: keep this number unused and write a fresh voucher",IF(AND(H198&lt;&gt;"Cash",I198=""),"Enter the cheque no., UTR or UPI reference",IF(AND(N($E$11)&gt;0,N(J198)&gt;N($E$11),K198=""),"Above your approval limit: get it approved before paying",IF(S198&gt;10000,"Cash paid to this person today is over ₹10,000: not deductible, s.36(4)",IF(T198&gt;35000,"Cash freight to this transporter today is over ₹35,000: not deductible, s.36(6)",IF(U198&gt;10000,"Asset paid in cash over ₹10,000 today: left out of its cost, s.39(2)",IF(AND(P198="L",H198="Cash",N(J198)&gt;=20000),"Loan of ₹20,000 or more repaid in cash: barred, s.188","OK")))))))))))))))</f>
        <v/>
      </c>
      <c r="P198">
        <f>IF(E198="","",IFERROR(VLOOKUP(E198,Lists!$A$2:$B$17,2,FALSE),"?"))</f>
        <v/>
      </c>
      <c r="Q198">
        <f>IF(L198="Cancelled",0,N(J198))</f>
        <v/>
      </c>
      <c r="R198">
        <f>IF(H198="Cash",Q198,0)</f>
        <v/>
      </c>
      <c r="S198">
        <f>IF(OR(P198&lt;&gt;"E",R198=0),0,SUMIFS($R$18:$R$317,$B$18:$B$317,B198,$D$18:$D$317,D198,$P$18:$P$317,"E"))</f>
        <v/>
      </c>
      <c r="T198">
        <f>IF(OR(P198&lt;&gt;"F",R198=0),0,SUMIFS($R$18:$R$317,$B$18:$B$317,B198,$D$18:$D$317,D198,$P$18:$P$317,"F"))</f>
        <v/>
      </c>
      <c r="U198">
        <f>IF(OR(P198&lt;&gt;"A",R198=0),0,SUMIFS($R$18:$R$317,$B$18:$B$317,B198,$D$18:$D$317,D198,$P$18:$P$317,"A"))</f>
        <v/>
      </c>
      <c r="V198">
        <f>IF(OR(N198="",N198="OK",L198="Cancelled"),0,1)</f>
        <v/>
      </c>
    </row>
    <row r="199">
      <c r="B199" s="22" t="n"/>
      <c r="C199" s="23">
        <f>IF(B199="","",$E$9&amp;TEXT(N($E$10)+181,"000"))</f>
        <v/>
      </c>
      <c r="D199" s="14" t="n"/>
      <c r="E199" s="14" t="n"/>
      <c r="F199" s="14" t="n"/>
      <c r="G199" s="24" t="n"/>
      <c r="H199" s="14" t="n"/>
      <c r="I199" s="24" t="n"/>
      <c r="J199" s="25" t="n"/>
      <c r="K199" s="14" t="n"/>
      <c r="L199" s="24" t="n"/>
      <c r="M199" s="26">
        <f>IF(OR(N(J199)=0,L199="Cancelled"),"",IF(AND(N(J199)&gt;5000,H199="Cash"),"Yes: ₹1","No"))</f>
        <v/>
      </c>
      <c r="N199" s="27">
        <f>IF(AND(B199="",D199="",N(J199)=0),"",IF(B199="","Enter the date",IF(AND(ROW()&gt;18,B198=""),"Use the next empty row: a skipped row leaves a gap in the voucher numbers",IF(D199="","Enter who was paid",IF(N(J199)=0,"Enter the amount",IF(E199="","Pick the head of account",IF(P199="?","Pick the head from the list",IF(H199="","Pick how it was paid",IF(L199="Cancelled","Cancelled: keep this number unused and write a fresh voucher",IF(AND(H199&lt;&gt;"Cash",I199=""),"Enter the cheque no., UTR or UPI reference",IF(AND(N($E$11)&gt;0,N(J199)&gt;N($E$11),K199=""),"Above your approval limit: get it approved before paying",IF(S199&gt;10000,"Cash paid to this person today is over ₹10,000: not deductible, s.36(4)",IF(T199&gt;35000,"Cash freight to this transporter today is over ₹35,000: not deductible, s.36(6)",IF(U199&gt;10000,"Asset paid in cash over ₹10,000 today: left out of its cost, s.39(2)",IF(AND(P199="L",H199="Cash",N(J199)&gt;=20000),"Loan of ₹20,000 or more repaid in cash: barred, s.188","OK")))))))))))))))</f>
        <v/>
      </c>
      <c r="P199">
        <f>IF(E199="","",IFERROR(VLOOKUP(E199,Lists!$A$2:$B$17,2,FALSE),"?"))</f>
        <v/>
      </c>
      <c r="Q199">
        <f>IF(L199="Cancelled",0,N(J199))</f>
        <v/>
      </c>
      <c r="R199">
        <f>IF(H199="Cash",Q199,0)</f>
        <v/>
      </c>
      <c r="S199">
        <f>IF(OR(P199&lt;&gt;"E",R199=0),0,SUMIFS($R$18:$R$317,$B$18:$B$317,B199,$D$18:$D$317,D199,$P$18:$P$317,"E"))</f>
        <v/>
      </c>
      <c r="T199">
        <f>IF(OR(P199&lt;&gt;"F",R199=0),0,SUMIFS($R$18:$R$317,$B$18:$B$317,B199,$D$18:$D$317,D199,$P$18:$P$317,"F"))</f>
        <v/>
      </c>
      <c r="U199">
        <f>IF(OR(P199&lt;&gt;"A",R199=0),0,SUMIFS($R$18:$R$317,$B$18:$B$317,B199,$D$18:$D$317,D199,$P$18:$P$317,"A"))</f>
        <v/>
      </c>
      <c r="V199">
        <f>IF(OR(N199="",N199="OK",L199="Cancelled"),0,1)</f>
        <v/>
      </c>
    </row>
    <row r="200">
      <c r="B200" s="22" t="n"/>
      <c r="C200" s="23">
        <f>IF(B200="","",$E$9&amp;TEXT(N($E$10)+182,"000"))</f>
        <v/>
      </c>
      <c r="D200" s="14" t="n"/>
      <c r="E200" s="14" t="n"/>
      <c r="F200" s="14" t="n"/>
      <c r="G200" s="24" t="n"/>
      <c r="H200" s="14" t="n"/>
      <c r="I200" s="24" t="n"/>
      <c r="J200" s="25" t="n"/>
      <c r="K200" s="14" t="n"/>
      <c r="L200" s="24" t="n"/>
      <c r="M200" s="26">
        <f>IF(OR(N(J200)=0,L200="Cancelled"),"",IF(AND(N(J200)&gt;5000,H200="Cash"),"Yes: ₹1","No"))</f>
        <v/>
      </c>
      <c r="N200" s="27">
        <f>IF(AND(B200="",D200="",N(J200)=0),"",IF(B200="","Enter the date",IF(AND(ROW()&gt;18,B199=""),"Use the next empty row: a skipped row leaves a gap in the voucher numbers",IF(D200="","Enter who was paid",IF(N(J200)=0,"Enter the amount",IF(E200="","Pick the head of account",IF(P200="?","Pick the head from the list",IF(H200="","Pick how it was paid",IF(L200="Cancelled","Cancelled: keep this number unused and write a fresh voucher",IF(AND(H200&lt;&gt;"Cash",I200=""),"Enter the cheque no., UTR or UPI reference",IF(AND(N($E$11)&gt;0,N(J200)&gt;N($E$11),K200=""),"Above your approval limit: get it approved before paying",IF(S200&gt;10000,"Cash paid to this person today is over ₹10,000: not deductible, s.36(4)",IF(T200&gt;35000,"Cash freight to this transporter today is over ₹35,000: not deductible, s.36(6)",IF(U200&gt;10000,"Asset paid in cash over ₹10,000 today: left out of its cost, s.39(2)",IF(AND(P200="L",H200="Cash",N(J200)&gt;=20000),"Loan of ₹20,000 or more repaid in cash: barred, s.188","OK")))))))))))))))</f>
        <v/>
      </c>
      <c r="P200">
        <f>IF(E200="","",IFERROR(VLOOKUP(E200,Lists!$A$2:$B$17,2,FALSE),"?"))</f>
        <v/>
      </c>
      <c r="Q200">
        <f>IF(L200="Cancelled",0,N(J200))</f>
        <v/>
      </c>
      <c r="R200">
        <f>IF(H200="Cash",Q200,0)</f>
        <v/>
      </c>
      <c r="S200">
        <f>IF(OR(P200&lt;&gt;"E",R200=0),0,SUMIFS($R$18:$R$317,$B$18:$B$317,B200,$D$18:$D$317,D200,$P$18:$P$317,"E"))</f>
        <v/>
      </c>
      <c r="T200">
        <f>IF(OR(P200&lt;&gt;"F",R200=0),0,SUMIFS($R$18:$R$317,$B$18:$B$317,B200,$D$18:$D$317,D200,$P$18:$P$317,"F"))</f>
        <v/>
      </c>
      <c r="U200">
        <f>IF(OR(P200&lt;&gt;"A",R200=0),0,SUMIFS($R$18:$R$317,$B$18:$B$317,B200,$D$18:$D$317,D200,$P$18:$P$317,"A"))</f>
        <v/>
      </c>
      <c r="V200">
        <f>IF(OR(N200="",N200="OK",L200="Cancelled"),0,1)</f>
        <v/>
      </c>
    </row>
    <row r="201">
      <c r="B201" s="22" t="n"/>
      <c r="C201" s="23">
        <f>IF(B201="","",$E$9&amp;TEXT(N($E$10)+183,"000"))</f>
        <v/>
      </c>
      <c r="D201" s="14" t="n"/>
      <c r="E201" s="14" t="n"/>
      <c r="F201" s="14" t="n"/>
      <c r="G201" s="24" t="n"/>
      <c r="H201" s="14" t="n"/>
      <c r="I201" s="24" t="n"/>
      <c r="J201" s="25" t="n"/>
      <c r="K201" s="14" t="n"/>
      <c r="L201" s="24" t="n"/>
      <c r="M201" s="26">
        <f>IF(OR(N(J201)=0,L201="Cancelled"),"",IF(AND(N(J201)&gt;5000,H201="Cash"),"Yes: ₹1","No"))</f>
        <v/>
      </c>
      <c r="N201" s="27">
        <f>IF(AND(B201="",D201="",N(J201)=0),"",IF(B201="","Enter the date",IF(AND(ROW()&gt;18,B200=""),"Use the next empty row: a skipped row leaves a gap in the voucher numbers",IF(D201="","Enter who was paid",IF(N(J201)=0,"Enter the amount",IF(E201="","Pick the head of account",IF(P201="?","Pick the head from the list",IF(H201="","Pick how it was paid",IF(L201="Cancelled","Cancelled: keep this number unused and write a fresh voucher",IF(AND(H201&lt;&gt;"Cash",I201=""),"Enter the cheque no., UTR or UPI reference",IF(AND(N($E$11)&gt;0,N(J201)&gt;N($E$11),K201=""),"Above your approval limit: get it approved before paying",IF(S201&gt;10000,"Cash paid to this person today is over ₹10,000: not deductible, s.36(4)",IF(T201&gt;35000,"Cash freight to this transporter today is over ₹35,000: not deductible, s.36(6)",IF(U201&gt;10000,"Asset paid in cash over ₹10,000 today: left out of its cost, s.39(2)",IF(AND(P201="L",H201="Cash",N(J201)&gt;=20000),"Loan of ₹20,000 or more repaid in cash: barred, s.188","OK")))))))))))))))</f>
        <v/>
      </c>
      <c r="P201">
        <f>IF(E201="","",IFERROR(VLOOKUP(E201,Lists!$A$2:$B$17,2,FALSE),"?"))</f>
        <v/>
      </c>
      <c r="Q201">
        <f>IF(L201="Cancelled",0,N(J201))</f>
        <v/>
      </c>
      <c r="R201">
        <f>IF(H201="Cash",Q201,0)</f>
        <v/>
      </c>
      <c r="S201">
        <f>IF(OR(P201&lt;&gt;"E",R201=0),0,SUMIFS($R$18:$R$317,$B$18:$B$317,B201,$D$18:$D$317,D201,$P$18:$P$317,"E"))</f>
        <v/>
      </c>
      <c r="T201">
        <f>IF(OR(P201&lt;&gt;"F",R201=0),0,SUMIFS($R$18:$R$317,$B$18:$B$317,B201,$D$18:$D$317,D201,$P$18:$P$317,"F"))</f>
        <v/>
      </c>
      <c r="U201">
        <f>IF(OR(P201&lt;&gt;"A",R201=0),0,SUMIFS($R$18:$R$317,$B$18:$B$317,B201,$D$18:$D$317,D201,$P$18:$P$317,"A"))</f>
        <v/>
      </c>
      <c r="V201">
        <f>IF(OR(N201="",N201="OK",L201="Cancelled"),0,1)</f>
        <v/>
      </c>
    </row>
    <row r="202">
      <c r="B202" s="22" t="n"/>
      <c r="C202" s="23">
        <f>IF(B202="","",$E$9&amp;TEXT(N($E$10)+184,"000"))</f>
        <v/>
      </c>
      <c r="D202" s="14" t="n"/>
      <c r="E202" s="14" t="n"/>
      <c r="F202" s="14" t="n"/>
      <c r="G202" s="24" t="n"/>
      <c r="H202" s="14" t="n"/>
      <c r="I202" s="24" t="n"/>
      <c r="J202" s="25" t="n"/>
      <c r="K202" s="14" t="n"/>
      <c r="L202" s="24" t="n"/>
      <c r="M202" s="26">
        <f>IF(OR(N(J202)=0,L202="Cancelled"),"",IF(AND(N(J202)&gt;5000,H202="Cash"),"Yes: ₹1","No"))</f>
        <v/>
      </c>
      <c r="N202" s="27">
        <f>IF(AND(B202="",D202="",N(J202)=0),"",IF(B202="","Enter the date",IF(AND(ROW()&gt;18,B201=""),"Use the next empty row: a skipped row leaves a gap in the voucher numbers",IF(D202="","Enter who was paid",IF(N(J202)=0,"Enter the amount",IF(E202="","Pick the head of account",IF(P202="?","Pick the head from the list",IF(H202="","Pick how it was paid",IF(L202="Cancelled","Cancelled: keep this number unused and write a fresh voucher",IF(AND(H202&lt;&gt;"Cash",I202=""),"Enter the cheque no., UTR or UPI reference",IF(AND(N($E$11)&gt;0,N(J202)&gt;N($E$11),K202=""),"Above your approval limit: get it approved before paying",IF(S202&gt;10000,"Cash paid to this person today is over ₹10,000: not deductible, s.36(4)",IF(T202&gt;35000,"Cash freight to this transporter today is over ₹35,000: not deductible, s.36(6)",IF(U202&gt;10000,"Asset paid in cash over ₹10,000 today: left out of its cost, s.39(2)",IF(AND(P202="L",H202="Cash",N(J202)&gt;=20000),"Loan of ₹20,000 or more repaid in cash: barred, s.188","OK")))))))))))))))</f>
        <v/>
      </c>
      <c r="P202">
        <f>IF(E202="","",IFERROR(VLOOKUP(E202,Lists!$A$2:$B$17,2,FALSE),"?"))</f>
        <v/>
      </c>
      <c r="Q202">
        <f>IF(L202="Cancelled",0,N(J202))</f>
        <v/>
      </c>
      <c r="R202">
        <f>IF(H202="Cash",Q202,0)</f>
        <v/>
      </c>
      <c r="S202">
        <f>IF(OR(P202&lt;&gt;"E",R202=0),0,SUMIFS($R$18:$R$317,$B$18:$B$317,B202,$D$18:$D$317,D202,$P$18:$P$317,"E"))</f>
        <v/>
      </c>
      <c r="T202">
        <f>IF(OR(P202&lt;&gt;"F",R202=0),0,SUMIFS($R$18:$R$317,$B$18:$B$317,B202,$D$18:$D$317,D202,$P$18:$P$317,"F"))</f>
        <v/>
      </c>
      <c r="U202">
        <f>IF(OR(P202&lt;&gt;"A",R202=0),0,SUMIFS($R$18:$R$317,$B$18:$B$317,B202,$D$18:$D$317,D202,$P$18:$P$317,"A"))</f>
        <v/>
      </c>
      <c r="V202">
        <f>IF(OR(N202="",N202="OK",L202="Cancelled"),0,1)</f>
        <v/>
      </c>
    </row>
    <row r="203">
      <c r="B203" s="22" t="n"/>
      <c r="C203" s="23">
        <f>IF(B203="","",$E$9&amp;TEXT(N($E$10)+185,"000"))</f>
        <v/>
      </c>
      <c r="D203" s="14" t="n"/>
      <c r="E203" s="14" t="n"/>
      <c r="F203" s="14" t="n"/>
      <c r="G203" s="24" t="n"/>
      <c r="H203" s="14" t="n"/>
      <c r="I203" s="24" t="n"/>
      <c r="J203" s="25" t="n"/>
      <c r="K203" s="14" t="n"/>
      <c r="L203" s="24" t="n"/>
      <c r="M203" s="26">
        <f>IF(OR(N(J203)=0,L203="Cancelled"),"",IF(AND(N(J203)&gt;5000,H203="Cash"),"Yes: ₹1","No"))</f>
        <v/>
      </c>
      <c r="N203" s="27">
        <f>IF(AND(B203="",D203="",N(J203)=0),"",IF(B203="","Enter the date",IF(AND(ROW()&gt;18,B202=""),"Use the next empty row: a skipped row leaves a gap in the voucher numbers",IF(D203="","Enter who was paid",IF(N(J203)=0,"Enter the amount",IF(E203="","Pick the head of account",IF(P203="?","Pick the head from the list",IF(H203="","Pick how it was paid",IF(L203="Cancelled","Cancelled: keep this number unused and write a fresh voucher",IF(AND(H203&lt;&gt;"Cash",I203=""),"Enter the cheque no., UTR or UPI reference",IF(AND(N($E$11)&gt;0,N(J203)&gt;N($E$11),K203=""),"Above your approval limit: get it approved before paying",IF(S203&gt;10000,"Cash paid to this person today is over ₹10,000: not deductible, s.36(4)",IF(T203&gt;35000,"Cash freight to this transporter today is over ₹35,000: not deductible, s.36(6)",IF(U203&gt;10000,"Asset paid in cash over ₹10,000 today: left out of its cost, s.39(2)",IF(AND(P203="L",H203="Cash",N(J203)&gt;=20000),"Loan of ₹20,000 or more repaid in cash: barred, s.188","OK")))))))))))))))</f>
        <v/>
      </c>
      <c r="P203">
        <f>IF(E203="","",IFERROR(VLOOKUP(E203,Lists!$A$2:$B$17,2,FALSE),"?"))</f>
        <v/>
      </c>
      <c r="Q203">
        <f>IF(L203="Cancelled",0,N(J203))</f>
        <v/>
      </c>
      <c r="R203">
        <f>IF(H203="Cash",Q203,0)</f>
        <v/>
      </c>
      <c r="S203">
        <f>IF(OR(P203&lt;&gt;"E",R203=0),0,SUMIFS($R$18:$R$317,$B$18:$B$317,B203,$D$18:$D$317,D203,$P$18:$P$317,"E"))</f>
        <v/>
      </c>
      <c r="T203">
        <f>IF(OR(P203&lt;&gt;"F",R203=0),0,SUMIFS($R$18:$R$317,$B$18:$B$317,B203,$D$18:$D$317,D203,$P$18:$P$317,"F"))</f>
        <v/>
      </c>
      <c r="U203">
        <f>IF(OR(P203&lt;&gt;"A",R203=0),0,SUMIFS($R$18:$R$317,$B$18:$B$317,B203,$D$18:$D$317,D203,$P$18:$P$317,"A"))</f>
        <v/>
      </c>
      <c r="V203">
        <f>IF(OR(N203="",N203="OK",L203="Cancelled"),0,1)</f>
        <v/>
      </c>
    </row>
    <row r="204">
      <c r="B204" s="22" t="n"/>
      <c r="C204" s="23">
        <f>IF(B204="","",$E$9&amp;TEXT(N($E$10)+186,"000"))</f>
        <v/>
      </c>
      <c r="D204" s="14" t="n"/>
      <c r="E204" s="14" t="n"/>
      <c r="F204" s="14" t="n"/>
      <c r="G204" s="24" t="n"/>
      <c r="H204" s="14" t="n"/>
      <c r="I204" s="24" t="n"/>
      <c r="J204" s="25" t="n"/>
      <c r="K204" s="14" t="n"/>
      <c r="L204" s="24" t="n"/>
      <c r="M204" s="26">
        <f>IF(OR(N(J204)=0,L204="Cancelled"),"",IF(AND(N(J204)&gt;5000,H204="Cash"),"Yes: ₹1","No"))</f>
        <v/>
      </c>
      <c r="N204" s="27">
        <f>IF(AND(B204="",D204="",N(J204)=0),"",IF(B204="","Enter the date",IF(AND(ROW()&gt;18,B203=""),"Use the next empty row: a skipped row leaves a gap in the voucher numbers",IF(D204="","Enter who was paid",IF(N(J204)=0,"Enter the amount",IF(E204="","Pick the head of account",IF(P204="?","Pick the head from the list",IF(H204="","Pick how it was paid",IF(L204="Cancelled","Cancelled: keep this number unused and write a fresh voucher",IF(AND(H204&lt;&gt;"Cash",I204=""),"Enter the cheque no., UTR or UPI reference",IF(AND(N($E$11)&gt;0,N(J204)&gt;N($E$11),K204=""),"Above your approval limit: get it approved before paying",IF(S204&gt;10000,"Cash paid to this person today is over ₹10,000: not deductible, s.36(4)",IF(T204&gt;35000,"Cash freight to this transporter today is over ₹35,000: not deductible, s.36(6)",IF(U204&gt;10000,"Asset paid in cash over ₹10,000 today: left out of its cost, s.39(2)",IF(AND(P204="L",H204="Cash",N(J204)&gt;=20000),"Loan of ₹20,000 or more repaid in cash: barred, s.188","OK")))))))))))))))</f>
        <v/>
      </c>
      <c r="P204">
        <f>IF(E204="","",IFERROR(VLOOKUP(E204,Lists!$A$2:$B$17,2,FALSE),"?"))</f>
        <v/>
      </c>
      <c r="Q204">
        <f>IF(L204="Cancelled",0,N(J204))</f>
        <v/>
      </c>
      <c r="R204">
        <f>IF(H204="Cash",Q204,0)</f>
        <v/>
      </c>
      <c r="S204">
        <f>IF(OR(P204&lt;&gt;"E",R204=0),0,SUMIFS($R$18:$R$317,$B$18:$B$317,B204,$D$18:$D$317,D204,$P$18:$P$317,"E"))</f>
        <v/>
      </c>
      <c r="T204">
        <f>IF(OR(P204&lt;&gt;"F",R204=0),0,SUMIFS($R$18:$R$317,$B$18:$B$317,B204,$D$18:$D$317,D204,$P$18:$P$317,"F"))</f>
        <v/>
      </c>
      <c r="U204">
        <f>IF(OR(P204&lt;&gt;"A",R204=0),0,SUMIFS($R$18:$R$317,$B$18:$B$317,B204,$D$18:$D$317,D204,$P$18:$P$317,"A"))</f>
        <v/>
      </c>
      <c r="V204">
        <f>IF(OR(N204="",N204="OK",L204="Cancelled"),0,1)</f>
        <v/>
      </c>
    </row>
    <row r="205">
      <c r="B205" s="22" t="n"/>
      <c r="C205" s="23">
        <f>IF(B205="","",$E$9&amp;TEXT(N($E$10)+187,"000"))</f>
        <v/>
      </c>
      <c r="D205" s="14" t="n"/>
      <c r="E205" s="14" t="n"/>
      <c r="F205" s="14" t="n"/>
      <c r="G205" s="24" t="n"/>
      <c r="H205" s="14" t="n"/>
      <c r="I205" s="24" t="n"/>
      <c r="J205" s="25" t="n"/>
      <c r="K205" s="14" t="n"/>
      <c r="L205" s="24" t="n"/>
      <c r="M205" s="26">
        <f>IF(OR(N(J205)=0,L205="Cancelled"),"",IF(AND(N(J205)&gt;5000,H205="Cash"),"Yes: ₹1","No"))</f>
        <v/>
      </c>
      <c r="N205" s="27">
        <f>IF(AND(B205="",D205="",N(J205)=0),"",IF(B205="","Enter the date",IF(AND(ROW()&gt;18,B204=""),"Use the next empty row: a skipped row leaves a gap in the voucher numbers",IF(D205="","Enter who was paid",IF(N(J205)=0,"Enter the amount",IF(E205="","Pick the head of account",IF(P205="?","Pick the head from the list",IF(H205="","Pick how it was paid",IF(L205="Cancelled","Cancelled: keep this number unused and write a fresh voucher",IF(AND(H205&lt;&gt;"Cash",I205=""),"Enter the cheque no., UTR or UPI reference",IF(AND(N($E$11)&gt;0,N(J205)&gt;N($E$11),K205=""),"Above your approval limit: get it approved before paying",IF(S205&gt;10000,"Cash paid to this person today is over ₹10,000: not deductible, s.36(4)",IF(T205&gt;35000,"Cash freight to this transporter today is over ₹35,000: not deductible, s.36(6)",IF(U205&gt;10000,"Asset paid in cash over ₹10,000 today: left out of its cost, s.39(2)",IF(AND(P205="L",H205="Cash",N(J205)&gt;=20000),"Loan of ₹20,000 or more repaid in cash: barred, s.188","OK")))))))))))))))</f>
        <v/>
      </c>
      <c r="P205">
        <f>IF(E205="","",IFERROR(VLOOKUP(E205,Lists!$A$2:$B$17,2,FALSE),"?"))</f>
        <v/>
      </c>
      <c r="Q205">
        <f>IF(L205="Cancelled",0,N(J205))</f>
        <v/>
      </c>
      <c r="R205">
        <f>IF(H205="Cash",Q205,0)</f>
        <v/>
      </c>
      <c r="S205">
        <f>IF(OR(P205&lt;&gt;"E",R205=0),0,SUMIFS($R$18:$R$317,$B$18:$B$317,B205,$D$18:$D$317,D205,$P$18:$P$317,"E"))</f>
        <v/>
      </c>
      <c r="T205">
        <f>IF(OR(P205&lt;&gt;"F",R205=0),0,SUMIFS($R$18:$R$317,$B$18:$B$317,B205,$D$18:$D$317,D205,$P$18:$P$317,"F"))</f>
        <v/>
      </c>
      <c r="U205">
        <f>IF(OR(P205&lt;&gt;"A",R205=0),0,SUMIFS($R$18:$R$317,$B$18:$B$317,B205,$D$18:$D$317,D205,$P$18:$P$317,"A"))</f>
        <v/>
      </c>
      <c r="V205">
        <f>IF(OR(N205="",N205="OK",L205="Cancelled"),0,1)</f>
        <v/>
      </c>
    </row>
    <row r="206">
      <c r="B206" s="22" t="n"/>
      <c r="C206" s="23">
        <f>IF(B206="","",$E$9&amp;TEXT(N($E$10)+188,"000"))</f>
        <v/>
      </c>
      <c r="D206" s="14" t="n"/>
      <c r="E206" s="14" t="n"/>
      <c r="F206" s="14" t="n"/>
      <c r="G206" s="24" t="n"/>
      <c r="H206" s="14" t="n"/>
      <c r="I206" s="24" t="n"/>
      <c r="J206" s="25" t="n"/>
      <c r="K206" s="14" t="n"/>
      <c r="L206" s="24" t="n"/>
      <c r="M206" s="26">
        <f>IF(OR(N(J206)=0,L206="Cancelled"),"",IF(AND(N(J206)&gt;5000,H206="Cash"),"Yes: ₹1","No"))</f>
        <v/>
      </c>
      <c r="N206" s="27">
        <f>IF(AND(B206="",D206="",N(J206)=0),"",IF(B206="","Enter the date",IF(AND(ROW()&gt;18,B205=""),"Use the next empty row: a skipped row leaves a gap in the voucher numbers",IF(D206="","Enter who was paid",IF(N(J206)=0,"Enter the amount",IF(E206="","Pick the head of account",IF(P206="?","Pick the head from the list",IF(H206="","Pick how it was paid",IF(L206="Cancelled","Cancelled: keep this number unused and write a fresh voucher",IF(AND(H206&lt;&gt;"Cash",I206=""),"Enter the cheque no., UTR or UPI reference",IF(AND(N($E$11)&gt;0,N(J206)&gt;N($E$11),K206=""),"Above your approval limit: get it approved before paying",IF(S206&gt;10000,"Cash paid to this person today is over ₹10,000: not deductible, s.36(4)",IF(T206&gt;35000,"Cash freight to this transporter today is over ₹35,000: not deductible, s.36(6)",IF(U206&gt;10000,"Asset paid in cash over ₹10,000 today: left out of its cost, s.39(2)",IF(AND(P206="L",H206="Cash",N(J206)&gt;=20000),"Loan of ₹20,000 or more repaid in cash: barred, s.188","OK")))))))))))))))</f>
        <v/>
      </c>
      <c r="P206">
        <f>IF(E206="","",IFERROR(VLOOKUP(E206,Lists!$A$2:$B$17,2,FALSE),"?"))</f>
        <v/>
      </c>
      <c r="Q206">
        <f>IF(L206="Cancelled",0,N(J206))</f>
        <v/>
      </c>
      <c r="R206">
        <f>IF(H206="Cash",Q206,0)</f>
        <v/>
      </c>
      <c r="S206">
        <f>IF(OR(P206&lt;&gt;"E",R206=0),0,SUMIFS($R$18:$R$317,$B$18:$B$317,B206,$D$18:$D$317,D206,$P$18:$P$317,"E"))</f>
        <v/>
      </c>
      <c r="T206">
        <f>IF(OR(P206&lt;&gt;"F",R206=0),0,SUMIFS($R$18:$R$317,$B$18:$B$317,B206,$D$18:$D$317,D206,$P$18:$P$317,"F"))</f>
        <v/>
      </c>
      <c r="U206">
        <f>IF(OR(P206&lt;&gt;"A",R206=0),0,SUMIFS($R$18:$R$317,$B$18:$B$317,B206,$D$18:$D$317,D206,$P$18:$P$317,"A"))</f>
        <v/>
      </c>
      <c r="V206">
        <f>IF(OR(N206="",N206="OK",L206="Cancelled"),0,1)</f>
        <v/>
      </c>
    </row>
    <row r="207">
      <c r="B207" s="22" t="n"/>
      <c r="C207" s="23">
        <f>IF(B207="","",$E$9&amp;TEXT(N($E$10)+189,"000"))</f>
        <v/>
      </c>
      <c r="D207" s="14" t="n"/>
      <c r="E207" s="14" t="n"/>
      <c r="F207" s="14" t="n"/>
      <c r="G207" s="24" t="n"/>
      <c r="H207" s="14" t="n"/>
      <c r="I207" s="24" t="n"/>
      <c r="J207" s="25" t="n"/>
      <c r="K207" s="14" t="n"/>
      <c r="L207" s="24" t="n"/>
      <c r="M207" s="26">
        <f>IF(OR(N(J207)=0,L207="Cancelled"),"",IF(AND(N(J207)&gt;5000,H207="Cash"),"Yes: ₹1","No"))</f>
        <v/>
      </c>
      <c r="N207" s="27">
        <f>IF(AND(B207="",D207="",N(J207)=0),"",IF(B207="","Enter the date",IF(AND(ROW()&gt;18,B206=""),"Use the next empty row: a skipped row leaves a gap in the voucher numbers",IF(D207="","Enter who was paid",IF(N(J207)=0,"Enter the amount",IF(E207="","Pick the head of account",IF(P207="?","Pick the head from the list",IF(H207="","Pick how it was paid",IF(L207="Cancelled","Cancelled: keep this number unused and write a fresh voucher",IF(AND(H207&lt;&gt;"Cash",I207=""),"Enter the cheque no., UTR or UPI reference",IF(AND(N($E$11)&gt;0,N(J207)&gt;N($E$11),K207=""),"Above your approval limit: get it approved before paying",IF(S207&gt;10000,"Cash paid to this person today is over ₹10,000: not deductible, s.36(4)",IF(T207&gt;35000,"Cash freight to this transporter today is over ₹35,000: not deductible, s.36(6)",IF(U207&gt;10000,"Asset paid in cash over ₹10,000 today: left out of its cost, s.39(2)",IF(AND(P207="L",H207="Cash",N(J207)&gt;=20000),"Loan of ₹20,000 or more repaid in cash: barred, s.188","OK")))))))))))))))</f>
        <v/>
      </c>
      <c r="P207">
        <f>IF(E207="","",IFERROR(VLOOKUP(E207,Lists!$A$2:$B$17,2,FALSE),"?"))</f>
        <v/>
      </c>
      <c r="Q207">
        <f>IF(L207="Cancelled",0,N(J207))</f>
        <v/>
      </c>
      <c r="R207">
        <f>IF(H207="Cash",Q207,0)</f>
        <v/>
      </c>
      <c r="S207">
        <f>IF(OR(P207&lt;&gt;"E",R207=0),0,SUMIFS($R$18:$R$317,$B$18:$B$317,B207,$D$18:$D$317,D207,$P$18:$P$317,"E"))</f>
        <v/>
      </c>
      <c r="T207">
        <f>IF(OR(P207&lt;&gt;"F",R207=0),0,SUMIFS($R$18:$R$317,$B$18:$B$317,B207,$D$18:$D$317,D207,$P$18:$P$317,"F"))</f>
        <v/>
      </c>
      <c r="U207">
        <f>IF(OR(P207&lt;&gt;"A",R207=0),0,SUMIFS($R$18:$R$317,$B$18:$B$317,B207,$D$18:$D$317,D207,$P$18:$P$317,"A"))</f>
        <v/>
      </c>
      <c r="V207">
        <f>IF(OR(N207="",N207="OK",L207="Cancelled"),0,1)</f>
        <v/>
      </c>
    </row>
    <row r="208">
      <c r="B208" s="22" t="n"/>
      <c r="C208" s="23">
        <f>IF(B208="","",$E$9&amp;TEXT(N($E$10)+190,"000"))</f>
        <v/>
      </c>
      <c r="D208" s="14" t="n"/>
      <c r="E208" s="14" t="n"/>
      <c r="F208" s="14" t="n"/>
      <c r="G208" s="24" t="n"/>
      <c r="H208" s="14" t="n"/>
      <c r="I208" s="24" t="n"/>
      <c r="J208" s="25" t="n"/>
      <c r="K208" s="14" t="n"/>
      <c r="L208" s="24" t="n"/>
      <c r="M208" s="26">
        <f>IF(OR(N(J208)=0,L208="Cancelled"),"",IF(AND(N(J208)&gt;5000,H208="Cash"),"Yes: ₹1","No"))</f>
        <v/>
      </c>
      <c r="N208" s="27">
        <f>IF(AND(B208="",D208="",N(J208)=0),"",IF(B208="","Enter the date",IF(AND(ROW()&gt;18,B207=""),"Use the next empty row: a skipped row leaves a gap in the voucher numbers",IF(D208="","Enter who was paid",IF(N(J208)=0,"Enter the amount",IF(E208="","Pick the head of account",IF(P208="?","Pick the head from the list",IF(H208="","Pick how it was paid",IF(L208="Cancelled","Cancelled: keep this number unused and write a fresh voucher",IF(AND(H208&lt;&gt;"Cash",I208=""),"Enter the cheque no., UTR or UPI reference",IF(AND(N($E$11)&gt;0,N(J208)&gt;N($E$11),K208=""),"Above your approval limit: get it approved before paying",IF(S208&gt;10000,"Cash paid to this person today is over ₹10,000: not deductible, s.36(4)",IF(T208&gt;35000,"Cash freight to this transporter today is over ₹35,000: not deductible, s.36(6)",IF(U208&gt;10000,"Asset paid in cash over ₹10,000 today: left out of its cost, s.39(2)",IF(AND(P208="L",H208="Cash",N(J208)&gt;=20000),"Loan of ₹20,000 or more repaid in cash: barred, s.188","OK")))))))))))))))</f>
        <v/>
      </c>
      <c r="P208">
        <f>IF(E208="","",IFERROR(VLOOKUP(E208,Lists!$A$2:$B$17,2,FALSE),"?"))</f>
        <v/>
      </c>
      <c r="Q208">
        <f>IF(L208="Cancelled",0,N(J208))</f>
        <v/>
      </c>
      <c r="R208">
        <f>IF(H208="Cash",Q208,0)</f>
        <v/>
      </c>
      <c r="S208">
        <f>IF(OR(P208&lt;&gt;"E",R208=0),0,SUMIFS($R$18:$R$317,$B$18:$B$317,B208,$D$18:$D$317,D208,$P$18:$P$317,"E"))</f>
        <v/>
      </c>
      <c r="T208">
        <f>IF(OR(P208&lt;&gt;"F",R208=0),0,SUMIFS($R$18:$R$317,$B$18:$B$317,B208,$D$18:$D$317,D208,$P$18:$P$317,"F"))</f>
        <v/>
      </c>
      <c r="U208">
        <f>IF(OR(P208&lt;&gt;"A",R208=0),0,SUMIFS($R$18:$R$317,$B$18:$B$317,B208,$D$18:$D$317,D208,$P$18:$P$317,"A"))</f>
        <v/>
      </c>
      <c r="V208">
        <f>IF(OR(N208="",N208="OK",L208="Cancelled"),0,1)</f>
        <v/>
      </c>
    </row>
    <row r="209">
      <c r="B209" s="22" t="n"/>
      <c r="C209" s="23">
        <f>IF(B209="","",$E$9&amp;TEXT(N($E$10)+191,"000"))</f>
        <v/>
      </c>
      <c r="D209" s="14" t="n"/>
      <c r="E209" s="14" t="n"/>
      <c r="F209" s="14" t="n"/>
      <c r="G209" s="24" t="n"/>
      <c r="H209" s="14" t="n"/>
      <c r="I209" s="24" t="n"/>
      <c r="J209" s="25" t="n"/>
      <c r="K209" s="14" t="n"/>
      <c r="L209" s="24" t="n"/>
      <c r="M209" s="26">
        <f>IF(OR(N(J209)=0,L209="Cancelled"),"",IF(AND(N(J209)&gt;5000,H209="Cash"),"Yes: ₹1","No"))</f>
        <v/>
      </c>
      <c r="N209" s="27">
        <f>IF(AND(B209="",D209="",N(J209)=0),"",IF(B209="","Enter the date",IF(AND(ROW()&gt;18,B208=""),"Use the next empty row: a skipped row leaves a gap in the voucher numbers",IF(D209="","Enter who was paid",IF(N(J209)=0,"Enter the amount",IF(E209="","Pick the head of account",IF(P209="?","Pick the head from the list",IF(H209="","Pick how it was paid",IF(L209="Cancelled","Cancelled: keep this number unused and write a fresh voucher",IF(AND(H209&lt;&gt;"Cash",I209=""),"Enter the cheque no., UTR or UPI reference",IF(AND(N($E$11)&gt;0,N(J209)&gt;N($E$11),K209=""),"Above your approval limit: get it approved before paying",IF(S209&gt;10000,"Cash paid to this person today is over ₹10,000: not deductible, s.36(4)",IF(T209&gt;35000,"Cash freight to this transporter today is over ₹35,000: not deductible, s.36(6)",IF(U209&gt;10000,"Asset paid in cash over ₹10,000 today: left out of its cost, s.39(2)",IF(AND(P209="L",H209="Cash",N(J209)&gt;=20000),"Loan of ₹20,000 or more repaid in cash: barred, s.188","OK")))))))))))))))</f>
        <v/>
      </c>
      <c r="P209">
        <f>IF(E209="","",IFERROR(VLOOKUP(E209,Lists!$A$2:$B$17,2,FALSE),"?"))</f>
        <v/>
      </c>
      <c r="Q209">
        <f>IF(L209="Cancelled",0,N(J209))</f>
        <v/>
      </c>
      <c r="R209">
        <f>IF(H209="Cash",Q209,0)</f>
        <v/>
      </c>
      <c r="S209">
        <f>IF(OR(P209&lt;&gt;"E",R209=0),0,SUMIFS($R$18:$R$317,$B$18:$B$317,B209,$D$18:$D$317,D209,$P$18:$P$317,"E"))</f>
        <v/>
      </c>
      <c r="T209">
        <f>IF(OR(P209&lt;&gt;"F",R209=0),0,SUMIFS($R$18:$R$317,$B$18:$B$317,B209,$D$18:$D$317,D209,$P$18:$P$317,"F"))</f>
        <v/>
      </c>
      <c r="U209">
        <f>IF(OR(P209&lt;&gt;"A",R209=0),0,SUMIFS($R$18:$R$317,$B$18:$B$317,B209,$D$18:$D$317,D209,$P$18:$P$317,"A"))</f>
        <v/>
      </c>
      <c r="V209">
        <f>IF(OR(N209="",N209="OK",L209="Cancelled"),0,1)</f>
        <v/>
      </c>
    </row>
    <row r="210">
      <c r="B210" s="22" t="n"/>
      <c r="C210" s="23">
        <f>IF(B210="","",$E$9&amp;TEXT(N($E$10)+192,"000"))</f>
        <v/>
      </c>
      <c r="D210" s="14" t="n"/>
      <c r="E210" s="14" t="n"/>
      <c r="F210" s="14" t="n"/>
      <c r="G210" s="24" t="n"/>
      <c r="H210" s="14" t="n"/>
      <c r="I210" s="24" t="n"/>
      <c r="J210" s="25" t="n"/>
      <c r="K210" s="14" t="n"/>
      <c r="L210" s="24" t="n"/>
      <c r="M210" s="26">
        <f>IF(OR(N(J210)=0,L210="Cancelled"),"",IF(AND(N(J210)&gt;5000,H210="Cash"),"Yes: ₹1","No"))</f>
        <v/>
      </c>
      <c r="N210" s="27">
        <f>IF(AND(B210="",D210="",N(J210)=0),"",IF(B210="","Enter the date",IF(AND(ROW()&gt;18,B209=""),"Use the next empty row: a skipped row leaves a gap in the voucher numbers",IF(D210="","Enter who was paid",IF(N(J210)=0,"Enter the amount",IF(E210="","Pick the head of account",IF(P210="?","Pick the head from the list",IF(H210="","Pick how it was paid",IF(L210="Cancelled","Cancelled: keep this number unused and write a fresh voucher",IF(AND(H210&lt;&gt;"Cash",I210=""),"Enter the cheque no., UTR or UPI reference",IF(AND(N($E$11)&gt;0,N(J210)&gt;N($E$11),K210=""),"Above your approval limit: get it approved before paying",IF(S210&gt;10000,"Cash paid to this person today is over ₹10,000: not deductible, s.36(4)",IF(T210&gt;35000,"Cash freight to this transporter today is over ₹35,000: not deductible, s.36(6)",IF(U210&gt;10000,"Asset paid in cash over ₹10,000 today: left out of its cost, s.39(2)",IF(AND(P210="L",H210="Cash",N(J210)&gt;=20000),"Loan of ₹20,000 or more repaid in cash: barred, s.188","OK")))))))))))))))</f>
        <v/>
      </c>
      <c r="P210">
        <f>IF(E210="","",IFERROR(VLOOKUP(E210,Lists!$A$2:$B$17,2,FALSE),"?"))</f>
        <v/>
      </c>
      <c r="Q210">
        <f>IF(L210="Cancelled",0,N(J210))</f>
        <v/>
      </c>
      <c r="R210">
        <f>IF(H210="Cash",Q210,0)</f>
        <v/>
      </c>
      <c r="S210">
        <f>IF(OR(P210&lt;&gt;"E",R210=0),0,SUMIFS($R$18:$R$317,$B$18:$B$317,B210,$D$18:$D$317,D210,$P$18:$P$317,"E"))</f>
        <v/>
      </c>
      <c r="T210">
        <f>IF(OR(P210&lt;&gt;"F",R210=0),0,SUMIFS($R$18:$R$317,$B$18:$B$317,B210,$D$18:$D$317,D210,$P$18:$P$317,"F"))</f>
        <v/>
      </c>
      <c r="U210">
        <f>IF(OR(P210&lt;&gt;"A",R210=0),0,SUMIFS($R$18:$R$317,$B$18:$B$317,B210,$D$18:$D$317,D210,$P$18:$P$317,"A"))</f>
        <v/>
      </c>
      <c r="V210">
        <f>IF(OR(N210="",N210="OK",L210="Cancelled"),0,1)</f>
        <v/>
      </c>
    </row>
    <row r="211">
      <c r="B211" s="22" t="n"/>
      <c r="C211" s="23">
        <f>IF(B211="","",$E$9&amp;TEXT(N($E$10)+193,"000"))</f>
        <v/>
      </c>
      <c r="D211" s="14" t="n"/>
      <c r="E211" s="14" t="n"/>
      <c r="F211" s="14" t="n"/>
      <c r="G211" s="24" t="n"/>
      <c r="H211" s="14" t="n"/>
      <c r="I211" s="24" t="n"/>
      <c r="J211" s="25" t="n"/>
      <c r="K211" s="14" t="n"/>
      <c r="L211" s="24" t="n"/>
      <c r="M211" s="26">
        <f>IF(OR(N(J211)=0,L211="Cancelled"),"",IF(AND(N(J211)&gt;5000,H211="Cash"),"Yes: ₹1","No"))</f>
        <v/>
      </c>
      <c r="N211" s="27">
        <f>IF(AND(B211="",D211="",N(J211)=0),"",IF(B211="","Enter the date",IF(AND(ROW()&gt;18,B210=""),"Use the next empty row: a skipped row leaves a gap in the voucher numbers",IF(D211="","Enter who was paid",IF(N(J211)=0,"Enter the amount",IF(E211="","Pick the head of account",IF(P211="?","Pick the head from the list",IF(H211="","Pick how it was paid",IF(L211="Cancelled","Cancelled: keep this number unused and write a fresh voucher",IF(AND(H211&lt;&gt;"Cash",I211=""),"Enter the cheque no., UTR or UPI reference",IF(AND(N($E$11)&gt;0,N(J211)&gt;N($E$11),K211=""),"Above your approval limit: get it approved before paying",IF(S211&gt;10000,"Cash paid to this person today is over ₹10,000: not deductible, s.36(4)",IF(T211&gt;35000,"Cash freight to this transporter today is over ₹35,000: not deductible, s.36(6)",IF(U211&gt;10000,"Asset paid in cash over ₹10,000 today: left out of its cost, s.39(2)",IF(AND(P211="L",H211="Cash",N(J211)&gt;=20000),"Loan of ₹20,000 or more repaid in cash: barred, s.188","OK")))))))))))))))</f>
        <v/>
      </c>
      <c r="P211">
        <f>IF(E211="","",IFERROR(VLOOKUP(E211,Lists!$A$2:$B$17,2,FALSE),"?"))</f>
        <v/>
      </c>
      <c r="Q211">
        <f>IF(L211="Cancelled",0,N(J211))</f>
        <v/>
      </c>
      <c r="R211">
        <f>IF(H211="Cash",Q211,0)</f>
        <v/>
      </c>
      <c r="S211">
        <f>IF(OR(P211&lt;&gt;"E",R211=0),0,SUMIFS($R$18:$R$317,$B$18:$B$317,B211,$D$18:$D$317,D211,$P$18:$P$317,"E"))</f>
        <v/>
      </c>
      <c r="T211">
        <f>IF(OR(P211&lt;&gt;"F",R211=0),0,SUMIFS($R$18:$R$317,$B$18:$B$317,B211,$D$18:$D$317,D211,$P$18:$P$317,"F"))</f>
        <v/>
      </c>
      <c r="U211">
        <f>IF(OR(P211&lt;&gt;"A",R211=0),0,SUMIFS($R$18:$R$317,$B$18:$B$317,B211,$D$18:$D$317,D211,$P$18:$P$317,"A"))</f>
        <v/>
      </c>
      <c r="V211">
        <f>IF(OR(N211="",N211="OK",L211="Cancelled"),0,1)</f>
        <v/>
      </c>
    </row>
    <row r="212">
      <c r="B212" s="22" t="n"/>
      <c r="C212" s="23">
        <f>IF(B212="","",$E$9&amp;TEXT(N($E$10)+194,"000"))</f>
        <v/>
      </c>
      <c r="D212" s="14" t="n"/>
      <c r="E212" s="14" t="n"/>
      <c r="F212" s="14" t="n"/>
      <c r="G212" s="24" t="n"/>
      <c r="H212" s="14" t="n"/>
      <c r="I212" s="24" t="n"/>
      <c r="J212" s="25" t="n"/>
      <c r="K212" s="14" t="n"/>
      <c r="L212" s="24" t="n"/>
      <c r="M212" s="26">
        <f>IF(OR(N(J212)=0,L212="Cancelled"),"",IF(AND(N(J212)&gt;5000,H212="Cash"),"Yes: ₹1","No"))</f>
        <v/>
      </c>
      <c r="N212" s="27">
        <f>IF(AND(B212="",D212="",N(J212)=0),"",IF(B212="","Enter the date",IF(AND(ROW()&gt;18,B211=""),"Use the next empty row: a skipped row leaves a gap in the voucher numbers",IF(D212="","Enter who was paid",IF(N(J212)=0,"Enter the amount",IF(E212="","Pick the head of account",IF(P212="?","Pick the head from the list",IF(H212="","Pick how it was paid",IF(L212="Cancelled","Cancelled: keep this number unused and write a fresh voucher",IF(AND(H212&lt;&gt;"Cash",I212=""),"Enter the cheque no., UTR or UPI reference",IF(AND(N($E$11)&gt;0,N(J212)&gt;N($E$11),K212=""),"Above your approval limit: get it approved before paying",IF(S212&gt;10000,"Cash paid to this person today is over ₹10,000: not deductible, s.36(4)",IF(T212&gt;35000,"Cash freight to this transporter today is over ₹35,000: not deductible, s.36(6)",IF(U212&gt;10000,"Asset paid in cash over ₹10,000 today: left out of its cost, s.39(2)",IF(AND(P212="L",H212="Cash",N(J212)&gt;=20000),"Loan of ₹20,000 or more repaid in cash: barred, s.188","OK")))))))))))))))</f>
        <v/>
      </c>
      <c r="P212">
        <f>IF(E212="","",IFERROR(VLOOKUP(E212,Lists!$A$2:$B$17,2,FALSE),"?"))</f>
        <v/>
      </c>
      <c r="Q212">
        <f>IF(L212="Cancelled",0,N(J212))</f>
        <v/>
      </c>
      <c r="R212">
        <f>IF(H212="Cash",Q212,0)</f>
        <v/>
      </c>
      <c r="S212">
        <f>IF(OR(P212&lt;&gt;"E",R212=0),0,SUMIFS($R$18:$R$317,$B$18:$B$317,B212,$D$18:$D$317,D212,$P$18:$P$317,"E"))</f>
        <v/>
      </c>
      <c r="T212">
        <f>IF(OR(P212&lt;&gt;"F",R212=0),0,SUMIFS($R$18:$R$317,$B$18:$B$317,B212,$D$18:$D$317,D212,$P$18:$P$317,"F"))</f>
        <v/>
      </c>
      <c r="U212">
        <f>IF(OR(P212&lt;&gt;"A",R212=0),0,SUMIFS($R$18:$R$317,$B$18:$B$317,B212,$D$18:$D$317,D212,$P$18:$P$317,"A"))</f>
        <v/>
      </c>
      <c r="V212">
        <f>IF(OR(N212="",N212="OK",L212="Cancelled"),0,1)</f>
        <v/>
      </c>
    </row>
    <row r="213">
      <c r="B213" s="22" t="n"/>
      <c r="C213" s="23">
        <f>IF(B213="","",$E$9&amp;TEXT(N($E$10)+195,"000"))</f>
        <v/>
      </c>
      <c r="D213" s="14" t="n"/>
      <c r="E213" s="14" t="n"/>
      <c r="F213" s="14" t="n"/>
      <c r="G213" s="24" t="n"/>
      <c r="H213" s="14" t="n"/>
      <c r="I213" s="24" t="n"/>
      <c r="J213" s="25" t="n"/>
      <c r="K213" s="14" t="n"/>
      <c r="L213" s="24" t="n"/>
      <c r="M213" s="26">
        <f>IF(OR(N(J213)=0,L213="Cancelled"),"",IF(AND(N(J213)&gt;5000,H213="Cash"),"Yes: ₹1","No"))</f>
        <v/>
      </c>
      <c r="N213" s="27">
        <f>IF(AND(B213="",D213="",N(J213)=0),"",IF(B213="","Enter the date",IF(AND(ROW()&gt;18,B212=""),"Use the next empty row: a skipped row leaves a gap in the voucher numbers",IF(D213="","Enter who was paid",IF(N(J213)=0,"Enter the amount",IF(E213="","Pick the head of account",IF(P213="?","Pick the head from the list",IF(H213="","Pick how it was paid",IF(L213="Cancelled","Cancelled: keep this number unused and write a fresh voucher",IF(AND(H213&lt;&gt;"Cash",I213=""),"Enter the cheque no., UTR or UPI reference",IF(AND(N($E$11)&gt;0,N(J213)&gt;N($E$11),K213=""),"Above your approval limit: get it approved before paying",IF(S213&gt;10000,"Cash paid to this person today is over ₹10,000: not deductible, s.36(4)",IF(T213&gt;35000,"Cash freight to this transporter today is over ₹35,000: not deductible, s.36(6)",IF(U213&gt;10000,"Asset paid in cash over ₹10,000 today: left out of its cost, s.39(2)",IF(AND(P213="L",H213="Cash",N(J213)&gt;=20000),"Loan of ₹20,000 or more repaid in cash: barred, s.188","OK")))))))))))))))</f>
        <v/>
      </c>
      <c r="P213">
        <f>IF(E213="","",IFERROR(VLOOKUP(E213,Lists!$A$2:$B$17,2,FALSE),"?"))</f>
        <v/>
      </c>
      <c r="Q213">
        <f>IF(L213="Cancelled",0,N(J213))</f>
        <v/>
      </c>
      <c r="R213">
        <f>IF(H213="Cash",Q213,0)</f>
        <v/>
      </c>
      <c r="S213">
        <f>IF(OR(P213&lt;&gt;"E",R213=0),0,SUMIFS($R$18:$R$317,$B$18:$B$317,B213,$D$18:$D$317,D213,$P$18:$P$317,"E"))</f>
        <v/>
      </c>
      <c r="T213">
        <f>IF(OR(P213&lt;&gt;"F",R213=0),0,SUMIFS($R$18:$R$317,$B$18:$B$317,B213,$D$18:$D$317,D213,$P$18:$P$317,"F"))</f>
        <v/>
      </c>
      <c r="U213">
        <f>IF(OR(P213&lt;&gt;"A",R213=0),0,SUMIFS($R$18:$R$317,$B$18:$B$317,B213,$D$18:$D$317,D213,$P$18:$P$317,"A"))</f>
        <v/>
      </c>
      <c r="V213">
        <f>IF(OR(N213="",N213="OK",L213="Cancelled"),0,1)</f>
        <v/>
      </c>
    </row>
    <row r="214">
      <c r="B214" s="22" t="n"/>
      <c r="C214" s="23">
        <f>IF(B214="","",$E$9&amp;TEXT(N($E$10)+196,"000"))</f>
        <v/>
      </c>
      <c r="D214" s="14" t="n"/>
      <c r="E214" s="14" t="n"/>
      <c r="F214" s="14" t="n"/>
      <c r="G214" s="24" t="n"/>
      <c r="H214" s="14" t="n"/>
      <c r="I214" s="24" t="n"/>
      <c r="J214" s="25" t="n"/>
      <c r="K214" s="14" t="n"/>
      <c r="L214" s="24" t="n"/>
      <c r="M214" s="26">
        <f>IF(OR(N(J214)=0,L214="Cancelled"),"",IF(AND(N(J214)&gt;5000,H214="Cash"),"Yes: ₹1","No"))</f>
        <v/>
      </c>
      <c r="N214" s="27">
        <f>IF(AND(B214="",D214="",N(J214)=0),"",IF(B214="","Enter the date",IF(AND(ROW()&gt;18,B213=""),"Use the next empty row: a skipped row leaves a gap in the voucher numbers",IF(D214="","Enter who was paid",IF(N(J214)=0,"Enter the amount",IF(E214="","Pick the head of account",IF(P214="?","Pick the head from the list",IF(H214="","Pick how it was paid",IF(L214="Cancelled","Cancelled: keep this number unused and write a fresh voucher",IF(AND(H214&lt;&gt;"Cash",I214=""),"Enter the cheque no., UTR or UPI reference",IF(AND(N($E$11)&gt;0,N(J214)&gt;N($E$11),K214=""),"Above your approval limit: get it approved before paying",IF(S214&gt;10000,"Cash paid to this person today is over ₹10,000: not deductible, s.36(4)",IF(T214&gt;35000,"Cash freight to this transporter today is over ₹35,000: not deductible, s.36(6)",IF(U214&gt;10000,"Asset paid in cash over ₹10,000 today: left out of its cost, s.39(2)",IF(AND(P214="L",H214="Cash",N(J214)&gt;=20000),"Loan of ₹20,000 or more repaid in cash: barred, s.188","OK")))))))))))))))</f>
        <v/>
      </c>
      <c r="P214">
        <f>IF(E214="","",IFERROR(VLOOKUP(E214,Lists!$A$2:$B$17,2,FALSE),"?"))</f>
        <v/>
      </c>
      <c r="Q214">
        <f>IF(L214="Cancelled",0,N(J214))</f>
        <v/>
      </c>
      <c r="R214">
        <f>IF(H214="Cash",Q214,0)</f>
        <v/>
      </c>
      <c r="S214">
        <f>IF(OR(P214&lt;&gt;"E",R214=0),0,SUMIFS($R$18:$R$317,$B$18:$B$317,B214,$D$18:$D$317,D214,$P$18:$P$317,"E"))</f>
        <v/>
      </c>
      <c r="T214">
        <f>IF(OR(P214&lt;&gt;"F",R214=0),0,SUMIFS($R$18:$R$317,$B$18:$B$317,B214,$D$18:$D$317,D214,$P$18:$P$317,"F"))</f>
        <v/>
      </c>
      <c r="U214">
        <f>IF(OR(P214&lt;&gt;"A",R214=0),0,SUMIFS($R$18:$R$317,$B$18:$B$317,B214,$D$18:$D$317,D214,$P$18:$P$317,"A"))</f>
        <v/>
      </c>
      <c r="V214">
        <f>IF(OR(N214="",N214="OK",L214="Cancelled"),0,1)</f>
        <v/>
      </c>
    </row>
    <row r="215">
      <c r="B215" s="22" t="n"/>
      <c r="C215" s="23">
        <f>IF(B215="","",$E$9&amp;TEXT(N($E$10)+197,"000"))</f>
        <v/>
      </c>
      <c r="D215" s="14" t="n"/>
      <c r="E215" s="14" t="n"/>
      <c r="F215" s="14" t="n"/>
      <c r="G215" s="24" t="n"/>
      <c r="H215" s="14" t="n"/>
      <c r="I215" s="24" t="n"/>
      <c r="J215" s="25" t="n"/>
      <c r="K215" s="14" t="n"/>
      <c r="L215" s="24" t="n"/>
      <c r="M215" s="26">
        <f>IF(OR(N(J215)=0,L215="Cancelled"),"",IF(AND(N(J215)&gt;5000,H215="Cash"),"Yes: ₹1","No"))</f>
        <v/>
      </c>
      <c r="N215" s="27">
        <f>IF(AND(B215="",D215="",N(J215)=0),"",IF(B215="","Enter the date",IF(AND(ROW()&gt;18,B214=""),"Use the next empty row: a skipped row leaves a gap in the voucher numbers",IF(D215="","Enter who was paid",IF(N(J215)=0,"Enter the amount",IF(E215="","Pick the head of account",IF(P215="?","Pick the head from the list",IF(H215="","Pick how it was paid",IF(L215="Cancelled","Cancelled: keep this number unused and write a fresh voucher",IF(AND(H215&lt;&gt;"Cash",I215=""),"Enter the cheque no., UTR or UPI reference",IF(AND(N($E$11)&gt;0,N(J215)&gt;N($E$11),K215=""),"Above your approval limit: get it approved before paying",IF(S215&gt;10000,"Cash paid to this person today is over ₹10,000: not deductible, s.36(4)",IF(T215&gt;35000,"Cash freight to this transporter today is over ₹35,000: not deductible, s.36(6)",IF(U215&gt;10000,"Asset paid in cash over ₹10,000 today: left out of its cost, s.39(2)",IF(AND(P215="L",H215="Cash",N(J215)&gt;=20000),"Loan of ₹20,000 or more repaid in cash: barred, s.188","OK")))))))))))))))</f>
        <v/>
      </c>
      <c r="P215">
        <f>IF(E215="","",IFERROR(VLOOKUP(E215,Lists!$A$2:$B$17,2,FALSE),"?"))</f>
        <v/>
      </c>
      <c r="Q215">
        <f>IF(L215="Cancelled",0,N(J215))</f>
        <v/>
      </c>
      <c r="R215">
        <f>IF(H215="Cash",Q215,0)</f>
        <v/>
      </c>
      <c r="S215">
        <f>IF(OR(P215&lt;&gt;"E",R215=0),0,SUMIFS($R$18:$R$317,$B$18:$B$317,B215,$D$18:$D$317,D215,$P$18:$P$317,"E"))</f>
        <v/>
      </c>
      <c r="T215">
        <f>IF(OR(P215&lt;&gt;"F",R215=0),0,SUMIFS($R$18:$R$317,$B$18:$B$317,B215,$D$18:$D$317,D215,$P$18:$P$317,"F"))</f>
        <v/>
      </c>
      <c r="U215">
        <f>IF(OR(P215&lt;&gt;"A",R215=0),0,SUMIFS($R$18:$R$317,$B$18:$B$317,B215,$D$18:$D$317,D215,$P$18:$P$317,"A"))</f>
        <v/>
      </c>
      <c r="V215">
        <f>IF(OR(N215="",N215="OK",L215="Cancelled"),0,1)</f>
        <v/>
      </c>
    </row>
    <row r="216">
      <c r="B216" s="22" t="n"/>
      <c r="C216" s="23">
        <f>IF(B216="","",$E$9&amp;TEXT(N($E$10)+198,"000"))</f>
        <v/>
      </c>
      <c r="D216" s="14" t="n"/>
      <c r="E216" s="14" t="n"/>
      <c r="F216" s="14" t="n"/>
      <c r="G216" s="24" t="n"/>
      <c r="H216" s="14" t="n"/>
      <c r="I216" s="24" t="n"/>
      <c r="J216" s="25" t="n"/>
      <c r="K216" s="14" t="n"/>
      <c r="L216" s="24" t="n"/>
      <c r="M216" s="26">
        <f>IF(OR(N(J216)=0,L216="Cancelled"),"",IF(AND(N(J216)&gt;5000,H216="Cash"),"Yes: ₹1","No"))</f>
        <v/>
      </c>
      <c r="N216" s="27">
        <f>IF(AND(B216="",D216="",N(J216)=0),"",IF(B216="","Enter the date",IF(AND(ROW()&gt;18,B215=""),"Use the next empty row: a skipped row leaves a gap in the voucher numbers",IF(D216="","Enter who was paid",IF(N(J216)=0,"Enter the amount",IF(E216="","Pick the head of account",IF(P216="?","Pick the head from the list",IF(H216="","Pick how it was paid",IF(L216="Cancelled","Cancelled: keep this number unused and write a fresh voucher",IF(AND(H216&lt;&gt;"Cash",I216=""),"Enter the cheque no., UTR or UPI reference",IF(AND(N($E$11)&gt;0,N(J216)&gt;N($E$11),K216=""),"Above your approval limit: get it approved before paying",IF(S216&gt;10000,"Cash paid to this person today is over ₹10,000: not deductible, s.36(4)",IF(T216&gt;35000,"Cash freight to this transporter today is over ₹35,000: not deductible, s.36(6)",IF(U216&gt;10000,"Asset paid in cash over ₹10,000 today: left out of its cost, s.39(2)",IF(AND(P216="L",H216="Cash",N(J216)&gt;=20000),"Loan of ₹20,000 or more repaid in cash: barred, s.188","OK")))))))))))))))</f>
        <v/>
      </c>
      <c r="P216">
        <f>IF(E216="","",IFERROR(VLOOKUP(E216,Lists!$A$2:$B$17,2,FALSE),"?"))</f>
        <v/>
      </c>
      <c r="Q216">
        <f>IF(L216="Cancelled",0,N(J216))</f>
        <v/>
      </c>
      <c r="R216">
        <f>IF(H216="Cash",Q216,0)</f>
        <v/>
      </c>
      <c r="S216">
        <f>IF(OR(P216&lt;&gt;"E",R216=0),0,SUMIFS($R$18:$R$317,$B$18:$B$317,B216,$D$18:$D$317,D216,$P$18:$P$317,"E"))</f>
        <v/>
      </c>
      <c r="T216">
        <f>IF(OR(P216&lt;&gt;"F",R216=0),0,SUMIFS($R$18:$R$317,$B$18:$B$317,B216,$D$18:$D$317,D216,$P$18:$P$317,"F"))</f>
        <v/>
      </c>
      <c r="U216">
        <f>IF(OR(P216&lt;&gt;"A",R216=0),0,SUMIFS($R$18:$R$317,$B$18:$B$317,B216,$D$18:$D$317,D216,$P$18:$P$317,"A"))</f>
        <v/>
      </c>
      <c r="V216">
        <f>IF(OR(N216="",N216="OK",L216="Cancelled"),0,1)</f>
        <v/>
      </c>
    </row>
    <row r="217">
      <c r="B217" s="22" t="n"/>
      <c r="C217" s="23">
        <f>IF(B217="","",$E$9&amp;TEXT(N($E$10)+199,"000"))</f>
        <v/>
      </c>
      <c r="D217" s="14" t="n"/>
      <c r="E217" s="14" t="n"/>
      <c r="F217" s="14" t="n"/>
      <c r="G217" s="24" t="n"/>
      <c r="H217" s="14" t="n"/>
      <c r="I217" s="24" t="n"/>
      <c r="J217" s="25" t="n"/>
      <c r="K217" s="14" t="n"/>
      <c r="L217" s="24" t="n"/>
      <c r="M217" s="26">
        <f>IF(OR(N(J217)=0,L217="Cancelled"),"",IF(AND(N(J217)&gt;5000,H217="Cash"),"Yes: ₹1","No"))</f>
        <v/>
      </c>
      <c r="N217" s="27">
        <f>IF(AND(B217="",D217="",N(J217)=0),"",IF(B217="","Enter the date",IF(AND(ROW()&gt;18,B216=""),"Use the next empty row: a skipped row leaves a gap in the voucher numbers",IF(D217="","Enter who was paid",IF(N(J217)=0,"Enter the amount",IF(E217="","Pick the head of account",IF(P217="?","Pick the head from the list",IF(H217="","Pick how it was paid",IF(L217="Cancelled","Cancelled: keep this number unused and write a fresh voucher",IF(AND(H217&lt;&gt;"Cash",I217=""),"Enter the cheque no., UTR or UPI reference",IF(AND(N($E$11)&gt;0,N(J217)&gt;N($E$11),K217=""),"Above your approval limit: get it approved before paying",IF(S217&gt;10000,"Cash paid to this person today is over ₹10,000: not deductible, s.36(4)",IF(T217&gt;35000,"Cash freight to this transporter today is over ₹35,000: not deductible, s.36(6)",IF(U217&gt;10000,"Asset paid in cash over ₹10,000 today: left out of its cost, s.39(2)",IF(AND(P217="L",H217="Cash",N(J217)&gt;=20000),"Loan of ₹20,000 or more repaid in cash: barred, s.188","OK")))))))))))))))</f>
        <v/>
      </c>
      <c r="P217">
        <f>IF(E217="","",IFERROR(VLOOKUP(E217,Lists!$A$2:$B$17,2,FALSE),"?"))</f>
        <v/>
      </c>
      <c r="Q217">
        <f>IF(L217="Cancelled",0,N(J217))</f>
        <v/>
      </c>
      <c r="R217">
        <f>IF(H217="Cash",Q217,0)</f>
        <v/>
      </c>
      <c r="S217">
        <f>IF(OR(P217&lt;&gt;"E",R217=0),0,SUMIFS($R$18:$R$317,$B$18:$B$317,B217,$D$18:$D$317,D217,$P$18:$P$317,"E"))</f>
        <v/>
      </c>
      <c r="T217">
        <f>IF(OR(P217&lt;&gt;"F",R217=0),0,SUMIFS($R$18:$R$317,$B$18:$B$317,B217,$D$18:$D$317,D217,$P$18:$P$317,"F"))</f>
        <v/>
      </c>
      <c r="U217">
        <f>IF(OR(P217&lt;&gt;"A",R217=0),0,SUMIFS($R$18:$R$317,$B$18:$B$317,B217,$D$18:$D$317,D217,$P$18:$P$317,"A"))</f>
        <v/>
      </c>
      <c r="V217">
        <f>IF(OR(N217="",N217="OK",L217="Cancelled"),0,1)</f>
        <v/>
      </c>
    </row>
    <row r="218">
      <c r="B218" s="22" t="n"/>
      <c r="C218" s="23">
        <f>IF(B218="","",$E$9&amp;TEXT(N($E$10)+200,"000"))</f>
        <v/>
      </c>
      <c r="D218" s="14" t="n"/>
      <c r="E218" s="14" t="n"/>
      <c r="F218" s="14" t="n"/>
      <c r="G218" s="24" t="n"/>
      <c r="H218" s="14" t="n"/>
      <c r="I218" s="24" t="n"/>
      <c r="J218" s="25" t="n"/>
      <c r="K218" s="14" t="n"/>
      <c r="L218" s="24" t="n"/>
      <c r="M218" s="26">
        <f>IF(OR(N(J218)=0,L218="Cancelled"),"",IF(AND(N(J218)&gt;5000,H218="Cash"),"Yes: ₹1","No"))</f>
        <v/>
      </c>
      <c r="N218" s="27">
        <f>IF(AND(B218="",D218="",N(J218)=0),"",IF(B218="","Enter the date",IF(AND(ROW()&gt;18,B217=""),"Use the next empty row: a skipped row leaves a gap in the voucher numbers",IF(D218="","Enter who was paid",IF(N(J218)=0,"Enter the amount",IF(E218="","Pick the head of account",IF(P218="?","Pick the head from the list",IF(H218="","Pick how it was paid",IF(L218="Cancelled","Cancelled: keep this number unused and write a fresh voucher",IF(AND(H218&lt;&gt;"Cash",I218=""),"Enter the cheque no., UTR or UPI reference",IF(AND(N($E$11)&gt;0,N(J218)&gt;N($E$11),K218=""),"Above your approval limit: get it approved before paying",IF(S218&gt;10000,"Cash paid to this person today is over ₹10,000: not deductible, s.36(4)",IF(T218&gt;35000,"Cash freight to this transporter today is over ₹35,000: not deductible, s.36(6)",IF(U218&gt;10000,"Asset paid in cash over ₹10,000 today: left out of its cost, s.39(2)",IF(AND(P218="L",H218="Cash",N(J218)&gt;=20000),"Loan of ₹20,000 or more repaid in cash: barred, s.188","OK")))))))))))))))</f>
        <v/>
      </c>
      <c r="P218">
        <f>IF(E218="","",IFERROR(VLOOKUP(E218,Lists!$A$2:$B$17,2,FALSE),"?"))</f>
        <v/>
      </c>
      <c r="Q218">
        <f>IF(L218="Cancelled",0,N(J218))</f>
        <v/>
      </c>
      <c r="R218">
        <f>IF(H218="Cash",Q218,0)</f>
        <v/>
      </c>
      <c r="S218">
        <f>IF(OR(P218&lt;&gt;"E",R218=0),0,SUMIFS($R$18:$R$317,$B$18:$B$317,B218,$D$18:$D$317,D218,$P$18:$P$317,"E"))</f>
        <v/>
      </c>
      <c r="T218">
        <f>IF(OR(P218&lt;&gt;"F",R218=0),0,SUMIFS($R$18:$R$317,$B$18:$B$317,B218,$D$18:$D$317,D218,$P$18:$P$317,"F"))</f>
        <v/>
      </c>
      <c r="U218">
        <f>IF(OR(P218&lt;&gt;"A",R218=0),0,SUMIFS($R$18:$R$317,$B$18:$B$317,B218,$D$18:$D$317,D218,$P$18:$P$317,"A"))</f>
        <v/>
      </c>
      <c r="V218">
        <f>IF(OR(N218="",N218="OK",L218="Cancelled"),0,1)</f>
        <v/>
      </c>
    </row>
    <row r="219">
      <c r="B219" s="22" t="n"/>
      <c r="C219" s="23">
        <f>IF(B219="","",$E$9&amp;TEXT(N($E$10)+201,"000"))</f>
        <v/>
      </c>
      <c r="D219" s="14" t="n"/>
      <c r="E219" s="14" t="n"/>
      <c r="F219" s="14" t="n"/>
      <c r="G219" s="24" t="n"/>
      <c r="H219" s="14" t="n"/>
      <c r="I219" s="24" t="n"/>
      <c r="J219" s="25" t="n"/>
      <c r="K219" s="14" t="n"/>
      <c r="L219" s="24" t="n"/>
      <c r="M219" s="26">
        <f>IF(OR(N(J219)=0,L219="Cancelled"),"",IF(AND(N(J219)&gt;5000,H219="Cash"),"Yes: ₹1","No"))</f>
        <v/>
      </c>
      <c r="N219" s="27">
        <f>IF(AND(B219="",D219="",N(J219)=0),"",IF(B219="","Enter the date",IF(AND(ROW()&gt;18,B218=""),"Use the next empty row: a skipped row leaves a gap in the voucher numbers",IF(D219="","Enter who was paid",IF(N(J219)=0,"Enter the amount",IF(E219="","Pick the head of account",IF(P219="?","Pick the head from the list",IF(H219="","Pick how it was paid",IF(L219="Cancelled","Cancelled: keep this number unused and write a fresh voucher",IF(AND(H219&lt;&gt;"Cash",I219=""),"Enter the cheque no., UTR or UPI reference",IF(AND(N($E$11)&gt;0,N(J219)&gt;N($E$11),K219=""),"Above your approval limit: get it approved before paying",IF(S219&gt;10000,"Cash paid to this person today is over ₹10,000: not deductible, s.36(4)",IF(T219&gt;35000,"Cash freight to this transporter today is over ₹35,000: not deductible, s.36(6)",IF(U219&gt;10000,"Asset paid in cash over ₹10,000 today: left out of its cost, s.39(2)",IF(AND(P219="L",H219="Cash",N(J219)&gt;=20000),"Loan of ₹20,000 or more repaid in cash: barred, s.188","OK")))))))))))))))</f>
        <v/>
      </c>
      <c r="P219">
        <f>IF(E219="","",IFERROR(VLOOKUP(E219,Lists!$A$2:$B$17,2,FALSE),"?"))</f>
        <v/>
      </c>
      <c r="Q219">
        <f>IF(L219="Cancelled",0,N(J219))</f>
        <v/>
      </c>
      <c r="R219">
        <f>IF(H219="Cash",Q219,0)</f>
        <v/>
      </c>
      <c r="S219">
        <f>IF(OR(P219&lt;&gt;"E",R219=0),0,SUMIFS($R$18:$R$317,$B$18:$B$317,B219,$D$18:$D$317,D219,$P$18:$P$317,"E"))</f>
        <v/>
      </c>
      <c r="T219">
        <f>IF(OR(P219&lt;&gt;"F",R219=0),0,SUMIFS($R$18:$R$317,$B$18:$B$317,B219,$D$18:$D$317,D219,$P$18:$P$317,"F"))</f>
        <v/>
      </c>
      <c r="U219">
        <f>IF(OR(P219&lt;&gt;"A",R219=0),0,SUMIFS($R$18:$R$317,$B$18:$B$317,B219,$D$18:$D$317,D219,$P$18:$P$317,"A"))</f>
        <v/>
      </c>
      <c r="V219">
        <f>IF(OR(N219="",N219="OK",L219="Cancelled"),0,1)</f>
        <v/>
      </c>
    </row>
    <row r="220">
      <c r="B220" s="22" t="n"/>
      <c r="C220" s="23">
        <f>IF(B220="","",$E$9&amp;TEXT(N($E$10)+202,"000"))</f>
        <v/>
      </c>
      <c r="D220" s="14" t="n"/>
      <c r="E220" s="14" t="n"/>
      <c r="F220" s="14" t="n"/>
      <c r="G220" s="24" t="n"/>
      <c r="H220" s="14" t="n"/>
      <c r="I220" s="24" t="n"/>
      <c r="J220" s="25" t="n"/>
      <c r="K220" s="14" t="n"/>
      <c r="L220" s="24" t="n"/>
      <c r="M220" s="26">
        <f>IF(OR(N(J220)=0,L220="Cancelled"),"",IF(AND(N(J220)&gt;5000,H220="Cash"),"Yes: ₹1","No"))</f>
        <v/>
      </c>
      <c r="N220" s="27">
        <f>IF(AND(B220="",D220="",N(J220)=0),"",IF(B220="","Enter the date",IF(AND(ROW()&gt;18,B219=""),"Use the next empty row: a skipped row leaves a gap in the voucher numbers",IF(D220="","Enter who was paid",IF(N(J220)=0,"Enter the amount",IF(E220="","Pick the head of account",IF(P220="?","Pick the head from the list",IF(H220="","Pick how it was paid",IF(L220="Cancelled","Cancelled: keep this number unused and write a fresh voucher",IF(AND(H220&lt;&gt;"Cash",I220=""),"Enter the cheque no., UTR or UPI reference",IF(AND(N($E$11)&gt;0,N(J220)&gt;N($E$11),K220=""),"Above your approval limit: get it approved before paying",IF(S220&gt;10000,"Cash paid to this person today is over ₹10,000: not deductible, s.36(4)",IF(T220&gt;35000,"Cash freight to this transporter today is over ₹35,000: not deductible, s.36(6)",IF(U220&gt;10000,"Asset paid in cash over ₹10,000 today: left out of its cost, s.39(2)",IF(AND(P220="L",H220="Cash",N(J220)&gt;=20000),"Loan of ₹20,000 or more repaid in cash: barred, s.188","OK")))))))))))))))</f>
        <v/>
      </c>
      <c r="P220">
        <f>IF(E220="","",IFERROR(VLOOKUP(E220,Lists!$A$2:$B$17,2,FALSE),"?"))</f>
        <v/>
      </c>
      <c r="Q220">
        <f>IF(L220="Cancelled",0,N(J220))</f>
        <v/>
      </c>
      <c r="R220">
        <f>IF(H220="Cash",Q220,0)</f>
        <v/>
      </c>
      <c r="S220">
        <f>IF(OR(P220&lt;&gt;"E",R220=0),0,SUMIFS($R$18:$R$317,$B$18:$B$317,B220,$D$18:$D$317,D220,$P$18:$P$317,"E"))</f>
        <v/>
      </c>
      <c r="T220">
        <f>IF(OR(P220&lt;&gt;"F",R220=0),0,SUMIFS($R$18:$R$317,$B$18:$B$317,B220,$D$18:$D$317,D220,$P$18:$P$317,"F"))</f>
        <v/>
      </c>
      <c r="U220">
        <f>IF(OR(P220&lt;&gt;"A",R220=0),0,SUMIFS($R$18:$R$317,$B$18:$B$317,B220,$D$18:$D$317,D220,$P$18:$P$317,"A"))</f>
        <v/>
      </c>
      <c r="V220">
        <f>IF(OR(N220="",N220="OK",L220="Cancelled"),0,1)</f>
        <v/>
      </c>
    </row>
    <row r="221">
      <c r="B221" s="22" t="n"/>
      <c r="C221" s="23">
        <f>IF(B221="","",$E$9&amp;TEXT(N($E$10)+203,"000"))</f>
        <v/>
      </c>
      <c r="D221" s="14" t="n"/>
      <c r="E221" s="14" t="n"/>
      <c r="F221" s="14" t="n"/>
      <c r="G221" s="24" t="n"/>
      <c r="H221" s="14" t="n"/>
      <c r="I221" s="24" t="n"/>
      <c r="J221" s="25" t="n"/>
      <c r="K221" s="14" t="n"/>
      <c r="L221" s="24" t="n"/>
      <c r="M221" s="26">
        <f>IF(OR(N(J221)=0,L221="Cancelled"),"",IF(AND(N(J221)&gt;5000,H221="Cash"),"Yes: ₹1","No"))</f>
        <v/>
      </c>
      <c r="N221" s="27">
        <f>IF(AND(B221="",D221="",N(J221)=0),"",IF(B221="","Enter the date",IF(AND(ROW()&gt;18,B220=""),"Use the next empty row: a skipped row leaves a gap in the voucher numbers",IF(D221="","Enter who was paid",IF(N(J221)=0,"Enter the amount",IF(E221="","Pick the head of account",IF(P221="?","Pick the head from the list",IF(H221="","Pick how it was paid",IF(L221="Cancelled","Cancelled: keep this number unused and write a fresh voucher",IF(AND(H221&lt;&gt;"Cash",I221=""),"Enter the cheque no., UTR or UPI reference",IF(AND(N($E$11)&gt;0,N(J221)&gt;N($E$11),K221=""),"Above your approval limit: get it approved before paying",IF(S221&gt;10000,"Cash paid to this person today is over ₹10,000: not deductible, s.36(4)",IF(T221&gt;35000,"Cash freight to this transporter today is over ₹35,000: not deductible, s.36(6)",IF(U221&gt;10000,"Asset paid in cash over ₹10,000 today: left out of its cost, s.39(2)",IF(AND(P221="L",H221="Cash",N(J221)&gt;=20000),"Loan of ₹20,000 or more repaid in cash: barred, s.188","OK")))))))))))))))</f>
        <v/>
      </c>
      <c r="P221">
        <f>IF(E221="","",IFERROR(VLOOKUP(E221,Lists!$A$2:$B$17,2,FALSE),"?"))</f>
        <v/>
      </c>
      <c r="Q221">
        <f>IF(L221="Cancelled",0,N(J221))</f>
        <v/>
      </c>
      <c r="R221">
        <f>IF(H221="Cash",Q221,0)</f>
        <v/>
      </c>
      <c r="S221">
        <f>IF(OR(P221&lt;&gt;"E",R221=0),0,SUMIFS($R$18:$R$317,$B$18:$B$317,B221,$D$18:$D$317,D221,$P$18:$P$317,"E"))</f>
        <v/>
      </c>
      <c r="T221">
        <f>IF(OR(P221&lt;&gt;"F",R221=0),0,SUMIFS($R$18:$R$317,$B$18:$B$317,B221,$D$18:$D$317,D221,$P$18:$P$317,"F"))</f>
        <v/>
      </c>
      <c r="U221">
        <f>IF(OR(P221&lt;&gt;"A",R221=0),0,SUMIFS($R$18:$R$317,$B$18:$B$317,B221,$D$18:$D$317,D221,$P$18:$P$317,"A"))</f>
        <v/>
      </c>
      <c r="V221">
        <f>IF(OR(N221="",N221="OK",L221="Cancelled"),0,1)</f>
        <v/>
      </c>
    </row>
    <row r="222">
      <c r="B222" s="22" t="n"/>
      <c r="C222" s="23">
        <f>IF(B222="","",$E$9&amp;TEXT(N($E$10)+204,"000"))</f>
        <v/>
      </c>
      <c r="D222" s="14" t="n"/>
      <c r="E222" s="14" t="n"/>
      <c r="F222" s="14" t="n"/>
      <c r="G222" s="24" t="n"/>
      <c r="H222" s="14" t="n"/>
      <c r="I222" s="24" t="n"/>
      <c r="J222" s="25" t="n"/>
      <c r="K222" s="14" t="n"/>
      <c r="L222" s="24" t="n"/>
      <c r="M222" s="26">
        <f>IF(OR(N(J222)=0,L222="Cancelled"),"",IF(AND(N(J222)&gt;5000,H222="Cash"),"Yes: ₹1","No"))</f>
        <v/>
      </c>
      <c r="N222" s="27">
        <f>IF(AND(B222="",D222="",N(J222)=0),"",IF(B222="","Enter the date",IF(AND(ROW()&gt;18,B221=""),"Use the next empty row: a skipped row leaves a gap in the voucher numbers",IF(D222="","Enter who was paid",IF(N(J222)=0,"Enter the amount",IF(E222="","Pick the head of account",IF(P222="?","Pick the head from the list",IF(H222="","Pick how it was paid",IF(L222="Cancelled","Cancelled: keep this number unused and write a fresh voucher",IF(AND(H222&lt;&gt;"Cash",I222=""),"Enter the cheque no., UTR or UPI reference",IF(AND(N($E$11)&gt;0,N(J222)&gt;N($E$11),K222=""),"Above your approval limit: get it approved before paying",IF(S222&gt;10000,"Cash paid to this person today is over ₹10,000: not deductible, s.36(4)",IF(T222&gt;35000,"Cash freight to this transporter today is over ₹35,000: not deductible, s.36(6)",IF(U222&gt;10000,"Asset paid in cash over ₹10,000 today: left out of its cost, s.39(2)",IF(AND(P222="L",H222="Cash",N(J222)&gt;=20000),"Loan of ₹20,000 or more repaid in cash: barred, s.188","OK")))))))))))))))</f>
        <v/>
      </c>
      <c r="P222">
        <f>IF(E222="","",IFERROR(VLOOKUP(E222,Lists!$A$2:$B$17,2,FALSE),"?"))</f>
        <v/>
      </c>
      <c r="Q222">
        <f>IF(L222="Cancelled",0,N(J222))</f>
        <v/>
      </c>
      <c r="R222">
        <f>IF(H222="Cash",Q222,0)</f>
        <v/>
      </c>
      <c r="S222">
        <f>IF(OR(P222&lt;&gt;"E",R222=0),0,SUMIFS($R$18:$R$317,$B$18:$B$317,B222,$D$18:$D$317,D222,$P$18:$P$317,"E"))</f>
        <v/>
      </c>
      <c r="T222">
        <f>IF(OR(P222&lt;&gt;"F",R222=0),0,SUMIFS($R$18:$R$317,$B$18:$B$317,B222,$D$18:$D$317,D222,$P$18:$P$317,"F"))</f>
        <v/>
      </c>
      <c r="U222">
        <f>IF(OR(P222&lt;&gt;"A",R222=0),0,SUMIFS($R$18:$R$317,$B$18:$B$317,B222,$D$18:$D$317,D222,$P$18:$P$317,"A"))</f>
        <v/>
      </c>
      <c r="V222">
        <f>IF(OR(N222="",N222="OK",L222="Cancelled"),0,1)</f>
        <v/>
      </c>
    </row>
    <row r="223">
      <c r="B223" s="22" t="n"/>
      <c r="C223" s="23">
        <f>IF(B223="","",$E$9&amp;TEXT(N($E$10)+205,"000"))</f>
        <v/>
      </c>
      <c r="D223" s="14" t="n"/>
      <c r="E223" s="14" t="n"/>
      <c r="F223" s="14" t="n"/>
      <c r="G223" s="24" t="n"/>
      <c r="H223" s="14" t="n"/>
      <c r="I223" s="24" t="n"/>
      <c r="J223" s="25" t="n"/>
      <c r="K223" s="14" t="n"/>
      <c r="L223" s="24" t="n"/>
      <c r="M223" s="26">
        <f>IF(OR(N(J223)=0,L223="Cancelled"),"",IF(AND(N(J223)&gt;5000,H223="Cash"),"Yes: ₹1","No"))</f>
        <v/>
      </c>
      <c r="N223" s="27">
        <f>IF(AND(B223="",D223="",N(J223)=0),"",IF(B223="","Enter the date",IF(AND(ROW()&gt;18,B222=""),"Use the next empty row: a skipped row leaves a gap in the voucher numbers",IF(D223="","Enter who was paid",IF(N(J223)=0,"Enter the amount",IF(E223="","Pick the head of account",IF(P223="?","Pick the head from the list",IF(H223="","Pick how it was paid",IF(L223="Cancelled","Cancelled: keep this number unused and write a fresh voucher",IF(AND(H223&lt;&gt;"Cash",I223=""),"Enter the cheque no., UTR or UPI reference",IF(AND(N($E$11)&gt;0,N(J223)&gt;N($E$11),K223=""),"Above your approval limit: get it approved before paying",IF(S223&gt;10000,"Cash paid to this person today is over ₹10,000: not deductible, s.36(4)",IF(T223&gt;35000,"Cash freight to this transporter today is over ₹35,000: not deductible, s.36(6)",IF(U223&gt;10000,"Asset paid in cash over ₹10,000 today: left out of its cost, s.39(2)",IF(AND(P223="L",H223="Cash",N(J223)&gt;=20000),"Loan of ₹20,000 or more repaid in cash: barred, s.188","OK")))))))))))))))</f>
        <v/>
      </c>
      <c r="P223">
        <f>IF(E223="","",IFERROR(VLOOKUP(E223,Lists!$A$2:$B$17,2,FALSE),"?"))</f>
        <v/>
      </c>
      <c r="Q223">
        <f>IF(L223="Cancelled",0,N(J223))</f>
        <v/>
      </c>
      <c r="R223">
        <f>IF(H223="Cash",Q223,0)</f>
        <v/>
      </c>
      <c r="S223">
        <f>IF(OR(P223&lt;&gt;"E",R223=0),0,SUMIFS($R$18:$R$317,$B$18:$B$317,B223,$D$18:$D$317,D223,$P$18:$P$317,"E"))</f>
        <v/>
      </c>
      <c r="T223">
        <f>IF(OR(P223&lt;&gt;"F",R223=0),0,SUMIFS($R$18:$R$317,$B$18:$B$317,B223,$D$18:$D$317,D223,$P$18:$P$317,"F"))</f>
        <v/>
      </c>
      <c r="U223">
        <f>IF(OR(P223&lt;&gt;"A",R223=0),0,SUMIFS($R$18:$R$317,$B$18:$B$317,B223,$D$18:$D$317,D223,$P$18:$P$317,"A"))</f>
        <v/>
      </c>
      <c r="V223">
        <f>IF(OR(N223="",N223="OK",L223="Cancelled"),0,1)</f>
        <v/>
      </c>
    </row>
    <row r="224">
      <c r="B224" s="22" t="n"/>
      <c r="C224" s="23">
        <f>IF(B224="","",$E$9&amp;TEXT(N($E$10)+206,"000"))</f>
        <v/>
      </c>
      <c r="D224" s="14" t="n"/>
      <c r="E224" s="14" t="n"/>
      <c r="F224" s="14" t="n"/>
      <c r="G224" s="24" t="n"/>
      <c r="H224" s="14" t="n"/>
      <c r="I224" s="24" t="n"/>
      <c r="J224" s="25" t="n"/>
      <c r="K224" s="14" t="n"/>
      <c r="L224" s="24" t="n"/>
      <c r="M224" s="26">
        <f>IF(OR(N(J224)=0,L224="Cancelled"),"",IF(AND(N(J224)&gt;5000,H224="Cash"),"Yes: ₹1","No"))</f>
        <v/>
      </c>
      <c r="N224" s="27">
        <f>IF(AND(B224="",D224="",N(J224)=0),"",IF(B224="","Enter the date",IF(AND(ROW()&gt;18,B223=""),"Use the next empty row: a skipped row leaves a gap in the voucher numbers",IF(D224="","Enter who was paid",IF(N(J224)=0,"Enter the amount",IF(E224="","Pick the head of account",IF(P224="?","Pick the head from the list",IF(H224="","Pick how it was paid",IF(L224="Cancelled","Cancelled: keep this number unused and write a fresh voucher",IF(AND(H224&lt;&gt;"Cash",I224=""),"Enter the cheque no., UTR or UPI reference",IF(AND(N($E$11)&gt;0,N(J224)&gt;N($E$11),K224=""),"Above your approval limit: get it approved before paying",IF(S224&gt;10000,"Cash paid to this person today is over ₹10,000: not deductible, s.36(4)",IF(T224&gt;35000,"Cash freight to this transporter today is over ₹35,000: not deductible, s.36(6)",IF(U224&gt;10000,"Asset paid in cash over ₹10,000 today: left out of its cost, s.39(2)",IF(AND(P224="L",H224="Cash",N(J224)&gt;=20000),"Loan of ₹20,000 or more repaid in cash: barred, s.188","OK")))))))))))))))</f>
        <v/>
      </c>
      <c r="P224">
        <f>IF(E224="","",IFERROR(VLOOKUP(E224,Lists!$A$2:$B$17,2,FALSE),"?"))</f>
        <v/>
      </c>
      <c r="Q224">
        <f>IF(L224="Cancelled",0,N(J224))</f>
        <v/>
      </c>
      <c r="R224">
        <f>IF(H224="Cash",Q224,0)</f>
        <v/>
      </c>
      <c r="S224">
        <f>IF(OR(P224&lt;&gt;"E",R224=0),0,SUMIFS($R$18:$R$317,$B$18:$B$317,B224,$D$18:$D$317,D224,$P$18:$P$317,"E"))</f>
        <v/>
      </c>
      <c r="T224">
        <f>IF(OR(P224&lt;&gt;"F",R224=0),0,SUMIFS($R$18:$R$317,$B$18:$B$317,B224,$D$18:$D$317,D224,$P$18:$P$317,"F"))</f>
        <v/>
      </c>
      <c r="U224">
        <f>IF(OR(P224&lt;&gt;"A",R224=0),0,SUMIFS($R$18:$R$317,$B$18:$B$317,B224,$D$18:$D$317,D224,$P$18:$P$317,"A"))</f>
        <v/>
      </c>
      <c r="V224">
        <f>IF(OR(N224="",N224="OK",L224="Cancelled"),0,1)</f>
        <v/>
      </c>
    </row>
    <row r="225">
      <c r="B225" s="22" t="n"/>
      <c r="C225" s="23">
        <f>IF(B225="","",$E$9&amp;TEXT(N($E$10)+207,"000"))</f>
        <v/>
      </c>
      <c r="D225" s="14" t="n"/>
      <c r="E225" s="14" t="n"/>
      <c r="F225" s="14" t="n"/>
      <c r="G225" s="24" t="n"/>
      <c r="H225" s="14" t="n"/>
      <c r="I225" s="24" t="n"/>
      <c r="J225" s="25" t="n"/>
      <c r="K225" s="14" t="n"/>
      <c r="L225" s="24" t="n"/>
      <c r="M225" s="26">
        <f>IF(OR(N(J225)=0,L225="Cancelled"),"",IF(AND(N(J225)&gt;5000,H225="Cash"),"Yes: ₹1","No"))</f>
        <v/>
      </c>
      <c r="N225" s="27">
        <f>IF(AND(B225="",D225="",N(J225)=0),"",IF(B225="","Enter the date",IF(AND(ROW()&gt;18,B224=""),"Use the next empty row: a skipped row leaves a gap in the voucher numbers",IF(D225="","Enter who was paid",IF(N(J225)=0,"Enter the amount",IF(E225="","Pick the head of account",IF(P225="?","Pick the head from the list",IF(H225="","Pick how it was paid",IF(L225="Cancelled","Cancelled: keep this number unused and write a fresh voucher",IF(AND(H225&lt;&gt;"Cash",I225=""),"Enter the cheque no., UTR or UPI reference",IF(AND(N($E$11)&gt;0,N(J225)&gt;N($E$11),K225=""),"Above your approval limit: get it approved before paying",IF(S225&gt;10000,"Cash paid to this person today is over ₹10,000: not deductible, s.36(4)",IF(T225&gt;35000,"Cash freight to this transporter today is over ₹35,000: not deductible, s.36(6)",IF(U225&gt;10000,"Asset paid in cash over ₹10,000 today: left out of its cost, s.39(2)",IF(AND(P225="L",H225="Cash",N(J225)&gt;=20000),"Loan of ₹20,000 or more repaid in cash: barred, s.188","OK")))))))))))))))</f>
        <v/>
      </c>
      <c r="P225">
        <f>IF(E225="","",IFERROR(VLOOKUP(E225,Lists!$A$2:$B$17,2,FALSE),"?"))</f>
        <v/>
      </c>
      <c r="Q225">
        <f>IF(L225="Cancelled",0,N(J225))</f>
        <v/>
      </c>
      <c r="R225">
        <f>IF(H225="Cash",Q225,0)</f>
        <v/>
      </c>
      <c r="S225">
        <f>IF(OR(P225&lt;&gt;"E",R225=0),0,SUMIFS($R$18:$R$317,$B$18:$B$317,B225,$D$18:$D$317,D225,$P$18:$P$317,"E"))</f>
        <v/>
      </c>
      <c r="T225">
        <f>IF(OR(P225&lt;&gt;"F",R225=0),0,SUMIFS($R$18:$R$317,$B$18:$B$317,B225,$D$18:$D$317,D225,$P$18:$P$317,"F"))</f>
        <v/>
      </c>
      <c r="U225">
        <f>IF(OR(P225&lt;&gt;"A",R225=0),0,SUMIFS($R$18:$R$317,$B$18:$B$317,B225,$D$18:$D$317,D225,$P$18:$P$317,"A"))</f>
        <v/>
      </c>
      <c r="V225">
        <f>IF(OR(N225="",N225="OK",L225="Cancelled"),0,1)</f>
        <v/>
      </c>
    </row>
    <row r="226">
      <c r="B226" s="22" t="n"/>
      <c r="C226" s="23">
        <f>IF(B226="","",$E$9&amp;TEXT(N($E$10)+208,"000"))</f>
        <v/>
      </c>
      <c r="D226" s="14" t="n"/>
      <c r="E226" s="14" t="n"/>
      <c r="F226" s="14" t="n"/>
      <c r="G226" s="24" t="n"/>
      <c r="H226" s="14" t="n"/>
      <c r="I226" s="24" t="n"/>
      <c r="J226" s="25" t="n"/>
      <c r="K226" s="14" t="n"/>
      <c r="L226" s="24" t="n"/>
      <c r="M226" s="26">
        <f>IF(OR(N(J226)=0,L226="Cancelled"),"",IF(AND(N(J226)&gt;5000,H226="Cash"),"Yes: ₹1","No"))</f>
        <v/>
      </c>
      <c r="N226" s="27">
        <f>IF(AND(B226="",D226="",N(J226)=0),"",IF(B226="","Enter the date",IF(AND(ROW()&gt;18,B225=""),"Use the next empty row: a skipped row leaves a gap in the voucher numbers",IF(D226="","Enter who was paid",IF(N(J226)=0,"Enter the amount",IF(E226="","Pick the head of account",IF(P226="?","Pick the head from the list",IF(H226="","Pick how it was paid",IF(L226="Cancelled","Cancelled: keep this number unused and write a fresh voucher",IF(AND(H226&lt;&gt;"Cash",I226=""),"Enter the cheque no., UTR or UPI reference",IF(AND(N($E$11)&gt;0,N(J226)&gt;N($E$11),K226=""),"Above your approval limit: get it approved before paying",IF(S226&gt;10000,"Cash paid to this person today is over ₹10,000: not deductible, s.36(4)",IF(T226&gt;35000,"Cash freight to this transporter today is over ₹35,000: not deductible, s.36(6)",IF(U226&gt;10000,"Asset paid in cash over ₹10,000 today: left out of its cost, s.39(2)",IF(AND(P226="L",H226="Cash",N(J226)&gt;=20000),"Loan of ₹20,000 or more repaid in cash: barred, s.188","OK")))))))))))))))</f>
        <v/>
      </c>
      <c r="P226">
        <f>IF(E226="","",IFERROR(VLOOKUP(E226,Lists!$A$2:$B$17,2,FALSE),"?"))</f>
        <v/>
      </c>
      <c r="Q226">
        <f>IF(L226="Cancelled",0,N(J226))</f>
        <v/>
      </c>
      <c r="R226">
        <f>IF(H226="Cash",Q226,0)</f>
        <v/>
      </c>
      <c r="S226">
        <f>IF(OR(P226&lt;&gt;"E",R226=0),0,SUMIFS($R$18:$R$317,$B$18:$B$317,B226,$D$18:$D$317,D226,$P$18:$P$317,"E"))</f>
        <v/>
      </c>
      <c r="T226">
        <f>IF(OR(P226&lt;&gt;"F",R226=0),0,SUMIFS($R$18:$R$317,$B$18:$B$317,B226,$D$18:$D$317,D226,$P$18:$P$317,"F"))</f>
        <v/>
      </c>
      <c r="U226">
        <f>IF(OR(P226&lt;&gt;"A",R226=0),0,SUMIFS($R$18:$R$317,$B$18:$B$317,B226,$D$18:$D$317,D226,$P$18:$P$317,"A"))</f>
        <v/>
      </c>
      <c r="V226">
        <f>IF(OR(N226="",N226="OK",L226="Cancelled"),0,1)</f>
        <v/>
      </c>
    </row>
    <row r="227">
      <c r="B227" s="22" t="n"/>
      <c r="C227" s="23">
        <f>IF(B227="","",$E$9&amp;TEXT(N($E$10)+209,"000"))</f>
        <v/>
      </c>
      <c r="D227" s="14" t="n"/>
      <c r="E227" s="14" t="n"/>
      <c r="F227" s="14" t="n"/>
      <c r="G227" s="24" t="n"/>
      <c r="H227" s="14" t="n"/>
      <c r="I227" s="24" t="n"/>
      <c r="J227" s="25" t="n"/>
      <c r="K227" s="14" t="n"/>
      <c r="L227" s="24" t="n"/>
      <c r="M227" s="26">
        <f>IF(OR(N(J227)=0,L227="Cancelled"),"",IF(AND(N(J227)&gt;5000,H227="Cash"),"Yes: ₹1","No"))</f>
        <v/>
      </c>
      <c r="N227" s="27">
        <f>IF(AND(B227="",D227="",N(J227)=0),"",IF(B227="","Enter the date",IF(AND(ROW()&gt;18,B226=""),"Use the next empty row: a skipped row leaves a gap in the voucher numbers",IF(D227="","Enter who was paid",IF(N(J227)=0,"Enter the amount",IF(E227="","Pick the head of account",IF(P227="?","Pick the head from the list",IF(H227="","Pick how it was paid",IF(L227="Cancelled","Cancelled: keep this number unused and write a fresh voucher",IF(AND(H227&lt;&gt;"Cash",I227=""),"Enter the cheque no., UTR or UPI reference",IF(AND(N($E$11)&gt;0,N(J227)&gt;N($E$11),K227=""),"Above your approval limit: get it approved before paying",IF(S227&gt;10000,"Cash paid to this person today is over ₹10,000: not deductible, s.36(4)",IF(T227&gt;35000,"Cash freight to this transporter today is over ₹35,000: not deductible, s.36(6)",IF(U227&gt;10000,"Asset paid in cash over ₹10,000 today: left out of its cost, s.39(2)",IF(AND(P227="L",H227="Cash",N(J227)&gt;=20000),"Loan of ₹20,000 or more repaid in cash: barred, s.188","OK")))))))))))))))</f>
        <v/>
      </c>
      <c r="P227">
        <f>IF(E227="","",IFERROR(VLOOKUP(E227,Lists!$A$2:$B$17,2,FALSE),"?"))</f>
        <v/>
      </c>
      <c r="Q227">
        <f>IF(L227="Cancelled",0,N(J227))</f>
        <v/>
      </c>
      <c r="R227">
        <f>IF(H227="Cash",Q227,0)</f>
        <v/>
      </c>
      <c r="S227">
        <f>IF(OR(P227&lt;&gt;"E",R227=0),0,SUMIFS($R$18:$R$317,$B$18:$B$317,B227,$D$18:$D$317,D227,$P$18:$P$317,"E"))</f>
        <v/>
      </c>
      <c r="T227">
        <f>IF(OR(P227&lt;&gt;"F",R227=0),0,SUMIFS($R$18:$R$317,$B$18:$B$317,B227,$D$18:$D$317,D227,$P$18:$P$317,"F"))</f>
        <v/>
      </c>
      <c r="U227">
        <f>IF(OR(P227&lt;&gt;"A",R227=0),0,SUMIFS($R$18:$R$317,$B$18:$B$317,B227,$D$18:$D$317,D227,$P$18:$P$317,"A"))</f>
        <v/>
      </c>
      <c r="V227">
        <f>IF(OR(N227="",N227="OK",L227="Cancelled"),0,1)</f>
        <v/>
      </c>
    </row>
    <row r="228">
      <c r="B228" s="22" t="n"/>
      <c r="C228" s="23">
        <f>IF(B228="","",$E$9&amp;TEXT(N($E$10)+210,"000"))</f>
        <v/>
      </c>
      <c r="D228" s="14" t="n"/>
      <c r="E228" s="14" t="n"/>
      <c r="F228" s="14" t="n"/>
      <c r="G228" s="24" t="n"/>
      <c r="H228" s="14" t="n"/>
      <c r="I228" s="24" t="n"/>
      <c r="J228" s="25" t="n"/>
      <c r="K228" s="14" t="n"/>
      <c r="L228" s="24" t="n"/>
      <c r="M228" s="26">
        <f>IF(OR(N(J228)=0,L228="Cancelled"),"",IF(AND(N(J228)&gt;5000,H228="Cash"),"Yes: ₹1","No"))</f>
        <v/>
      </c>
      <c r="N228" s="27">
        <f>IF(AND(B228="",D228="",N(J228)=0),"",IF(B228="","Enter the date",IF(AND(ROW()&gt;18,B227=""),"Use the next empty row: a skipped row leaves a gap in the voucher numbers",IF(D228="","Enter who was paid",IF(N(J228)=0,"Enter the amount",IF(E228="","Pick the head of account",IF(P228="?","Pick the head from the list",IF(H228="","Pick how it was paid",IF(L228="Cancelled","Cancelled: keep this number unused and write a fresh voucher",IF(AND(H228&lt;&gt;"Cash",I228=""),"Enter the cheque no., UTR or UPI reference",IF(AND(N($E$11)&gt;0,N(J228)&gt;N($E$11),K228=""),"Above your approval limit: get it approved before paying",IF(S228&gt;10000,"Cash paid to this person today is over ₹10,000: not deductible, s.36(4)",IF(T228&gt;35000,"Cash freight to this transporter today is over ₹35,000: not deductible, s.36(6)",IF(U228&gt;10000,"Asset paid in cash over ₹10,000 today: left out of its cost, s.39(2)",IF(AND(P228="L",H228="Cash",N(J228)&gt;=20000),"Loan of ₹20,000 or more repaid in cash: barred, s.188","OK")))))))))))))))</f>
        <v/>
      </c>
      <c r="P228">
        <f>IF(E228="","",IFERROR(VLOOKUP(E228,Lists!$A$2:$B$17,2,FALSE),"?"))</f>
        <v/>
      </c>
      <c r="Q228">
        <f>IF(L228="Cancelled",0,N(J228))</f>
        <v/>
      </c>
      <c r="R228">
        <f>IF(H228="Cash",Q228,0)</f>
        <v/>
      </c>
      <c r="S228">
        <f>IF(OR(P228&lt;&gt;"E",R228=0),0,SUMIFS($R$18:$R$317,$B$18:$B$317,B228,$D$18:$D$317,D228,$P$18:$P$317,"E"))</f>
        <v/>
      </c>
      <c r="T228">
        <f>IF(OR(P228&lt;&gt;"F",R228=0),0,SUMIFS($R$18:$R$317,$B$18:$B$317,B228,$D$18:$D$317,D228,$P$18:$P$317,"F"))</f>
        <v/>
      </c>
      <c r="U228">
        <f>IF(OR(P228&lt;&gt;"A",R228=0),0,SUMIFS($R$18:$R$317,$B$18:$B$317,B228,$D$18:$D$317,D228,$P$18:$P$317,"A"))</f>
        <v/>
      </c>
      <c r="V228">
        <f>IF(OR(N228="",N228="OK",L228="Cancelled"),0,1)</f>
        <v/>
      </c>
    </row>
    <row r="229">
      <c r="B229" s="22" t="n"/>
      <c r="C229" s="23">
        <f>IF(B229="","",$E$9&amp;TEXT(N($E$10)+211,"000"))</f>
        <v/>
      </c>
      <c r="D229" s="14" t="n"/>
      <c r="E229" s="14" t="n"/>
      <c r="F229" s="14" t="n"/>
      <c r="G229" s="24" t="n"/>
      <c r="H229" s="14" t="n"/>
      <c r="I229" s="24" t="n"/>
      <c r="J229" s="25" t="n"/>
      <c r="K229" s="14" t="n"/>
      <c r="L229" s="24" t="n"/>
      <c r="M229" s="26">
        <f>IF(OR(N(J229)=0,L229="Cancelled"),"",IF(AND(N(J229)&gt;5000,H229="Cash"),"Yes: ₹1","No"))</f>
        <v/>
      </c>
      <c r="N229" s="27">
        <f>IF(AND(B229="",D229="",N(J229)=0),"",IF(B229="","Enter the date",IF(AND(ROW()&gt;18,B228=""),"Use the next empty row: a skipped row leaves a gap in the voucher numbers",IF(D229="","Enter who was paid",IF(N(J229)=0,"Enter the amount",IF(E229="","Pick the head of account",IF(P229="?","Pick the head from the list",IF(H229="","Pick how it was paid",IF(L229="Cancelled","Cancelled: keep this number unused and write a fresh voucher",IF(AND(H229&lt;&gt;"Cash",I229=""),"Enter the cheque no., UTR or UPI reference",IF(AND(N($E$11)&gt;0,N(J229)&gt;N($E$11),K229=""),"Above your approval limit: get it approved before paying",IF(S229&gt;10000,"Cash paid to this person today is over ₹10,000: not deductible, s.36(4)",IF(T229&gt;35000,"Cash freight to this transporter today is over ₹35,000: not deductible, s.36(6)",IF(U229&gt;10000,"Asset paid in cash over ₹10,000 today: left out of its cost, s.39(2)",IF(AND(P229="L",H229="Cash",N(J229)&gt;=20000),"Loan of ₹20,000 or more repaid in cash: barred, s.188","OK")))))))))))))))</f>
        <v/>
      </c>
      <c r="P229">
        <f>IF(E229="","",IFERROR(VLOOKUP(E229,Lists!$A$2:$B$17,2,FALSE),"?"))</f>
        <v/>
      </c>
      <c r="Q229">
        <f>IF(L229="Cancelled",0,N(J229))</f>
        <v/>
      </c>
      <c r="R229">
        <f>IF(H229="Cash",Q229,0)</f>
        <v/>
      </c>
      <c r="S229">
        <f>IF(OR(P229&lt;&gt;"E",R229=0),0,SUMIFS($R$18:$R$317,$B$18:$B$317,B229,$D$18:$D$317,D229,$P$18:$P$317,"E"))</f>
        <v/>
      </c>
      <c r="T229">
        <f>IF(OR(P229&lt;&gt;"F",R229=0),0,SUMIFS($R$18:$R$317,$B$18:$B$317,B229,$D$18:$D$317,D229,$P$18:$P$317,"F"))</f>
        <v/>
      </c>
      <c r="U229">
        <f>IF(OR(P229&lt;&gt;"A",R229=0),0,SUMIFS($R$18:$R$317,$B$18:$B$317,B229,$D$18:$D$317,D229,$P$18:$P$317,"A"))</f>
        <v/>
      </c>
      <c r="V229">
        <f>IF(OR(N229="",N229="OK",L229="Cancelled"),0,1)</f>
        <v/>
      </c>
    </row>
    <row r="230">
      <c r="B230" s="22" t="n"/>
      <c r="C230" s="23">
        <f>IF(B230="","",$E$9&amp;TEXT(N($E$10)+212,"000"))</f>
        <v/>
      </c>
      <c r="D230" s="14" t="n"/>
      <c r="E230" s="14" t="n"/>
      <c r="F230" s="14" t="n"/>
      <c r="G230" s="24" t="n"/>
      <c r="H230" s="14" t="n"/>
      <c r="I230" s="24" t="n"/>
      <c r="J230" s="25" t="n"/>
      <c r="K230" s="14" t="n"/>
      <c r="L230" s="24" t="n"/>
      <c r="M230" s="26">
        <f>IF(OR(N(J230)=0,L230="Cancelled"),"",IF(AND(N(J230)&gt;5000,H230="Cash"),"Yes: ₹1","No"))</f>
        <v/>
      </c>
      <c r="N230" s="27">
        <f>IF(AND(B230="",D230="",N(J230)=0),"",IF(B230="","Enter the date",IF(AND(ROW()&gt;18,B229=""),"Use the next empty row: a skipped row leaves a gap in the voucher numbers",IF(D230="","Enter who was paid",IF(N(J230)=0,"Enter the amount",IF(E230="","Pick the head of account",IF(P230="?","Pick the head from the list",IF(H230="","Pick how it was paid",IF(L230="Cancelled","Cancelled: keep this number unused and write a fresh voucher",IF(AND(H230&lt;&gt;"Cash",I230=""),"Enter the cheque no., UTR or UPI reference",IF(AND(N($E$11)&gt;0,N(J230)&gt;N($E$11),K230=""),"Above your approval limit: get it approved before paying",IF(S230&gt;10000,"Cash paid to this person today is over ₹10,000: not deductible, s.36(4)",IF(T230&gt;35000,"Cash freight to this transporter today is over ₹35,000: not deductible, s.36(6)",IF(U230&gt;10000,"Asset paid in cash over ₹10,000 today: left out of its cost, s.39(2)",IF(AND(P230="L",H230="Cash",N(J230)&gt;=20000),"Loan of ₹20,000 or more repaid in cash: barred, s.188","OK")))))))))))))))</f>
        <v/>
      </c>
      <c r="P230">
        <f>IF(E230="","",IFERROR(VLOOKUP(E230,Lists!$A$2:$B$17,2,FALSE),"?"))</f>
        <v/>
      </c>
      <c r="Q230">
        <f>IF(L230="Cancelled",0,N(J230))</f>
        <v/>
      </c>
      <c r="R230">
        <f>IF(H230="Cash",Q230,0)</f>
        <v/>
      </c>
      <c r="S230">
        <f>IF(OR(P230&lt;&gt;"E",R230=0),0,SUMIFS($R$18:$R$317,$B$18:$B$317,B230,$D$18:$D$317,D230,$P$18:$P$317,"E"))</f>
        <v/>
      </c>
      <c r="T230">
        <f>IF(OR(P230&lt;&gt;"F",R230=0),0,SUMIFS($R$18:$R$317,$B$18:$B$317,B230,$D$18:$D$317,D230,$P$18:$P$317,"F"))</f>
        <v/>
      </c>
      <c r="U230">
        <f>IF(OR(P230&lt;&gt;"A",R230=0),0,SUMIFS($R$18:$R$317,$B$18:$B$317,B230,$D$18:$D$317,D230,$P$18:$P$317,"A"))</f>
        <v/>
      </c>
      <c r="V230">
        <f>IF(OR(N230="",N230="OK",L230="Cancelled"),0,1)</f>
        <v/>
      </c>
    </row>
    <row r="231">
      <c r="B231" s="22" t="n"/>
      <c r="C231" s="23">
        <f>IF(B231="","",$E$9&amp;TEXT(N($E$10)+213,"000"))</f>
        <v/>
      </c>
      <c r="D231" s="14" t="n"/>
      <c r="E231" s="14" t="n"/>
      <c r="F231" s="14" t="n"/>
      <c r="G231" s="24" t="n"/>
      <c r="H231" s="14" t="n"/>
      <c r="I231" s="24" t="n"/>
      <c r="J231" s="25" t="n"/>
      <c r="K231" s="14" t="n"/>
      <c r="L231" s="24" t="n"/>
      <c r="M231" s="26">
        <f>IF(OR(N(J231)=0,L231="Cancelled"),"",IF(AND(N(J231)&gt;5000,H231="Cash"),"Yes: ₹1","No"))</f>
        <v/>
      </c>
      <c r="N231" s="27">
        <f>IF(AND(B231="",D231="",N(J231)=0),"",IF(B231="","Enter the date",IF(AND(ROW()&gt;18,B230=""),"Use the next empty row: a skipped row leaves a gap in the voucher numbers",IF(D231="","Enter who was paid",IF(N(J231)=0,"Enter the amount",IF(E231="","Pick the head of account",IF(P231="?","Pick the head from the list",IF(H231="","Pick how it was paid",IF(L231="Cancelled","Cancelled: keep this number unused and write a fresh voucher",IF(AND(H231&lt;&gt;"Cash",I231=""),"Enter the cheque no., UTR or UPI reference",IF(AND(N($E$11)&gt;0,N(J231)&gt;N($E$11),K231=""),"Above your approval limit: get it approved before paying",IF(S231&gt;10000,"Cash paid to this person today is over ₹10,000: not deductible, s.36(4)",IF(T231&gt;35000,"Cash freight to this transporter today is over ₹35,000: not deductible, s.36(6)",IF(U231&gt;10000,"Asset paid in cash over ₹10,000 today: left out of its cost, s.39(2)",IF(AND(P231="L",H231="Cash",N(J231)&gt;=20000),"Loan of ₹20,000 or more repaid in cash: barred, s.188","OK")))))))))))))))</f>
        <v/>
      </c>
      <c r="P231">
        <f>IF(E231="","",IFERROR(VLOOKUP(E231,Lists!$A$2:$B$17,2,FALSE),"?"))</f>
        <v/>
      </c>
      <c r="Q231">
        <f>IF(L231="Cancelled",0,N(J231))</f>
        <v/>
      </c>
      <c r="R231">
        <f>IF(H231="Cash",Q231,0)</f>
        <v/>
      </c>
      <c r="S231">
        <f>IF(OR(P231&lt;&gt;"E",R231=0),0,SUMIFS($R$18:$R$317,$B$18:$B$317,B231,$D$18:$D$317,D231,$P$18:$P$317,"E"))</f>
        <v/>
      </c>
      <c r="T231">
        <f>IF(OR(P231&lt;&gt;"F",R231=0),0,SUMIFS($R$18:$R$317,$B$18:$B$317,B231,$D$18:$D$317,D231,$P$18:$P$317,"F"))</f>
        <v/>
      </c>
      <c r="U231">
        <f>IF(OR(P231&lt;&gt;"A",R231=0),0,SUMIFS($R$18:$R$317,$B$18:$B$317,B231,$D$18:$D$317,D231,$P$18:$P$317,"A"))</f>
        <v/>
      </c>
      <c r="V231">
        <f>IF(OR(N231="",N231="OK",L231="Cancelled"),0,1)</f>
        <v/>
      </c>
    </row>
    <row r="232">
      <c r="B232" s="22" t="n"/>
      <c r="C232" s="23">
        <f>IF(B232="","",$E$9&amp;TEXT(N($E$10)+214,"000"))</f>
        <v/>
      </c>
      <c r="D232" s="14" t="n"/>
      <c r="E232" s="14" t="n"/>
      <c r="F232" s="14" t="n"/>
      <c r="G232" s="24" t="n"/>
      <c r="H232" s="14" t="n"/>
      <c r="I232" s="24" t="n"/>
      <c r="J232" s="25" t="n"/>
      <c r="K232" s="14" t="n"/>
      <c r="L232" s="24" t="n"/>
      <c r="M232" s="26">
        <f>IF(OR(N(J232)=0,L232="Cancelled"),"",IF(AND(N(J232)&gt;5000,H232="Cash"),"Yes: ₹1","No"))</f>
        <v/>
      </c>
      <c r="N232" s="27">
        <f>IF(AND(B232="",D232="",N(J232)=0),"",IF(B232="","Enter the date",IF(AND(ROW()&gt;18,B231=""),"Use the next empty row: a skipped row leaves a gap in the voucher numbers",IF(D232="","Enter who was paid",IF(N(J232)=0,"Enter the amount",IF(E232="","Pick the head of account",IF(P232="?","Pick the head from the list",IF(H232="","Pick how it was paid",IF(L232="Cancelled","Cancelled: keep this number unused and write a fresh voucher",IF(AND(H232&lt;&gt;"Cash",I232=""),"Enter the cheque no., UTR or UPI reference",IF(AND(N($E$11)&gt;0,N(J232)&gt;N($E$11),K232=""),"Above your approval limit: get it approved before paying",IF(S232&gt;10000,"Cash paid to this person today is over ₹10,000: not deductible, s.36(4)",IF(T232&gt;35000,"Cash freight to this transporter today is over ₹35,000: not deductible, s.36(6)",IF(U232&gt;10000,"Asset paid in cash over ₹10,000 today: left out of its cost, s.39(2)",IF(AND(P232="L",H232="Cash",N(J232)&gt;=20000),"Loan of ₹20,000 or more repaid in cash: barred, s.188","OK")))))))))))))))</f>
        <v/>
      </c>
      <c r="P232">
        <f>IF(E232="","",IFERROR(VLOOKUP(E232,Lists!$A$2:$B$17,2,FALSE),"?"))</f>
        <v/>
      </c>
      <c r="Q232">
        <f>IF(L232="Cancelled",0,N(J232))</f>
        <v/>
      </c>
      <c r="R232">
        <f>IF(H232="Cash",Q232,0)</f>
        <v/>
      </c>
      <c r="S232">
        <f>IF(OR(P232&lt;&gt;"E",R232=0),0,SUMIFS($R$18:$R$317,$B$18:$B$317,B232,$D$18:$D$317,D232,$P$18:$P$317,"E"))</f>
        <v/>
      </c>
      <c r="T232">
        <f>IF(OR(P232&lt;&gt;"F",R232=0),0,SUMIFS($R$18:$R$317,$B$18:$B$317,B232,$D$18:$D$317,D232,$P$18:$P$317,"F"))</f>
        <v/>
      </c>
      <c r="U232">
        <f>IF(OR(P232&lt;&gt;"A",R232=0),0,SUMIFS($R$18:$R$317,$B$18:$B$317,B232,$D$18:$D$317,D232,$P$18:$P$317,"A"))</f>
        <v/>
      </c>
      <c r="V232">
        <f>IF(OR(N232="",N232="OK",L232="Cancelled"),0,1)</f>
        <v/>
      </c>
    </row>
    <row r="233">
      <c r="B233" s="22" t="n"/>
      <c r="C233" s="23">
        <f>IF(B233="","",$E$9&amp;TEXT(N($E$10)+215,"000"))</f>
        <v/>
      </c>
      <c r="D233" s="14" t="n"/>
      <c r="E233" s="14" t="n"/>
      <c r="F233" s="14" t="n"/>
      <c r="G233" s="24" t="n"/>
      <c r="H233" s="14" t="n"/>
      <c r="I233" s="24" t="n"/>
      <c r="J233" s="25" t="n"/>
      <c r="K233" s="14" t="n"/>
      <c r="L233" s="24" t="n"/>
      <c r="M233" s="26">
        <f>IF(OR(N(J233)=0,L233="Cancelled"),"",IF(AND(N(J233)&gt;5000,H233="Cash"),"Yes: ₹1","No"))</f>
        <v/>
      </c>
      <c r="N233" s="27">
        <f>IF(AND(B233="",D233="",N(J233)=0),"",IF(B233="","Enter the date",IF(AND(ROW()&gt;18,B232=""),"Use the next empty row: a skipped row leaves a gap in the voucher numbers",IF(D233="","Enter who was paid",IF(N(J233)=0,"Enter the amount",IF(E233="","Pick the head of account",IF(P233="?","Pick the head from the list",IF(H233="","Pick how it was paid",IF(L233="Cancelled","Cancelled: keep this number unused and write a fresh voucher",IF(AND(H233&lt;&gt;"Cash",I233=""),"Enter the cheque no., UTR or UPI reference",IF(AND(N($E$11)&gt;0,N(J233)&gt;N($E$11),K233=""),"Above your approval limit: get it approved before paying",IF(S233&gt;10000,"Cash paid to this person today is over ₹10,000: not deductible, s.36(4)",IF(T233&gt;35000,"Cash freight to this transporter today is over ₹35,000: not deductible, s.36(6)",IF(U233&gt;10000,"Asset paid in cash over ₹10,000 today: left out of its cost, s.39(2)",IF(AND(P233="L",H233="Cash",N(J233)&gt;=20000),"Loan of ₹20,000 or more repaid in cash: barred, s.188","OK")))))))))))))))</f>
        <v/>
      </c>
      <c r="P233">
        <f>IF(E233="","",IFERROR(VLOOKUP(E233,Lists!$A$2:$B$17,2,FALSE),"?"))</f>
        <v/>
      </c>
      <c r="Q233">
        <f>IF(L233="Cancelled",0,N(J233))</f>
        <v/>
      </c>
      <c r="R233">
        <f>IF(H233="Cash",Q233,0)</f>
        <v/>
      </c>
      <c r="S233">
        <f>IF(OR(P233&lt;&gt;"E",R233=0),0,SUMIFS($R$18:$R$317,$B$18:$B$317,B233,$D$18:$D$317,D233,$P$18:$P$317,"E"))</f>
        <v/>
      </c>
      <c r="T233">
        <f>IF(OR(P233&lt;&gt;"F",R233=0),0,SUMIFS($R$18:$R$317,$B$18:$B$317,B233,$D$18:$D$317,D233,$P$18:$P$317,"F"))</f>
        <v/>
      </c>
      <c r="U233">
        <f>IF(OR(P233&lt;&gt;"A",R233=0),0,SUMIFS($R$18:$R$317,$B$18:$B$317,B233,$D$18:$D$317,D233,$P$18:$P$317,"A"))</f>
        <v/>
      </c>
      <c r="V233">
        <f>IF(OR(N233="",N233="OK",L233="Cancelled"),0,1)</f>
        <v/>
      </c>
    </row>
    <row r="234">
      <c r="B234" s="22" t="n"/>
      <c r="C234" s="23">
        <f>IF(B234="","",$E$9&amp;TEXT(N($E$10)+216,"000"))</f>
        <v/>
      </c>
      <c r="D234" s="14" t="n"/>
      <c r="E234" s="14" t="n"/>
      <c r="F234" s="14" t="n"/>
      <c r="G234" s="24" t="n"/>
      <c r="H234" s="14" t="n"/>
      <c r="I234" s="24" t="n"/>
      <c r="J234" s="25" t="n"/>
      <c r="K234" s="14" t="n"/>
      <c r="L234" s="24" t="n"/>
      <c r="M234" s="26">
        <f>IF(OR(N(J234)=0,L234="Cancelled"),"",IF(AND(N(J234)&gt;5000,H234="Cash"),"Yes: ₹1","No"))</f>
        <v/>
      </c>
      <c r="N234" s="27">
        <f>IF(AND(B234="",D234="",N(J234)=0),"",IF(B234="","Enter the date",IF(AND(ROW()&gt;18,B233=""),"Use the next empty row: a skipped row leaves a gap in the voucher numbers",IF(D234="","Enter who was paid",IF(N(J234)=0,"Enter the amount",IF(E234="","Pick the head of account",IF(P234="?","Pick the head from the list",IF(H234="","Pick how it was paid",IF(L234="Cancelled","Cancelled: keep this number unused and write a fresh voucher",IF(AND(H234&lt;&gt;"Cash",I234=""),"Enter the cheque no., UTR or UPI reference",IF(AND(N($E$11)&gt;0,N(J234)&gt;N($E$11),K234=""),"Above your approval limit: get it approved before paying",IF(S234&gt;10000,"Cash paid to this person today is over ₹10,000: not deductible, s.36(4)",IF(T234&gt;35000,"Cash freight to this transporter today is over ₹35,000: not deductible, s.36(6)",IF(U234&gt;10000,"Asset paid in cash over ₹10,000 today: left out of its cost, s.39(2)",IF(AND(P234="L",H234="Cash",N(J234)&gt;=20000),"Loan of ₹20,000 or more repaid in cash: barred, s.188","OK")))))))))))))))</f>
        <v/>
      </c>
      <c r="P234">
        <f>IF(E234="","",IFERROR(VLOOKUP(E234,Lists!$A$2:$B$17,2,FALSE),"?"))</f>
        <v/>
      </c>
      <c r="Q234">
        <f>IF(L234="Cancelled",0,N(J234))</f>
        <v/>
      </c>
      <c r="R234">
        <f>IF(H234="Cash",Q234,0)</f>
        <v/>
      </c>
      <c r="S234">
        <f>IF(OR(P234&lt;&gt;"E",R234=0),0,SUMIFS($R$18:$R$317,$B$18:$B$317,B234,$D$18:$D$317,D234,$P$18:$P$317,"E"))</f>
        <v/>
      </c>
      <c r="T234">
        <f>IF(OR(P234&lt;&gt;"F",R234=0),0,SUMIFS($R$18:$R$317,$B$18:$B$317,B234,$D$18:$D$317,D234,$P$18:$P$317,"F"))</f>
        <v/>
      </c>
      <c r="U234">
        <f>IF(OR(P234&lt;&gt;"A",R234=0),0,SUMIFS($R$18:$R$317,$B$18:$B$317,B234,$D$18:$D$317,D234,$P$18:$P$317,"A"))</f>
        <v/>
      </c>
      <c r="V234">
        <f>IF(OR(N234="",N234="OK",L234="Cancelled"),0,1)</f>
        <v/>
      </c>
    </row>
    <row r="235">
      <c r="B235" s="22" t="n"/>
      <c r="C235" s="23">
        <f>IF(B235="","",$E$9&amp;TEXT(N($E$10)+217,"000"))</f>
        <v/>
      </c>
      <c r="D235" s="14" t="n"/>
      <c r="E235" s="14" t="n"/>
      <c r="F235" s="14" t="n"/>
      <c r="G235" s="24" t="n"/>
      <c r="H235" s="14" t="n"/>
      <c r="I235" s="24" t="n"/>
      <c r="J235" s="25" t="n"/>
      <c r="K235" s="14" t="n"/>
      <c r="L235" s="24" t="n"/>
      <c r="M235" s="26">
        <f>IF(OR(N(J235)=0,L235="Cancelled"),"",IF(AND(N(J235)&gt;5000,H235="Cash"),"Yes: ₹1","No"))</f>
        <v/>
      </c>
      <c r="N235" s="27">
        <f>IF(AND(B235="",D235="",N(J235)=0),"",IF(B235="","Enter the date",IF(AND(ROW()&gt;18,B234=""),"Use the next empty row: a skipped row leaves a gap in the voucher numbers",IF(D235="","Enter who was paid",IF(N(J235)=0,"Enter the amount",IF(E235="","Pick the head of account",IF(P235="?","Pick the head from the list",IF(H235="","Pick how it was paid",IF(L235="Cancelled","Cancelled: keep this number unused and write a fresh voucher",IF(AND(H235&lt;&gt;"Cash",I235=""),"Enter the cheque no., UTR or UPI reference",IF(AND(N($E$11)&gt;0,N(J235)&gt;N($E$11),K235=""),"Above your approval limit: get it approved before paying",IF(S235&gt;10000,"Cash paid to this person today is over ₹10,000: not deductible, s.36(4)",IF(T235&gt;35000,"Cash freight to this transporter today is over ₹35,000: not deductible, s.36(6)",IF(U235&gt;10000,"Asset paid in cash over ₹10,000 today: left out of its cost, s.39(2)",IF(AND(P235="L",H235="Cash",N(J235)&gt;=20000),"Loan of ₹20,000 or more repaid in cash: barred, s.188","OK")))))))))))))))</f>
        <v/>
      </c>
      <c r="P235">
        <f>IF(E235="","",IFERROR(VLOOKUP(E235,Lists!$A$2:$B$17,2,FALSE),"?"))</f>
        <v/>
      </c>
      <c r="Q235">
        <f>IF(L235="Cancelled",0,N(J235))</f>
        <v/>
      </c>
      <c r="R235">
        <f>IF(H235="Cash",Q235,0)</f>
        <v/>
      </c>
      <c r="S235">
        <f>IF(OR(P235&lt;&gt;"E",R235=0),0,SUMIFS($R$18:$R$317,$B$18:$B$317,B235,$D$18:$D$317,D235,$P$18:$P$317,"E"))</f>
        <v/>
      </c>
      <c r="T235">
        <f>IF(OR(P235&lt;&gt;"F",R235=0),0,SUMIFS($R$18:$R$317,$B$18:$B$317,B235,$D$18:$D$317,D235,$P$18:$P$317,"F"))</f>
        <v/>
      </c>
      <c r="U235">
        <f>IF(OR(P235&lt;&gt;"A",R235=0),0,SUMIFS($R$18:$R$317,$B$18:$B$317,B235,$D$18:$D$317,D235,$P$18:$P$317,"A"))</f>
        <v/>
      </c>
      <c r="V235">
        <f>IF(OR(N235="",N235="OK",L235="Cancelled"),0,1)</f>
        <v/>
      </c>
    </row>
    <row r="236">
      <c r="B236" s="22" t="n"/>
      <c r="C236" s="23">
        <f>IF(B236="","",$E$9&amp;TEXT(N($E$10)+218,"000"))</f>
        <v/>
      </c>
      <c r="D236" s="14" t="n"/>
      <c r="E236" s="14" t="n"/>
      <c r="F236" s="14" t="n"/>
      <c r="G236" s="24" t="n"/>
      <c r="H236" s="14" t="n"/>
      <c r="I236" s="24" t="n"/>
      <c r="J236" s="25" t="n"/>
      <c r="K236" s="14" t="n"/>
      <c r="L236" s="24" t="n"/>
      <c r="M236" s="26">
        <f>IF(OR(N(J236)=0,L236="Cancelled"),"",IF(AND(N(J236)&gt;5000,H236="Cash"),"Yes: ₹1","No"))</f>
        <v/>
      </c>
      <c r="N236" s="27">
        <f>IF(AND(B236="",D236="",N(J236)=0),"",IF(B236="","Enter the date",IF(AND(ROW()&gt;18,B235=""),"Use the next empty row: a skipped row leaves a gap in the voucher numbers",IF(D236="","Enter who was paid",IF(N(J236)=0,"Enter the amount",IF(E236="","Pick the head of account",IF(P236="?","Pick the head from the list",IF(H236="","Pick how it was paid",IF(L236="Cancelled","Cancelled: keep this number unused and write a fresh voucher",IF(AND(H236&lt;&gt;"Cash",I236=""),"Enter the cheque no., UTR or UPI reference",IF(AND(N($E$11)&gt;0,N(J236)&gt;N($E$11),K236=""),"Above your approval limit: get it approved before paying",IF(S236&gt;10000,"Cash paid to this person today is over ₹10,000: not deductible, s.36(4)",IF(T236&gt;35000,"Cash freight to this transporter today is over ₹35,000: not deductible, s.36(6)",IF(U236&gt;10000,"Asset paid in cash over ₹10,000 today: left out of its cost, s.39(2)",IF(AND(P236="L",H236="Cash",N(J236)&gt;=20000),"Loan of ₹20,000 or more repaid in cash: barred, s.188","OK")))))))))))))))</f>
        <v/>
      </c>
      <c r="P236">
        <f>IF(E236="","",IFERROR(VLOOKUP(E236,Lists!$A$2:$B$17,2,FALSE),"?"))</f>
        <v/>
      </c>
      <c r="Q236">
        <f>IF(L236="Cancelled",0,N(J236))</f>
        <v/>
      </c>
      <c r="R236">
        <f>IF(H236="Cash",Q236,0)</f>
        <v/>
      </c>
      <c r="S236">
        <f>IF(OR(P236&lt;&gt;"E",R236=0),0,SUMIFS($R$18:$R$317,$B$18:$B$317,B236,$D$18:$D$317,D236,$P$18:$P$317,"E"))</f>
        <v/>
      </c>
      <c r="T236">
        <f>IF(OR(P236&lt;&gt;"F",R236=0),0,SUMIFS($R$18:$R$317,$B$18:$B$317,B236,$D$18:$D$317,D236,$P$18:$P$317,"F"))</f>
        <v/>
      </c>
      <c r="U236">
        <f>IF(OR(P236&lt;&gt;"A",R236=0),0,SUMIFS($R$18:$R$317,$B$18:$B$317,B236,$D$18:$D$317,D236,$P$18:$P$317,"A"))</f>
        <v/>
      </c>
      <c r="V236">
        <f>IF(OR(N236="",N236="OK",L236="Cancelled"),0,1)</f>
        <v/>
      </c>
    </row>
    <row r="237">
      <c r="B237" s="22" t="n"/>
      <c r="C237" s="23">
        <f>IF(B237="","",$E$9&amp;TEXT(N($E$10)+219,"000"))</f>
        <v/>
      </c>
      <c r="D237" s="14" t="n"/>
      <c r="E237" s="14" t="n"/>
      <c r="F237" s="14" t="n"/>
      <c r="G237" s="24" t="n"/>
      <c r="H237" s="14" t="n"/>
      <c r="I237" s="24" t="n"/>
      <c r="J237" s="25" t="n"/>
      <c r="K237" s="14" t="n"/>
      <c r="L237" s="24" t="n"/>
      <c r="M237" s="26">
        <f>IF(OR(N(J237)=0,L237="Cancelled"),"",IF(AND(N(J237)&gt;5000,H237="Cash"),"Yes: ₹1","No"))</f>
        <v/>
      </c>
      <c r="N237" s="27">
        <f>IF(AND(B237="",D237="",N(J237)=0),"",IF(B237="","Enter the date",IF(AND(ROW()&gt;18,B236=""),"Use the next empty row: a skipped row leaves a gap in the voucher numbers",IF(D237="","Enter who was paid",IF(N(J237)=0,"Enter the amount",IF(E237="","Pick the head of account",IF(P237="?","Pick the head from the list",IF(H237="","Pick how it was paid",IF(L237="Cancelled","Cancelled: keep this number unused and write a fresh voucher",IF(AND(H237&lt;&gt;"Cash",I237=""),"Enter the cheque no., UTR or UPI reference",IF(AND(N($E$11)&gt;0,N(J237)&gt;N($E$11),K237=""),"Above your approval limit: get it approved before paying",IF(S237&gt;10000,"Cash paid to this person today is over ₹10,000: not deductible, s.36(4)",IF(T237&gt;35000,"Cash freight to this transporter today is over ₹35,000: not deductible, s.36(6)",IF(U237&gt;10000,"Asset paid in cash over ₹10,000 today: left out of its cost, s.39(2)",IF(AND(P237="L",H237="Cash",N(J237)&gt;=20000),"Loan of ₹20,000 or more repaid in cash: barred, s.188","OK")))))))))))))))</f>
        <v/>
      </c>
      <c r="P237">
        <f>IF(E237="","",IFERROR(VLOOKUP(E237,Lists!$A$2:$B$17,2,FALSE),"?"))</f>
        <v/>
      </c>
      <c r="Q237">
        <f>IF(L237="Cancelled",0,N(J237))</f>
        <v/>
      </c>
      <c r="R237">
        <f>IF(H237="Cash",Q237,0)</f>
        <v/>
      </c>
      <c r="S237">
        <f>IF(OR(P237&lt;&gt;"E",R237=0),0,SUMIFS($R$18:$R$317,$B$18:$B$317,B237,$D$18:$D$317,D237,$P$18:$P$317,"E"))</f>
        <v/>
      </c>
      <c r="T237">
        <f>IF(OR(P237&lt;&gt;"F",R237=0),0,SUMIFS($R$18:$R$317,$B$18:$B$317,B237,$D$18:$D$317,D237,$P$18:$P$317,"F"))</f>
        <v/>
      </c>
      <c r="U237">
        <f>IF(OR(P237&lt;&gt;"A",R237=0),0,SUMIFS($R$18:$R$317,$B$18:$B$317,B237,$D$18:$D$317,D237,$P$18:$P$317,"A"))</f>
        <v/>
      </c>
      <c r="V237">
        <f>IF(OR(N237="",N237="OK",L237="Cancelled"),0,1)</f>
        <v/>
      </c>
    </row>
    <row r="238">
      <c r="B238" s="22" t="n"/>
      <c r="C238" s="23">
        <f>IF(B238="","",$E$9&amp;TEXT(N($E$10)+220,"000"))</f>
        <v/>
      </c>
      <c r="D238" s="14" t="n"/>
      <c r="E238" s="14" t="n"/>
      <c r="F238" s="14" t="n"/>
      <c r="G238" s="24" t="n"/>
      <c r="H238" s="14" t="n"/>
      <c r="I238" s="24" t="n"/>
      <c r="J238" s="25" t="n"/>
      <c r="K238" s="14" t="n"/>
      <c r="L238" s="24" t="n"/>
      <c r="M238" s="26">
        <f>IF(OR(N(J238)=0,L238="Cancelled"),"",IF(AND(N(J238)&gt;5000,H238="Cash"),"Yes: ₹1","No"))</f>
        <v/>
      </c>
      <c r="N238" s="27">
        <f>IF(AND(B238="",D238="",N(J238)=0),"",IF(B238="","Enter the date",IF(AND(ROW()&gt;18,B237=""),"Use the next empty row: a skipped row leaves a gap in the voucher numbers",IF(D238="","Enter who was paid",IF(N(J238)=0,"Enter the amount",IF(E238="","Pick the head of account",IF(P238="?","Pick the head from the list",IF(H238="","Pick how it was paid",IF(L238="Cancelled","Cancelled: keep this number unused and write a fresh voucher",IF(AND(H238&lt;&gt;"Cash",I238=""),"Enter the cheque no., UTR or UPI reference",IF(AND(N($E$11)&gt;0,N(J238)&gt;N($E$11),K238=""),"Above your approval limit: get it approved before paying",IF(S238&gt;10000,"Cash paid to this person today is over ₹10,000: not deductible, s.36(4)",IF(T238&gt;35000,"Cash freight to this transporter today is over ₹35,000: not deductible, s.36(6)",IF(U238&gt;10000,"Asset paid in cash over ₹10,000 today: left out of its cost, s.39(2)",IF(AND(P238="L",H238="Cash",N(J238)&gt;=20000),"Loan of ₹20,000 or more repaid in cash: barred, s.188","OK")))))))))))))))</f>
        <v/>
      </c>
      <c r="P238">
        <f>IF(E238="","",IFERROR(VLOOKUP(E238,Lists!$A$2:$B$17,2,FALSE),"?"))</f>
        <v/>
      </c>
      <c r="Q238">
        <f>IF(L238="Cancelled",0,N(J238))</f>
        <v/>
      </c>
      <c r="R238">
        <f>IF(H238="Cash",Q238,0)</f>
        <v/>
      </c>
      <c r="S238">
        <f>IF(OR(P238&lt;&gt;"E",R238=0),0,SUMIFS($R$18:$R$317,$B$18:$B$317,B238,$D$18:$D$317,D238,$P$18:$P$317,"E"))</f>
        <v/>
      </c>
      <c r="T238">
        <f>IF(OR(P238&lt;&gt;"F",R238=0),0,SUMIFS($R$18:$R$317,$B$18:$B$317,B238,$D$18:$D$317,D238,$P$18:$P$317,"F"))</f>
        <v/>
      </c>
      <c r="U238">
        <f>IF(OR(P238&lt;&gt;"A",R238=0),0,SUMIFS($R$18:$R$317,$B$18:$B$317,B238,$D$18:$D$317,D238,$P$18:$P$317,"A"))</f>
        <v/>
      </c>
      <c r="V238">
        <f>IF(OR(N238="",N238="OK",L238="Cancelled"),0,1)</f>
        <v/>
      </c>
    </row>
    <row r="239">
      <c r="B239" s="22" t="n"/>
      <c r="C239" s="23">
        <f>IF(B239="","",$E$9&amp;TEXT(N($E$10)+221,"000"))</f>
        <v/>
      </c>
      <c r="D239" s="14" t="n"/>
      <c r="E239" s="14" t="n"/>
      <c r="F239" s="14" t="n"/>
      <c r="G239" s="24" t="n"/>
      <c r="H239" s="14" t="n"/>
      <c r="I239" s="24" t="n"/>
      <c r="J239" s="25" t="n"/>
      <c r="K239" s="14" t="n"/>
      <c r="L239" s="24" t="n"/>
      <c r="M239" s="26">
        <f>IF(OR(N(J239)=0,L239="Cancelled"),"",IF(AND(N(J239)&gt;5000,H239="Cash"),"Yes: ₹1","No"))</f>
        <v/>
      </c>
      <c r="N239" s="27">
        <f>IF(AND(B239="",D239="",N(J239)=0),"",IF(B239="","Enter the date",IF(AND(ROW()&gt;18,B238=""),"Use the next empty row: a skipped row leaves a gap in the voucher numbers",IF(D239="","Enter who was paid",IF(N(J239)=0,"Enter the amount",IF(E239="","Pick the head of account",IF(P239="?","Pick the head from the list",IF(H239="","Pick how it was paid",IF(L239="Cancelled","Cancelled: keep this number unused and write a fresh voucher",IF(AND(H239&lt;&gt;"Cash",I239=""),"Enter the cheque no., UTR or UPI reference",IF(AND(N($E$11)&gt;0,N(J239)&gt;N($E$11),K239=""),"Above your approval limit: get it approved before paying",IF(S239&gt;10000,"Cash paid to this person today is over ₹10,000: not deductible, s.36(4)",IF(T239&gt;35000,"Cash freight to this transporter today is over ₹35,000: not deductible, s.36(6)",IF(U239&gt;10000,"Asset paid in cash over ₹10,000 today: left out of its cost, s.39(2)",IF(AND(P239="L",H239="Cash",N(J239)&gt;=20000),"Loan of ₹20,000 or more repaid in cash: barred, s.188","OK")))))))))))))))</f>
        <v/>
      </c>
      <c r="P239">
        <f>IF(E239="","",IFERROR(VLOOKUP(E239,Lists!$A$2:$B$17,2,FALSE),"?"))</f>
        <v/>
      </c>
      <c r="Q239">
        <f>IF(L239="Cancelled",0,N(J239))</f>
        <v/>
      </c>
      <c r="R239">
        <f>IF(H239="Cash",Q239,0)</f>
        <v/>
      </c>
      <c r="S239">
        <f>IF(OR(P239&lt;&gt;"E",R239=0),0,SUMIFS($R$18:$R$317,$B$18:$B$317,B239,$D$18:$D$317,D239,$P$18:$P$317,"E"))</f>
        <v/>
      </c>
      <c r="T239">
        <f>IF(OR(P239&lt;&gt;"F",R239=0),0,SUMIFS($R$18:$R$317,$B$18:$B$317,B239,$D$18:$D$317,D239,$P$18:$P$317,"F"))</f>
        <v/>
      </c>
      <c r="U239">
        <f>IF(OR(P239&lt;&gt;"A",R239=0),0,SUMIFS($R$18:$R$317,$B$18:$B$317,B239,$D$18:$D$317,D239,$P$18:$P$317,"A"))</f>
        <v/>
      </c>
      <c r="V239">
        <f>IF(OR(N239="",N239="OK",L239="Cancelled"),0,1)</f>
        <v/>
      </c>
    </row>
    <row r="240">
      <c r="B240" s="22" t="n"/>
      <c r="C240" s="23">
        <f>IF(B240="","",$E$9&amp;TEXT(N($E$10)+222,"000"))</f>
        <v/>
      </c>
      <c r="D240" s="14" t="n"/>
      <c r="E240" s="14" t="n"/>
      <c r="F240" s="14" t="n"/>
      <c r="G240" s="24" t="n"/>
      <c r="H240" s="14" t="n"/>
      <c r="I240" s="24" t="n"/>
      <c r="J240" s="25" t="n"/>
      <c r="K240" s="14" t="n"/>
      <c r="L240" s="24" t="n"/>
      <c r="M240" s="26">
        <f>IF(OR(N(J240)=0,L240="Cancelled"),"",IF(AND(N(J240)&gt;5000,H240="Cash"),"Yes: ₹1","No"))</f>
        <v/>
      </c>
      <c r="N240" s="27">
        <f>IF(AND(B240="",D240="",N(J240)=0),"",IF(B240="","Enter the date",IF(AND(ROW()&gt;18,B239=""),"Use the next empty row: a skipped row leaves a gap in the voucher numbers",IF(D240="","Enter who was paid",IF(N(J240)=0,"Enter the amount",IF(E240="","Pick the head of account",IF(P240="?","Pick the head from the list",IF(H240="","Pick how it was paid",IF(L240="Cancelled","Cancelled: keep this number unused and write a fresh voucher",IF(AND(H240&lt;&gt;"Cash",I240=""),"Enter the cheque no., UTR or UPI reference",IF(AND(N($E$11)&gt;0,N(J240)&gt;N($E$11),K240=""),"Above your approval limit: get it approved before paying",IF(S240&gt;10000,"Cash paid to this person today is over ₹10,000: not deductible, s.36(4)",IF(T240&gt;35000,"Cash freight to this transporter today is over ₹35,000: not deductible, s.36(6)",IF(U240&gt;10000,"Asset paid in cash over ₹10,000 today: left out of its cost, s.39(2)",IF(AND(P240="L",H240="Cash",N(J240)&gt;=20000),"Loan of ₹20,000 or more repaid in cash: barred, s.188","OK")))))))))))))))</f>
        <v/>
      </c>
      <c r="P240">
        <f>IF(E240="","",IFERROR(VLOOKUP(E240,Lists!$A$2:$B$17,2,FALSE),"?"))</f>
        <v/>
      </c>
      <c r="Q240">
        <f>IF(L240="Cancelled",0,N(J240))</f>
        <v/>
      </c>
      <c r="R240">
        <f>IF(H240="Cash",Q240,0)</f>
        <v/>
      </c>
      <c r="S240">
        <f>IF(OR(P240&lt;&gt;"E",R240=0),0,SUMIFS($R$18:$R$317,$B$18:$B$317,B240,$D$18:$D$317,D240,$P$18:$P$317,"E"))</f>
        <v/>
      </c>
      <c r="T240">
        <f>IF(OR(P240&lt;&gt;"F",R240=0),0,SUMIFS($R$18:$R$317,$B$18:$B$317,B240,$D$18:$D$317,D240,$P$18:$P$317,"F"))</f>
        <v/>
      </c>
      <c r="U240">
        <f>IF(OR(P240&lt;&gt;"A",R240=0),0,SUMIFS($R$18:$R$317,$B$18:$B$317,B240,$D$18:$D$317,D240,$P$18:$P$317,"A"))</f>
        <v/>
      </c>
      <c r="V240">
        <f>IF(OR(N240="",N240="OK",L240="Cancelled"),0,1)</f>
        <v/>
      </c>
    </row>
    <row r="241">
      <c r="B241" s="22" t="n"/>
      <c r="C241" s="23">
        <f>IF(B241="","",$E$9&amp;TEXT(N($E$10)+223,"000"))</f>
        <v/>
      </c>
      <c r="D241" s="14" t="n"/>
      <c r="E241" s="14" t="n"/>
      <c r="F241" s="14" t="n"/>
      <c r="G241" s="24" t="n"/>
      <c r="H241" s="14" t="n"/>
      <c r="I241" s="24" t="n"/>
      <c r="J241" s="25" t="n"/>
      <c r="K241" s="14" t="n"/>
      <c r="L241" s="24" t="n"/>
      <c r="M241" s="26">
        <f>IF(OR(N(J241)=0,L241="Cancelled"),"",IF(AND(N(J241)&gt;5000,H241="Cash"),"Yes: ₹1","No"))</f>
        <v/>
      </c>
      <c r="N241" s="27">
        <f>IF(AND(B241="",D241="",N(J241)=0),"",IF(B241="","Enter the date",IF(AND(ROW()&gt;18,B240=""),"Use the next empty row: a skipped row leaves a gap in the voucher numbers",IF(D241="","Enter who was paid",IF(N(J241)=0,"Enter the amount",IF(E241="","Pick the head of account",IF(P241="?","Pick the head from the list",IF(H241="","Pick how it was paid",IF(L241="Cancelled","Cancelled: keep this number unused and write a fresh voucher",IF(AND(H241&lt;&gt;"Cash",I241=""),"Enter the cheque no., UTR or UPI reference",IF(AND(N($E$11)&gt;0,N(J241)&gt;N($E$11),K241=""),"Above your approval limit: get it approved before paying",IF(S241&gt;10000,"Cash paid to this person today is over ₹10,000: not deductible, s.36(4)",IF(T241&gt;35000,"Cash freight to this transporter today is over ₹35,000: not deductible, s.36(6)",IF(U241&gt;10000,"Asset paid in cash over ₹10,000 today: left out of its cost, s.39(2)",IF(AND(P241="L",H241="Cash",N(J241)&gt;=20000),"Loan of ₹20,000 or more repaid in cash: barred, s.188","OK")))))))))))))))</f>
        <v/>
      </c>
      <c r="P241">
        <f>IF(E241="","",IFERROR(VLOOKUP(E241,Lists!$A$2:$B$17,2,FALSE),"?"))</f>
        <v/>
      </c>
      <c r="Q241">
        <f>IF(L241="Cancelled",0,N(J241))</f>
        <v/>
      </c>
      <c r="R241">
        <f>IF(H241="Cash",Q241,0)</f>
        <v/>
      </c>
      <c r="S241">
        <f>IF(OR(P241&lt;&gt;"E",R241=0),0,SUMIFS($R$18:$R$317,$B$18:$B$317,B241,$D$18:$D$317,D241,$P$18:$P$317,"E"))</f>
        <v/>
      </c>
      <c r="T241">
        <f>IF(OR(P241&lt;&gt;"F",R241=0),0,SUMIFS($R$18:$R$317,$B$18:$B$317,B241,$D$18:$D$317,D241,$P$18:$P$317,"F"))</f>
        <v/>
      </c>
      <c r="U241">
        <f>IF(OR(P241&lt;&gt;"A",R241=0),0,SUMIFS($R$18:$R$317,$B$18:$B$317,B241,$D$18:$D$317,D241,$P$18:$P$317,"A"))</f>
        <v/>
      </c>
      <c r="V241">
        <f>IF(OR(N241="",N241="OK",L241="Cancelled"),0,1)</f>
        <v/>
      </c>
    </row>
    <row r="242">
      <c r="B242" s="22" t="n"/>
      <c r="C242" s="23">
        <f>IF(B242="","",$E$9&amp;TEXT(N($E$10)+224,"000"))</f>
        <v/>
      </c>
      <c r="D242" s="14" t="n"/>
      <c r="E242" s="14" t="n"/>
      <c r="F242" s="14" t="n"/>
      <c r="G242" s="24" t="n"/>
      <c r="H242" s="14" t="n"/>
      <c r="I242" s="24" t="n"/>
      <c r="J242" s="25" t="n"/>
      <c r="K242" s="14" t="n"/>
      <c r="L242" s="24" t="n"/>
      <c r="M242" s="26">
        <f>IF(OR(N(J242)=0,L242="Cancelled"),"",IF(AND(N(J242)&gt;5000,H242="Cash"),"Yes: ₹1","No"))</f>
        <v/>
      </c>
      <c r="N242" s="27">
        <f>IF(AND(B242="",D242="",N(J242)=0),"",IF(B242="","Enter the date",IF(AND(ROW()&gt;18,B241=""),"Use the next empty row: a skipped row leaves a gap in the voucher numbers",IF(D242="","Enter who was paid",IF(N(J242)=0,"Enter the amount",IF(E242="","Pick the head of account",IF(P242="?","Pick the head from the list",IF(H242="","Pick how it was paid",IF(L242="Cancelled","Cancelled: keep this number unused and write a fresh voucher",IF(AND(H242&lt;&gt;"Cash",I242=""),"Enter the cheque no., UTR or UPI reference",IF(AND(N($E$11)&gt;0,N(J242)&gt;N($E$11),K242=""),"Above your approval limit: get it approved before paying",IF(S242&gt;10000,"Cash paid to this person today is over ₹10,000: not deductible, s.36(4)",IF(T242&gt;35000,"Cash freight to this transporter today is over ₹35,000: not deductible, s.36(6)",IF(U242&gt;10000,"Asset paid in cash over ₹10,000 today: left out of its cost, s.39(2)",IF(AND(P242="L",H242="Cash",N(J242)&gt;=20000),"Loan of ₹20,000 or more repaid in cash: barred, s.188","OK")))))))))))))))</f>
        <v/>
      </c>
      <c r="P242">
        <f>IF(E242="","",IFERROR(VLOOKUP(E242,Lists!$A$2:$B$17,2,FALSE),"?"))</f>
        <v/>
      </c>
      <c r="Q242">
        <f>IF(L242="Cancelled",0,N(J242))</f>
        <v/>
      </c>
      <c r="R242">
        <f>IF(H242="Cash",Q242,0)</f>
        <v/>
      </c>
      <c r="S242">
        <f>IF(OR(P242&lt;&gt;"E",R242=0),0,SUMIFS($R$18:$R$317,$B$18:$B$317,B242,$D$18:$D$317,D242,$P$18:$P$317,"E"))</f>
        <v/>
      </c>
      <c r="T242">
        <f>IF(OR(P242&lt;&gt;"F",R242=0),0,SUMIFS($R$18:$R$317,$B$18:$B$317,B242,$D$18:$D$317,D242,$P$18:$P$317,"F"))</f>
        <v/>
      </c>
      <c r="U242">
        <f>IF(OR(P242&lt;&gt;"A",R242=0),0,SUMIFS($R$18:$R$317,$B$18:$B$317,B242,$D$18:$D$317,D242,$P$18:$P$317,"A"))</f>
        <v/>
      </c>
      <c r="V242">
        <f>IF(OR(N242="",N242="OK",L242="Cancelled"),0,1)</f>
        <v/>
      </c>
    </row>
    <row r="243">
      <c r="B243" s="22" t="n"/>
      <c r="C243" s="23">
        <f>IF(B243="","",$E$9&amp;TEXT(N($E$10)+225,"000"))</f>
        <v/>
      </c>
      <c r="D243" s="14" t="n"/>
      <c r="E243" s="14" t="n"/>
      <c r="F243" s="14" t="n"/>
      <c r="G243" s="24" t="n"/>
      <c r="H243" s="14" t="n"/>
      <c r="I243" s="24" t="n"/>
      <c r="J243" s="25" t="n"/>
      <c r="K243" s="14" t="n"/>
      <c r="L243" s="24" t="n"/>
      <c r="M243" s="26">
        <f>IF(OR(N(J243)=0,L243="Cancelled"),"",IF(AND(N(J243)&gt;5000,H243="Cash"),"Yes: ₹1","No"))</f>
        <v/>
      </c>
      <c r="N243" s="27">
        <f>IF(AND(B243="",D243="",N(J243)=0),"",IF(B243="","Enter the date",IF(AND(ROW()&gt;18,B242=""),"Use the next empty row: a skipped row leaves a gap in the voucher numbers",IF(D243="","Enter who was paid",IF(N(J243)=0,"Enter the amount",IF(E243="","Pick the head of account",IF(P243="?","Pick the head from the list",IF(H243="","Pick how it was paid",IF(L243="Cancelled","Cancelled: keep this number unused and write a fresh voucher",IF(AND(H243&lt;&gt;"Cash",I243=""),"Enter the cheque no., UTR or UPI reference",IF(AND(N($E$11)&gt;0,N(J243)&gt;N($E$11),K243=""),"Above your approval limit: get it approved before paying",IF(S243&gt;10000,"Cash paid to this person today is over ₹10,000: not deductible, s.36(4)",IF(T243&gt;35000,"Cash freight to this transporter today is over ₹35,000: not deductible, s.36(6)",IF(U243&gt;10000,"Asset paid in cash over ₹10,000 today: left out of its cost, s.39(2)",IF(AND(P243="L",H243="Cash",N(J243)&gt;=20000),"Loan of ₹20,000 or more repaid in cash: barred, s.188","OK")))))))))))))))</f>
        <v/>
      </c>
      <c r="P243">
        <f>IF(E243="","",IFERROR(VLOOKUP(E243,Lists!$A$2:$B$17,2,FALSE),"?"))</f>
        <v/>
      </c>
      <c r="Q243">
        <f>IF(L243="Cancelled",0,N(J243))</f>
        <v/>
      </c>
      <c r="R243">
        <f>IF(H243="Cash",Q243,0)</f>
        <v/>
      </c>
      <c r="S243">
        <f>IF(OR(P243&lt;&gt;"E",R243=0),0,SUMIFS($R$18:$R$317,$B$18:$B$317,B243,$D$18:$D$317,D243,$P$18:$P$317,"E"))</f>
        <v/>
      </c>
      <c r="T243">
        <f>IF(OR(P243&lt;&gt;"F",R243=0),0,SUMIFS($R$18:$R$317,$B$18:$B$317,B243,$D$18:$D$317,D243,$P$18:$P$317,"F"))</f>
        <v/>
      </c>
      <c r="U243">
        <f>IF(OR(P243&lt;&gt;"A",R243=0),0,SUMIFS($R$18:$R$317,$B$18:$B$317,B243,$D$18:$D$317,D243,$P$18:$P$317,"A"))</f>
        <v/>
      </c>
      <c r="V243">
        <f>IF(OR(N243="",N243="OK",L243="Cancelled"),0,1)</f>
        <v/>
      </c>
    </row>
    <row r="244">
      <c r="B244" s="22" t="n"/>
      <c r="C244" s="23">
        <f>IF(B244="","",$E$9&amp;TEXT(N($E$10)+226,"000"))</f>
        <v/>
      </c>
      <c r="D244" s="14" t="n"/>
      <c r="E244" s="14" t="n"/>
      <c r="F244" s="14" t="n"/>
      <c r="G244" s="24" t="n"/>
      <c r="H244" s="14" t="n"/>
      <c r="I244" s="24" t="n"/>
      <c r="J244" s="25" t="n"/>
      <c r="K244" s="14" t="n"/>
      <c r="L244" s="24" t="n"/>
      <c r="M244" s="26">
        <f>IF(OR(N(J244)=0,L244="Cancelled"),"",IF(AND(N(J244)&gt;5000,H244="Cash"),"Yes: ₹1","No"))</f>
        <v/>
      </c>
      <c r="N244" s="27">
        <f>IF(AND(B244="",D244="",N(J244)=0),"",IF(B244="","Enter the date",IF(AND(ROW()&gt;18,B243=""),"Use the next empty row: a skipped row leaves a gap in the voucher numbers",IF(D244="","Enter who was paid",IF(N(J244)=0,"Enter the amount",IF(E244="","Pick the head of account",IF(P244="?","Pick the head from the list",IF(H244="","Pick how it was paid",IF(L244="Cancelled","Cancelled: keep this number unused and write a fresh voucher",IF(AND(H244&lt;&gt;"Cash",I244=""),"Enter the cheque no., UTR or UPI reference",IF(AND(N($E$11)&gt;0,N(J244)&gt;N($E$11),K244=""),"Above your approval limit: get it approved before paying",IF(S244&gt;10000,"Cash paid to this person today is over ₹10,000: not deductible, s.36(4)",IF(T244&gt;35000,"Cash freight to this transporter today is over ₹35,000: not deductible, s.36(6)",IF(U244&gt;10000,"Asset paid in cash over ₹10,000 today: left out of its cost, s.39(2)",IF(AND(P244="L",H244="Cash",N(J244)&gt;=20000),"Loan of ₹20,000 or more repaid in cash: barred, s.188","OK")))))))))))))))</f>
        <v/>
      </c>
      <c r="P244">
        <f>IF(E244="","",IFERROR(VLOOKUP(E244,Lists!$A$2:$B$17,2,FALSE),"?"))</f>
        <v/>
      </c>
      <c r="Q244">
        <f>IF(L244="Cancelled",0,N(J244))</f>
        <v/>
      </c>
      <c r="R244">
        <f>IF(H244="Cash",Q244,0)</f>
        <v/>
      </c>
      <c r="S244">
        <f>IF(OR(P244&lt;&gt;"E",R244=0),0,SUMIFS($R$18:$R$317,$B$18:$B$317,B244,$D$18:$D$317,D244,$P$18:$P$317,"E"))</f>
        <v/>
      </c>
      <c r="T244">
        <f>IF(OR(P244&lt;&gt;"F",R244=0),0,SUMIFS($R$18:$R$317,$B$18:$B$317,B244,$D$18:$D$317,D244,$P$18:$P$317,"F"))</f>
        <v/>
      </c>
      <c r="U244">
        <f>IF(OR(P244&lt;&gt;"A",R244=0),0,SUMIFS($R$18:$R$317,$B$18:$B$317,B244,$D$18:$D$317,D244,$P$18:$P$317,"A"))</f>
        <v/>
      </c>
      <c r="V244">
        <f>IF(OR(N244="",N244="OK",L244="Cancelled"),0,1)</f>
        <v/>
      </c>
    </row>
    <row r="245">
      <c r="B245" s="22" t="n"/>
      <c r="C245" s="23">
        <f>IF(B245="","",$E$9&amp;TEXT(N($E$10)+227,"000"))</f>
        <v/>
      </c>
      <c r="D245" s="14" t="n"/>
      <c r="E245" s="14" t="n"/>
      <c r="F245" s="14" t="n"/>
      <c r="G245" s="24" t="n"/>
      <c r="H245" s="14" t="n"/>
      <c r="I245" s="24" t="n"/>
      <c r="J245" s="25" t="n"/>
      <c r="K245" s="14" t="n"/>
      <c r="L245" s="24" t="n"/>
      <c r="M245" s="26">
        <f>IF(OR(N(J245)=0,L245="Cancelled"),"",IF(AND(N(J245)&gt;5000,H245="Cash"),"Yes: ₹1","No"))</f>
        <v/>
      </c>
      <c r="N245" s="27">
        <f>IF(AND(B245="",D245="",N(J245)=0),"",IF(B245="","Enter the date",IF(AND(ROW()&gt;18,B244=""),"Use the next empty row: a skipped row leaves a gap in the voucher numbers",IF(D245="","Enter who was paid",IF(N(J245)=0,"Enter the amount",IF(E245="","Pick the head of account",IF(P245="?","Pick the head from the list",IF(H245="","Pick how it was paid",IF(L245="Cancelled","Cancelled: keep this number unused and write a fresh voucher",IF(AND(H245&lt;&gt;"Cash",I245=""),"Enter the cheque no., UTR or UPI reference",IF(AND(N($E$11)&gt;0,N(J245)&gt;N($E$11),K245=""),"Above your approval limit: get it approved before paying",IF(S245&gt;10000,"Cash paid to this person today is over ₹10,000: not deductible, s.36(4)",IF(T245&gt;35000,"Cash freight to this transporter today is over ₹35,000: not deductible, s.36(6)",IF(U245&gt;10000,"Asset paid in cash over ₹10,000 today: left out of its cost, s.39(2)",IF(AND(P245="L",H245="Cash",N(J245)&gt;=20000),"Loan of ₹20,000 or more repaid in cash: barred, s.188","OK")))))))))))))))</f>
        <v/>
      </c>
      <c r="P245">
        <f>IF(E245="","",IFERROR(VLOOKUP(E245,Lists!$A$2:$B$17,2,FALSE),"?"))</f>
        <v/>
      </c>
      <c r="Q245">
        <f>IF(L245="Cancelled",0,N(J245))</f>
        <v/>
      </c>
      <c r="R245">
        <f>IF(H245="Cash",Q245,0)</f>
        <v/>
      </c>
      <c r="S245">
        <f>IF(OR(P245&lt;&gt;"E",R245=0),0,SUMIFS($R$18:$R$317,$B$18:$B$317,B245,$D$18:$D$317,D245,$P$18:$P$317,"E"))</f>
        <v/>
      </c>
      <c r="T245">
        <f>IF(OR(P245&lt;&gt;"F",R245=0),0,SUMIFS($R$18:$R$317,$B$18:$B$317,B245,$D$18:$D$317,D245,$P$18:$P$317,"F"))</f>
        <v/>
      </c>
      <c r="U245">
        <f>IF(OR(P245&lt;&gt;"A",R245=0),0,SUMIFS($R$18:$R$317,$B$18:$B$317,B245,$D$18:$D$317,D245,$P$18:$P$317,"A"))</f>
        <v/>
      </c>
      <c r="V245">
        <f>IF(OR(N245="",N245="OK",L245="Cancelled"),0,1)</f>
        <v/>
      </c>
    </row>
    <row r="246">
      <c r="B246" s="22" t="n"/>
      <c r="C246" s="23">
        <f>IF(B246="","",$E$9&amp;TEXT(N($E$10)+228,"000"))</f>
        <v/>
      </c>
      <c r="D246" s="14" t="n"/>
      <c r="E246" s="14" t="n"/>
      <c r="F246" s="14" t="n"/>
      <c r="G246" s="24" t="n"/>
      <c r="H246" s="14" t="n"/>
      <c r="I246" s="24" t="n"/>
      <c r="J246" s="25" t="n"/>
      <c r="K246" s="14" t="n"/>
      <c r="L246" s="24" t="n"/>
      <c r="M246" s="26">
        <f>IF(OR(N(J246)=0,L246="Cancelled"),"",IF(AND(N(J246)&gt;5000,H246="Cash"),"Yes: ₹1","No"))</f>
        <v/>
      </c>
      <c r="N246" s="27">
        <f>IF(AND(B246="",D246="",N(J246)=0),"",IF(B246="","Enter the date",IF(AND(ROW()&gt;18,B245=""),"Use the next empty row: a skipped row leaves a gap in the voucher numbers",IF(D246="","Enter who was paid",IF(N(J246)=0,"Enter the amount",IF(E246="","Pick the head of account",IF(P246="?","Pick the head from the list",IF(H246="","Pick how it was paid",IF(L246="Cancelled","Cancelled: keep this number unused and write a fresh voucher",IF(AND(H246&lt;&gt;"Cash",I246=""),"Enter the cheque no., UTR or UPI reference",IF(AND(N($E$11)&gt;0,N(J246)&gt;N($E$11),K246=""),"Above your approval limit: get it approved before paying",IF(S246&gt;10000,"Cash paid to this person today is over ₹10,000: not deductible, s.36(4)",IF(T246&gt;35000,"Cash freight to this transporter today is over ₹35,000: not deductible, s.36(6)",IF(U246&gt;10000,"Asset paid in cash over ₹10,000 today: left out of its cost, s.39(2)",IF(AND(P246="L",H246="Cash",N(J246)&gt;=20000),"Loan of ₹20,000 or more repaid in cash: barred, s.188","OK")))))))))))))))</f>
        <v/>
      </c>
      <c r="P246">
        <f>IF(E246="","",IFERROR(VLOOKUP(E246,Lists!$A$2:$B$17,2,FALSE),"?"))</f>
        <v/>
      </c>
      <c r="Q246">
        <f>IF(L246="Cancelled",0,N(J246))</f>
        <v/>
      </c>
      <c r="R246">
        <f>IF(H246="Cash",Q246,0)</f>
        <v/>
      </c>
      <c r="S246">
        <f>IF(OR(P246&lt;&gt;"E",R246=0),0,SUMIFS($R$18:$R$317,$B$18:$B$317,B246,$D$18:$D$317,D246,$P$18:$P$317,"E"))</f>
        <v/>
      </c>
      <c r="T246">
        <f>IF(OR(P246&lt;&gt;"F",R246=0),0,SUMIFS($R$18:$R$317,$B$18:$B$317,B246,$D$18:$D$317,D246,$P$18:$P$317,"F"))</f>
        <v/>
      </c>
      <c r="U246">
        <f>IF(OR(P246&lt;&gt;"A",R246=0),0,SUMIFS($R$18:$R$317,$B$18:$B$317,B246,$D$18:$D$317,D246,$P$18:$P$317,"A"))</f>
        <v/>
      </c>
      <c r="V246">
        <f>IF(OR(N246="",N246="OK",L246="Cancelled"),0,1)</f>
        <v/>
      </c>
    </row>
    <row r="247">
      <c r="B247" s="22" t="n"/>
      <c r="C247" s="23">
        <f>IF(B247="","",$E$9&amp;TEXT(N($E$10)+229,"000"))</f>
        <v/>
      </c>
      <c r="D247" s="14" t="n"/>
      <c r="E247" s="14" t="n"/>
      <c r="F247" s="14" t="n"/>
      <c r="G247" s="24" t="n"/>
      <c r="H247" s="14" t="n"/>
      <c r="I247" s="24" t="n"/>
      <c r="J247" s="25" t="n"/>
      <c r="K247" s="14" t="n"/>
      <c r="L247" s="24" t="n"/>
      <c r="M247" s="26">
        <f>IF(OR(N(J247)=0,L247="Cancelled"),"",IF(AND(N(J247)&gt;5000,H247="Cash"),"Yes: ₹1","No"))</f>
        <v/>
      </c>
      <c r="N247" s="27">
        <f>IF(AND(B247="",D247="",N(J247)=0),"",IF(B247="","Enter the date",IF(AND(ROW()&gt;18,B246=""),"Use the next empty row: a skipped row leaves a gap in the voucher numbers",IF(D247="","Enter who was paid",IF(N(J247)=0,"Enter the amount",IF(E247="","Pick the head of account",IF(P247="?","Pick the head from the list",IF(H247="","Pick how it was paid",IF(L247="Cancelled","Cancelled: keep this number unused and write a fresh voucher",IF(AND(H247&lt;&gt;"Cash",I247=""),"Enter the cheque no., UTR or UPI reference",IF(AND(N($E$11)&gt;0,N(J247)&gt;N($E$11),K247=""),"Above your approval limit: get it approved before paying",IF(S247&gt;10000,"Cash paid to this person today is over ₹10,000: not deductible, s.36(4)",IF(T247&gt;35000,"Cash freight to this transporter today is over ₹35,000: not deductible, s.36(6)",IF(U247&gt;10000,"Asset paid in cash over ₹10,000 today: left out of its cost, s.39(2)",IF(AND(P247="L",H247="Cash",N(J247)&gt;=20000),"Loan of ₹20,000 or more repaid in cash: barred, s.188","OK")))))))))))))))</f>
        <v/>
      </c>
      <c r="P247">
        <f>IF(E247="","",IFERROR(VLOOKUP(E247,Lists!$A$2:$B$17,2,FALSE),"?"))</f>
        <v/>
      </c>
      <c r="Q247">
        <f>IF(L247="Cancelled",0,N(J247))</f>
        <v/>
      </c>
      <c r="R247">
        <f>IF(H247="Cash",Q247,0)</f>
        <v/>
      </c>
      <c r="S247">
        <f>IF(OR(P247&lt;&gt;"E",R247=0),0,SUMIFS($R$18:$R$317,$B$18:$B$317,B247,$D$18:$D$317,D247,$P$18:$P$317,"E"))</f>
        <v/>
      </c>
      <c r="T247">
        <f>IF(OR(P247&lt;&gt;"F",R247=0),0,SUMIFS($R$18:$R$317,$B$18:$B$317,B247,$D$18:$D$317,D247,$P$18:$P$317,"F"))</f>
        <v/>
      </c>
      <c r="U247">
        <f>IF(OR(P247&lt;&gt;"A",R247=0),0,SUMIFS($R$18:$R$317,$B$18:$B$317,B247,$D$18:$D$317,D247,$P$18:$P$317,"A"))</f>
        <v/>
      </c>
      <c r="V247">
        <f>IF(OR(N247="",N247="OK",L247="Cancelled"),0,1)</f>
        <v/>
      </c>
    </row>
    <row r="248">
      <c r="B248" s="22" t="n"/>
      <c r="C248" s="23">
        <f>IF(B248="","",$E$9&amp;TEXT(N($E$10)+230,"000"))</f>
        <v/>
      </c>
      <c r="D248" s="14" t="n"/>
      <c r="E248" s="14" t="n"/>
      <c r="F248" s="14" t="n"/>
      <c r="G248" s="24" t="n"/>
      <c r="H248" s="14" t="n"/>
      <c r="I248" s="24" t="n"/>
      <c r="J248" s="25" t="n"/>
      <c r="K248" s="14" t="n"/>
      <c r="L248" s="24" t="n"/>
      <c r="M248" s="26">
        <f>IF(OR(N(J248)=0,L248="Cancelled"),"",IF(AND(N(J248)&gt;5000,H248="Cash"),"Yes: ₹1","No"))</f>
        <v/>
      </c>
      <c r="N248" s="27">
        <f>IF(AND(B248="",D248="",N(J248)=0),"",IF(B248="","Enter the date",IF(AND(ROW()&gt;18,B247=""),"Use the next empty row: a skipped row leaves a gap in the voucher numbers",IF(D248="","Enter who was paid",IF(N(J248)=0,"Enter the amount",IF(E248="","Pick the head of account",IF(P248="?","Pick the head from the list",IF(H248="","Pick how it was paid",IF(L248="Cancelled","Cancelled: keep this number unused and write a fresh voucher",IF(AND(H248&lt;&gt;"Cash",I248=""),"Enter the cheque no., UTR or UPI reference",IF(AND(N($E$11)&gt;0,N(J248)&gt;N($E$11),K248=""),"Above your approval limit: get it approved before paying",IF(S248&gt;10000,"Cash paid to this person today is over ₹10,000: not deductible, s.36(4)",IF(T248&gt;35000,"Cash freight to this transporter today is over ₹35,000: not deductible, s.36(6)",IF(U248&gt;10000,"Asset paid in cash over ₹10,000 today: left out of its cost, s.39(2)",IF(AND(P248="L",H248="Cash",N(J248)&gt;=20000),"Loan of ₹20,000 or more repaid in cash: barred, s.188","OK")))))))))))))))</f>
        <v/>
      </c>
      <c r="P248">
        <f>IF(E248="","",IFERROR(VLOOKUP(E248,Lists!$A$2:$B$17,2,FALSE),"?"))</f>
        <v/>
      </c>
      <c r="Q248">
        <f>IF(L248="Cancelled",0,N(J248))</f>
        <v/>
      </c>
      <c r="R248">
        <f>IF(H248="Cash",Q248,0)</f>
        <v/>
      </c>
      <c r="S248">
        <f>IF(OR(P248&lt;&gt;"E",R248=0),0,SUMIFS($R$18:$R$317,$B$18:$B$317,B248,$D$18:$D$317,D248,$P$18:$P$317,"E"))</f>
        <v/>
      </c>
      <c r="T248">
        <f>IF(OR(P248&lt;&gt;"F",R248=0),0,SUMIFS($R$18:$R$317,$B$18:$B$317,B248,$D$18:$D$317,D248,$P$18:$P$317,"F"))</f>
        <v/>
      </c>
      <c r="U248">
        <f>IF(OR(P248&lt;&gt;"A",R248=0),0,SUMIFS($R$18:$R$317,$B$18:$B$317,B248,$D$18:$D$317,D248,$P$18:$P$317,"A"))</f>
        <v/>
      </c>
      <c r="V248">
        <f>IF(OR(N248="",N248="OK",L248="Cancelled"),0,1)</f>
        <v/>
      </c>
    </row>
    <row r="249">
      <c r="B249" s="22" t="n"/>
      <c r="C249" s="23">
        <f>IF(B249="","",$E$9&amp;TEXT(N($E$10)+231,"000"))</f>
        <v/>
      </c>
      <c r="D249" s="14" t="n"/>
      <c r="E249" s="14" t="n"/>
      <c r="F249" s="14" t="n"/>
      <c r="G249" s="24" t="n"/>
      <c r="H249" s="14" t="n"/>
      <c r="I249" s="24" t="n"/>
      <c r="J249" s="25" t="n"/>
      <c r="K249" s="14" t="n"/>
      <c r="L249" s="24" t="n"/>
      <c r="M249" s="26">
        <f>IF(OR(N(J249)=0,L249="Cancelled"),"",IF(AND(N(J249)&gt;5000,H249="Cash"),"Yes: ₹1","No"))</f>
        <v/>
      </c>
      <c r="N249" s="27">
        <f>IF(AND(B249="",D249="",N(J249)=0),"",IF(B249="","Enter the date",IF(AND(ROW()&gt;18,B248=""),"Use the next empty row: a skipped row leaves a gap in the voucher numbers",IF(D249="","Enter who was paid",IF(N(J249)=0,"Enter the amount",IF(E249="","Pick the head of account",IF(P249="?","Pick the head from the list",IF(H249="","Pick how it was paid",IF(L249="Cancelled","Cancelled: keep this number unused and write a fresh voucher",IF(AND(H249&lt;&gt;"Cash",I249=""),"Enter the cheque no., UTR or UPI reference",IF(AND(N($E$11)&gt;0,N(J249)&gt;N($E$11),K249=""),"Above your approval limit: get it approved before paying",IF(S249&gt;10000,"Cash paid to this person today is over ₹10,000: not deductible, s.36(4)",IF(T249&gt;35000,"Cash freight to this transporter today is over ₹35,000: not deductible, s.36(6)",IF(U249&gt;10000,"Asset paid in cash over ₹10,000 today: left out of its cost, s.39(2)",IF(AND(P249="L",H249="Cash",N(J249)&gt;=20000),"Loan of ₹20,000 or more repaid in cash: barred, s.188","OK")))))))))))))))</f>
        <v/>
      </c>
      <c r="P249">
        <f>IF(E249="","",IFERROR(VLOOKUP(E249,Lists!$A$2:$B$17,2,FALSE),"?"))</f>
        <v/>
      </c>
      <c r="Q249">
        <f>IF(L249="Cancelled",0,N(J249))</f>
        <v/>
      </c>
      <c r="R249">
        <f>IF(H249="Cash",Q249,0)</f>
        <v/>
      </c>
      <c r="S249">
        <f>IF(OR(P249&lt;&gt;"E",R249=0),0,SUMIFS($R$18:$R$317,$B$18:$B$317,B249,$D$18:$D$317,D249,$P$18:$P$317,"E"))</f>
        <v/>
      </c>
      <c r="T249">
        <f>IF(OR(P249&lt;&gt;"F",R249=0),0,SUMIFS($R$18:$R$317,$B$18:$B$317,B249,$D$18:$D$317,D249,$P$18:$P$317,"F"))</f>
        <v/>
      </c>
      <c r="U249">
        <f>IF(OR(P249&lt;&gt;"A",R249=0),0,SUMIFS($R$18:$R$317,$B$18:$B$317,B249,$D$18:$D$317,D249,$P$18:$P$317,"A"))</f>
        <v/>
      </c>
      <c r="V249">
        <f>IF(OR(N249="",N249="OK",L249="Cancelled"),0,1)</f>
        <v/>
      </c>
    </row>
    <row r="250">
      <c r="B250" s="22" t="n"/>
      <c r="C250" s="23">
        <f>IF(B250="","",$E$9&amp;TEXT(N($E$10)+232,"000"))</f>
        <v/>
      </c>
      <c r="D250" s="14" t="n"/>
      <c r="E250" s="14" t="n"/>
      <c r="F250" s="14" t="n"/>
      <c r="G250" s="24" t="n"/>
      <c r="H250" s="14" t="n"/>
      <c r="I250" s="24" t="n"/>
      <c r="J250" s="25" t="n"/>
      <c r="K250" s="14" t="n"/>
      <c r="L250" s="24" t="n"/>
      <c r="M250" s="26">
        <f>IF(OR(N(J250)=0,L250="Cancelled"),"",IF(AND(N(J250)&gt;5000,H250="Cash"),"Yes: ₹1","No"))</f>
        <v/>
      </c>
      <c r="N250" s="27">
        <f>IF(AND(B250="",D250="",N(J250)=0),"",IF(B250="","Enter the date",IF(AND(ROW()&gt;18,B249=""),"Use the next empty row: a skipped row leaves a gap in the voucher numbers",IF(D250="","Enter who was paid",IF(N(J250)=0,"Enter the amount",IF(E250="","Pick the head of account",IF(P250="?","Pick the head from the list",IF(H250="","Pick how it was paid",IF(L250="Cancelled","Cancelled: keep this number unused and write a fresh voucher",IF(AND(H250&lt;&gt;"Cash",I250=""),"Enter the cheque no., UTR or UPI reference",IF(AND(N($E$11)&gt;0,N(J250)&gt;N($E$11),K250=""),"Above your approval limit: get it approved before paying",IF(S250&gt;10000,"Cash paid to this person today is over ₹10,000: not deductible, s.36(4)",IF(T250&gt;35000,"Cash freight to this transporter today is over ₹35,000: not deductible, s.36(6)",IF(U250&gt;10000,"Asset paid in cash over ₹10,000 today: left out of its cost, s.39(2)",IF(AND(P250="L",H250="Cash",N(J250)&gt;=20000),"Loan of ₹20,000 or more repaid in cash: barred, s.188","OK")))))))))))))))</f>
        <v/>
      </c>
      <c r="P250">
        <f>IF(E250="","",IFERROR(VLOOKUP(E250,Lists!$A$2:$B$17,2,FALSE),"?"))</f>
        <v/>
      </c>
      <c r="Q250">
        <f>IF(L250="Cancelled",0,N(J250))</f>
        <v/>
      </c>
      <c r="R250">
        <f>IF(H250="Cash",Q250,0)</f>
        <v/>
      </c>
      <c r="S250">
        <f>IF(OR(P250&lt;&gt;"E",R250=0),0,SUMIFS($R$18:$R$317,$B$18:$B$317,B250,$D$18:$D$317,D250,$P$18:$P$317,"E"))</f>
        <v/>
      </c>
      <c r="T250">
        <f>IF(OR(P250&lt;&gt;"F",R250=0),0,SUMIFS($R$18:$R$317,$B$18:$B$317,B250,$D$18:$D$317,D250,$P$18:$P$317,"F"))</f>
        <v/>
      </c>
      <c r="U250">
        <f>IF(OR(P250&lt;&gt;"A",R250=0),0,SUMIFS($R$18:$R$317,$B$18:$B$317,B250,$D$18:$D$317,D250,$P$18:$P$317,"A"))</f>
        <v/>
      </c>
      <c r="V250">
        <f>IF(OR(N250="",N250="OK",L250="Cancelled"),0,1)</f>
        <v/>
      </c>
    </row>
    <row r="251">
      <c r="B251" s="22" t="n"/>
      <c r="C251" s="23">
        <f>IF(B251="","",$E$9&amp;TEXT(N($E$10)+233,"000"))</f>
        <v/>
      </c>
      <c r="D251" s="14" t="n"/>
      <c r="E251" s="14" t="n"/>
      <c r="F251" s="14" t="n"/>
      <c r="G251" s="24" t="n"/>
      <c r="H251" s="14" t="n"/>
      <c r="I251" s="24" t="n"/>
      <c r="J251" s="25" t="n"/>
      <c r="K251" s="14" t="n"/>
      <c r="L251" s="24" t="n"/>
      <c r="M251" s="26">
        <f>IF(OR(N(J251)=0,L251="Cancelled"),"",IF(AND(N(J251)&gt;5000,H251="Cash"),"Yes: ₹1","No"))</f>
        <v/>
      </c>
      <c r="N251" s="27">
        <f>IF(AND(B251="",D251="",N(J251)=0),"",IF(B251="","Enter the date",IF(AND(ROW()&gt;18,B250=""),"Use the next empty row: a skipped row leaves a gap in the voucher numbers",IF(D251="","Enter who was paid",IF(N(J251)=0,"Enter the amount",IF(E251="","Pick the head of account",IF(P251="?","Pick the head from the list",IF(H251="","Pick how it was paid",IF(L251="Cancelled","Cancelled: keep this number unused and write a fresh voucher",IF(AND(H251&lt;&gt;"Cash",I251=""),"Enter the cheque no., UTR or UPI reference",IF(AND(N($E$11)&gt;0,N(J251)&gt;N($E$11),K251=""),"Above your approval limit: get it approved before paying",IF(S251&gt;10000,"Cash paid to this person today is over ₹10,000: not deductible, s.36(4)",IF(T251&gt;35000,"Cash freight to this transporter today is over ₹35,000: not deductible, s.36(6)",IF(U251&gt;10000,"Asset paid in cash over ₹10,000 today: left out of its cost, s.39(2)",IF(AND(P251="L",H251="Cash",N(J251)&gt;=20000),"Loan of ₹20,000 or more repaid in cash: barred, s.188","OK")))))))))))))))</f>
        <v/>
      </c>
      <c r="P251">
        <f>IF(E251="","",IFERROR(VLOOKUP(E251,Lists!$A$2:$B$17,2,FALSE),"?"))</f>
        <v/>
      </c>
      <c r="Q251">
        <f>IF(L251="Cancelled",0,N(J251))</f>
        <v/>
      </c>
      <c r="R251">
        <f>IF(H251="Cash",Q251,0)</f>
        <v/>
      </c>
      <c r="S251">
        <f>IF(OR(P251&lt;&gt;"E",R251=0),0,SUMIFS($R$18:$R$317,$B$18:$B$317,B251,$D$18:$D$317,D251,$P$18:$P$317,"E"))</f>
        <v/>
      </c>
      <c r="T251">
        <f>IF(OR(P251&lt;&gt;"F",R251=0),0,SUMIFS($R$18:$R$317,$B$18:$B$317,B251,$D$18:$D$317,D251,$P$18:$P$317,"F"))</f>
        <v/>
      </c>
      <c r="U251">
        <f>IF(OR(P251&lt;&gt;"A",R251=0),0,SUMIFS($R$18:$R$317,$B$18:$B$317,B251,$D$18:$D$317,D251,$P$18:$P$317,"A"))</f>
        <v/>
      </c>
      <c r="V251">
        <f>IF(OR(N251="",N251="OK",L251="Cancelled"),0,1)</f>
        <v/>
      </c>
    </row>
    <row r="252">
      <c r="B252" s="22" t="n"/>
      <c r="C252" s="23">
        <f>IF(B252="","",$E$9&amp;TEXT(N($E$10)+234,"000"))</f>
        <v/>
      </c>
      <c r="D252" s="14" t="n"/>
      <c r="E252" s="14" t="n"/>
      <c r="F252" s="14" t="n"/>
      <c r="G252" s="24" t="n"/>
      <c r="H252" s="14" t="n"/>
      <c r="I252" s="24" t="n"/>
      <c r="J252" s="25" t="n"/>
      <c r="K252" s="14" t="n"/>
      <c r="L252" s="24" t="n"/>
      <c r="M252" s="26">
        <f>IF(OR(N(J252)=0,L252="Cancelled"),"",IF(AND(N(J252)&gt;5000,H252="Cash"),"Yes: ₹1","No"))</f>
        <v/>
      </c>
      <c r="N252" s="27">
        <f>IF(AND(B252="",D252="",N(J252)=0),"",IF(B252="","Enter the date",IF(AND(ROW()&gt;18,B251=""),"Use the next empty row: a skipped row leaves a gap in the voucher numbers",IF(D252="","Enter who was paid",IF(N(J252)=0,"Enter the amount",IF(E252="","Pick the head of account",IF(P252="?","Pick the head from the list",IF(H252="","Pick how it was paid",IF(L252="Cancelled","Cancelled: keep this number unused and write a fresh voucher",IF(AND(H252&lt;&gt;"Cash",I252=""),"Enter the cheque no., UTR or UPI reference",IF(AND(N($E$11)&gt;0,N(J252)&gt;N($E$11),K252=""),"Above your approval limit: get it approved before paying",IF(S252&gt;10000,"Cash paid to this person today is over ₹10,000: not deductible, s.36(4)",IF(T252&gt;35000,"Cash freight to this transporter today is over ₹35,000: not deductible, s.36(6)",IF(U252&gt;10000,"Asset paid in cash over ₹10,000 today: left out of its cost, s.39(2)",IF(AND(P252="L",H252="Cash",N(J252)&gt;=20000),"Loan of ₹20,000 or more repaid in cash: barred, s.188","OK")))))))))))))))</f>
        <v/>
      </c>
      <c r="P252">
        <f>IF(E252="","",IFERROR(VLOOKUP(E252,Lists!$A$2:$B$17,2,FALSE),"?"))</f>
        <v/>
      </c>
      <c r="Q252">
        <f>IF(L252="Cancelled",0,N(J252))</f>
        <v/>
      </c>
      <c r="R252">
        <f>IF(H252="Cash",Q252,0)</f>
        <v/>
      </c>
      <c r="S252">
        <f>IF(OR(P252&lt;&gt;"E",R252=0),0,SUMIFS($R$18:$R$317,$B$18:$B$317,B252,$D$18:$D$317,D252,$P$18:$P$317,"E"))</f>
        <v/>
      </c>
      <c r="T252">
        <f>IF(OR(P252&lt;&gt;"F",R252=0),0,SUMIFS($R$18:$R$317,$B$18:$B$317,B252,$D$18:$D$317,D252,$P$18:$P$317,"F"))</f>
        <v/>
      </c>
      <c r="U252">
        <f>IF(OR(P252&lt;&gt;"A",R252=0),0,SUMIFS($R$18:$R$317,$B$18:$B$317,B252,$D$18:$D$317,D252,$P$18:$P$317,"A"))</f>
        <v/>
      </c>
      <c r="V252">
        <f>IF(OR(N252="",N252="OK",L252="Cancelled"),0,1)</f>
        <v/>
      </c>
    </row>
    <row r="253">
      <c r="B253" s="22" t="n"/>
      <c r="C253" s="23">
        <f>IF(B253="","",$E$9&amp;TEXT(N($E$10)+235,"000"))</f>
        <v/>
      </c>
      <c r="D253" s="14" t="n"/>
      <c r="E253" s="14" t="n"/>
      <c r="F253" s="14" t="n"/>
      <c r="G253" s="24" t="n"/>
      <c r="H253" s="14" t="n"/>
      <c r="I253" s="24" t="n"/>
      <c r="J253" s="25" t="n"/>
      <c r="K253" s="14" t="n"/>
      <c r="L253" s="24" t="n"/>
      <c r="M253" s="26">
        <f>IF(OR(N(J253)=0,L253="Cancelled"),"",IF(AND(N(J253)&gt;5000,H253="Cash"),"Yes: ₹1","No"))</f>
        <v/>
      </c>
      <c r="N253" s="27">
        <f>IF(AND(B253="",D253="",N(J253)=0),"",IF(B253="","Enter the date",IF(AND(ROW()&gt;18,B252=""),"Use the next empty row: a skipped row leaves a gap in the voucher numbers",IF(D253="","Enter who was paid",IF(N(J253)=0,"Enter the amount",IF(E253="","Pick the head of account",IF(P253="?","Pick the head from the list",IF(H253="","Pick how it was paid",IF(L253="Cancelled","Cancelled: keep this number unused and write a fresh voucher",IF(AND(H253&lt;&gt;"Cash",I253=""),"Enter the cheque no., UTR or UPI reference",IF(AND(N($E$11)&gt;0,N(J253)&gt;N($E$11),K253=""),"Above your approval limit: get it approved before paying",IF(S253&gt;10000,"Cash paid to this person today is over ₹10,000: not deductible, s.36(4)",IF(T253&gt;35000,"Cash freight to this transporter today is over ₹35,000: not deductible, s.36(6)",IF(U253&gt;10000,"Asset paid in cash over ₹10,000 today: left out of its cost, s.39(2)",IF(AND(P253="L",H253="Cash",N(J253)&gt;=20000),"Loan of ₹20,000 or more repaid in cash: barred, s.188","OK")))))))))))))))</f>
        <v/>
      </c>
      <c r="P253">
        <f>IF(E253="","",IFERROR(VLOOKUP(E253,Lists!$A$2:$B$17,2,FALSE),"?"))</f>
        <v/>
      </c>
      <c r="Q253">
        <f>IF(L253="Cancelled",0,N(J253))</f>
        <v/>
      </c>
      <c r="R253">
        <f>IF(H253="Cash",Q253,0)</f>
        <v/>
      </c>
      <c r="S253">
        <f>IF(OR(P253&lt;&gt;"E",R253=0),0,SUMIFS($R$18:$R$317,$B$18:$B$317,B253,$D$18:$D$317,D253,$P$18:$P$317,"E"))</f>
        <v/>
      </c>
      <c r="T253">
        <f>IF(OR(P253&lt;&gt;"F",R253=0),0,SUMIFS($R$18:$R$317,$B$18:$B$317,B253,$D$18:$D$317,D253,$P$18:$P$317,"F"))</f>
        <v/>
      </c>
      <c r="U253">
        <f>IF(OR(P253&lt;&gt;"A",R253=0),0,SUMIFS($R$18:$R$317,$B$18:$B$317,B253,$D$18:$D$317,D253,$P$18:$P$317,"A"))</f>
        <v/>
      </c>
      <c r="V253">
        <f>IF(OR(N253="",N253="OK",L253="Cancelled"),0,1)</f>
        <v/>
      </c>
    </row>
    <row r="254">
      <c r="B254" s="22" t="n"/>
      <c r="C254" s="23">
        <f>IF(B254="","",$E$9&amp;TEXT(N($E$10)+236,"000"))</f>
        <v/>
      </c>
      <c r="D254" s="14" t="n"/>
      <c r="E254" s="14" t="n"/>
      <c r="F254" s="14" t="n"/>
      <c r="G254" s="24" t="n"/>
      <c r="H254" s="14" t="n"/>
      <c r="I254" s="24" t="n"/>
      <c r="J254" s="25" t="n"/>
      <c r="K254" s="14" t="n"/>
      <c r="L254" s="24" t="n"/>
      <c r="M254" s="26">
        <f>IF(OR(N(J254)=0,L254="Cancelled"),"",IF(AND(N(J254)&gt;5000,H254="Cash"),"Yes: ₹1","No"))</f>
        <v/>
      </c>
      <c r="N254" s="27">
        <f>IF(AND(B254="",D254="",N(J254)=0),"",IF(B254="","Enter the date",IF(AND(ROW()&gt;18,B253=""),"Use the next empty row: a skipped row leaves a gap in the voucher numbers",IF(D254="","Enter who was paid",IF(N(J254)=0,"Enter the amount",IF(E254="","Pick the head of account",IF(P254="?","Pick the head from the list",IF(H254="","Pick how it was paid",IF(L254="Cancelled","Cancelled: keep this number unused and write a fresh voucher",IF(AND(H254&lt;&gt;"Cash",I254=""),"Enter the cheque no., UTR or UPI reference",IF(AND(N($E$11)&gt;0,N(J254)&gt;N($E$11),K254=""),"Above your approval limit: get it approved before paying",IF(S254&gt;10000,"Cash paid to this person today is over ₹10,000: not deductible, s.36(4)",IF(T254&gt;35000,"Cash freight to this transporter today is over ₹35,000: not deductible, s.36(6)",IF(U254&gt;10000,"Asset paid in cash over ₹10,000 today: left out of its cost, s.39(2)",IF(AND(P254="L",H254="Cash",N(J254)&gt;=20000),"Loan of ₹20,000 or more repaid in cash: barred, s.188","OK")))))))))))))))</f>
        <v/>
      </c>
      <c r="P254">
        <f>IF(E254="","",IFERROR(VLOOKUP(E254,Lists!$A$2:$B$17,2,FALSE),"?"))</f>
        <v/>
      </c>
      <c r="Q254">
        <f>IF(L254="Cancelled",0,N(J254))</f>
        <v/>
      </c>
      <c r="R254">
        <f>IF(H254="Cash",Q254,0)</f>
        <v/>
      </c>
      <c r="S254">
        <f>IF(OR(P254&lt;&gt;"E",R254=0),0,SUMIFS($R$18:$R$317,$B$18:$B$317,B254,$D$18:$D$317,D254,$P$18:$P$317,"E"))</f>
        <v/>
      </c>
      <c r="T254">
        <f>IF(OR(P254&lt;&gt;"F",R254=0),0,SUMIFS($R$18:$R$317,$B$18:$B$317,B254,$D$18:$D$317,D254,$P$18:$P$317,"F"))</f>
        <v/>
      </c>
      <c r="U254">
        <f>IF(OR(P254&lt;&gt;"A",R254=0),0,SUMIFS($R$18:$R$317,$B$18:$B$317,B254,$D$18:$D$317,D254,$P$18:$P$317,"A"))</f>
        <v/>
      </c>
      <c r="V254">
        <f>IF(OR(N254="",N254="OK",L254="Cancelled"),0,1)</f>
        <v/>
      </c>
    </row>
    <row r="255">
      <c r="B255" s="22" t="n"/>
      <c r="C255" s="23">
        <f>IF(B255="","",$E$9&amp;TEXT(N($E$10)+237,"000"))</f>
        <v/>
      </c>
      <c r="D255" s="14" t="n"/>
      <c r="E255" s="14" t="n"/>
      <c r="F255" s="14" t="n"/>
      <c r="G255" s="24" t="n"/>
      <c r="H255" s="14" t="n"/>
      <c r="I255" s="24" t="n"/>
      <c r="J255" s="25" t="n"/>
      <c r="K255" s="14" t="n"/>
      <c r="L255" s="24" t="n"/>
      <c r="M255" s="26">
        <f>IF(OR(N(J255)=0,L255="Cancelled"),"",IF(AND(N(J255)&gt;5000,H255="Cash"),"Yes: ₹1","No"))</f>
        <v/>
      </c>
      <c r="N255" s="27">
        <f>IF(AND(B255="",D255="",N(J255)=0),"",IF(B255="","Enter the date",IF(AND(ROW()&gt;18,B254=""),"Use the next empty row: a skipped row leaves a gap in the voucher numbers",IF(D255="","Enter who was paid",IF(N(J255)=0,"Enter the amount",IF(E255="","Pick the head of account",IF(P255="?","Pick the head from the list",IF(H255="","Pick how it was paid",IF(L255="Cancelled","Cancelled: keep this number unused and write a fresh voucher",IF(AND(H255&lt;&gt;"Cash",I255=""),"Enter the cheque no., UTR or UPI reference",IF(AND(N($E$11)&gt;0,N(J255)&gt;N($E$11),K255=""),"Above your approval limit: get it approved before paying",IF(S255&gt;10000,"Cash paid to this person today is over ₹10,000: not deductible, s.36(4)",IF(T255&gt;35000,"Cash freight to this transporter today is over ₹35,000: not deductible, s.36(6)",IF(U255&gt;10000,"Asset paid in cash over ₹10,000 today: left out of its cost, s.39(2)",IF(AND(P255="L",H255="Cash",N(J255)&gt;=20000),"Loan of ₹20,000 or more repaid in cash: barred, s.188","OK")))))))))))))))</f>
        <v/>
      </c>
      <c r="P255">
        <f>IF(E255="","",IFERROR(VLOOKUP(E255,Lists!$A$2:$B$17,2,FALSE),"?"))</f>
        <v/>
      </c>
      <c r="Q255">
        <f>IF(L255="Cancelled",0,N(J255))</f>
        <v/>
      </c>
      <c r="R255">
        <f>IF(H255="Cash",Q255,0)</f>
        <v/>
      </c>
      <c r="S255">
        <f>IF(OR(P255&lt;&gt;"E",R255=0),0,SUMIFS($R$18:$R$317,$B$18:$B$317,B255,$D$18:$D$317,D255,$P$18:$P$317,"E"))</f>
        <v/>
      </c>
      <c r="T255">
        <f>IF(OR(P255&lt;&gt;"F",R255=0),0,SUMIFS($R$18:$R$317,$B$18:$B$317,B255,$D$18:$D$317,D255,$P$18:$P$317,"F"))</f>
        <v/>
      </c>
      <c r="U255">
        <f>IF(OR(P255&lt;&gt;"A",R255=0),0,SUMIFS($R$18:$R$317,$B$18:$B$317,B255,$D$18:$D$317,D255,$P$18:$P$317,"A"))</f>
        <v/>
      </c>
      <c r="V255">
        <f>IF(OR(N255="",N255="OK",L255="Cancelled"),0,1)</f>
        <v/>
      </c>
    </row>
    <row r="256">
      <c r="B256" s="22" t="n"/>
      <c r="C256" s="23">
        <f>IF(B256="","",$E$9&amp;TEXT(N($E$10)+238,"000"))</f>
        <v/>
      </c>
      <c r="D256" s="14" t="n"/>
      <c r="E256" s="14" t="n"/>
      <c r="F256" s="14" t="n"/>
      <c r="G256" s="24" t="n"/>
      <c r="H256" s="14" t="n"/>
      <c r="I256" s="24" t="n"/>
      <c r="J256" s="25" t="n"/>
      <c r="K256" s="14" t="n"/>
      <c r="L256" s="24" t="n"/>
      <c r="M256" s="26">
        <f>IF(OR(N(J256)=0,L256="Cancelled"),"",IF(AND(N(J256)&gt;5000,H256="Cash"),"Yes: ₹1","No"))</f>
        <v/>
      </c>
      <c r="N256" s="27">
        <f>IF(AND(B256="",D256="",N(J256)=0),"",IF(B256="","Enter the date",IF(AND(ROW()&gt;18,B255=""),"Use the next empty row: a skipped row leaves a gap in the voucher numbers",IF(D256="","Enter who was paid",IF(N(J256)=0,"Enter the amount",IF(E256="","Pick the head of account",IF(P256="?","Pick the head from the list",IF(H256="","Pick how it was paid",IF(L256="Cancelled","Cancelled: keep this number unused and write a fresh voucher",IF(AND(H256&lt;&gt;"Cash",I256=""),"Enter the cheque no., UTR or UPI reference",IF(AND(N($E$11)&gt;0,N(J256)&gt;N($E$11),K256=""),"Above your approval limit: get it approved before paying",IF(S256&gt;10000,"Cash paid to this person today is over ₹10,000: not deductible, s.36(4)",IF(T256&gt;35000,"Cash freight to this transporter today is over ₹35,000: not deductible, s.36(6)",IF(U256&gt;10000,"Asset paid in cash over ₹10,000 today: left out of its cost, s.39(2)",IF(AND(P256="L",H256="Cash",N(J256)&gt;=20000),"Loan of ₹20,000 or more repaid in cash: barred, s.188","OK")))))))))))))))</f>
        <v/>
      </c>
      <c r="P256">
        <f>IF(E256="","",IFERROR(VLOOKUP(E256,Lists!$A$2:$B$17,2,FALSE),"?"))</f>
        <v/>
      </c>
      <c r="Q256">
        <f>IF(L256="Cancelled",0,N(J256))</f>
        <v/>
      </c>
      <c r="R256">
        <f>IF(H256="Cash",Q256,0)</f>
        <v/>
      </c>
      <c r="S256">
        <f>IF(OR(P256&lt;&gt;"E",R256=0),0,SUMIFS($R$18:$R$317,$B$18:$B$317,B256,$D$18:$D$317,D256,$P$18:$P$317,"E"))</f>
        <v/>
      </c>
      <c r="T256">
        <f>IF(OR(P256&lt;&gt;"F",R256=0),0,SUMIFS($R$18:$R$317,$B$18:$B$317,B256,$D$18:$D$317,D256,$P$18:$P$317,"F"))</f>
        <v/>
      </c>
      <c r="U256">
        <f>IF(OR(P256&lt;&gt;"A",R256=0),0,SUMIFS($R$18:$R$317,$B$18:$B$317,B256,$D$18:$D$317,D256,$P$18:$P$317,"A"))</f>
        <v/>
      </c>
      <c r="V256">
        <f>IF(OR(N256="",N256="OK",L256="Cancelled"),0,1)</f>
        <v/>
      </c>
    </row>
    <row r="257">
      <c r="B257" s="22" t="n"/>
      <c r="C257" s="23">
        <f>IF(B257="","",$E$9&amp;TEXT(N($E$10)+239,"000"))</f>
        <v/>
      </c>
      <c r="D257" s="14" t="n"/>
      <c r="E257" s="14" t="n"/>
      <c r="F257" s="14" t="n"/>
      <c r="G257" s="24" t="n"/>
      <c r="H257" s="14" t="n"/>
      <c r="I257" s="24" t="n"/>
      <c r="J257" s="25" t="n"/>
      <c r="K257" s="14" t="n"/>
      <c r="L257" s="24" t="n"/>
      <c r="M257" s="26">
        <f>IF(OR(N(J257)=0,L257="Cancelled"),"",IF(AND(N(J257)&gt;5000,H257="Cash"),"Yes: ₹1","No"))</f>
        <v/>
      </c>
      <c r="N257" s="27">
        <f>IF(AND(B257="",D257="",N(J257)=0),"",IF(B257="","Enter the date",IF(AND(ROW()&gt;18,B256=""),"Use the next empty row: a skipped row leaves a gap in the voucher numbers",IF(D257="","Enter who was paid",IF(N(J257)=0,"Enter the amount",IF(E257="","Pick the head of account",IF(P257="?","Pick the head from the list",IF(H257="","Pick how it was paid",IF(L257="Cancelled","Cancelled: keep this number unused and write a fresh voucher",IF(AND(H257&lt;&gt;"Cash",I257=""),"Enter the cheque no., UTR or UPI reference",IF(AND(N($E$11)&gt;0,N(J257)&gt;N($E$11),K257=""),"Above your approval limit: get it approved before paying",IF(S257&gt;10000,"Cash paid to this person today is over ₹10,000: not deductible, s.36(4)",IF(T257&gt;35000,"Cash freight to this transporter today is over ₹35,000: not deductible, s.36(6)",IF(U257&gt;10000,"Asset paid in cash over ₹10,000 today: left out of its cost, s.39(2)",IF(AND(P257="L",H257="Cash",N(J257)&gt;=20000),"Loan of ₹20,000 or more repaid in cash: barred, s.188","OK")))))))))))))))</f>
        <v/>
      </c>
      <c r="P257">
        <f>IF(E257="","",IFERROR(VLOOKUP(E257,Lists!$A$2:$B$17,2,FALSE),"?"))</f>
        <v/>
      </c>
      <c r="Q257">
        <f>IF(L257="Cancelled",0,N(J257))</f>
        <v/>
      </c>
      <c r="R257">
        <f>IF(H257="Cash",Q257,0)</f>
        <v/>
      </c>
      <c r="S257">
        <f>IF(OR(P257&lt;&gt;"E",R257=0),0,SUMIFS($R$18:$R$317,$B$18:$B$317,B257,$D$18:$D$317,D257,$P$18:$P$317,"E"))</f>
        <v/>
      </c>
      <c r="T257">
        <f>IF(OR(P257&lt;&gt;"F",R257=0),0,SUMIFS($R$18:$R$317,$B$18:$B$317,B257,$D$18:$D$317,D257,$P$18:$P$317,"F"))</f>
        <v/>
      </c>
      <c r="U257">
        <f>IF(OR(P257&lt;&gt;"A",R257=0),0,SUMIFS($R$18:$R$317,$B$18:$B$317,B257,$D$18:$D$317,D257,$P$18:$P$317,"A"))</f>
        <v/>
      </c>
      <c r="V257">
        <f>IF(OR(N257="",N257="OK",L257="Cancelled"),0,1)</f>
        <v/>
      </c>
    </row>
    <row r="258">
      <c r="B258" s="22" t="n"/>
      <c r="C258" s="23">
        <f>IF(B258="","",$E$9&amp;TEXT(N($E$10)+240,"000"))</f>
        <v/>
      </c>
      <c r="D258" s="14" t="n"/>
      <c r="E258" s="14" t="n"/>
      <c r="F258" s="14" t="n"/>
      <c r="G258" s="24" t="n"/>
      <c r="H258" s="14" t="n"/>
      <c r="I258" s="24" t="n"/>
      <c r="J258" s="25" t="n"/>
      <c r="K258" s="14" t="n"/>
      <c r="L258" s="24" t="n"/>
      <c r="M258" s="26">
        <f>IF(OR(N(J258)=0,L258="Cancelled"),"",IF(AND(N(J258)&gt;5000,H258="Cash"),"Yes: ₹1","No"))</f>
        <v/>
      </c>
      <c r="N258" s="27">
        <f>IF(AND(B258="",D258="",N(J258)=0),"",IF(B258="","Enter the date",IF(AND(ROW()&gt;18,B257=""),"Use the next empty row: a skipped row leaves a gap in the voucher numbers",IF(D258="","Enter who was paid",IF(N(J258)=0,"Enter the amount",IF(E258="","Pick the head of account",IF(P258="?","Pick the head from the list",IF(H258="","Pick how it was paid",IF(L258="Cancelled","Cancelled: keep this number unused and write a fresh voucher",IF(AND(H258&lt;&gt;"Cash",I258=""),"Enter the cheque no., UTR or UPI reference",IF(AND(N($E$11)&gt;0,N(J258)&gt;N($E$11),K258=""),"Above your approval limit: get it approved before paying",IF(S258&gt;10000,"Cash paid to this person today is over ₹10,000: not deductible, s.36(4)",IF(T258&gt;35000,"Cash freight to this transporter today is over ₹35,000: not deductible, s.36(6)",IF(U258&gt;10000,"Asset paid in cash over ₹10,000 today: left out of its cost, s.39(2)",IF(AND(P258="L",H258="Cash",N(J258)&gt;=20000),"Loan of ₹20,000 or more repaid in cash: barred, s.188","OK")))))))))))))))</f>
        <v/>
      </c>
      <c r="P258">
        <f>IF(E258="","",IFERROR(VLOOKUP(E258,Lists!$A$2:$B$17,2,FALSE),"?"))</f>
        <v/>
      </c>
      <c r="Q258">
        <f>IF(L258="Cancelled",0,N(J258))</f>
        <v/>
      </c>
      <c r="R258">
        <f>IF(H258="Cash",Q258,0)</f>
        <v/>
      </c>
      <c r="S258">
        <f>IF(OR(P258&lt;&gt;"E",R258=0),0,SUMIFS($R$18:$R$317,$B$18:$B$317,B258,$D$18:$D$317,D258,$P$18:$P$317,"E"))</f>
        <v/>
      </c>
      <c r="T258">
        <f>IF(OR(P258&lt;&gt;"F",R258=0),0,SUMIFS($R$18:$R$317,$B$18:$B$317,B258,$D$18:$D$317,D258,$P$18:$P$317,"F"))</f>
        <v/>
      </c>
      <c r="U258">
        <f>IF(OR(P258&lt;&gt;"A",R258=0),0,SUMIFS($R$18:$R$317,$B$18:$B$317,B258,$D$18:$D$317,D258,$P$18:$P$317,"A"))</f>
        <v/>
      </c>
      <c r="V258">
        <f>IF(OR(N258="",N258="OK",L258="Cancelled"),0,1)</f>
        <v/>
      </c>
    </row>
    <row r="259">
      <c r="B259" s="22" t="n"/>
      <c r="C259" s="23">
        <f>IF(B259="","",$E$9&amp;TEXT(N($E$10)+241,"000"))</f>
        <v/>
      </c>
      <c r="D259" s="14" t="n"/>
      <c r="E259" s="14" t="n"/>
      <c r="F259" s="14" t="n"/>
      <c r="G259" s="24" t="n"/>
      <c r="H259" s="14" t="n"/>
      <c r="I259" s="24" t="n"/>
      <c r="J259" s="25" t="n"/>
      <c r="K259" s="14" t="n"/>
      <c r="L259" s="24" t="n"/>
      <c r="M259" s="26">
        <f>IF(OR(N(J259)=0,L259="Cancelled"),"",IF(AND(N(J259)&gt;5000,H259="Cash"),"Yes: ₹1","No"))</f>
        <v/>
      </c>
      <c r="N259" s="27">
        <f>IF(AND(B259="",D259="",N(J259)=0),"",IF(B259="","Enter the date",IF(AND(ROW()&gt;18,B258=""),"Use the next empty row: a skipped row leaves a gap in the voucher numbers",IF(D259="","Enter who was paid",IF(N(J259)=0,"Enter the amount",IF(E259="","Pick the head of account",IF(P259="?","Pick the head from the list",IF(H259="","Pick how it was paid",IF(L259="Cancelled","Cancelled: keep this number unused and write a fresh voucher",IF(AND(H259&lt;&gt;"Cash",I259=""),"Enter the cheque no., UTR or UPI reference",IF(AND(N($E$11)&gt;0,N(J259)&gt;N($E$11),K259=""),"Above your approval limit: get it approved before paying",IF(S259&gt;10000,"Cash paid to this person today is over ₹10,000: not deductible, s.36(4)",IF(T259&gt;35000,"Cash freight to this transporter today is over ₹35,000: not deductible, s.36(6)",IF(U259&gt;10000,"Asset paid in cash over ₹10,000 today: left out of its cost, s.39(2)",IF(AND(P259="L",H259="Cash",N(J259)&gt;=20000),"Loan of ₹20,000 or more repaid in cash: barred, s.188","OK")))))))))))))))</f>
        <v/>
      </c>
      <c r="P259">
        <f>IF(E259="","",IFERROR(VLOOKUP(E259,Lists!$A$2:$B$17,2,FALSE),"?"))</f>
        <v/>
      </c>
      <c r="Q259">
        <f>IF(L259="Cancelled",0,N(J259))</f>
        <v/>
      </c>
      <c r="R259">
        <f>IF(H259="Cash",Q259,0)</f>
        <v/>
      </c>
      <c r="S259">
        <f>IF(OR(P259&lt;&gt;"E",R259=0),0,SUMIFS($R$18:$R$317,$B$18:$B$317,B259,$D$18:$D$317,D259,$P$18:$P$317,"E"))</f>
        <v/>
      </c>
      <c r="T259">
        <f>IF(OR(P259&lt;&gt;"F",R259=0),0,SUMIFS($R$18:$R$317,$B$18:$B$317,B259,$D$18:$D$317,D259,$P$18:$P$317,"F"))</f>
        <v/>
      </c>
      <c r="U259">
        <f>IF(OR(P259&lt;&gt;"A",R259=0),0,SUMIFS($R$18:$R$317,$B$18:$B$317,B259,$D$18:$D$317,D259,$P$18:$P$317,"A"))</f>
        <v/>
      </c>
      <c r="V259">
        <f>IF(OR(N259="",N259="OK",L259="Cancelled"),0,1)</f>
        <v/>
      </c>
    </row>
    <row r="260">
      <c r="B260" s="22" t="n"/>
      <c r="C260" s="23">
        <f>IF(B260="","",$E$9&amp;TEXT(N($E$10)+242,"000"))</f>
        <v/>
      </c>
      <c r="D260" s="14" t="n"/>
      <c r="E260" s="14" t="n"/>
      <c r="F260" s="14" t="n"/>
      <c r="G260" s="24" t="n"/>
      <c r="H260" s="14" t="n"/>
      <c r="I260" s="24" t="n"/>
      <c r="J260" s="25" t="n"/>
      <c r="K260" s="14" t="n"/>
      <c r="L260" s="24" t="n"/>
      <c r="M260" s="26">
        <f>IF(OR(N(J260)=0,L260="Cancelled"),"",IF(AND(N(J260)&gt;5000,H260="Cash"),"Yes: ₹1","No"))</f>
        <v/>
      </c>
      <c r="N260" s="27">
        <f>IF(AND(B260="",D260="",N(J260)=0),"",IF(B260="","Enter the date",IF(AND(ROW()&gt;18,B259=""),"Use the next empty row: a skipped row leaves a gap in the voucher numbers",IF(D260="","Enter who was paid",IF(N(J260)=0,"Enter the amount",IF(E260="","Pick the head of account",IF(P260="?","Pick the head from the list",IF(H260="","Pick how it was paid",IF(L260="Cancelled","Cancelled: keep this number unused and write a fresh voucher",IF(AND(H260&lt;&gt;"Cash",I260=""),"Enter the cheque no., UTR or UPI reference",IF(AND(N($E$11)&gt;0,N(J260)&gt;N($E$11),K260=""),"Above your approval limit: get it approved before paying",IF(S260&gt;10000,"Cash paid to this person today is over ₹10,000: not deductible, s.36(4)",IF(T260&gt;35000,"Cash freight to this transporter today is over ₹35,000: not deductible, s.36(6)",IF(U260&gt;10000,"Asset paid in cash over ₹10,000 today: left out of its cost, s.39(2)",IF(AND(P260="L",H260="Cash",N(J260)&gt;=20000),"Loan of ₹20,000 or more repaid in cash: barred, s.188","OK")))))))))))))))</f>
        <v/>
      </c>
      <c r="P260">
        <f>IF(E260="","",IFERROR(VLOOKUP(E260,Lists!$A$2:$B$17,2,FALSE),"?"))</f>
        <v/>
      </c>
      <c r="Q260">
        <f>IF(L260="Cancelled",0,N(J260))</f>
        <v/>
      </c>
      <c r="R260">
        <f>IF(H260="Cash",Q260,0)</f>
        <v/>
      </c>
      <c r="S260">
        <f>IF(OR(P260&lt;&gt;"E",R260=0),0,SUMIFS($R$18:$R$317,$B$18:$B$317,B260,$D$18:$D$317,D260,$P$18:$P$317,"E"))</f>
        <v/>
      </c>
      <c r="T260">
        <f>IF(OR(P260&lt;&gt;"F",R260=0),0,SUMIFS($R$18:$R$317,$B$18:$B$317,B260,$D$18:$D$317,D260,$P$18:$P$317,"F"))</f>
        <v/>
      </c>
      <c r="U260">
        <f>IF(OR(P260&lt;&gt;"A",R260=0),0,SUMIFS($R$18:$R$317,$B$18:$B$317,B260,$D$18:$D$317,D260,$P$18:$P$317,"A"))</f>
        <v/>
      </c>
      <c r="V260">
        <f>IF(OR(N260="",N260="OK",L260="Cancelled"),0,1)</f>
        <v/>
      </c>
    </row>
    <row r="261">
      <c r="B261" s="22" t="n"/>
      <c r="C261" s="23">
        <f>IF(B261="","",$E$9&amp;TEXT(N($E$10)+243,"000"))</f>
        <v/>
      </c>
      <c r="D261" s="14" t="n"/>
      <c r="E261" s="14" t="n"/>
      <c r="F261" s="14" t="n"/>
      <c r="G261" s="24" t="n"/>
      <c r="H261" s="14" t="n"/>
      <c r="I261" s="24" t="n"/>
      <c r="J261" s="25" t="n"/>
      <c r="K261" s="14" t="n"/>
      <c r="L261" s="24" t="n"/>
      <c r="M261" s="26">
        <f>IF(OR(N(J261)=0,L261="Cancelled"),"",IF(AND(N(J261)&gt;5000,H261="Cash"),"Yes: ₹1","No"))</f>
        <v/>
      </c>
      <c r="N261" s="27">
        <f>IF(AND(B261="",D261="",N(J261)=0),"",IF(B261="","Enter the date",IF(AND(ROW()&gt;18,B260=""),"Use the next empty row: a skipped row leaves a gap in the voucher numbers",IF(D261="","Enter who was paid",IF(N(J261)=0,"Enter the amount",IF(E261="","Pick the head of account",IF(P261="?","Pick the head from the list",IF(H261="","Pick how it was paid",IF(L261="Cancelled","Cancelled: keep this number unused and write a fresh voucher",IF(AND(H261&lt;&gt;"Cash",I261=""),"Enter the cheque no., UTR or UPI reference",IF(AND(N($E$11)&gt;0,N(J261)&gt;N($E$11),K261=""),"Above your approval limit: get it approved before paying",IF(S261&gt;10000,"Cash paid to this person today is over ₹10,000: not deductible, s.36(4)",IF(T261&gt;35000,"Cash freight to this transporter today is over ₹35,000: not deductible, s.36(6)",IF(U261&gt;10000,"Asset paid in cash over ₹10,000 today: left out of its cost, s.39(2)",IF(AND(P261="L",H261="Cash",N(J261)&gt;=20000),"Loan of ₹20,000 or more repaid in cash: barred, s.188","OK")))))))))))))))</f>
        <v/>
      </c>
      <c r="P261">
        <f>IF(E261="","",IFERROR(VLOOKUP(E261,Lists!$A$2:$B$17,2,FALSE),"?"))</f>
        <v/>
      </c>
      <c r="Q261">
        <f>IF(L261="Cancelled",0,N(J261))</f>
        <v/>
      </c>
      <c r="R261">
        <f>IF(H261="Cash",Q261,0)</f>
        <v/>
      </c>
      <c r="S261">
        <f>IF(OR(P261&lt;&gt;"E",R261=0),0,SUMIFS($R$18:$R$317,$B$18:$B$317,B261,$D$18:$D$317,D261,$P$18:$P$317,"E"))</f>
        <v/>
      </c>
      <c r="T261">
        <f>IF(OR(P261&lt;&gt;"F",R261=0),0,SUMIFS($R$18:$R$317,$B$18:$B$317,B261,$D$18:$D$317,D261,$P$18:$P$317,"F"))</f>
        <v/>
      </c>
      <c r="U261">
        <f>IF(OR(P261&lt;&gt;"A",R261=0),0,SUMIFS($R$18:$R$317,$B$18:$B$317,B261,$D$18:$D$317,D261,$P$18:$P$317,"A"))</f>
        <v/>
      </c>
      <c r="V261">
        <f>IF(OR(N261="",N261="OK",L261="Cancelled"),0,1)</f>
        <v/>
      </c>
    </row>
    <row r="262">
      <c r="B262" s="22" t="n"/>
      <c r="C262" s="23">
        <f>IF(B262="","",$E$9&amp;TEXT(N($E$10)+244,"000"))</f>
        <v/>
      </c>
      <c r="D262" s="14" t="n"/>
      <c r="E262" s="14" t="n"/>
      <c r="F262" s="14" t="n"/>
      <c r="G262" s="24" t="n"/>
      <c r="H262" s="14" t="n"/>
      <c r="I262" s="24" t="n"/>
      <c r="J262" s="25" t="n"/>
      <c r="K262" s="14" t="n"/>
      <c r="L262" s="24" t="n"/>
      <c r="M262" s="26">
        <f>IF(OR(N(J262)=0,L262="Cancelled"),"",IF(AND(N(J262)&gt;5000,H262="Cash"),"Yes: ₹1","No"))</f>
        <v/>
      </c>
      <c r="N262" s="27">
        <f>IF(AND(B262="",D262="",N(J262)=0),"",IF(B262="","Enter the date",IF(AND(ROW()&gt;18,B261=""),"Use the next empty row: a skipped row leaves a gap in the voucher numbers",IF(D262="","Enter who was paid",IF(N(J262)=0,"Enter the amount",IF(E262="","Pick the head of account",IF(P262="?","Pick the head from the list",IF(H262="","Pick how it was paid",IF(L262="Cancelled","Cancelled: keep this number unused and write a fresh voucher",IF(AND(H262&lt;&gt;"Cash",I262=""),"Enter the cheque no., UTR or UPI reference",IF(AND(N($E$11)&gt;0,N(J262)&gt;N($E$11),K262=""),"Above your approval limit: get it approved before paying",IF(S262&gt;10000,"Cash paid to this person today is over ₹10,000: not deductible, s.36(4)",IF(T262&gt;35000,"Cash freight to this transporter today is over ₹35,000: not deductible, s.36(6)",IF(U262&gt;10000,"Asset paid in cash over ₹10,000 today: left out of its cost, s.39(2)",IF(AND(P262="L",H262="Cash",N(J262)&gt;=20000),"Loan of ₹20,000 or more repaid in cash: barred, s.188","OK")))))))))))))))</f>
        <v/>
      </c>
      <c r="P262">
        <f>IF(E262="","",IFERROR(VLOOKUP(E262,Lists!$A$2:$B$17,2,FALSE),"?"))</f>
        <v/>
      </c>
      <c r="Q262">
        <f>IF(L262="Cancelled",0,N(J262))</f>
        <v/>
      </c>
      <c r="R262">
        <f>IF(H262="Cash",Q262,0)</f>
        <v/>
      </c>
      <c r="S262">
        <f>IF(OR(P262&lt;&gt;"E",R262=0),0,SUMIFS($R$18:$R$317,$B$18:$B$317,B262,$D$18:$D$317,D262,$P$18:$P$317,"E"))</f>
        <v/>
      </c>
      <c r="T262">
        <f>IF(OR(P262&lt;&gt;"F",R262=0),0,SUMIFS($R$18:$R$317,$B$18:$B$317,B262,$D$18:$D$317,D262,$P$18:$P$317,"F"))</f>
        <v/>
      </c>
      <c r="U262">
        <f>IF(OR(P262&lt;&gt;"A",R262=0),0,SUMIFS($R$18:$R$317,$B$18:$B$317,B262,$D$18:$D$317,D262,$P$18:$P$317,"A"))</f>
        <v/>
      </c>
      <c r="V262">
        <f>IF(OR(N262="",N262="OK",L262="Cancelled"),0,1)</f>
        <v/>
      </c>
    </row>
    <row r="263">
      <c r="B263" s="22" t="n"/>
      <c r="C263" s="23">
        <f>IF(B263="","",$E$9&amp;TEXT(N($E$10)+245,"000"))</f>
        <v/>
      </c>
      <c r="D263" s="14" t="n"/>
      <c r="E263" s="14" t="n"/>
      <c r="F263" s="14" t="n"/>
      <c r="G263" s="24" t="n"/>
      <c r="H263" s="14" t="n"/>
      <c r="I263" s="24" t="n"/>
      <c r="J263" s="25" t="n"/>
      <c r="K263" s="14" t="n"/>
      <c r="L263" s="24" t="n"/>
      <c r="M263" s="26">
        <f>IF(OR(N(J263)=0,L263="Cancelled"),"",IF(AND(N(J263)&gt;5000,H263="Cash"),"Yes: ₹1","No"))</f>
        <v/>
      </c>
      <c r="N263" s="27">
        <f>IF(AND(B263="",D263="",N(J263)=0),"",IF(B263="","Enter the date",IF(AND(ROW()&gt;18,B262=""),"Use the next empty row: a skipped row leaves a gap in the voucher numbers",IF(D263="","Enter who was paid",IF(N(J263)=0,"Enter the amount",IF(E263="","Pick the head of account",IF(P263="?","Pick the head from the list",IF(H263="","Pick how it was paid",IF(L263="Cancelled","Cancelled: keep this number unused and write a fresh voucher",IF(AND(H263&lt;&gt;"Cash",I263=""),"Enter the cheque no., UTR or UPI reference",IF(AND(N($E$11)&gt;0,N(J263)&gt;N($E$11),K263=""),"Above your approval limit: get it approved before paying",IF(S263&gt;10000,"Cash paid to this person today is over ₹10,000: not deductible, s.36(4)",IF(T263&gt;35000,"Cash freight to this transporter today is over ₹35,000: not deductible, s.36(6)",IF(U263&gt;10000,"Asset paid in cash over ₹10,000 today: left out of its cost, s.39(2)",IF(AND(P263="L",H263="Cash",N(J263)&gt;=20000),"Loan of ₹20,000 or more repaid in cash: barred, s.188","OK")))))))))))))))</f>
        <v/>
      </c>
      <c r="P263">
        <f>IF(E263="","",IFERROR(VLOOKUP(E263,Lists!$A$2:$B$17,2,FALSE),"?"))</f>
        <v/>
      </c>
      <c r="Q263">
        <f>IF(L263="Cancelled",0,N(J263))</f>
        <v/>
      </c>
      <c r="R263">
        <f>IF(H263="Cash",Q263,0)</f>
        <v/>
      </c>
      <c r="S263">
        <f>IF(OR(P263&lt;&gt;"E",R263=0),0,SUMIFS($R$18:$R$317,$B$18:$B$317,B263,$D$18:$D$317,D263,$P$18:$P$317,"E"))</f>
        <v/>
      </c>
      <c r="T263">
        <f>IF(OR(P263&lt;&gt;"F",R263=0),0,SUMIFS($R$18:$R$317,$B$18:$B$317,B263,$D$18:$D$317,D263,$P$18:$P$317,"F"))</f>
        <v/>
      </c>
      <c r="U263">
        <f>IF(OR(P263&lt;&gt;"A",R263=0),0,SUMIFS($R$18:$R$317,$B$18:$B$317,B263,$D$18:$D$317,D263,$P$18:$P$317,"A"))</f>
        <v/>
      </c>
      <c r="V263">
        <f>IF(OR(N263="",N263="OK",L263="Cancelled"),0,1)</f>
        <v/>
      </c>
    </row>
    <row r="264">
      <c r="B264" s="22" t="n"/>
      <c r="C264" s="23">
        <f>IF(B264="","",$E$9&amp;TEXT(N($E$10)+246,"000"))</f>
        <v/>
      </c>
      <c r="D264" s="14" t="n"/>
      <c r="E264" s="14" t="n"/>
      <c r="F264" s="14" t="n"/>
      <c r="G264" s="24" t="n"/>
      <c r="H264" s="14" t="n"/>
      <c r="I264" s="24" t="n"/>
      <c r="J264" s="25" t="n"/>
      <c r="K264" s="14" t="n"/>
      <c r="L264" s="24" t="n"/>
      <c r="M264" s="26">
        <f>IF(OR(N(J264)=0,L264="Cancelled"),"",IF(AND(N(J264)&gt;5000,H264="Cash"),"Yes: ₹1","No"))</f>
        <v/>
      </c>
      <c r="N264" s="27">
        <f>IF(AND(B264="",D264="",N(J264)=0),"",IF(B264="","Enter the date",IF(AND(ROW()&gt;18,B263=""),"Use the next empty row: a skipped row leaves a gap in the voucher numbers",IF(D264="","Enter who was paid",IF(N(J264)=0,"Enter the amount",IF(E264="","Pick the head of account",IF(P264="?","Pick the head from the list",IF(H264="","Pick how it was paid",IF(L264="Cancelled","Cancelled: keep this number unused and write a fresh voucher",IF(AND(H264&lt;&gt;"Cash",I264=""),"Enter the cheque no., UTR or UPI reference",IF(AND(N($E$11)&gt;0,N(J264)&gt;N($E$11),K264=""),"Above your approval limit: get it approved before paying",IF(S264&gt;10000,"Cash paid to this person today is over ₹10,000: not deductible, s.36(4)",IF(T264&gt;35000,"Cash freight to this transporter today is over ₹35,000: not deductible, s.36(6)",IF(U264&gt;10000,"Asset paid in cash over ₹10,000 today: left out of its cost, s.39(2)",IF(AND(P264="L",H264="Cash",N(J264)&gt;=20000),"Loan of ₹20,000 or more repaid in cash: barred, s.188","OK")))))))))))))))</f>
        <v/>
      </c>
      <c r="P264">
        <f>IF(E264="","",IFERROR(VLOOKUP(E264,Lists!$A$2:$B$17,2,FALSE),"?"))</f>
        <v/>
      </c>
      <c r="Q264">
        <f>IF(L264="Cancelled",0,N(J264))</f>
        <v/>
      </c>
      <c r="R264">
        <f>IF(H264="Cash",Q264,0)</f>
        <v/>
      </c>
      <c r="S264">
        <f>IF(OR(P264&lt;&gt;"E",R264=0),0,SUMIFS($R$18:$R$317,$B$18:$B$317,B264,$D$18:$D$317,D264,$P$18:$P$317,"E"))</f>
        <v/>
      </c>
      <c r="T264">
        <f>IF(OR(P264&lt;&gt;"F",R264=0),0,SUMIFS($R$18:$R$317,$B$18:$B$317,B264,$D$18:$D$317,D264,$P$18:$P$317,"F"))</f>
        <v/>
      </c>
      <c r="U264">
        <f>IF(OR(P264&lt;&gt;"A",R264=0),0,SUMIFS($R$18:$R$317,$B$18:$B$317,B264,$D$18:$D$317,D264,$P$18:$P$317,"A"))</f>
        <v/>
      </c>
      <c r="V264">
        <f>IF(OR(N264="",N264="OK",L264="Cancelled"),0,1)</f>
        <v/>
      </c>
    </row>
    <row r="265">
      <c r="B265" s="22" t="n"/>
      <c r="C265" s="23">
        <f>IF(B265="","",$E$9&amp;TEXT(N($E$10)+247,"000"))</f>
        <v/>
      </c>
      <c r="D265" s="14" t="n"/>
      <c r="E265" s="14" t="n"/>
      <c r="F265" s="14" t="n"/>
      <c r="G265" s="24" t="n"/>
      <c r="H265" s="14" t="n"/>
      <c r="I265" s="24" t="n"/>
      <c r="J265" s="25" t="n"/>
      <c r="K265" s="14" t="n"/>
      <c r="L265" s="24" t="n"/>
      <c r="M265" s="26">
        <f>IF(OR(N(J265)=0,L265="Cancelled"),"",IF(AND(N(J265)&gt;5000,H265="Cash"),"Yes: ₹1","No"))</f>
        <v/>
      </c>
      <c r="N265" s="27">
        <f>IF(AND(B265="",D265="",N(J265)=0),"",IF(B265="","Enter the date",IF(AND(ROW()&gt;18,B264=""),"Use the next empty row: a skipped row leaves a gap in the voucher numbers",IF(D265="","Enter who was paid",IF(N(J265)=0,"Enter the amount",IF(E265="","Pick the head of account",IF(P265="?","Pick the head from the list",IF(H265="","Pick how it was paid",IF(L265="Cancelled","Cancelled: keep this number unused and write a fresh voucher",IF(AND(H265&lt;&gt;"Cash",I265=""),"Enter the cheque no., UTR or UPI reference",IF(AND(N($E$11)&gt;0,N(J265)&gt;N($E$11),K265=""),"Above your approval limit: get it approved before paying",IF(S265&gt;10000,"Cash paid to this person today is over ₹10,000: not deductible, s.36(4)",IF(T265&gt;35000,"Cash freight to this transporter today is over ₹35,000: not deductible, s.36(6)",IF(U265&gt;10000,"Asset paid in cash over ₹10,000 today: left out of its cost, s.39(2)",IF(AND(P265="L",H265="Cash",N(J265)&gt;=20000),"Loan of ₹20,000 or more repaid in cash: barred, s.188","OK")))))))))))))))</f>
        <v/>
      </c>
      <c r="P265">
        <f>IF(E265="","",IFERROR(VLOOKUP(E265,Lists!$A$2:$B$17,2,FALSE),"?"))</f>
        <v/>
      </c>
      <c r="Q265">
        <f>IF(L265="Cancelled",0,N(J265))</f>
        <v/>
      </c>
      <c r="R265">
        <f>IF(H265="Cash",Q265,0)</f>
        <v/>
      </c>
      <c r="S265">
        <f>IF(OR(P265&lt;&gt;"E",R265=0),0,SUMIFS($R$18:$R$317,$B$18:$B$317,B265,$D$18:$D$317,D265,$P$18:$P$317,"E"))</f>
        <v/>
      </c>
      <c r="T265">
        <f>IF(OR(P265&lt;&gt;"F",R265=0),0,SUMIFS($R$18:$R$317,$B$18:$B$317,B265,$D$18:$D$317,D265,$P$18:$P$317,"F"))</f>
        <v/>
      </c>
      <c r="U265">
        <f>IF(OR(P265&lt;&gt;"A",R265=0),0,SUMIFS($R$18:$R$317,$B$18:$B$317,B265,$D$18:$D$317,D265,$P$18:$P$317,"A"))</f>
        <v/>
      </c>
      <c r="V265">
        <f>IF(OR(N265="",N265="OK",L265="Cancelled"),0,1)</f>
        <v/>
      </c>
    </row>
    <row r="266">
      <c r="B266" s="22" t="n"/>
      <c r="C266" s="23">
        <f>IF(B266="","",$E$9&amp;TEXT(N($E$10)+248,"000"))</f>
        <v/>
      </c>
      <c r="D266" s="14" t="n"/>
      <c r="E266" s="14" t="n"/>
      <c r="F266" s="14" t="n"/>
      <c r="G266" s="24" t="n"/>
      <c r="H266" s="14" t="n"/>
      <c r="I266" s="24" t="n"/>
      <c r="J266" s="25" t="n"/>
      <c r="K266" s="14" t="n"/>
      <c r="L266" s="24" t="n"/>
      <c r="M266" s="26">
        <f>IF(OR(N(J266)=0,L266="Cancelled"),"",IF(AND(N(J266)&gt;5000,H266="Cash"),"Yes: ₹1","No"))</f>
        <v/>
      </c>
      <c r="N266" s="27">
        <f>IF(AND(B266="",D266="",N(J266)=0),"",IF(B266="","Enter the date",IF(AND(ROW()&gt;18,B265=""),"Use the next empty row: a skipped row leaves a gap in the voucher numbers",IF(D266="","Enter who was paid",IF(N(J266)=0,"Enter the amount",IF(E266="","Pick the head of account",IF(P266="?","Pick the head from the list",IF(H266="","Pick how it was paid",IF(L266="Cancelled","Cancelled: keep this number unused and write a fresh voucher",IF(AND(H266&lt;&gt;"Cash",I266=""),"Enter the cheque no., UTR or UPI reference",IF(AND(N($E$11)&gt;0,N(J266)&gt;N($E$11),K266=""),"Above your approval limit: get it approved before paying",IF(S266&gt;10000,"Cash paid to this person today is over ₹10,000: not deductible, s.36(4)",IF(T266&gt;35000,"Cash freight to this transporter today is over ₹35,000: not deductible, s.36(6)",IF(U266&gt;10000,"Asset paid in cash over ₹10,000 today: left out of its cost, s.39(2)",IF(AND(P266="L",H266="Cash",N(J266)&gt;=20000),"Loan of ₹20,000 or more repaid in cash: barred, s.188","OK")))))))))))))))</f>
        <v/>
      </c>
      <c r="P266">
        <f>IF(E266="","",IFERROR(VLOOKUP(E266,Lists!$A$2:$B$17,2,FALSE),"?"))</f>
        <v/>
      </c>
      <c r="Q266">
        <f>IF(L266="Cancelled",0,N(J266))</f>
        <v/>
      </c>
      <c r="R266">
        <f>IF(H266="Cash",Q266,0)</f>
        <v/>
      </c>
      <c r="S266">
        <f>IF(OR(P266&lt;&gt;"E",R266=0),0,SUMIFS($R$18:$R$317,$B$18:$B$317,B266,$D$18:$D$317,D266,$P$18:$P$317,"E"))</f>
        <v/>
      </c>
      <c r="T266">
        <f>IF(OR(P266&lt;&gt;"F",R266=0),0,SUMIFS($R$18:$R$317,$B$18:$B$317,B266,$D$18:$D$317,D266,$P$18:$P$317,"F"))</f>
        <v/>
      </c>
      <c r="U266">
        <f>IF(OR(P266&lt;&gt;"A",R266=0),0,SUMIFS($R$18:$R$317,$B$18:$B$317,B266,$D$18:$D$317,D266,$P$18:$P$317,"A"))</f>
        <v/>
      </c>
      <c r="V266">
        <f>IF(OR(N266="",N266="OK",L266="Cancelled"),0,1)</f>
        <v/>
      </c>
    </row>
    <row r="267">
      <c r="B267" s="22" t="n"/>
      <c r="C267" s="23">
        <f>IF(B267="","",$E$9&amp;TEXT(N($E$10)+249,"000"))</f>
        <v/>
      </c>
      <c r="D267" s="14" t="n"/>
      <c r="E267" s="14" t="n"/>
      <c r="F267" s="14" t="n"/>
      <c r="G267" s="24" t="n"/>
      <c r="H267" s="14" t="n"/>
      <c r="I267" s="24" t="n"/>
      <c r="J267" s="25" t="n"/>
      <c r="K267" s="14" t="n"/>
      <c r="L267" s="24" t="n"/>
      <c r="M267" s="26">
        <f>IF(OR(N(J267)=0,L267="Cancelled"),"",IF(AND(N(J267)&gt;5000,H267="Cash"),"Yes: ₹1","No"))</f>
        <v/>
      </c>
      <c r="N267" s="27">
        <f>IF(AND(B267="",D267="",N(J267)=0),"",IF(B267="","Enter the date",IF(AND(ROW()&gt;18,B266=""),"Use the next empty row: a skipped row leaves a gap in the voucher numbers",IF(D267="","Enter who was paid",IF(N(J267)=0,"Enter the amount",IF(E267="","Pick the head of account",IF(P267="?","Pick the head from the list",IF(H267="","Pick how it was paid",IF(L267="Cancelled","Cancelled: keep this number unused and write a fresh voucher",IF(AND(H267&lt;&gt;"Cash",I267=""),"Enter the cheque no., UTR or UPI reference",IF(AND(N($E$11)&gt;0,N(J267)&gt;N($E$11),K267=""),"Above your approval limit: get it approved before paying",IF(S267&gt;10000,"Cash paid to this person today is over ₹10,000: not deductible, s.36(4)",IF(T267&gt;35000,"Cash freight to this transporter today is over ₹35,000: not deductible, s.36(6)",IF(U267&gt;10000,"Asset paid in cash over ₹10,000 today: left out of its cost, s.39(2)",IF(AND(P267="L",H267="Cash",N(J267)&gt;=20000),"Loan of ₹20,000 or more repaid in cash: barred, s.188","OK")))))))))))))))</f>
        <v/>
      </c>
      <c r="P267">
        <f>IF(E267="","",IFERROR(VLOOKUP(E267,Lists!$A$2:$B$17,2,FALSE),"?"))</f>
        <v/>
      </c>
      <c r="Q267">
        <f>IF(L267="Cancelled",0,N(J267))</f>
        <v/>
      </c>
      <c r="R267">
        <f>IF(H267="Cash",Q267,0)</f>
        <v/>
      </c>
      <c r="S267">
        <f>IF(OR(P267&lt;&gt;"E",R267=0),0,SUMIFS($R$18:$R$317,$B$18:$B$317,B267,$D$18:$D$317,D267,$P$18:$P$317,"E"))</f>
        <v/>
      </c>
      <c r="T267">
        <f>IF(OR(P267&lt;&gt;"F",R267=0),0,SUMIFS($R$18:$R$317,$B$18:$B$317,B267,$D$18:$D$317,D267,$P$18:$P$317,"F"))</f>
        <v/>
      </c>
      <c r="U267">
        <f>IF(OR(P267&lt;&gt;"A",R267=0),0,SUMIFS($R$18:$R$317,$B$18:$B$317,B267,$D$18:$D$317,D267,$P$18:$P$317,"A"))</f>
        <v/>
      </c>
      <c r="V267">
        <f>IF(OR(N267="",N267="OK",L267="Cancelled"),0,1)</f>
        <v/>
      </c>
    </row>
    <row r="268">
      <c r="B268" s="22" t="n"/>
      <c r="C268" s="23">
        <f>IF(B268="","",$E$9&amp;TEXT(N($E$10)+250,"000"))</f>
        <v/>
      </c>
      <c r="D268" s="14" t="n"/>
      <c r="E268" s="14" t="n"/>
      <c r="F268" s="14" t="n"/>
      <c r="G268" s="24" t="n"/>
      <c r="H268" s="14" t="n"/>
      <c r="I268" s="24" t="n"/>
      <c r="J268" s="25" t="n"/>
      <c r="K268" s="14" t="n"/>
      <c r="L268" s="24" t="n"/>
      <c r="M268" s="26">
        <f>IF(OR(N(J268)=0,L268="Cancelled"),"",IF(AND(N(J268)&gt;5000,H268="Cash"),"Yes: ₹1","No"))</f>
        <v/>
      </c>
      <c r="N268" s="27">
        <f>IF(AND(B268="",D268="",N(J268)=0),"",IF(B268="","Enter the date",IF(AND(ROW()&gt;18,B267=""),"Use the next empty row: a skipped row leaves a gap in the voucher numbers",IF(D268="","Enter who was paid",IF(N(J268)=0,"Enter the amount",IF(E268="","Pick the head of account",IF(P268="?","Pick the head from the list",IF(H268="","Pick how it was paid",IF(L268="Cancelled","Cancelled: keep this number unused and write a fresh voucher",IF(AND(H268&lt;&gt;"Cash",I268=""),"Enter the cheque no., UTR or UPI reference",IF(AND(N($E$11)&gt;0,N(J268)&gt;N($E$11),K268=""),"Above your approval limit: get it approved before paying",IF(S268&gt;10000,"Cash paid to this person today is over ₹10,000: not deductible, s.36(4)",IF(T268&gt;35000,"Cash freight to this transporter today is over ₹35,000: not deductible, s.36(6)",IF(U268&gt;10000,"Asset paid in cash over ₹10,000 today: left out of its cost, s.39(2)",IF(AND(P268="L",H268="Cash",N(J268)&gt;=20000),"Loan of ₹20,000 or more repaid in cash: barred, s.188","OK")))))))))))))))</f>
        <v/>
      </c>
      <c r="P268">
        <f>IF(E268="","",IFERROR(VLOOKUP(E268,Lists!$A$2:$B$17,2,FALSE),"?"))</f>
        <v/>
      </c>
      <c r="Q268">
        <f>IF(L268="Cancelled",0,N(J268))</f>
        <v/>
      </c>
      <c r="R268">
        <f>IF(H268="Cash",Q268,0)</f>
        <v/>
      </c>
      <c r="S268">
        <f>IF(OR(P268&lt;&gt;"E",R268=0),0,SUMIFS($R$18:$R$317,$B$18:$B$317,B268,$D$18:$D$317,D268,$P$18:$P$317,"E"))</f>
        <v/>
      </c>
      <c r="T268">
        <f>IF(OR(P268&lt;&gt;"F",R268=0),0,SUMIFS($R$18:$R$317,$B$18:$B$317,B268,$D$18:$D$317,D268,$P$18:$P$317,"F"))</f>
        <v/>
      </c>
      <c r="U268">
        <f>IF(OR(P268&lt;&gt;"A",R268=0),0,SUMIFS($R$18:$R$317,$B$18:$B$317,B268,$D$18:$D$317,D268,$P$18:$P$317,"A"))</f>
        <v/>
      </c>
      <c r="V268">
        <f>IF(OR(N268="",N268="OK",L268="Cancelled"),0,1)</f>
        <v/>
      </c>
    </row>
    <row r="269">
      <c r="B269" s="22" t="n"/>
      <c r="C269" s="23">
        <f>IF(B269="","",$E$9&amp;TEXT(N($E$10)+251,"000"))</f>
        <v/>
      </c>
      <c r="D269" s="14" t="n"/>
      <c r="E269" s="14" t="n"/>
      <c r="F269" s="14" t="n"/>
      <c r="G269" s="24" t="n"/>
      <c r="H269" s="14" t="n"/>
      <c r="I269" s="24" t="n"/>
      <c r="J269" s="25" t="n"/>
      <c r="K269" s="14" t="n"/>
      <c r="L269" s="24" t="n"/>
      <c r="M269" s="26">
        <f>IF(OR(N(J269)=0,L269="Cancelled"),"",IF(AND(N(J269)&gt;5000,H269="Cash"),"Yes: ₹1","No"))</f>
        <v/>
      </c>
      <c r="N269" s="27">
        <f>IF(AND(B269="",D269="",N(J269)=0),"",IF(B269="","Enter the date",IF(AND(ROW()&gt;18,B268=""),"Use the next empty row: a skipped row leaves a gap in the voucher numbers",IF(D269="","Enter who was paid",IF(N(J269)=0,"Enter the amount",IF(E269="","Pick the head of account",IF(P269="?","Pick the head from the list",IF(H269="","Pick how it was paid",IF(L269="Cancelled","Cancelled: keep this number unused and write a fresh voucher",IF(AND(H269&lt;&gt;"Cash",I269=""),"Enter the cheque no., UTR or UPI reference",IF(AND(N($E$11)&gt;0,N(J269)&gt;N($E$11),K269=""),"Above your approval limit: get it approved before paying",IF(S269&gt;10000,"Cash paid to this person today is over ₹10,000: not deductible, s.36(4)",IF(T269&gt;35000,"Cash freight to this transporter today is over ₹35,000: not deductible, s.36(6)",IF(U269&gt;10000,"Asset paid in cash over ₹10,000 today: left out of its cost, s.39(2)",IF(AND(P269="L",H269="Cash",N(J269)&gt;=20000),"Loan of ₹20,000 or more repaid in cash: barred, s.188","OK")))))))))))))))</f>
        <v/>
      </c>
      <c r="P269">
        <f>IF(E269="","",IFERROR(VLOOKUP(E269,Lists!$A$2:$B$17,2,FALSE),"?"))</f>
        <v/>
      </c>
      <c r="Q269">
        <f>IF(L269="Cancelled",0,N(J269))</f>
        <v/>
      </c>
      <c r="R269">
        <f>IF(H269="Cash",Q269,0)</f>
        <v/>
      </c>
      <c r="S269">
        <f>IF(OR(P269&lt;&gt;"E",R269=0),0,SUMIFS($R$18:$R$317,$B$18:$B$317,B269,$D$18:$D$317,D269,$P$18:$P$317,"E"))</f>
        <v/>
      </c>
      <c r="T269">
        <f>IF(OR(P269&lt;&gt;"F",R269=0),0,SUMIFS($R$18:$R$317,$B$18:$B$317,B269,$D$18:$D$317,D269,$P$18:$P$317,"F"))</f>
        <v/>
      </c>
      <c r="U269">
        <f>IF(OR(P269&lt;&gt;"A",R269=0),0,SUMIFS($R$18:$R$317,$B$18:$B$317,B269,$D$18:$D$317,D269,$P$18:$P$317,"A"))</f>
        <v/>
      </c>
      <c r="V269">
        <f>IF(OR(N269="",N269="OK",L269="Cancelled"),0,1)</f>
        <v/>
      </c>
    </row>
    <row r="270">
      <c r="B270" s="22" t="n"/>
      <c r="C270" s="23">
        <f>IF(B270="","",$E$9&amp;TEXT(N($E$10)+252,"000"))</f>
        <v/>
      </c>
      <c r="D270" s="14" t="n"/>
      <c r="E270" s="14" t="n"/>
      <c r="F270" s="14" t="n"/>
      <c r="G270" s="24" t="n"/>
      <c r="H270" s="14" t="n"/>
      <c r="I270" s="24" t="n"/>
      <c r="J270" s="25" t="n"/>
      <c r="K270" s="14" t="n"/>
      <c r="L270" s="24" t="n"/>
      <c r="M270" s="26">
        <f>IF(OR(N(J270)=0,L270="Cancelled"),"",IF(AND(N(J270)&gt;5000,H270="Cash"),"Yes: ₹1","No"))</f>
        <v/>
      </c>
      <c r="N270" s="27">
        <f>IF(AND(B270="",D270="",N(J270)=0),"",IF(B270="","Enter the date",IF(AND(ROW()&gt;18,B269=""),"Use the next empty row: a skipped row leaves a gap in the voucher numbers",IF(D270="","Enter who was paid",IF(N(J270)=0,"Enter the amount",IF(E270="","Pick the head of account",IF(P270="?","Pick the head from the list",IF(H270="","Pick how it was paid",IF(L270="Cancelled","Cancelled: keep this number unused and write a fresh voucher",IF(AND(H270&lt;&gt;"Cash",I270=""),"Enter the cheque no., UTR or UPI reference",IF(AND(N($E$11)&gt;0,N(J270)&gt;N($E$11),K270=""),"Above your approval limit: get it approved before paying",IF(S270&gt;10000,"Cash paid to this person today is over ₹10,000: not deductible, s.36(4)",IF(T270&gt;35000,"Cash freight to this transporter today is over ₹35,000: not deductible, s.36(6)",IF(U270&gt;10000,"Asset paid in cash over ₹10,000 today: left out of its cost, s.39(2)",IF(AND(P270="L",H270="Cash",N(J270)&gt;=20000),"Loan of ₹20,000 or more repaid in cash: barred, s.188","OK")))))))))))))))</f>
        <v/>
      </c>
      <c r="P270">
        <f>IF(E270="","",IFERROR(VLOOKUP(E270,Lists!$A$2:$B$17,2,FALSE),"?"))</f>
        <v/>
      </c>
      <c r="Q270">
        <f>IF(L270="Cancelled",0,N(J270))</f>
        <v/>
      </c>
      <c r="R270">
        <f>IF(H270="Cash",Q270,0)</f>
        <v/>
      </c>
      <c r="S270">
        <f>IF(OR(P270&lt;&gt;"E",R270=0),0,SUMIFS($R$18:$R$317,$B$18:$B$317,B270,$D$18:$D$317,D270,$P$18:$P$317,"E"))</f>
        <v/>
      </c>
      <c r="T270">
        <f>IF(OR(P270&lt;&gt;"F",R270=0),0,SUMIFS($R$18:$R$317,$B$18:$B$317,B270,$D$18:$D$317,D270,$P$18:$P$317,"F"))</f>
        <v/>
      </c>
      <c r="U270">
        <f>IF(OR(P270&lt;&gt;"A",R270=0),0,SUMIFS($R$18:$R$317,$B$18:$B$317,B270,$D$18:$D$317,D270,$P$18:$P$317,"A"))</f>
        <v/>
      </c>
      <c r="V270">
        <f>IF(OR(N270="",N270="OK",L270="Cancelled"),0,1)</f>
        <v/>
      </c>
    </row>
    <row r="271">
      <c r="B271" s="22" t="n"/>
      <c r="C271" s="23">
        <f>IF(B271="","",$E$9&amp;TEXT(N($E$10)+253,"000"))</f>
        <v/>
      </c>
      <c r="D271" s="14" t="n"/>
      <c r="E271" s="14" t="n"/>
      <c r="F271" s="14" t="n"/>
      <c r="G271" s="24" t="n"/>
      <c r="H271" s="14" t="n"/>
      <c r="I271" s="24" t="n"/>
      <c r="J271" s="25" t="n"/>
      <c r="K271" s="14" t="n"/>
      <c r="L271" s="24" t="n"/>
      <c r="M271" s="26">
        <f>IF(OR(N(J271)=0,L271="Cancelled"),"",IF(AND(N(J271)&gt;5000,H271="Cash"),"Yes: ₹1","No"))</f>
        <v/>
      </c>
      <c r="N271" s="27">
        <f>IF(AND(B271="",D271="",N(J271)=0),"",IF(B271="","Enter the date",IF(AND(ROW()&gt;18,B270=""),"Use the next empty row: a skipped row leaves a gap in the voucher numbers",IF(D271="","Enter who was paid",IF(N(J271)=0,"Enter the amount",IF(E271="","Pick the head of account",IF(P271="?","Pick the head from the list",IF(H271="","Pick how it was paid",IF(L271="Cancelled","Cancelled: keep this number unused and write a fresh voucher",IF(AND(H271&lt;&gt;"Cash",I271=""),"Enter the cheque no., UTR or UPI reference",IF(AND(N($E$11)&gt;0,N(J271)&gt;N($E$11),K271=""),"Above your approval limit: get it approved before paying",IF(S271&gt;10000,"Cash paid to this person today is over ₹10,000: not deductible, s.36(4)",IF(T271&gt;35000,"Cash freight to this transporter today is over ₹35,000: not deductible, s.36(6)",IF(U271&gt;10000,"Asset paid in cash over ₹10,000 today: left out of its cost, s.39(2)",IF(AND(P271="L",H271="Cash",N(J271)&gt;=20000),"Loan of ₹20,000 or more repaid in cash: barred, s.188","OK")))))))))))))))</f>
        <v/>
      </c>
      <c r="P271">
        <f>IF(E271="","",IFERROR(VLOOKUP(E271,Lists!$A$2:$B$17,2,FALSE),"?"))</f>
        <v/>
      </c>
      <c r="Q271">
        <f>IF(L271="Cancelled",0,N(J271))</f>
        <v/>
      </c>
      <c r="R271">
        <f>IF(H271="Cash",Q271,0)</f>
        <v/>
      </c>
      <c r="S271">
        <f>IF(OR(P271&lt;&gt;"E",R271=0),0,SUMIFS($R$18:$R$317,$B$18:$B$317,B271,$D$18:$D$317,D271,$P$18:$P$317,"E"))</f>
        <v/>
      </c>
      <c r="T271">
        <f>IF(OR(P271&lt;&gt;"F",R271=0),0,SUMIFS($R$18:$R$317,$B$18:$B$317,B271,$D$18:$D$317,D271,$P$18:$P$317,"F"))</f>
        <v/>
      </c>
      <c r="U271">
        <f>IF(OR(P271&lt;&gt;"A",R271=0),0,SUMIFS($R$18:$R$317,$B$18:$B$317,B271,$D$18:$D$317,D271,$P$18:$P$317,"A"))</f>
        <v/>
      </c>
      <c r="V271">
        <f>IF(OR(N271="",N271="OK",L271="Cancelled"),0,1)</f>
        <v/>
      </c>
    </row>
    <row r="272">
      <c r="B272" s="22" t="n"/>
      <c r="C272" s="23">
        <f>IF(B272="","",$E$9&amp;TEXT(N($E$10)+254,"000"))</f>
        <v/>
      </c>
      <c r="D272" s="14" t="n"/>
      <c r="E272" s="14" t="n"/>
      <c r="F272" s="14" t="n"/>
      <c r="G272" s="24" t="n"/>
      <c r="H272" s="14" t="n"/>
      <c r="I272" s="24" t="n"/>
      <c r="J272" s="25" t="n"/>
      <c r="K272" s="14" t="n"/>
      <c r="L272" s="24" t="n"/>
      <c r="M272" s="26">
        <f>IF(OR(N(J272)=0,L272="Cancelled"),"",IF(AND(N(J272)&gt;5000,H272="Cash"),"Yes: ₹1","No"))</f>
        <v/>
      </c>
      <c r="N272" s="27">
        <f>IF(AND(B272="",D272="",N(J272)=0),"",IF(B272="","Enter the date",IF(AND(ROW()&gt;18,B271=""),"Use the next empty row: a skipped row leaves a gap in the voucher numbers",IF(D272="","Enter who was paid",IF(N(J272)=0,"Enter the amount",IF(E272="","Pick the head of account",IF(P272="?","Pick the head from the list",IF(H272="","Pick how it was paid",IF(L272="Cancelled","Cancelled: keep this number unused and write a fresh voucher",IF(AND(H272&lt;&gt;"Cash",I272=""),"Enter the cheque no., UTR or UPI reference",IF(AND(N($E$11)&gt;0,N(J272)&gt;N($E$11),K272=""),"Above your approval limit: get it approved before paying",IF(S272&gt;10000,"Cash paid to this person today is over ₹10,000: not deductible, s.36(4)",IF(T272&gt;35000,"Cash freight to this transporter today is over ₹35,000: not deductible, s.36(6)",IF(U272&gt;10000,"Asset paid in cash over ₹10,000 today: left out of its cost, s.39(2)",IF(AND(P272="L",H272="Cash",N(J272)&gt;=20000),"Loan of ₹20,000 or more repaid in cash: barred, s.188","OK")))))))))))))))</f>
        <v/>
      </c>
      <c r="P272">
        <f>IF(E272="","",IFERROR(VLOOKUP(E272,Lists!$A$2:$B$17,2,FALSE),"?"))</f>
        <v/>
      </c>
      <c r="Q272">
        <f>IF(L272="Cancelled",0,N(J272))</f>
        <v/>
      </c>
      <c r="R272">
        <f>IF(H272="Cash",Q272,0)</f>
        <v/>
      </c>
      <c r="S272">
        <f>IF(OR(P272&lt;&gt;"E",R272=0),0,SUMIFS($R$18:$R$317,$B$18:$B$317,B272,$D$18:$D$317,D272,$P$18:$P$317,"E"))</f>
        <v/>
      </c>
      <c r="T272">
        <f>IF(OR(P272&lt;&gt;"F",R272=0),0,SUMIFS($R$18:$R$317,$B$18:$B$317,B272,$D$18:$D$317,D272,$P$18:$P$317,"F"))</f>
        <v/>
      </c>
      <c r="U272">
        <f>IF(OR(P272&lt;&gt;"A",R272=0),0,SUMIFS($R$18:$R$317,$B$18:$B$317,B272,$D$18:$D$317,D272,$P$18:$P$317,"A"))</f>
        <v/>
      </c>
      <c r="V272">
        <f>IF(OR(N272="",N272="OK",L272="Cancelled"),0,1)</f>
        <v/>
      </c>
    </row>
    <row r="273">
      <c r="B273" s="22" t="n"/>
      <c r="C273" s="23">
        <f>IF(B273="","",$E$9&amp;TEXT(N($E$10)+255,"000"))</f>
        <v/>
      </c>
      <c r="D273" s="14" t="n"/>
      <c r="E273" s="14" t="n"/>
      <c r="F273" s="14" t="n"/>
      <c r="G273" s="24" t="n"/>
      <c r="H273" s="14" t="n"/>
      <c r="I273" s="24" t="n"/>
      <c r="J273" s="25" t="n"/>
      <c r="K273" s="14" t="n"/>
      <c r="L273" s="24" t="n"/>
      <c r="M273" s="26">
        <f>IF(OR(N(J273)=0,L273="Cancelled"),"",IF(AND(N(J273)&gt;5000,H273="Cash"),"Yes: ₹1","No"))</f>
        <v/>
      </c>
      <c r="N273" s="27">
        <f>IF(AND(B273="",D273="",N(J273)=0),"",IF(B273="","Enter the date",IF(AND(ROW()&gt;18,B272=""),"Use the next empty row: a skipped row leaves a gap in the voucher numbers",IF(D273="","Enter who was paid",IF(N(J273)=0,"Enter the amount",IF(E273="","Pick the head of account",IF(P273="?","Pick the head from the list",IF(H273="","Pick how it was paid",IF(L273="Cancelled","Cancelled: keep this number unused and write a fresh voucher",IF(AND(H273&lt;&gt;"Cash",I273=""),"Enter the cheque no., UTR or UPI reference",IF(AND(N($E$11)&gt;0,N(J273)&gt;N($E$11),K273=""),"Above your approval limit: get it approved before paying",IF(S273&gt;10000,"Cash paid to this person today is over ₹10,000: not deductible, s.36(4)",IF(T273&gt;35000,"Cash freight to this transporter today is over ₹35,000: not deductible, s.36(6)",IF(U273&gt;10000,"Asset paid in cash over ₹10,000 today: left out of its cost, s.39(2)",IF(AND(P273="L",H273="Cash",N(J273)&gt;=20000),"Loan of ₹20,000 or more repaid in cash: barred, s.188","OK")))))))))))))))</f>
        <v/>
      </c>
      <c r="P273">
        <f>IF(E273="","",IFERROR(VLOOKUP(E273,Lists!$A$2:$B$17,2,FALSE),"?"))</f>
        <v/>
      </c>
      <c r="Q273">
        <f>IF(L273="Cancelled",0,N(J273))</f>
        <v/>
      </c>
      <c r="R273">
        <f>IF(H273="Cash",Q273,0)</f>
        <v/>
      </c>
      <c r="S273">
        <f>IF(OR(P273&lt;&gt;"E",R273=0),0,SUMIFS($R$18:$R$317,$B$18:$B$317,B273,$D$18:$D$317,D273,$P$18:$P$317,"E"))</f>
        <v/>
      </c>
      <c r="T273">
        <f>IF(OR(P273&lt;&gt;"F",R273=0),0,SUMIFS($R$18:$R$317,$B$18:$B$317,B273,$D$18:$D$317,D273,$P$18:$P$317,"F"))</f>
        <v/>
      </c>
      <c r="U273">
        <f>IF(OR(P273&lt;&gt;"A",R273=0),0,SUMIFS($R$18:$R$317,$B$18:$B$317,B273,$D$18:$D$317,D273,$P$18:$P$317,"A"))</f>
        <v/>
      </c>
      <c r="V273">
        <f>IF(OR(N273="",N273="OK",L273="Cancelled"),0,1)</f>
        <v/>
      </c>
    </row>
    <row r="274">
      <c r="B274" s="22" t="n"/>
      <c r="C274" s="23">
        <f>IF(B274="","",$E$9&amp;TEXT(N($E$10)+256,"000"))</f>
        <v/>
      </c>
      <c r="D274" s="14" t="n"/>
      <c r="E274" s="14" t="n"/>
      <c r="F274" s="14" t="n"/>
      <c r="G274" s="24" t="n"/>
      <c r="H274" s="14" t="n"/>
      <c r="I274" s="24" t="n"/>
      <c r="J274" s="25" t="n"/>
      <c r="K274" s="14" t="n"/>
      <c r="L274" s="24" t="n"/>
      <c r="M274" s="26">
        <f>IF(OR(N(J274)=0,L274="Cancelled"),"",IF(AND(N(J274)&gt;5000,H274="Cash"),"Yes: ₹1","No"))</f>
        <v/>
      </c>
      <c r="N274" s="27">
        <f>IF(AND(B274="",D274="",N(J274)=0),"",IF(B274="","Enter the date",IF(AND(ROW()&gt;18,B273=""),"Use the next empty row: a skipped row leaves a gap in the voucher numbers",IF(D274="","Enter who was paid",IF(N(J274)=0,"Enter the amount",IF(E274="","Pick the head of account",IF(P274="?","Pick the head from the list",IF(H274="","Pick how it was paid",IF(L274="Cancelled","Cancelled: keep this number unused and write a fresh voucher",IF(AND(H274&lt;&gt;"Cash",I274=""),"Enter the cheque no., UTR or UPI reference",IF(AND(N($E$11)&gt;0,N(J274)&gt;N($E$11),K274=""),"Above your approval limit: get it approved before paying",IF(S274&gt;10000,"Cash paid to this person today is over ₹10,000: not deductible, s.36(4)",IF(T274&gt;35000,"Cash freight to this transporter today is over ₹35,000: not deductible, s.36(6)",IF(U274&gt;10000,"Asset paid in cash over ₹10,000 today: left out of its cost, s.39(2)",IF(AND(P274="L",H274="Cash",N(J274)&gt;=20000),"Loan of ₹20,000 or more repaid in cash: barred, s.188","OK")))))))))))))))</f>
        <v/>
      </c>
      <c r="P274">
        <f>IF(E274="","",IFERROR(VLOOKUP(E274,Lists!$A$2:$B$17,2,FALSE),"?"))</f>
        <v/>
      </c>
      <c r="Q274">
        <f>IF(L274="Cancelled",0,N(J274))</f>
        <v/>
      </c>
      <c r="R274">
        <f>IF(H274="Cash",Q274,0)</f>
        <v/>
      </c>
      <c r="S274">
        <f>IF(OR(P274&lt;&gt;"E",R274=0),0,SUMIFS($R$18:$R$317,$B$18:$B$317,B274,$D$18:$D$317,D274,$P$18:$P$317,"E"))</f>
        <v/>
      </c>
      <c r="T274">
        <f>IF(OR(P274&lt;&gt;"F",R274=0),0,SUMIFS($R$18:$R$317,$B$18:$B$317,B274,$D$18:$D$317,D274,$P$18:$P$317,"F"))</f>
        <v/>
      </c>
      <c r="U274">
        <f>IF(OR(P274&lt;&gt;"A",R274=0),0,SUMIFS($R$18:$R$317,$B$18:$B$317,B274,$D$18:$D$317,D274,$P$18:$P$317,"A"))</f>
        <v/>
      </c>
      <c r="V274">
        <f>IF(OR(N274="",N274="OK",L274="Cancelled"),0,1)</f>
        <v/>
      </c>
    </row>
    <row r="275">
      <c r="B275" s="22" t="n"/>
      <c r="C275" s="23">
        <f>IF(B275="","",$E$9&amp;TEXT(N($E$10)+257,"000"))</f>
        <v/>
      </c>
      <c r="D275" s="14" t="n"/>
      <c r="E275" s="14" t="n"/>
      <c r="F275" s="14" t="n"/>
      <c r="G275" s="24" t="n"/>
      <c r="H275" s="14" t="n"/>
      <c r="I275" s="24" t="n"/>
      <c r="J275" s="25" t="n"/>
      <c r="K275" s="14" t="n"/>
      <c r="L275" s="24" t="n"/>
      <c r="M275" s="26">
        <f>IF(OR(N(J275)=0,L275="Cancelled"),"",IF(AND(N(J275)&gt;5000,H275="Cash"),"Yes: ₹1","No"))</f>
        <v/>
      </c>
      <c r="N275" s="27">
        <f>IF(AND(B275="",D275="",N(J275)=0),"",IF(B275="","Enter the date",IF(AND(ROW()&gt;18,B274=""),"Use the next empty row: a skipped row leaves a gap in the voucher numbers",IF(D275="","Enter who was paid",IF(N(J275)=0,"Enter the amount",IF(E275="","Pick the head of account",IF(P275="?","Pick the head from the list",IF(H275="","Pick how it was paid",IF(L275="Cancelled","Cancelled: keep this number unused and write a fresh voucher",IF(AND(H275&lt;&gt;"Cash",I275=""),"Enter the cheque no., UTR or UPI reference",IF(AND(N($E$11)&gt;0,N(J275)&gt;N($E$11),K275=""),"Above your approval limit: get it approved before paying",IF(S275&gt;10000,"Cash paid to this person today is over ₹10,000: not deductible, s.36(4)",IF(T275&gt;35000,"Cash freight to this transporter today is over ₹35,000: not deductible, s.36(6)",IF(U275&gt;10000,"Asset paid in cash over ₹10,000 today: left out of its cost, s.39(2)",IF(AND(P275="L",H275="Cash",N(J275)&gt;=20000),"Loan of ₹20,000 or more repaid in cash: barred, s.188","OK")))))))))))))))</f>
        <v/>
      </c>
      <c r="P275">
        <f>IF(E275="","",IFERROR(VLOOKUP(E275,Lists!$A$2:$B$17,2,FALSE),"?"))</f>
        <v/>
      </c>
      <c r="Q275">
        <f>IF(L275="Cancelled",0,N(J275))</f>
        <v/>
      </c>
      <c r="R275">
        <f>IF(H275="Cash",Q275,0)</f>
        <v/>
      </c>
      <c r="S275">
        <f>IF(OR(P275&lt;&gt;"E",R275=0),0,SUMIFS($R$18:$R$317,$B$18:$B$317,B275,$D$18:$D$317,D275,$P$18:$P$317,"E"))</f>
        <v/>
      </c>
      <c r="T275">
        <f>IF(OR(P275&lt;&gt;"F",R275=0),0,SUMIFS($R$18:$R$317,$B$18:$B$317,B275,$D$18:$D$317,D275,$P$18:$P$317,"F"))</f>
        <v/>
      </c>
      <c r="U275">
        <f>IF(OR(P275&lt;&gt;"A",R275=0),0,SUMIFS($R$18:$R$317,$B$18:$B$317,B275,$D$18:$D$317,D275,$P$18:$P$317,"A"))</f>
        <v/>
      </c>
      <c r="V275">
        <f>IF(OR(N275="",N275="OK",L275="Cancelled"),0,1)</f>
        <v/>
      </c>
    </row>
    <row r="276">
      <c r="B276" s="22" t="n"/>
      <c r="C276" s="23">
        <f>IF(B276="","",$E$9&amp;TEXT(N($E$10)+258,"000"))</f>
        <v/>
      </c>
      <c r="D276" s="14" t="n"/>
      <c r="E276" s="14" t="n"/>
      <c r="F276" s="14" t="n"/>
      <c r="G276" s="24" t="n"/>
      <c r="H276" s="14" t="n"/>
      <c r="I276" s="24" t="n"/>
      <c r="J276" s="25" t="n"/>
      <c r="K276" s="14" t="n"/>
      <c r="L276" s="24" t="n"/>
      <c r="M276" s="26">
        <f>IF(OR(N(J276)=0,L276="Cancelled"),"",IF(AND(N(J276)&gt;5000,H276="Cash"),"Yes: ₹1","No"))</f>
        <v/>
      </c>
      <c r="N276" s="27">
        <f>IF(AND(B276="",D276="",N(J276)=0),"",IF(B276="","Enter the date",IF(AND(ROW()&gt;18,B275=""),"Use the next empty row: a skipped row leaves a gap in the voucher numbers",IF(D276="","Enter who was paid",IF(N(J276)=0,"Enter the amount",IF(E276="","Pick the head of account",IF(P276="?","Pick the head from the list",IF(H276="","Pick how it was paid",IF(L276="Cancelled","Cancelled: keep this number unused and write a fresh voucher",IF(AND(H276&lt;&gt;"Cash",I276=""),"Enter the cheque no., UTR or UPI reference",IF(AND(N($E$11)&gt;0,N(J276)&gt;N($E$11),K276=""),"Above your approval limit: get it approved before paying",IF(S276&gt;10000,"Cash paid to this person today is over ₹10,000: not deductible, s.36(4)",IF(T276&gt;35000,"Cash freight to this transporter today is over ₹35,000: not deductible, s.36(6)",IF(U276&gt;10000,"Asset paid in cash over ₹10,000 today: left out of its cost, s.39(2)",IF(AND(P276="L",H276="Cash",N(J276)&gt;=20000),"Loan of ₹20,000 or more repaid in cash: barred, s.188","OK")))))))))))))))</f>
        <v/>
      </c>
      <c r="P276">
        <f>IF(E276="","",IFERROR(VLOOKUP(E276,Lists!$A$2:$B$17,2,FALSE),"?"))</f>
        <v/>
      </c>
      <c r="Q276">
        <f>IF(L276="Cancelled",0,N(J276))</f>
        <v/>
      </c>
      <c r="R276">
        <f>IF(H276="Cash",Q276,0)</f>
        <v/>
      </c>
      <c r="S276">
        <f>IF(OR(P276&lt;&gt;"E",R276=0),0,SUMIFS($R$18:$R$317,$B$18:$B$317,B276,$D$18:$D$317,D276,$P$18:$P$317,"E"))</f>
        <v/>
      </c>
      <c r="T276">
        <f>IF(OR(P276&lt;&gt;"F",R276=0),0,SUMIFS($R$18:$R$317,$B$18:$B$317,B276,$D$18:$D$317,D276,$P$18:$P$317,"F"))</f>
        <v/>
      </c>
      <c r="U276">
        <f>IF(OR(P276&lt;&gt;"A",R276=0),0,SUMIFS($R$18:$R$317,$B$18:$B$317,B276,$D$18:$D$317,D276,$P$18:$P$317,"A"))</f>
        <v/>
      </c>
      <c r="V276">
        <f>IF(OR(N276="",N276="OK",L276="Cancelled"),0,1)</f>
        <v/>
      </c>
    </row>
    <row r="277">
      <c r="B277" s="22" t="n"/>
      <c r="C277" s="23">
        <f>IF(B277="","",$E$9&amp;TEXT(N($E$10)+259,"000"))</f>
        <v/>
      </c>
      <c r="D277" s="14" t="n"/>
      <c r="E277" s="14" t="n"/>
      <c r="F277" s="14" t="n"/>
      <c r="G277" s="24" t="n"/>
      <c r="H277" s="14" t="n"/>
      <c r="I277" s="24" t="n"/>
      <c r="J277" s="25" t="n"/>
      <c r="K277" s="14" t="n"/>
      <c r="L277" s="24" t="n"/>
      <c r="M277" s="26">
        <f>IF(OR(N(J277)=0,L277="Cancelled"),"",IF(AND(N(J277)&gt;5000,H277="Cash"),"Yes: ₹1","No"))</f>
        <v/>
      </c>
      <c r="N277" s="27">
        <f>IF(AND(B277="",D277="",N(J277)=0),"",IF(B277="","Enter the date",IF(AND(ROW()&gt;18,B276=""),"Use the next empty row: a skipped row leaves a gap in the voucher numbers",IF(D277="","Enter who was paid",IF(N(J277)=0,"Enter the amount",IF(E277="","Pick the head of account",IF(P277="?","Pick the head from the list",IF(H277="","Pick how it was paid",IF(L277="Cancelled","Cancelled: keep this number unused and write a fresh voucher",IF(AND(H277&lt;&gt;"Cash",I277=""),"Enter the cheque no., UTR or UPI reference",IF(AND(N($E$11)&gt;0,N(J277)&gt;N($E$11),K277=""),"Above your approval limit: get it approved before paying",IF(S277&gt;10000,"Cash paid to this person today is over ₹10,000: not deductible, s.36(4)",IF(T277&gt;35000,"Cash freight to this transporter today is over ₹35,000: not deductible, s.36(6)",IF(U277&gt;10000,"Asset paid in cash over ₹10,000 today: left out of its cost, s.39(2)",IF(AND(P277="L",H277="Cash",N(J277)&gt;=20000),"Loan of ₹20,000 or more repaid in cash: barred, s.188","OK")))))))))))))))</f>
        <v/>
      </c>
      <c r="P277">
        <f>IF(E277="","",IFERROR(VLOOKUP(E277,Lists!$A$2:$B$17,2,FALSE),"?"))</f>
        <v/>
      </c>
      <c r="Q277">
        <f>IF(L277="Cancelled",0,N(J277))</f>
        <v/>
      </c>
      <c r="R277">
        <f>IF(H277="Cash",Q277,0)</f>
        <v/>
      </c>
      <c r="S277">
        <f>IF(OR(P277&lt;&gt;"E",R277=0),0,SUMIFS($R$18:$R$317,$B$18:$B$317,B277,$D$18:$D$317,D277,$P$18:$P$317,"E"))</f>
        <v/>
      </c>
      <c r="T277">
        <f>IF(OR(P277&lt;&gt;"F",R277=0),0,SUMIFS($R$18:$R$317,$B$18:$B$317,B277,$D$18:$D$317,D277,$P$18:$P$317,"F"))</f>
        <v/>
      </c>
      <c r="U277">
        <f>IF(OR(P277&lt;&gt;"A",R277=0),0,SUMIFS($R$18:$R$317,$B$18:$B$317,B277,$D$18:$D$317,D277,$P$18:$P$317,"A"))</f>
        <v/>
      </c>
      <c r="V277">
        <f>IF(OR(N277="",N277="OK",L277="Cancelled"),0,1)</f>
        <v/>
      </c>
    </row>
    <row r="278">
      <c r="B278" s="22" t="n"/>
      <c r="C278" s="23">
        <f>IF(B278="","",$E$9&amp;TEXT(N($E$10)+260,"000"))</f>
        <v/>
      </c>
      <c r="D278" s="14" t="n"/>
      <c r="E278" s="14" t="n"/>
      <c r="F278" s="14" t="n"/>
      <c r="G278" s="24" t="n"/>
      <c r="H278" s="14" t="n"/>
      <c r="I278" s="24" t="n"/>
      <c r="J278" s="25" t="n"/>
      <c r="K278" s="14" t="n"/>
      <c r="L278" s="24" t="n"/>
      <c r="M278" s="26">
        <f>IF(OR(N(J278)=0,L278="Cancelled"),"",IF(AND(N(J278)&gt;5000,H278="Cash"),"Yes: ₹1","No"))</f>
        <v/>
      </c>
      <c r="N278" s="27">
        <f>IF(AND(B278="",D278="",N(J278)=0),"",IF(B278="","Enter the date",IF(AND(ROW()&gt;18,B277=""),"Use the next empty row: a skipped row leaves a gap in the voucher numbers",IF(D278="","Enter who was paid",IF(N(J278)=0,"Enter the amount",IF(E278="","Pick the head of account",IF(P278="?","Pick the head from the list",IF(H278="","Pick how it was paid",IF(L278="Cancelled","Cancelled: keep this number unused and write a fresh voucher",IF(AND(H278&lt;&gt;"Cash",I278=""),"Enter the cheque no., UTR or UPI reference",IF(AND(N($E$11)&gt;0,N(J278)&gt;N($E$11),K278=""),"Above your approval limit: get it approved before paying",IF(S278&gt;10000,"Cash paid to this person today is over ₹10,000: not deductible, s.36(4)",IF(T278&gt;35000,"Cash freight to this transporter today is over ₹35,000: not deductible, s.36(6)",IF(U278&gt;10000,"Asset paid in cash over ₹10,000 today: left out of its cost, s.39(2)",IF(AND(P278="L",H278="Cash",N(J278)&gt;=20000),"Loan of ₹20,000 or more repaid in cash: barred, s.188","OK")))))))))))))))</f>
        <v/>
      </c>
      <c r="P278">
        <f>IF(E278="","",IFERROR(VLOOKUP(E278,Lists!$A$2:$B$17,2,FALSE),"?"))</f>
        <v/>
      </c>
      <c r="Q278">
        <f>IF(L278="Cancelled",0,N(J278))</f>
        <v/>
      </c>
      <c r="R278">
        <f>IF(H278="Cash",Q278,0)</f>
        <v/>
      </c>
      <c r="S278">
        <f>IF(OR(P278&lt;&gt;"E",R278=0),0,SUMIFS($R$18:$R$317,$B$18:$B$317,B278,$D$18:$D$317,D278,$P$18:$P$317,"E"))</f>
        <v/>
      </c>
      <c r="T278">
        <f>IF(OR(P278&lt;&gt;"F",R278=0),0,SUMIFS($R$18:$R$317,$B$18:$B$317,B278,$D$18:$D$317,D278,$P$18:$P$317,"F"))</f>
        <v/>
      </c>
      <c r="U278">
        <f>IF(OR(P278&lt;&gt;"A",R278=0),0,SUMIFS($R$18:$R$317,$B$18:$B$317,B278,$D$18:$D$317,D278,$P$18:$P$317,"A"))</f>
        <v/>
      </c>
      <c r="V278">
        <f>IF(OR(N278="",N278="OK",L278="Cancelled"),0,1)</f>
        <v/>
      </c>
    </row>
    <row r="279">
      <c r="B279" s="22" t="n"/>
      <c r="C279" s="23">
        <f>IF(B279="","",$E$9&amp;TEXT(N($E$10)+261,"000"))</f>
        <v/>
      </c>
      <c r="D279" s="14" t="n"/>
      <c r="E279" s="14" t="n"/>
      <c r="F279" s="14" t="n"/>
      <c r="G279" s="24" t="n"/>
      <c r="H279" s="14" t="n"/>
      <c r="I279" s="24" t="n"/>
      <c r="J279" s="25" t="n"/>
      <c r="K279" s="14" t="n"/>
      <c r="L279" s="24" t="n"/>
      <c r="M279" s="26">
        <f>IF(OR(N(J279)=0,L279="Cancelled"),"",IF(AND(N(J279)&gt;5000,H279="Cash"),"Yes: ₹1","No"))</f>
        <v/>
      </c>
      <c r="N279" s="27">
        <f>IF(AND(B279="",D279="",N(J279)=0),"",IF(B279="","Enter the date",IF(AND(ROW()&gt;18,B278=""),"Use the next empty row: a skipped row leaves a gap in the voucher numbers",IF(D279="","Enter who was paid",IF(N(J279)=0,"Enter the amount",IF(E279="","Pick the head of account",IF(P279="?","Pick the head from the list",IF(H279="","Pick how it was paid",IF(L279="Cancelled","Cancelled: keep this number unused and write a fresh voucher",IF(AND(H279&lt;&gt;"Cash",I279=""),"Enter the cheque no., UTR or UPI reference",IF(AND(N($E$11)&gt;0,N(J279)&gt;N($E$11),K279=""),"Above your approval limit: get it approved before paying",IF(S279&gt;10000,"Cash paid to this person today is over ₹10,000: not deductible, s.36(4)",IF(T279&gt;35000,"Cash freight to this transporter today is over ₹35,000: not deductible, s.36(6)",IF(U279&gt;10000,"Asset paid in cash over ₹10,000 today: left out of its cost, s.39(2)",IF(AND(P279="L",H279="Cash",N(J279)&gt;=20000),"Loan of ₹20,000 or more repaid in cash: barred, s.188","OK")))))))))))))))</f>
        <v/>
      </c>
      <c r="P279">
        <f>IF(E279="","",IFERROR(VLOOKUP(E279,Lists!$A$2:$B$17,2,FALSE),"?"))</f>
        <v/>
      </c>
      <c r="Q279">
        <f>IF(L279="Cancelled",0,N(J279))</f>
        <v/>
      </c>
      <c r="R279">
        <f>IF(H279="Cash",Q279,0)</f>
        <v/>
      </c>
      <c r="S279">
        <f>IF(OR(P279&lt;&gt;"E",R279=0),0,SUMIFS($R$18:$R$317,$B$18:$B$317,B279,$D$18:$D$317,D279,$P$18:$P$317,"E"))</f>
        <v/>
      </c>
      <c r="T279">
        <f>IF(OR(P279&lt;&gt;"F",R279=0),0,SUMIFS($R$18:$R$317,$B$18:$B$317,B279,$D$18:$D$317,D279,$P$18:$P$317,"F"))</f>
        <v/>
      </c>
      <c r="U279">
        <f>IF(OR(P279&lt;&gt;"A",R279=0),0,SUMIFS($R$18:$R$317,$B$18:$B$317,B279,$D$18:$D$317,D279,$P$18:$P$317,"A"))</f>
        <v/>
      </c>
      <c r="V279">
        <f>IF(OR(N279="",N279="OK",L279="Cancelled"),0,1)</f>
        <v/>
      </c>
    </row>
    <row r="280">
      <c r="B280" s="22" t="n"/>
      <c r="C280" s="23">
        <f>IF(B280="","",$E$9&amp;TEXT(N($E$10)+262,"000"))</f>
        <v/>
      </c>
      <c r="D280" s="14" t="n"/>
      <c r="E280" s="14" t="n"/>
      <c r="F280" s="14" t="n"/>
      <c r="G280" s="24" t="n"/>
      <c r="H280" s="14" t="n"/>
      <c r="I280" s="24" t="n"/>
      <c r="J280" s="25" t="n"/>
      <c r="K280" s="14" t="n"/>
      <c r="L280" s="24" t="n"/>
      <c r="M280" s="26">
        <f>IF(OR(N(J280)=0,L280="Cancelled"),"",IF(AND(N(J280)&gt;5000,H280="Cash"),"Yes: ₹1","No"))</f>
        <v/>
      </c>
      <c r="N280" s="27">
        <f>IF(AND(B280="",D280="",N(J280)=0),"",IF(B280="","Enter the date",IF(AND(ROW()&gt;18,B279=""),"Use the next empty row: a skipped row leaves a gap in the voucher numbers",IF(D280="","Enter who was paid",IF(N(J280)=0,"Enter the amount",IF(E280="","Pick the head of account",IF(P280="?","Pick the head from the list",IF(H280="","Pick how it was paid",IF(L280="Cancelled","Cancelled: keep this number unused and write a fresh voucher",IF(AND(H280&lt;&gt;"Cash",I280=""),"Enter the cheque no., UTR or UPI reference",IF(AND(N($E$11)&gt;0,N(J280)&gt;N($E$11),K280=""),"Above your approval limit: get it approved before paying",IF(S280&gt;10000,"Cash paid to this person today is over ₹10,000: not deductible, s.36(4)",IF(T280&gt;35000,"Cash freight to this transporter today is over ₹35,000: not deductible, s.36(6)",IF(U280&gt;10000,"Asset paid in cash over ₹10,000 today: left out of its cost, s.39(2)",IF(AND(P280="L",H280="Cash",N(J280)&gt;=20000),"Loan of ₹20,000 or more repaid in cash: barred, s.188","OK")))))))))))))))</f>
        <v/>
      </c>
      <c r="P280">
        <f>IF(E280="","",IFERROR(VLOOKUP(E280,Lists!$A$2:$B$17,2,FALSE),"?"))</f>
        <v/>
      </c>
      <c r="Q280">
        <f>IF(L280="Cancelled",0,N(J280))</f>
        <v/>
      </c>
      <c r="R280">
        <f>IF(H280="Cash",Q280,0)</f>
        <v/>
      </c>
      <c r="S280">
        <f>IF(OR(P280&lt;&gt;"E",R280=0),0,SUMIFS($R$18:$R$317,$B$18:$B$317,B280,$D$18:$D$317,D280,$P$18:$P$317,"E"))</f>
        <v/>
      </c>
      <c r="T280">
        <f>IF(OR(P280&lt;&gt;"F",R280=0),0,SUMIFS($R$18:$R$317,$B$18:$B$317,B280,$D$18:$D$317,D280,$P$18:$P$317,"F"))</f>
        <v/>
      </c>
      <c r="U280">
        <f>IF(OR(P280&lt;&gt;"A",R280=0),0,SUMIFS($R$18:$R$317,$B$18:$B$317,B280,$D$18:$D$317,D280,$P$18:$P$317,"A"))</f>
        <v/>
      </c>
      <c r="V280">
        <f>IF(OR(N280="",N280="OK",L280="Cancelled"),0,1)</f>
        <v/>
      </c>
    </row>
    <row r="281">
      <c r="B281" s="22" t="n"/>
      <c r="C281" s="23">
        <f>IF(B281="","",$E$9&amp;TEXT(N($E$10)+263,"000"))</f>
        <v/>
      </c>
      <c r="D281" s="14" t="n"/>
      <c r="E281" s="14" t="n"/>
      <c r="F281" s="14" t="n"/>
      <c r="G281" s="24" t="n"/>
      <c r="H281" s="14" t="n"/>
      <c r="I281" s="24" t="n"/>
      <c r="J281" s="25" t="n"/>
      <c r="K281" s="14" t="n"/>
      <c r="L281" s="24" t="n"/>
      <c r="M281" s="26">
        <f>IF(OR(N(J281)=0,L281="Cancelled"),"",IF(AND(N(J281)&gt;5000,H281="Cash"),"Yes: ₹1","No"))</f>
        <v/>
      </c>
      <c r="N281" s="27">
        <f>IF(AND(B281="",D281="",N(J281)=0),"",IF(B281="","Enter the date",IF(AND(ROW()&gt;18,B280=""),"Use the next empty row: a skipped row leaves a gap in the voucher numbers",IF(D281="","Enter who was paid",IF(N(J281)=0,"Enter the amount",IF(E281="","Pick the head of account",IF(P281="?","Pick the head from the list",IF(H281="","Pick how it was paid",IF(L281="Cancelled","Cancelled: keep this number unused and write a fresh voucher",IF(AND(H281&lt;&gt;"Cash",I281=""),"Enter the cheque no., UTR or UPI reference",IF(AND(N($E$11)&gt;0,N(J281)&gt;N($E$11),K281=""),"Above your approval limit: get it approved before paying",IF(S281&gt;10000,"Cash paid to this person today is over ₹10,000: not deductible, s.36(4)",IF(T281&gt;35000,"Cash freight to this transporter today is over ₹35,000: not deductible, s.36(6)",IF(U281&gt;10000,"Asset paid in cash over ₹10,000 today: left out of its cost, s.39(2)",IF(AND(P281="L",H281="Cash",N(J281)&gt;=20000),"Loan of ₹20,000 or more repaid in cash: barred, s.188","OK")))))))))))))))</f>
        <v/>
      </c>
      <c r="P281">
        <f>IF(E281="","",IFERROR(VLOOKUP(E281,Lists!$A$2:$B$17,2,FALSE),"?"))</f>
        <v/>
      </c>
      <c r="Q281">
        <f>IF(L281="Cancelled",0,N(J281))</f>
        <v/>
      </c>
      <c r="R281">
        <f>IF(H281="Cash",Q281,0)</f>
        <v/>
      </c>
      <c r="S281">
        <f>IF(OR(P281&lt;&gt;"E",R281=0),0,SUMIFS($R$18:$R$317,$B$18:$B$317,B281,$D$18:$D$317,D281,$P$18:$P$317,"E"))</f>
        <v/>
      </c>
      <c r="T281">
        <f>IF(OR(P281&lt;&gt;"F",R281=0),0,SUMIFS($R$18:$R$317,$B$18:$B$317,B281,$D$18:$D$317,D281,$P$18:$P$317,"F"))</f>
        <v/>
      </c>
      <c r="U281">
        <f>IF(OR(P281&lt;&gt;"A",R281=0),0,SUMIFS($R$18:$R$317,$B$18:$B$317,B281,$D$18:$D$317,D281,$P$18:$P$317,"A"))</f>
        <v/>
      </c>
      <c r="V281">
        <f>IF(OR(N281="",N281="OK",L281="Cancelled"),0,1)</f>
        <v/>
      </c>
    </row>
    <row r="282">
      <c r="B282" s="22" t="n"/>
      <c r="C282" s="23">
        <f>IF(B282="","",$E$9&amp;TEXT(N($E$10)+264,"000"))</f>
        <v/>
      </c>
      <c r="D282" s="14" t="n"/>
      <c r="E282" s="14" t="n"/>
      <c r="F282" s="14" t="n"/>
      <c r="G282" s="24" t="n"/>
      <c r="H282" s="14" t="n"/>
      <c r="I282" s="24" t="n"/>
      <c r="J282" s="25" t="n"/>
      <c r="K282" s="14" t="n"/>
      <c r="L282" s="24" t="n"/>
      <c r="M282" s="26">
        <f>IF(OR(N(J282)=0,L282="Cancelled"),"",IF(AND(N(J282)&gt;5000,H282="Cash"),"Yes: ₹1","No"))</f>
        <v/>
      </c>
      <c r="N282" s="27">
        <f>IF(AND(B282="",D282="",N(J282)=0),"",IF(B282="","Enter the date",IF(AND(ROW()&gt;18,B281=""),"Use the next empty row: a skipped row leaves a gap in the voucher numbers",IF(D282="","Enter who was paid",IF(N(J282)=0,"Enter the amount",IF(E282="","Pick the head of account",IF(P282="?","Pick the head from the list",IF(H282="","Pick how it was paid",IF(L282="Cancelled","Cancelled: keep this number unused and write a fresh voucher",IF(AND(H282&lt;&gt;"Cash",I282=""),"Enter the cheque no., UTR or UPI reference",IF(AND(N($E$11)&gt;0,N(J282)&gt;N($E$11),K282=""),"Above your approval limit: get it approved before paying",IF(S282&gt;10000,"Cash paid to this person today is over ₹10,000: not deductible, s.36(4)",IF(T282&gt;35000,"Cash freight to this transporter today is over ₹35,000: not deductible, s.36(6)",IF(U282&gt;10000,"Asset paid in cash over ₹10,000 today: left out of its cost, s.39(2)",IF(AND(P282="L",H282="Cash",N(J282)&gt;=20000),"Loan of ₹20,000 or more repaid in cash: barred, s.188","OK")))))))))))))))</f>
        <v/>
      </c>
      <c r="P282">
        <f>IF(E282="","",IFERROR(VLOOKUP(E282,Lists!$A$2:$B$17,2,FALSE),"?"))</f>
        <v/>
      </c>
      <c r="Q282">
        <f>IF(L282="Cancelled",0,N(J282))</f>
        <v/>
      </c>
      <c r="R282">
        <f>IF(H282="Cash",Q282,0)</f>
        <v/>
      </c>
      <c r="S282">
        <f>IF(OR(P282&lt;&gt;"E",R282=0),0,SUMIFS($R$18:$R$317,$B$18:$B$317,B282,$D$18:$D$317,D282,$P$18:$P$317,"E"))</f>
        <v/>
      </c>
      <c r="T282">
        <f>IF(OR(P282&lt;&gt;"F",R282=0),0,SUMIFS($R$18:$R$317,$B$18:$B$317,B282,$D$18:$D$317,D282,$P$18:$P$317,"F"))</f>
        <v/>
      </c>
      <c r="U282">
        <f>IF(OR(P282&lt;&gt;"A",R282=0),0,SUMIFS($R$18:$R$317,$B$18:$B$317,B282,$D$18:$D$317,D282,$P$18:$P$317,"A"))</f>
        <v/>
      </c>
      <c r="V282">
        <f>IF(OR(N282="",N282="OK",L282="Cancelled"),0,1)</f>
        <v/>
      </c>
    </row>
    <row r="283">
      <c r="B283" s="22" t="n"/>
      <c r="C283" s="23">
        <f>IF(B283="","",$E$9&amp;TEXT(N($E$10)+265,"000"))</f>
        <v/>
      </c>
      <c r="D283" s="14" t="n"/>
      <c r="E283" s="14" t="n"/>
      <c r="F283" s="14" t="n"/>
      <c r="G283" s="24" t="n"/>
      <c r="H283" s="14" t="n"/>
      <c r="I283" s="24" t="n"/>
      <c r="J283" s="25" t="n"/>
      <c r="K283" s="14" t="n"/>
      <c r="L283" s="24" t="n"/>
      <c r="M283" s="26">
        <f>IF(OR(N(J283)=0,L283="Cancelled"),"",IF(AND(N(J283)&gt;5000,H283="Cash"),"Yes: ₹1","No"))</f>
        <v/>
      </c>
      <c r="N283" s="27">
        <f>IF(AND(B283="",D283="",N(J283)=0),"",IF(B283="","Enter the date",IF(AND(ROW()&gt;18,B282=""),"Use the next empty row: a skipped row leaves a gap in the voucher numbers",IF(D283="","Enter who was paid",IF(N(J283)=0,"Enter the amount",IF(E283="","Pick the head of account",IF(P283="?","Pick the head from the list",IF(H283="","Pick how it was paid",IF(L283="Cancelled","Cancelled: keep this number unused and write a fresh voucher",IF(AND(H283&lt;&gt;"Cash",I283=""),"Enter the cheque no., UTR or UPI reference",IF(AND(N($E$11)&gt;0,N(J283)&gt;N($E$11),K283=""),"Above your approval limit: get it approved before paying",IF(S283&gt;10000,"Cash paid to this person today is over ₹10,000: not deductible, s.36(4)",IF(T283&gt;35000,"Cash freight to this transporter today is over ₹35,000: not deductible, s.36(6)",IF(U283&gt;10000,"Asset paid in cash over ₹10,000 today: left out of its cost, s.39(2)",IF(AND(P283="L",H283="Cash",N(J283)&gt;=20000),"Loan of ₹20,000 or more repaid in cash: barred, s.188","OK")))))))))))))))</f>
        <v/>
      </c>
      <c r="P283">
        <f>IF(E283="","",IFERROR(VLOOKUP(E283,Lists!$A$2:$B$17,2,FALSE),"?"))</f>
        <v/>
      </c>
      <c r="Q283">
        <f>IF(L283="Cancelled",0,N(J283))</f>
        <v/>
      </c>
      <c r="R283">
        <f>IF(H283="Cash",Q283,0)</f>
        <v/>
      </c>
      <c r="S283">
        <f>IF(OR(P283&lt;&gt;"E",R283=0),0,SUMIFS($R$18:$R$317,$B$18:$B$317,B283,$D$18:$D$317,D283,$P$18:$P$317,"E"))</f>
        <v/>
      </c>
      <c r="T283">
        <f>IF(OR(P283&lt;&gt;"F",R283=0),0,SUMIFS($R$18:$R$317,$B$18:$B$317,B283,$D$18:$D$317,D283,$P$18:$P$317,"F"))</f>
        <v/>
      </c>
      <c r="U283">
        <f>IF(OR(P283&lt;&gt;"A",R283=0),0,SUMIFS($R$18:$R$317,$B$18:$B$317,B283,$D$18:$D$317,D283,$P$18:$P$317,"A"))</f>
        <v/>
      </c>
      <c r="V283">
        <f>IF(OR(N283="",N283="OK",L283="Cancelled"),0,1)</f>
        <v/>
      </c>
    </row>
    <row r="284">
      <c r="B284" s="22" t="n"/>
      <c r="C284" s="23">
        <f>IF(B284="","",$E$9&amp;TEXT(N($E$10)+266,"000"))</f>
        <v/>
      </c>
      <c r="D284" s="14" t="n"/>
      <c r="E284" s="14" t="n"/>
      <c r="F284" s="14" t="n"/>
      <c r="G284" s="24" t="n"/>
      <c r="H284" s="14" t="n"/>
      <c r="I284" s="24" t="n"/>
      <c r="J284" s="25" t="n"/>
      <c r="K284" s="14" t="n"/>
      <c r="L284" s="24" t="n"/>
      <c r="M284" s="26">
        <f>IF(OR(N(J284)=0,L284="Cancelled"),"",IF(AND(N(J284)&gt;5000,H284="Cash"),"Yes: ₹1","No"))</f>
        <v/>
      </c>
      <c r="N284" s="27">
        <f>IF(AND(B284="",D284="",N(J284)=0),"",IF(B284="","Enter the date",IF(AND(ROW()&gt;18,B283=""),"Use the next empty row: a skipped row leaves a gap in the voucher numbers",IF(D284="","Enter who was paid",IF(N(J284)=0,"Enter the amount",IF(E284="","Pick the head of account",IF(P284="?","Pick the head from the list",IF(H284="","Pick how it was paid",IF(L284="Cancelled","Cancelled: keep this number unused and write a fresh voucher",IF(AND(H284&lt;&gt;"Cash",I284=""),"Enter the cheque no., UTR or UPI reference",IF(AND(N($E$11)&gt;0,N(J284)&gt;N($E$11),K284=""),"Above your approval limit: get it approved before paying",IF(S284&gt;10000,"Cash paid to this person today is over ₹10,000: not deductible, s.36(4)",IF(T284&gt;35000,"Cash freight to this transporter today is over ₹35,000: not deductible, s.36(6)",IF(U284&gt;10000,"Asset paid in cash over ₹10,000 today: left out of its cost, s.39(2)",IF(AND(P284="L",H284="Cash",N(J284)&gt;=20000),"Loan of ₹20,000 or more repaid in cash: barred, s.188","OK")))))))))))))))</f>
        <v/>
      </c>
      <c r="P284">
        <f>IF(E284="","",IFERROR(VLOOKUP(E284,Lists!$A$2:$B$17,2,FALSE),"?"))</f>
        <v/>
      </c>
      <c r="Q284">
        <f>IF(L284="Cancelled",0,N(J284))</f>
        <v/>
      </c>
      <c r="R284">
        <f>IF(H284="Cash",Q284,0)</f>
        <v/>
      </c>
      <c r="S284">
        <f>IF(OR(P284&lt;&gt;"E",R284=0),0,SUMIFS($R$18:$R$317,$B$18:$B$317,B284,$D$18:$D$317,D284,$P$18:$P$317,"E"))</f>
        <v/>
      </c>
      <c r="T284">
        <f>IF(OR(P284&lt;&gt;"F",R284=0),0,SUMIFS($R$18:$R$317,$B$18:$B$317,B284,$D$18:$D$317,D284,$P$18:$P$317,"F"))</f>
        <v/>
      </c>
      <c r="U284">
        <f>IF(OR(P284&lt;&gt;"A",R284=0),0,SUMIFS($R$18:$R$317,$B$18:$B$317,B284,$D$18:$D$317,D284,$P$18:$P$317,"A"))</f>
        <v/>
      </c>
      <c r="V284">
        <f>IF(OR(N284="",N284="OK",L284="Cancelled"),0,1)</f>
        <v/>
      </c>
    </row>
    <row r="285">
      <c r="B285" s="22" t="n"/>
      <c r="C285" s="23">
        <f>IF(B285="","",$E$9&amp;TEXT(N($E$10)+267,"000"))</f>
        <v/>
      </c>
      <c r="D285" s="14" t="n"/>
      <c r="E285" s="14" t="n"/>
      <c r="F285" s="14" t="n"/>
      <c r="G285" s="24" t="n"/>
      <c r="H285" s="14" t="n"/>
      <c r="I285" s="24" t="n"/>
      <c r="J285" s="25" t="n"/>
      <c r="K285" s="14" t="n"/>
      <c r="L285" s="24" t="n"/>
      <c r="M285" s="26">
        <f>IF(OR(N(J285)=0,L285="Cancelled"),"",IF(AND(N(J285)&gt;5000,H285="Cash"),"Yes: ₹1","No"))</f>
        <v/>
      </c>
      <c r="N285" s="27">
        <f>IF(AND(B285="",D285="",N(J285)=0),"",IF(B285="","Enter the date",IF(AND(ROW()&gt;18,B284=""),"Use the next empty row: a skipped row leaves a gap in the voucher numbers",IF(D285="","Enter who was paid",IF(N(J285)=0,"Enter the amount",IF(E285="","Pick the head of account",IF(P285="?","Pick the head from the list",IF(H285="","Pick how it was paid",IF(L285="Cancelled","Cancelled: keep this number unused and write a fresh voucher",IF(AND(H285&lt;&gt;"Cash",I285=""),"Enter the cheque no., UTR or UPI reference",IF(AND(N($E$11)&gt;0,N(J285)&gt;N($E$11),K285=""),"Above your approval limit: get it approved before paying",IF(S285&gt;10000,"Cash paid to this person today is over ₹10,000: not deductible, s.36(4)",IF(T285&gt;35000,"Cash freight to this transporter today is over ₹35,000: not deductible, s.36(6)",IF(U285&gt;10000,"Asset paid in cash over ₹10,000 today: left out of its cost, s.39(2)",IF(AND(P285="L",H285="Cash",N(J285)&gt;=20000),"Loan of ₹20,000 or more repaid in cash: barred, s.188","OK")))))))))))))))</f>
        <v/>
      </c>
      <c r="P285">
        <f>IF(E285="","",IFERROR(VLOOKUP(E285,Lists!$A$2:$B$17,2,FALSE),"?"))</f>
        <v/>
      </c>
      <c r="Q285">
        <f>IF(L285="Cancelled",0,N(J285))</f>
        <v/>
      </c>
      <c r="R285">
        <f>IF(H285="Cash",Q285,0)</f>
        <v/>
      </c>
      <c r="S285">
        <f>IF(OR(P285&lt;&gt;"E",R285=0),0,SUMIFS($R$18:$R$317,$B$18:$B$317,B285,$D$18:$D$317,D285,$P$18:$P$317,"E"))</f>
        <v/>
      </c>
      <c r="T285">
        <f>IF(OR(P285&lt;&gt;"F",R285=0),0,SUMIFS($R$18:$R$317,$B$18:$B$317,B285,$D$18:$D$317,D285,$P$18:$P$317,"F"))</f>
        <v/>
      </c>
      <c r="U285">
        <f>IF(OR(P285&lt;&gt;"A",R285=0),0,SUMIFS($R$18:$R$317,$B$18:$B$317,B285,$D$18:$D$317,D285,$P$18:$P$317,"A"))</f>
        <v/>
      </c>
      <c r="V285">
        <f>IF(OR(N285="",N285="OK",L285="Cancelled"),0,1)</f>
        <v/>
      </c>
    </row>
    <row r="286">
      <c r="B286" s="22" t="n"/>
      <c r="C286" s="23">
        <f>IF(B286="","",$E$9&amp;TEXT(N($E$10)+268,"000"))</f>
        <v/>
      </c>
      <c r="D286" s="14" t="n"/>
      <c r="E286" s="14" t="n"/>
      <c r="F286" s="14" t="n"/>
      <c r="G286" s="24" t="n"/>
      <c r="H286" s="14" t="n"/>
      <c r="I286" s="24" t="n"/>
      <c r="J286" s="25" t="n"/>
      <c r="K286" s="14" t="n"/>
      <c r="L286" s="24" t="n"/>
      <c r="M286" s="26">
        <f>IF(OR(N(J286)=0,L286="Cancelled"),"",IF(AND(N(J286)&gt;5000,H286="Cash"),"Yes: ₹1","No"))</f>
        <v/>
      </c>
      <c r="N286" s="27">
        <f>IF(AND(B286="",D286="",N(J286)=0),"",IF(B286="","Enter the date",IF(AND(ROW()&gt;18,B285=""),"Use the next empty row: a skipped row leaves a gap in the voucher numbers",IF(D286="","Enter who was paid",IF(N(J286)=0,"Enter the amount",IF(E286="","Pick the head of account",IF(P286="?","Pick the head from the list",IF(H286="","Pick how it was paid",IF(L286="Cancelled","Cancelled: keep this number unused and write a fresh voucher",IF(AND(H286&lt;&gt;"Cash",I286=""),"Enter the cheque no., UTR or UPI reference",IF(AND(N($E$11)&gt;0,N(J286)&gt;N($E$11),K286=""),"Above your approval limit: get it approved before paying",IF(S286&gt;10000,"Cash paid to this person today is over ₹10,000: not deductible, s.36(4)",IF(T286&gt;35000,"Cash freight to this transporter today is over ₹35,000: not deductible, s.36(6)",IF(U286&gt;10000,"Asset paid in cash over ₹10,000 today: left out of its cost, s.39(2)",IF(AND(P286="L",H286="Cash",N(J286)&gt;=20000),"Loan of ₹20,000 or more repaid in cash: barred, s.188","OK")))))))))))))))</f>
        <v/>
      </c>
      <c r="P286">
        <f>IF(E286="","",IFERROR(VLOOKUP(E286,Lists!$A$2:$B$17,2,FALSE),"?"))</f>
        <v/>
      </c>
      <c r="Q286">
        <f>IF(L286="Cancelled",0,N(J286))</f>
        <v/>
      </c>
      <c r="R286">
        <f>IF(H286="Cash",Q286,0)</f>
        <v/>
      </c>
      <c r="S286">
        <f>IF(OR(P286&lt;&gt;"E",R286=0),0,SUMIFS($R$18:$R$317,$B$18:$B$317,B286,$D$18:$D$317,D286,$P$18:$P$317,"E"))</f>
        <v/>
      </c>
      <c r="T286">
        <f>IF(OR(P286&lt;&gt;"F",R286=0),0,SUMIFS($R$18:$R$317,$B$18:$B$317,B286,$D$18:$D$317,D286,$P$18:$P$317,"F"))</f>
        <v/>
      </c>
      <c r="U286">
        <f>IF(OR(P286&lt;&gt;"A",R286=0),0,SUMIFS($R$18:$R$317,$B$18:$B$317,B286,$D$18:$D$317,D286,$P$18:$P$317,"A"))</f>
        <v/>
      </c>
      <c r="V286">
        <f>IF(OR(N286="",N286="OK",L286="Cancelled"),0,1)</f>
        <v/>
      </c>
    </row>
    <row r="287">
      <c r="B287" s="22" t="n"/>
      <c r="C287" s="23">
        <f>IF(B287="","",$E$9&amp;TEXT(N($E$10)+269,"000"))</f>
        <v/>
      </c>
      <c r="D287" s="14" t="n"/>
      <c r="E287" s="14" t="n"/>
      <c r="F287" s="14" t="n"/>
      <c r="G287" s="24" t="n"/>
      <c r="H287" s="14" t="n"/>
      <c r="I287" s="24" t="n"/>
      <c r="J287" s="25" t="n"/>
      <c r="K287" s="14" t="n"/>
      <c r="L287" s="24" t="n"/>
      <c r="M287" s="26">
        <f>IF(OR(N(J287)=0,L287="Cancelled"),"",IF(AND(N(J287)&gt;5000,H287="Cash"),"Yes: ₹1","No"))</f>
        <v/>
      </c>
      <c r="N287" s="27">
        <f>IF(AND(B287="",D287="",N(J287)=0),"",IF(B287="","Enter the date",IF(AND(ROW()&gt;18,B286=""),"Use the next empty row: a skipped row leaves a gap in the voucher numbers",IF(D287="","Enter who was paid",IF(N(J287)=0,"Enter the amount",IF(E287="","Pick the head of account",IF(P287="?","Pick the head from the list",IF(H287="","Pick how it was paid",IF(L287="Cancelled","Cancelled: keep this number unused and write a fresh voucher",IF(AND(H287&lt;&gt;"Cash",I287=""),"Enter the cheque no., UTR or UPI reference",IF(AND(N($E$11)&gt;0,N(J287)&gt;N($E$11),K287=""),"Above your approval limit: get it approved before paying",IF(S287&gt;10000,"Cash paid to this person today is over ₹10,000: not deductible, s.36(4)",IF(T287&gt;35000,"Cash freight to this transporter today is over ₹35,000: not deductible, s.36(6)",IF(U287&gt;10000,"Asset paid in cash over ₹10,000 today: left out of its cost, s.39(2)",IF(AND(P287="L",H287="Cash",N(J287)&gt;=20000),"Loan of ₹20,000 or more repaid in cash: barred, s.188","OK")))))))))))))))</f>
        <v/>
      </c>
      <c r="P287">
        <f>IF(E287="","",IFERROR(VLOOKUP(E287,Lists!$A$2:$B$17,2,FALSE),"?"))</f>
        <v/>
      </c>
      <c r="Q287">
        <f>IF(L287="Cancelled",0,N(J287))</f>
        <v/>
      </c>
      <c r="R287">
        <f>IF(H287="Cash",Q287,0)</f>
        <v/>
      </c>
      <c r="S287">
        <f>IF(OR(P287&lt;&gt;"E",R287=0),0,SUMIFS($R$18:$R$317,$B$18:$B$317,B287,$D$18:$D$317,D287,$P$18:$P$317,"E"))</f>
        <v/>
      </c>
      <c r="T287">
        <f>IF(OR(P287&lt;&gt;"F",R287=0),0,SUMIFS($R$18:$R$317,$B$18:$B$317,B287,$D$18:$D$317,D287,$P$18:$P$317,"F"))</f>
        <v/>
      </c>
      <c r="U287">
        <f>IF(OR(P287&lt;&gt;"A",R287=0),0,SUMIFS($R$18:$R$317,$B$18:$B$317,B287,$D$18:$D$317,D287,$P$18:$P$317,"A"))</f>
        <v/>
      </c>
      <c r="V287">
        <f>IF(OR(N287="",N287="OK",L287="Cancelled"),0,1)</f>
        <v/>
      </c>
    </row>
    <row r="288">
      <c r="B288" s="22" t="n"/>
      <c r="C288" s="23">
        <f>IF(B288="","",$E$9&amp;TEXT(N($E$10)+270,"000"))</f>
        <v/>
      </c>
      <c r="D288" s="14" t="n"/>
      <c r="E288" s="14" t="n"/>
      <c r="F288" s="14" t="n"/>
      <c r="G288" s="24" t="n"/>
      <c r="H288" s="14" t="n"/>
      <c r="I288" s="24" t="n"/>
      <c r="J288" s="25" t="n"/>
      <c r="K288" s="14" t="n"/>
      <c r="L288" s="24" t="n"/>
      <c r="M288" s="26">
        <f>IF(OR(N(J288)=0,L288="Cancelled"),"",IF(AND(N(J288)&gt;5000,H288="Cash"),"Yes: ₹1","No"))</f>
        <v/>
      </c>
      <c r="N288" s="27">
        <f>IF(AND(B288="",D288="",N(J288)=0),"",IF(B288="","Enter the date",IF(AND(ROW()&gt;18,B287=""),"Use the next empty row: a skipped row leaves a gap in the voucher numbers",IF(D288="","Enter who was paid",IF(N(J288)=0,"Enter the amount",IF(E288="","Pick the head of account",IF(P288="?","Pick the head from the list",IF(H288="","Pick how it was paid",IF(L288="Cancelled","Cancelled: keep this number unused and write a fresh voucher",IF(AND(H288&lt;&gt;"Cash",I288=""),"Enter the cheque no., UTR or UPI reference",IF(AND(N($E$11)&gt;0,N(J288)&gt;N($E$11),K288=""),"Above your approval limit: get it approved before paying",IF(S288&gt;10000,"Cash paid to this person today is over ₹10,000: not deductible, s.36(4)",IF(T288&gt;35000,"Cash freight to this transporter today is over ₹35,000: not deductible, s.36(6)",IF(U288&gt;10000,"Asset paid in cash over ₹10,000 today: left out of its cost, s.39(2)",IF(AND(P288="L",H288="Cash",N(J288)&gt;=20000),"Loan of ₹20,000 or more repaid in cash: barred, s.188","OK")))))))))))))))</f>
        <v/>
      </c>
      <c r="P288">
        <f>IF(E288="","",IFERROR(VLOOKUP(E288,Lists!$A$2:$B$17,2,FALSE),"?"))</f>
        <v/>
      </c>
      <c r="Q288">
        <f>IF(L288="Cancelled",0,N(J288))</f>
        <v/>
      </c>
      <c r="R288">
        <f>IF(H288="Cash",Q288,0)</f>
        <v/>
      </c>
      <c r="S288">
        <f>IF(OR(P288&lt;&gt;"E",R288=0),0,SUMIFS($R$18:$R$317,$B$18:$B$317,B288,$D$18:$D$317,D288,$P$18:$P$317,"E"))</f>
        <v/>
      </c>
      <c r="T288">
        <f>IF(OR(P288&lt;&gt;"F",R288=0),0,SUMIFS($R$18:$R$317,$B$18:$B$317,B288,$D$18:$D$317,D288,$P$18:$P$317,"F"))</f>
        <v/>
      </c>
      <c r="U288">
        <f>IF(OR(P288&lt;&gt;"A",R288=0),0,SUMIFS($R$18:$R$317,$B$18:$B$317,B288,$D$18:$D$317,D288,$P$18:$P$317,"A"))</f>
        <v/>
      </c>
      <c r="V288">
        <f>IF(OR(N288="",N288="OK",L288="Cancelled"),0,1)</f>
        <v/>
      </c>
    </row>
    <row r="289">
      <c r="B289" s="22" t="n"/>
      <c r="C289" s="23">
        <f>IF(B289="","",$E$9&amp;TEXT(N($E$10)+271,"000"))</f>
        <v/>
      </c>
      <c r="D289" s="14" t="n"/>
      <c r="E289" s="14" t="n"/>
      <c r="F289" s="14" t="n"/>
      <c r="G289" s="24" t="n"/>
      <c r="H289" s="14" t="n"/>
      <c r="I289" s="24" t="n"/>
      <c r="J289" s="25" t="n"/>
      <c r="K289" s="14" t="n"/>
      <c r="L289" s="24" t="n"/>
      <c r="M289" s="26">
        <f>IF(OR(N(J289)=0,L289="Cancelled"),"",IF(AND(N(J289)&gt;5000,H289="Cash"),"Yes: ₹1","No"))</f>
        <v/>
      </c>
      <c r="N289" s="27">
        <f>IF(AND(B289="",D289="",N(J289)=0),"",IF(B289="","Enter the date",IF(AND(ROW()&gt;18,B288=""),"Use the next empty row: a skipped row leaves a gap in the voucher numbers",IF(D289="","Enter who was paid",IF(N(J289)=0,"Enter the amount",IF(E289="","Pick the head of account",IF(P289="?","Pick the head from the list",IF(H289="","Pick how it was paid",IF(L289="Cancelled","Cancelled: keep this number unused and write a fresh voucher",IF(AND(H289&lt;&gt;"Cash",I289=""),"Enter the cheque no., UTR or UPI reference",IF(AND(N($E$11)&gt;0,N(J289)&gt;N($E$11),K289=""),"Above your approval limit: get it approved before paying",IF(S289&gt;10000,"Cash paid to this person today is over ₹10,000: not deductible, s.36(4)",IF(T289&gt;35000,"Cash freight to this transporter today is over ₹35,000: not deductible, s.36(6)",IF(U289&gt;10000,"Asset paid in cash over ₹10,000 today: left out of its cost, s.39(2)",IF(AND(P289="L",H289="Cash",N(J289)&gt;=20000),"Loan of ₹20,000 or more repaid in cash: barred, s.188","OK")))))))))))))))</f>
        <v/>
      </c>
      <c r="P289">
        <f>IF(E289="","",IFERROR(VLOOKUP(E289,Lists!$A$2:$B$17,2,FALSE),"?"))</f>
        <v/>
      </c>
      <c r="Q289">
        <f>IF(L289="Cancelled",0,N(J289))</f>
        <v/>
      </c>
      <c r="R289">
        <f>IF(H289="Cash",Q289,0)</f>
        <v/>
      </c>
      <c r="S289">
        <f>IF(OR(P289&lt;&gt;"E",R289=0),0,SUMIFS($R$18:$R$317,$B$18:$B$317,B289,$D$18:$D$317,D289,$P$18:$P$317,"E"))</f>
        <v/>
      </c>
      <c r="T289">
        <f>IF(OR(P289&lt;&gt;"F",R289=0),0,SUMIFS($R$18:$R$317,$B$18:$B$317,B289,$D$18:$D$317,D289,$P$18:$P$317,"F"))</f>
        <v/>
      </c>
      <c r="U289">
        <f>IF(OR(P289&lt;&gt;"A",R289=0),0,SUMIFS($R$18:$R$317,$B$18:$B$317,B289,$D$18:$D$317,D289,$P$18:$P$317,"A"))</f>
        <v/>
      </c>
      <c r="V289">
        <f>IF(OR(N289="",N289="OK",L289="Cancelled"),0,1)</f>
        <v/>
      </c>
    </row>
    <row r="290">
      <c r="B290" s="22" t="n"/>
      <c r="C290" s="23">
        <f>IF(B290="","",$E$9&amp;TEXT(N($E$10)+272,"000"))</f>
        <v/>
      </c>
      <c r="D290" s="14" t="n"/>
      <c r="E290" s="14" t="n"/>
      <c r="F290" s="14" t="n"/>
      <c r="G290" s="24" t="n"/>
      <c r="H290" s="14" t="n"/>
      <c r="I290" s="24" t="n"/>
      <c r="J290" s="25" t="n"/>
      <c r="K290" s="14" t="n"/>
      <c r="L290" s="24" t="n"/>
      <c r="M290" s="26">
        <f>IF(OR(N(J290)=0,L290="Cancelled"),"",IF(AND(N(J290)&gt;5000,H290="Cash"),"Yes: ₹1","No"))</f>
        <v/>
      </c>
      <c r="N290" s="27">
        <f>IF(AND(B290="",D290="",N(J290)=0),"",IF(B290="","Enter the date",IF(AND(ROW()&gt;18,B289=""),"Use the next empty row: a skipped row leaves a gap in the voucher numbers",IF(D290="","Enter who was paid",IF(N(J290)=0,"Enter the amount",IF(E290="","Pick the head of account",IF(P290="?","Pick the head from the list",IF(H290="","Pick how it was paid",IF(L290="Cancelled","Cancelled: keep this number unused and write a fresh voucher",IF(AND(H290&lt;&gt;"Cash",I290=""),"Enter the cheque no., UTR or UPI reference",IF(AND(N($E$11)&gt;0,N(J290)&gt;N($E$11),K290=""),"Above your approval limit: get it approved before paying",IF(S290&gt;10000,"Cash paid to this person today is over ₹10,000: not deductible, s.36(4)",IF(T290&gt;35000,"Cash freight to this transporter today is over ₹35,000: not deductible, s.36(6)",IF(U290&gt;10000,"Asset paid in cash over ₹10,000 today: left out of its cost, s.39(2)",IF(AND(P290="L",H290="Cash",N(J290)&gt;=20000),"Loan of ₹20,000 or more repaid in cash: barred, s.188","OK")))))))))))))))</f>
        <v/>
      </c>
      <c r="P290">
        <f>IF(E290="","",IFERROR(VLOOKUP(E290,Lists!$A$2:$B$17,2,FALSE),"?"))</f>
        <v/>
      </c>
      <c r="Q290">
        <f>IF(L290="Cancelled",0,N(J290))</f>
        <v/>
      </c>
      <c r="R290">
        <f>IF(H290="Cash",Q290,0)</f>
        <v/>
      </c>
      <c r="S290">
        <f>IF(OR(P290&lt;&gt;"E",R290=0),0,SUMIFS($R$18:$R$317,$B$18:$B$317,B290,$D$18:$D$317,D290,$P$18:$P$317,"E"))</f>
        <v/>
      </c>
      <c r="T290">
        <f>IF(OR(P290&lt;&gt;"F",R290=0),0,SUMIFS($R$18:$R$317,$B$18:$B$317,B290,$D$18:$D$317,D290,$P$18:$P$317,"F"))</f>
        <v/>
      </c>
      <c r="U290">
        <f>IF(OR(P290&lt;&gt;"A",R290=0),0,SUMIFS($R$18:$R$317,$B$18:$B$317,B290,$D$18:$D$317,D290,$P$18:$P$317,"A"))</f>
        <v/>
      </c>
      <c r="V290">
        <f>IF(OR(N290="",N290="OK",L290="Cancelled"),0,1)</f>
        <v/>
      </c>
    </row>
    <row r="291">
      <c r="B291" s="22" t="n"/>
      <c r="C291" s="23">
        <f>IF(B291="","",$E$9&amp;TEXT(N($E$10)+273,"000"))</f>
        <v/>
      </c>
      <c r="D291" s="14" t="n"/>
      <c r="E291" s="14" t="n"/>
      <c r="F291" s="14" t="n"/>
      <c r="G291" s="24" t="n"/>
      <c r="H291" s="14" t="n"/>
      <c r="I291" s="24" t="n"/>
      <c r="J291" s="25" t="n"/>
      <c r="K291" s="14" t="n"/>
      <c r="L291" s="24" t="n"/>
      <c r="M291" s="26">
        <f>IF(OR(N(J291)=0,L291="Cancelled"),"",IF(AND(N(J291)&gt;5000,H291="Cash"),"Yes: ₹1","No"))</f>
        <v/>
      </c>
      <c r="N291" s="27">
        <f>IF(AND(B291="",D291="",N(J291)=0),"",IF(B291="","Enter the date",IF(AND(ROW()&gt;18,B290=""),"Use the next empty row: a skipped row leaves a gap in the voucher numbers",IF(D291="","Enter who was paid",IF(N(J291)=0,"Enter the amount",IF(E291="","Pick the head of account",IF(P291="?","Pick the head from the list",IF(H291="","Pick how it was paid",IF(L291="Cancelled","Cancelled: keep this number unused and write a fresh voucher",IF(AND(H291&lt;&gt;"Cash",I291=""),"Enter the cheque no., UTR or UPI reference",IF(AND(N($E$11)&gt;0,N(J291)&gt;N($E$11),K291=""),"Above your approval limit: get it approved before paying",IF(S291&gt;10000,"Cash paid to this person today is over ₹10,000: not deductible, s.36(4)",IF(T291&gt;35000,"Cash freight to this transporter today is over ₹35,000: not deductible, s.36(6)",IF(U291&gt;10000,"Asset paid in cash over ₹10,000 today: left out of its cost, s.39(2)",IF(AND(P291="L",H291="Cash",N(J291)&gt;=20000),"Loan of ₹20,000 or more repaid in cash: barred, s.188","OK")))))))))))))))</f>
        <v/>
      </c>
      <c r="P291">
        <f>IF(E291="","",IFERROR(VLOOKUP(E291,Lists!$A$2:$B$17,2,FALSE),"?"))</f>
        <v/>
      </c>
      <c r="Q291">
        <f>IF(L291="Cancelled",0,N(J291))</f>
        <v/>
      </c>
      <c r="R291">
        <f>IF(H291="Cash",Q291,0)</f>
        <v/>
      </c>
      <c r="S291">
        <f>IF(OR(P291&lt;&gt;"E",R291=0),0,SUMIFS($R$18:$R$317,$B$18:$B$317,B291,$D$18:$D$317,D291,$P$18:$P$317,"E"))</f>
        <v/>
      </c>
      <c r="T291">
        <f>IF(OR(P291&lt;&gt;"F",R291=0),0,SUMIFS($R$18:$R$317,$B$18:$B$317,B291,$D$18:$D$317,D291,$P$18:$P$317,"F"))</f>
        <v/>
      </c>
      <c r="U291">
        <f>IF(OR(P291&lt;&gt;"A",R291=0),0,SUMIFS($R$18:$R$317,$B$18:$B$317,B291,$D$18:$D$317,D291,$P$18:$P$317,"A"))</f>
        <v/>
      </c>
      <c r="V291">
        <f>IF(OR(N291="",N291="OK",L291="Cancelled"),0,1)</f>
        <v/>
      </c>
    </row>
    <row r="292">
      <c r="B292" s="22" t="n"/>
      <c r="C292" s="23">
        <f>IF(B292="","",$E$9&amp;TEXT(N($E$10)+274,"000"))</f>
        <v/>
      </c>
      <c r="D292" s="14" t="n"/>
      <c r="E292" s="14" t="n"/>
      <c r="F292" s="14" t="n"/>
      <c r="G292" s="24" t="n"/>
      <c r="H292" s="14" t="n"/>
      <c r="I292" s="24" t="n"/>
      <c r="J292" s="25" t="n"/>
      <c r="K292" s="14" t="n"/>
      <c r="L292" s="24" t="n"/>
      <c r="M292" s="26">
        <f>IF(OR(N(J292)=0,L292="Cancelled"),"",IF(AND(N(J292)&gt;5000,H292="Cash"),"Yes: ₹1","No"))</f>
        <v/>
      </c>
      <c r="N292" s="27">
        <f>IF(AND(B292="",D292="",N(J292)=0),"",IF(B292="","Enter the date",IF(AND(ROW()&gt;18,B291=""),"Use the next empty row: a skipped row leaves a gap in the voucher numbers",IF(D292="","Enter who was paid",IF(N(J292)=0,"Enter the amount",IF(E292="","Pick the head of account",IF(P292="?","Pick the head from the list",IF(H292="","Pick how it was paid",IF(L292="Cancelled","Cancelled: keep this number unused and write a fresh voucher",IF(AND(H292&lt;&gt;"Cash",I292=""),"Enter the cheque no., UTR or UPI reference",IF(AND(N($E$11)&gt;0,N(J292)&gt;N($E$11),K292=""),"Above your approval limit: get it approved before paying",IF(S292&gt;10000,"Cash paid to this person today is over ₹10,000: not deductible, s.36(4)",IF(T292&gt;35000,"Cash freight to this transporter today is over ₹35,000: not deductible, s.36(6)",IF(U292&gt;10000,"Asset paid in cash over ₹10,000 today: left out of its cost, s.39(2)",IF(AND(P292="L",H292="Cash",N(J292)&gt;=20000),"Loan of ₹20,000 or more repaid in cash: barred, s.188","OK")))))))))))))))</f>
        <v/>
      </c>
      <c r="P292">
        <f>IF(E292="","",IFERROR(VLOOKUP(E292,Lists!$A$2:$B$17,2,FALSE),"?"))</f>
        <v/>
      </c>
      <c r="Q292">
        <f>IF(L292="Cancelled",0,N(J292))</f>
        <v/>
      </c>
      <c r="R292">
        <f>IF(H292="Cash",Q292,0)</f>
        <v/>
      </c>
      <c r="S292">
        <f>IF(OR(P292&lt;&gt;"E",R292=0),0,SUMIFS($R$18:$R$317,$B$18:$B$317,B292,$D$18:$D$317,D292,$P$18:$P$317,"E"))</f>
        <v/>
      </c>
      <c r="T292">
        <f>IF(OR(P292&lt;&gt;"F",R292=0),0,SUMIFS($R$18:$R$317,$B$18:$B$317,B292,$D$18:$D$317,D292,$P$18:$P$317,"F"))</f>
        <v/>
      </c>
      <c r="U292">
        <f>IF(OR(P292&lt;&gt;"A",R292=0),0,SUMIFS($R$18:$R$317,$B$18:$B$317,B292,$D$18:$D$317,D292,$P$18:$P$317,"A"))</f>
        <v/>
      </c>
      <c r="V292">
        <f>IF(OR(N292="",N292="OK",L292="Cancelled"),0,1)</f>
        <v/>
      </c>
    </row>
    <row r="293">
      <c r="B293" s="22" t="n"/>
      <c r="C293" s="23">
        <f>IF(B293="","",$E$9&amp;TEXT(N($E$10)+275,"000"))</f>
        <v/>
      </c>
      <c r="D293" s="14" t="n"/>
      <c r="E293" s="14" t="n"/>
      <c r="F293" s="14" t="n"/>
      <c r="G293" s="24" t="n"/>
      <c r="H293" s="14" t="n"/>
      <c r="I293" s="24" t="n"/>
      <c r="J293" s="25" t="n"/>
      <c r="K293" s="14" t="n"/>
      <c r="L293" s="24" t="n"/>
      <c r="M293" s="26">
        <f>IF(OR(N(J293)=0,L293="Cancelled"),"",IF(AND(N(J293)&gt;5000,H293="Cash"),"Yes: ₹1","No"))</f>
        <v/>
      </c>
      <c r="N293" s="27">
        <f>IF(AND(B293="",D293="",N(J293)=0),"",IF(B293="","Enter the date",IF(AND(ROW()&gt;18,B292=""),"Use the next empty row: a skipped row leaves a gap in the voucher numbers",IF(D293="","Enter who was paid",IF(N(J293)=0,"Enter the amount",IF(E293="","Pick the head of account",IF(P293="?","Pick the head from the list",IF(H293="","Pick how it was paid",IF(L293="Cancelled","Cancelled: keep this number unused and write a fresh voucher",IF(AND(H293&lt;&gt;"Cash",I293=""),"Enter the cheque no., UTR or UPI reference",IF(AND(N($E$11)&gt;0,N(J293)&gt;N($E$11),K293=""),"Above your approval limit: get it approved before paying",IF(S293&gt;10000,"Cash paid to this person today is over ₹10,000: not deductible, s.36(4)",IF(T293&gt;35000,"Cash freight to this transporter today is over ₹35,000: not deductible, s.36(6)",IF(U293&gt;10000,"Asset paid in cash over ₹10,000 today: left out of its cost, s.39(2)",IF(AND(P293="L",H293="Cash",N(J293)&gt;=20000),"Loan of ₹20,000 or more repaid in cash: barred, s.188","OK")))))))))))))))</f>
        <v/>
      </c>
      <c r="P293">
        <f>IF(E293="","",IFERROR(VLOOKUP(E293,Lists!$A$2:$B$17,2,FALSE),"?"))</f>
        <v/>
      </c>
      <c r="Q293">
        <f>IF(L293="Cancelled",0,N(J293))</f>
        <v/>
      </c>
      <c r="R293">
        <f>IF(H293="Cash",Q293,0)</f>
        <v/>
      </c>
      <c r="S293">
        <f>IF(OR(P293&lt;&gt;"E",R293=0),0,SUMIFS($R$18:$R$317,$B$18:$B$317,B293,$D$18:$D$317,D293,$P$18:$P$317,"E"))</f>
        <v/>
      </c>
      <c r="T293">
        <f>IF(OR(P293&lt;&gt;"F",R293=0),0,SUMIFS($R$18:$R$317,$B$18:$B$317,B293,$D$18:$D$317,D293,$P$18:$P$317,"F"))</f>
        <v/>
      </c>
      <c r="U293">
        <f>IF(OR(P293&lt;&gt;"A",R293=0),0,SUMIFS($R$18:$R$317,$B$18:$B$317,B293,$D$18:$D$317,D293,$P$18:$P$317,"A"))</f>
        <v/>
      </c>
      <c r="V293">
        <f>IF(OR(N293="",N293="OK",L293="Cancelled"),0,1)</f>
        <v/>
      </c>
    </row>
    <row r="294">
      <c r="B294" s="22" t="n"/>
      <c r="C294" s="23">
        <f>IF(B294="","",$E$9&amp;TEXT(N($E$10)+276,"000"))</f>
        <v/>
      </c>
      <c r="D294" s="14" t="n"/>
      <c r="E294" s="14" t="n"/>
      <c r="F294" s="14" t="n"/>
      <c r="G294" s="24" t="n"/>
      <c r="H294" s="14" t="n"/>
      <c r="I294" s="24" t="n"/>
      <c r="J294" s="25" t="n"/>
      <c r="K294" s="14" t="n"/>
      <c r="L294" s="24" t="n"/>
      <c r="M294" s="26">
        <f>IF(OR(N(J294)=0,L294="Cancelled"),"",IF(AND(N(J294)&gt;5000,H294="Cash"),"Yes: ₹1","No"))</f>
        <v/>
      </c>
      <c r="N294" s="27">
        <f>IF(AND(B294="",D294="",N(J294)=0),"",IF(B294="","Enter the date",IF(AND(ROW()&gt;18,B293=""),"Use the next empty row: a skipped row leaves a gap in the voucher numbers",IF(D294="","Enter who was paid",IF(N(J294)=0,"Enter the amount",IF(E294="","Pick the head of account",IF(P294="?","Pick the head from the list",IF(H294="","Pick how it was paid",IF(L294="Cancelled","Cancelled: keep this number unused and write a fresh voucher",IF(AND(H294&lt;&gt;"Cash",I294=""),"Enter the cheque no., UTR or UPI reference",IF(AND(N($E$11)&gt;0,N(J294)&gt;N($E$11),K294=""),"Above your approval limit: get it approved before paying",IF(S294&gt;10000,"Cash paid to this person today is over ₹10,000: not deductible, s.36(4)",IF(T294&gt;35000,"Cash freight to this transporter today is over ₹35,000: not deductible, s.36(6)",IF(U294&gt;10000,"Asset paid in cash over ₹10,000 today: left out of its cost, s.39(2)",IF(AND(P294="L",H294="Cash",N(J294)&gt;=20000),"Loan of ₹20,000 or more repaid in cash: barred, s.188","OK")))))))))))))))</f>
        <v/>
      </c>
      <c r="P294">
        <f>IF(E294="","",IFERROR(VLOOKUP(E294,Lists!$A$2:$B$17,2,FALSE),"?"))</f>
        <v/>
      </c>
      <c r="Q294">
        <f>IF(L294="Cancelled",0,N(J294))</f>
        <v/>
      </c>
      <c r="R294">
        <f>IF(H294="Cash",Q294,0)</f>
        <v/>
      </c>
      <c r="S294">
        <f>IF(OR(P294&lt;&gt;"E",R294=0),0,SUMIFS($R$18:$R$317,$B$18:$B$317,B294,$D$18:$D$317,D294,$P$18:$P$317,"E"))</f>
        <v/>
      </c>
      <c r="T294">
        <f>IF(OR(P294&lt;&gt;"F",R294=0),0,SUMIFS($R$18:$R$317,$B$18:$B$317,B294,$D$18:$D$317,D294,$P$18:$P$317,"F"))</f>
        <v/>
      </c>
      <c r="U294">
        <f>IF(OR(P294&lt;&gt;"A",R294=0),0,SUMIFS($R$18:$R$317,$B$18:$B$317,B294,$D$18:$D$317,D294,$P$18:$P$317,"A"))</f>
        <v/>
      </c>
      <c r="V294">
        <f>IF(OR(N294="",N294="OK",L294="Cancelled"),0,1)</f>
        <v/>
      </c>
    </row>
    <row r="295">
      <c r="B295" s="22" t="n"/>
      <c r="C295" s="23">
        <f>IF(B295="","",$E$9&amp;TEXT(N($E$10)+277,"000"))</f>
        <v/>
      </c>
      <c r="D295" s="14" t="n"/>
      <c r="E295" s="14" t="n"/>
      <c r="F295" s="14" t="n"/>
      <c r="G295" s="24" t="n"/>
      <c r="H295" s="14" t="n"/>
      <c r="I295" s="24" t="n"/>
      <c r="J295" s="25" t="n"/>
      <c r="K295" s="14" t="n"/>
      <c r="L295" s="24" t="n"/>
      <c r="M295" s="26">
        <f>IF(OR(N(J295)=0,L295="Cancelled"),"",IF(AND(N(J295)&gt;5000,H295="Cash"),"Yes: ₹1","No"))</f>
        <v/>
      </c>
      <c r="N295" s="27">
        <f>IF(AND(B295="",D295="",N(J295)=0),"",IF(B295="","Enter the date",IF(AND(ROW()&gt;18,B294=""),"Use the next empty row: a skipped row leaves a gap in the voucher numbers",IF(D295="","Enter who was paid",IF(N(J295)=0,"Enter the amount",IF(E295="","Pick the head of account",IF(P295="?","Pick the head from the list",IF(H295="","Pick how it was paid",IF(L295="Cancelled","Cancelled: keep this number unused and write a fresh voucher",IF(AND(H295&lt;&gt;"Cash",I295=""),"Enter the cheque no., UTR or UPI reference",IF(AND(N($E$11)&gt;0,N(J295)&gt;N($E$11),K295=""),"Above your approval limit: get it approved before paying",IF(S295&gt;10000,"Cash paid to this person today is over ₹10,000: not deductible, s.36(4)",IF(T295&gt;35000,"Cash freight to this transporter today is over ₹35,000: not deductible, s.36(6)",IF(U295&gt;10000,"Asset paid in cash over ₹10,000 today: left out of its cost, s.39(2)",IF(AND(P295="L",H295="Cash",N(J295)&gt;=20000),"Loan of ₹20,000 or more repaid in cash: barred, s.188","OK")))))))))))))))</f>
        <v/>
      </c>
      <c r="P295">
        <f>IF(E295="","",IFERROR(VLOOKUP(E295,Lists!$A$2:$B$17,2,FALSE),"?"))</f>
        <v/>
      </c>
      <c r="Q295">
        <f>IF(L295="Cancelled",0,N(J295))</f>
        <v/>
      </c>
      <c r="R295">
        <f>IF(H295="Cash",Q295,0)</f>
        <v/>
      </c>
      <c r="S295">
        <f>IF(OR(P295&lt;&gt;"E",R295=0),0,SUMIFS($R$18:$R$317,$B$18:$B$317,B295,$D$18:$D$317,D295,$P$18:$P$317,"E"))</f>
        <v/>
      </c>
      <c r="T295">
        <f>IF(OR(P295&lt;&gt;"F",R295=0),0,SUMIFS($R$18:$R$317,$B$18:$B$317,B295,$D$18:$D$317,D295,$P$18:$P$317,"F"))</f>
        <v/>
      </c>
      <c r="U295">
        <f>IF(OR(P295&lt;&gt;"A",R295=0),0,SUMIFS($R$18:$R$317,$B$18:$B$317,B295,$D$18:$D$317,D295,$P$18:$P$317,"A"))</f>
        <v/>
      </c>
      <c r="V295">
        <f>IF(OR(N295="",N295="OK",L295="Cancelled"),0,1)</f>
        <v/>
      </c>
    </row>
    <row r="296">
      <c r="B296" s="22" t="n"/>
      <c r="C296" s="23">
        <f>IF(B296="","",$E$9&amp;TEXT(N($E$10)+278,"000"))</f>
        <v/>
      </c>
      <c r="D296" s="14" t="n"/>
      <c r="E296" s="14" t="n"/>
      <c r="F296" s="14" t="n"/>
      <c r="G296" s="24" t="n"/>
      <c r="H296" s="14" t="n"/>
      <c r="I296" s="24" t="n"/>
      <c r="J296" s="25" t="n"/>
      <c r="K296" s="14" t="n"/>
      <c r="L296" s="24" t="n"/>
      <c r="M296" s="26">
        <f>IF(OR(N(J296)=0,L296="Cancelled"),"",IF(AND(N(J296)&gt;5000,H296="Cash"),"Yes: ₹1","No"))</f>
        <v/>
      </c>
      <c r="N296" s="27">
        <f>IF(AND(B296="",D296="",N(J296)=0),"",IF(B296="","Enter the date",IF(AND(ROW()&gt;18,B295=""),"Use the next empty row: a skipped row leaves a gap in the voucher numbers",IF(D296="","Enter who was paid",IF(N(J296)=0,"Enter the amount",IF(E296="","Pick the head of account",IF(P296="?","Pick the head from the list",IF(H296="","Pick how it was paid",IF(L296="Cancelled","Cancelled: keep this number unused and write a fresh voucher",IF(AND(H296&lt;&gt;"Cash",I296=""),"Enter the cheque no., UTR or UPI reference",IF(AND(N($E$11)&gt;0,N(J296)&gt;N($E$11),K296=""),"Above your approval limit: get it approved before paying",IF(S296&gt;10000,"Cash paid to this person today is over ₹10,000: not deductible, s.36(4)",IF(T296&gt;35000,"Cash freight to this transporter today is over ₹35,000: not deductible, s.36(6)",IF(U296&gt;10000,"Asset paid in cash over ₹10,000 today: left out of its cost, s.39(2)",IF(AND(P296="L",H296="Cash",N(J296)&gt;=20000),"Loan of ₹20,000 or more repaid in cash: barred, s.188","OK")))))))))))))))</f>
        <v/>
      </c>
      <c r="P296">
        <f>IF(E296="","",IFERROR(VLOOKUP(E296,Lists!$A$2:$B$17,2,FALSE),"?"))</f>
        <v/>
      </c>
      <c r="Q296">
        <f>IF(L296="Cancelled",0,N(J296))</f>
        <v/>
      </c>
      <c r="R296">
        <f>IF(H296="Cash",Q296,0)</f>
        <v/>
      </c>
      <c r="S296">
        <f>IF(OR(P296&lt;&gt;"E",R296=0),0,SUMIFS($R$18:$R$317,$B$18:$B$317,B296,$D$18:$D$317,D296,$P$18:$P$317,"E"))</f>
        <v/>
      </c>
      <c r="T296">
        <f>IF(OR(P296&lt;&gt;"F",R296=0),0,SUMIFS($R$18:$R$317,$B$18:$B$317,B296,$D$18:$D$317,D296,$P$18:$P$317,"F"))</f>
        <v/>
      </c>
      <c r="U296">
        <f>IF(OR(P296&lt;&gt;"A",R296=0),0,SUMIFS($R$18:$R$317,$B$18:$B$317,B296,$D$18:$D$317,D296,$P$18:$P$317,"A"))</f>
        <v/>
      </c>
      <c r="V296">
        <f>IF(OR(N296="",N296="OK",L296="Cancelled"),0,1)</f>
        <v/>
      </c>
    </row>
    <row r="297">
      <c r="B297" s="22" t="n"/>
      <c r="C297" s="23">
        <f>IF(B297="","",$E$9&amp;TEXT(N($E$10)+279,"000"))</f>
        <v/>
      </c>
      <c r="D297" s="14" t="n"/>
      <c r="E297" s="14" t="n"/>
      <c r="F297" s="14" t="n"/>
      <c r="G297" s="24" t="n"/>
      <c r="H297" s="14" t="n"/>
      <c r="I297" s="24" t="n"/>
      <c r="J297" s="25" t="n"/>
      <c r="K297" s="14" t="n"/>
      <c r="L297" s="24" t="n"/>
      <c r="M297" s="26">
        <f>IF(OR(N(J297)=0,L297="Cancelled"),"",IF(AND(N(J297)&gt;5000,H297="Cash"),"Yes: ₹1","No"))</f>
        <v/>
      </c>
      <c r="N297" s="27">
        <f>IF(AND(B297="",D297="",N(J297)=0),"",IF(B297="","Enter the date",IF(AND(ROW()&gt;18,B296=""),"Use the next empty row: a skipped row leaves a gap in the voucher numbers",IF(D297="","Enter who was paid",IF(N(J297)=0,"Enter the amount",IF(E297="","Pick the head of account",IF(P297="?","Pick the head from the list",IF(H297="","Pick how it was paid",IF(L297="Cancelled","Cancelled: keep this number unused and write a fresh voucher",IF(AND(H297&lt;&gt;"Cash",I297=""),"Enter the cheque no., UTR or UPI reference",IF(AND(N($E$11)&gt;0,N(J297)&gt;N($E$11),K297=""),"Above your approval limit: get it approved before paying",IF(S297&gt;10000,"Cash paid to this person today is over ₹10,000: not deductible, s.36(4)",IF(T297&gt;35000,"Cash freight to this transporter today is over ₹35,000: not deductible, s.36(6)",IF(U297&gt;10000,"Asset paid in cash over ₹10,000 today: left out of its cost, s.39(2)",IF(AND(P297="L",H297="Cash",N(J297)&gt;=20000),"Loan of ₹20,000 or more repaid in cash: barred, s.188","OK")))))))))))))))</f>
        <v/>
      </c>
      <c r="P297">
        <f>IF(E297="","",IFERROR(VLOOKUP(E297,Lists!$A$2:$B$17,2,FALSE),"?"))</f>
        <v/>
      </c>
      <c r="Q297">
        <f>IF(L297="Cancelled",0,N(J297))</f>
        <v/>
      </c>
      <c r="R297">
        <f>IF(H297="Cash",Q297,0)</f>
        <v/>
      </c>
      <c r="S297">
        <f>IF(OR(P297&lt;&gt;"E",R297=0),0,SUMIFS($R$18:$R$317,$B$18:$B$317,B297,$D$18:$D$317,D297,$P$18:$P$317,"E"))</f>
        <v/>
      </c>
      <c r="T297">
        <f>IF(OR(P297&lt;&gt;"F",R297=0),0,SUMIFS($R$18:$R$317,$B$18:$B$317,B297,$D$18:$D$317,D297,$P$18:$P$317,"F"))</f>
        <v/>
      </c>
      <c r="U297">
        <f>IF(OR(P297&lt;&gt;"A",R297=0),0,SUMIFS($R$18:$R$317,$B$18:$B$317,B297,$D$18:$D$317,D297,$P$18:$P$317,"A"))</f>
        <v/>
      </c>
      <c r="V297">
        <f>IF(OR(N297="",N297="OK",L297="Cancelled"),0,1)</f>
        <v/>
      </c>
    </row>
    <row r="298">
      <c r="B298" s="22" t="n"/>
      <c r="C298" s="23">
        <f>IF(B298="","",$E$9&amp;TEXT(N($E$10)+280,"000"))</f>
        <v/>
      </c>
      <c r="D298" s="14" t="n"/>
      <c r="E298" s="14" t="n"/>
      <c r="F298" s="14" t="n"/>
      <c r="G298" s="24" t="n"/>
      <c r="H298" s="14" t="n"/>
      <c r="I298" s="24" t="n"/>
      <c r="J298" s="25" t="n"/>
      <c r="K298" s="14" t="n"/>
      <c r="L298" s="24" t="n"/>
      <c r="M298" s="26">
        <f>IF(OR(N(J298)=0,L298="Cancelled"),"",IF(AND(N(J298)&gt;5000,H298="Cash"),"Yes: ₹1","No"))</f>
        <v/>
      </c>
      <c r="N298" s="27">
        <f>IF(AND(B298="",D298="",N(J298)=0),"",IF(B298="","Enter the date",IF(AND(ROW()&gt;18,B297=""),"Use the next empty row: a skipped row leaves a gap in the voucher numbers",IF(D298="","Enter who was paid",IF(N(J298)=0,"Enter the amount",IF(E298="","Pick the head of account",IF(P298="?","Pick the head from the list",IF(H298="","Pick how it was paid",IF(L298="Cancelled","Cancelled: keep this number unused and write a fresh voucher",IF(AND(H298&lt;&gt;"Cash",I298=""),"Enter the cheque no., UTR or UPI reference",IF(AND(N($E$11)&gt;0,N(J298)&gt;N($E$11),K298=""),"Above your approval limit: get it approved before paying",IF(S298&gt;10000,"Cash paid to this person today is over ₹10,000: not deductible, s.36(4)",IF(T298&gt;35000,"Cash freight to this transporter today is over ₹35,000: not deductible, s.36(6)",IF(U298&gt;10000,"Asset paid in cash over ₹10,000 today: left out of its cost, s.39(2)",IF(AND(P298="L",H298="Cash",N(J298)&gt;=20000),"Loan of ₹20,000 or more repaid in cash: barred, s.188","OK")))))))))))))))</f>
        <v/>
      </c>
      <c r="P298">
        <f>IF(E298="","",IFERROR(VLOOKUP(E298,Lists!$A$2:$B$17,2,FALSE),"?"))</f>
        <v/>
      </c>
      <c r="Q298">
        <f>IF(L298="Cancelled",0,N(J298))</f>
        <v/>
      </c>
      <c r="R298">
        <f>IF(H298="Cash",Q298,0)</f>
        <v/>
      </c>
      <c r="S298">
        <f>IF(OR(P298&lt;&gt;"E",R298=0),0,SUMIFS($R$18:$R$317,$B$18:$B$317,B298,$D$18:$D$317,D298,$P$18:$P$317,"E"))</f>
        <v/>
      </c>
      <c r="T298">
        <f>IF(OR(P298&lt;&gt;"F",R298=0),0,SUMIFS($R$18:$R$317,$B$18:$B$317,B298,$D$18:$D$317,D298,$P$18:$P$317,"F"))</f>
        <v/>
      </c>
      <c r="U298">
        <f>IF(OR(P298&lt;&gt;"A",R298=0),0,SUMIFS($R$18:$R$317,$B$18:$B$317,B298,$D$18:$D$317,D298,$P$18:$P$317,"A"))</f>
        <v/>
      </c>
      <c r="V298">
        <f>IF(OR(N298="",N298="OK",L298="Cancelled"),0,1)</f>
        <v/>
      </c>
    </row>
    <row r="299">
      <c r="B299" s="22" t="n"/>
      <c r="C299" s="23">
        <f>IF(B299="","",$E$9&amp;TEXT(N($E$10)+281,"000"))</f>
        <v/>
      </c>
      <c r="D299" s="14" t="n"/>
      <c r="E299" s="14" t="n"/>
      <c r="F299" s="14" t="n"/>
      <c r="G299" s="24" t="n"/>
      <c r="H299" s="14" t="n"/>
      <c r="I299" s="24" t="n"/>
      <c r="J299" s="25" t="n"/>
      <c r="K299" s="14" t="n"/>
      <c r="L299" s="24" t="n"/>
      <c r="M299" s="26">
        <f>IF(OR(N(J299)=0,L299="Cancelled"),"",IF(AND(N(J299)&gt;5000,H299="Cash"),"Yes: ₹1","No"))</f>
        <v/>
      </c>
      <c r="N299" s="27">
        <f>IF(AND(B299="",D299="",N(J299)=0),"",IF(B299="","Enter the date",IF(AND(ROW()&gt;18,B298=""),"Use the next empty row: a skipped row leaves a gap in the voucher numbers",IF(D299="","Enter who was paid",IF(N(J299)=0,"Enter the amount",IF(E299="","Pick the head of account",IF(P299="?","Pick the head from the list",IF(H299="","Pick how it was paid",IF(L299="Cancelled","Cancelled: keep this number unused and write a fresh voucher",IF(AND(H299&lt;&gt;"Cash",I299=""),"Enter the cheque no., UTR or UPI reference",IF(AND(N($E$11)&gt;0,N(J299)&gt;N($E$11),K299=""),"Above your approval limit: get it approved before paying",IF(S299&gt;10000,"Cash paid to this person today is over ₹10,000: not deductible, s.36(4)",IF(T299&gt;35000,"Cash freight to this transporter today is over ₹35,000: not deductible, s.36(6)",IF(U299&gt;10000,"Asset paid in cash over ₹10,000 today: left out of its cost, s.39(2)",IF(AND(P299="L",H299="Cash",N(J299)&gt;=20000),"Loan of ₹20,000 or more repaid in cash: barred, s.188","OK")))))))))))))))</f>
        <v/>
      </c>
      <c r="P299">
        <f>IF(E299="","",IFERROR(VLOOKUP(E299,Lists!$A$2:$B$17,2,FALSE),"?"))</f>
        <v/>
      </c>
      <c r="Q299">
        <f>IF(L299="Cancelled",0,N(J299))</f>
        <v/>
      </c>
      <c r="R299">
        <f>IF(H299="Cash",Q299,0)</f>
        <v/>
      </c>
      <c r="S299">
        <f>IF(OR(P299&lt;&gt;"E",R299=0),0,SUMIFS($R$18:$R$317,$B$18:$B$317,B299,$D$18:$D$317,D299,$P$18:$P$317,"E"))</f>
        <v/>
      </c>
      <c r="T299">
        <f>IF(OR(P299&lt;&gt;"F",R299=0),0,SUMIFS($R$18:$R$317,$B$18:$B$317,B299,$D$18:$D$317,D299,$P$18:$P$317,"F"))</f>
        <v/>
      </c>
      <c r="U299">
        <f>IF(OR(P299&lt;&gt;"A",R299=0),0,SUMIFS($R$18:$R$317,$B$18:$B$317,B299,$D$18:$D$317,D299,$P$18:$P$317,"A"))</f>
        <v/>
      </c>
      <c r="V299">
        <f>IF(OR(N299="",N299="OK",L299="Cancelled"),0,1)</f>
        <v/>
      </c>
    </row>
    <row r="300">
      <c r="B300" s="22" t="n"/>
      <c r="C300" s="23">
        <f>IF(B300="","",$E$9&amp;TEXT(N($E$10)+282,"000"))</f>
        <v/>
      </c>
      <c r="D300" s="14" t="n"/>
      <c r="E300" s="14" t="n"/>
      <c r="F300" s="14" t="n"/>
      <c r="G300" s="24" t="n"/>
      <c r="H300" s="14" t="n"/>
      <c r="I300" s="24" t="n"/>
      <c r="J300" s="25" t="n"/>
      <c r="K300" s="14" t="n"/>
      <c r="L300" s="24" t="n"/>
      <c r="M300" s="26">
        <f>IF(OR(N(J300)=0,L300="Cancelled"),"",IF(AND(N(J300)&gt;5000,H300="Cash"),"Yes: ₹1","No"))</f>
        <v/>
      </c>
      <c r="N300" s="27">
        <f>IF(AND(B300="",D300="",N(J300)=0),"",IF(B300="","Enter the date",IF(AND(ROW()&gt;18,B299=""),"Use the next empty row: a skipped row leaves a gap in the voucher numbers",IF(D300="","Enter who was paid",IF(N(J300)=0,"Enter the amount",IF(E300="","Pick the head of account",IF(P300="?","Pick the head from the list",IF(H300="","Pick how it was paid",IF(L300="Cancelled","Cancelled: keep this number unused and write a fresh voucher",IF(AND(H300&lt;&gt;"Cash",I300=""),"Enter the cheque no., UTR or UPI reference",IF(AND(N($E$11)&gt;0,N(J300)&gt;N($E$11),K300=""),"Above your approval limit: get it approved before paying",IF(S300&gt;10000,"Cash paid to this person today is over ₹10,000: not deductible, s.36(4)",IF(T300&gt;35000,"Cash freight to this transporter today is over ₹35,000: not deductible, s.36(6)",IF(U300&gt;10000,"Asset paid in cash over ₹10,000 today: left out of its cost, s.39(2)",IF(AND(P300="L",H300="Cash",N(J300)&gt;=20000),"Loan of ₹20,000 or more repaid in cash: barred, s.188","OK")))))))))))))))</f>
        <v/>
      </c>
      <c r="P300">
        <f>IF(E300="","",IFERROR(VLOOKUP(E300,Lists!$A$2:$B$17,2,FALSE),"?"))</f>
        <v/>
      </c>
      <c r="Q300">
        <f>IF(L300="Cancelled",0,N(J300))</f>
        <v/>
      </c>
      <c r="R300">
        <f>IF(H300="Cash",Q300,0)</f>
        <v/>
      </c>
      <c r="S300">
        <f>IF(OR(P300&lt;&gt;"E",R300=0),0,SUMIFS($R$18:$R$317,$B$18:$B$317,B300,$D$18:$D$317,D300,$P$18:$P$317,"E"))</f>
        <v/>
      </c>
      <c r="T300">
        <f>IF(OR(P300&lt;&gt;"F",R300=0),0,SUMIFS($R$18:$R$317,$B$18:$B$317,B300,$D$18:$D$317,D300,$P$18:$P$317,"F"))</f>
        <v/>
      </c>
      <c r="U300">
        <f>IF(OR(P300&lt;&gt;"A",R300=0),0,SUMIFS($R$18:$R$317,$B$18:$B$317,B300,$D$18:$D$317,D300,$P$18:$P$317,"A"))</f>
        <v/>
      </c>
      <c r="V300">
        <f>IF(OR(N300="",N300="OK",L300="Cancelled"),0,1)</f>
        <v/>
      </c>
    </row>
    <row r="301">
      <c r="B301" s="22" t="n"/>
      <c r="C301" s="23">
        <f>IF(B301="","",$E$9&amp;TEXT(N($E$10)+283,"000"))</f>
        <v/>
      </c>
      <c r="D301" s="14" t="n"/>
      <c r="E301" s="14" t="n"/>
      <c r="F301" s="14" t="n"/>
      <c r="G301" s="24" t="n"/>
      <c r="H301" s="14" t="n"/>
      <c r="I301" s="24" t="n"/>
      <c r="J301" s="25" t="n"/>
      <c r="K301" s="14" t="n"/>
      <c r="L301" s="24" t="n"/>
      <c r="M301" s="26">
        <f>IF(OR(N(J301)=0,L301="Cancelled"),"",IF(AND(N(J301)&gt;5000,H301="Cash"),"Yes: ₹1","No"))</f>
        <v/>
      </c>
      <c r="N301" s="27">
        <f>IF(AND(B301="",D301="",N(J301)=0),"",IF(B301="","Enter the date",IF(AND(ROW()&gt;18,B300=""),"Use the next empty row: a skipped row leaves a gap in the voucher numbers",IF(D301="","Enter who was paid",IF(N(J301)=0,"Enter the amount",IF(E301="","Pick the head of account",IF(P301="?","Pick the head from the list",IF(H301="","Pick how it was paid",IF(L301="Cancelled","Cancelled: keep this number unused and write a fresh voucher",IF(AND(H301&lt;&gt;"Cash",I301=""),"Enter the cheque no., UTR or UPI reference",IF(AND(N($E$11)&gt;0,N(J301)&gt;N($E$11),K301=""),"Above your approval limit: get it approved before paying",IF(S301&gt;10000,"Cash paid to this person today is over ₹10,000: not deductible, s.36(4)",IF(T301&gt;35000,"Cash freight to this transporter today is over ₹35,000: not deductible, s.36(6)",IF(U301&gt;10000,"Asset paid in cash over ₹10,000 today: left out of its cost, s.39(2)",IF(AND(P301="L",H301="Cash",N(J301)&gt;=20000),"Loan of ₹20,000 or more repaid in cash: barred, s.188","OK")))))))))))))))</f>
        <v/>
      </c>
      <c r="P301">
        <f>IF(E301="","",IFERROR(VLOOKUP(E301,Lists!$A$2:$B$17,2,FALSE),"?"))</f>
        <v/>
      </c>
      <c r="Q301">
        <f>IF(L301="Cancelled",0,N(J301))</f>
        <v/>
      </c>
      <c r="R301">
        <f>IF(H301="Cash",Q301,0)</f>
        <v/>
      </c>
      <c r="S301">
        <f>IF(OR(P301&lt;&gt;"E",R301=0),0,SUMIFS($R$18:$R$317,$B$18:$B$317,B301,$D$18:$D$317,D301,$P$18:$P$317,"E"))</f>
        <v/>
      </c>
      <c r="T301">
        <f>IF(OR(P301&lt;&gt;"F",R301=0),0,SUMIFS($R$18:$R$317,$B$18:$B$317,B301,$D$18:$D$317,D301,$P$18:$P$317,"F"))</f>
        <v/>
      </c>
      <c r="U301">
        <f>IF(OR(P301&lt;&gt;"A",R301=0),0,SUMIFS($R$18:$R$317,$B$18:$B$317,B301,$D$18:$D$317,D301,$P$18:$P$317,"A"))</f>
        <v/>
      </c>
      <c r="V301">
        <f>IF(OR(N301="",N301="OK",L301="Cancelled"),0,1)</f>
        <v/>
      </c>
    </row>
    <row r="302">
      <c r="B302" s="22" t="n"/>
      <c r="C302" s="23">
        <f>IF(B302="","",$E$9&amp;TEXT(N($E$10)+284,"000"))</f>
        <v/>
      </c>
      <c r="D302" s="14" t="n"/>
      <c r="E302" s="14" t="n"/>
      <c r="F302" s="14" t="n"/>
      <c r="G302" s="24" t="n"/>
      <c r="H302" s="14" t="n"/>
      <c r="I302" s="24" t="n"/>
      <c r="J302" s="25" t="n"/>
      <c r="K302" s="14" t="n"/>
      <c r="L302" s="24" t="n"/>
      <c r="M302" s="26">
        <f>IF(OR(N(J302)=0,L302="Cancelled"),"",IF(AND(N(J302)&gt;5000,H302="Cash"),"Yes: ₹1","No"))</f>
        <v/>
      </c>
      <c r="N302" s="27">
        <f>IF(AND(B302="",D302="",N(J302)=0),"",IF(B302="","Enter the date",IF(AND(ROW()&gt;18,B301=""),"Use the next empty row: a skipped row leaves a gap in the voucher numbers",IF(D302="","Enter who was paid",IF(N(J302)=0,"Enter the amount",IF(E302="","Pick the head of account",IF(P302="?","Pick the head from the list",IF(H302="","Pick how it was paid",IF(L302="Cancelled","Cancelled: keep this number unused and write a fresh voucher",IF(AND(H302&lt;&gt;"Cash",I302=""),"Enter the cheque no., UTR or UPI reference",IF(AND(N($E$11)&gt;0,N(J302)&gt;N($E$11),K302=""),"Above your approval limit: get it approved before paying",IF(S302&gt;10000,"Cash paid to this person today is over ₹10,000: not deductible, s.36(4)",IF(T302&gt;35000,"Cash freight to this transporter today is over ₹35,000: not deductible, s.36(6)",IF(U302&gt;10000,"Asset paid in cash over ₹10,000 today: left out of its cost, s.39(2)",IF(AND(P302="L",H302="Cash",N(J302)&gt;=20000),"Loan of ₹20,000 or more repaid in cash: barred, s.188","OK")))))))))))))))</f>
        <v/>
      </c>
      <c r="P302">
        <f>IF(E302="","",IFERROR(VLOOKUP(E302,Lists!$A$2:$B$17,2,FALSE),"?"))</f>
        <v/>
      </c>
      <c r="Q302">
        <f>IF(L302="Cancelled",0,N(J302))</f>
        <v/>
      </c>
      <c r="R302">
        <f>IF(H302="Cash",Q302,0)</f>
        <v/>
      </c>
      <c r="S302">
        <f>IF(OR(P302&lt;&gt;"E",R302=0),0,SUMIFS($R$18:$R$317,$B$18:$B$317,B302,$D$18:$D$317,D302,$P$18:$P$317,"E"))</f>
        <v/>
      </c>
      <c r="T302">
        <f>IF(OR(P302&lt;&gt;"F",R302=0),0,SUMIFS($R$18:$R$317,$B$18:$B$317,B302,$D$18:$D$317,D302,$P$18:$P$317,"F"))</f>
        <v/>
      </c>
      <c r="U302">
        <f>IF(OR(P302&lt;&gt;"A",R302=0),0,SUMIFS($R$18:$R$317,$B$18:$B$317,B302,$D$18:$D$317,D302,$P$18:$P$317,"A"))</f>
        <v/>
      </c>
      <c r="V302">
        <f>IF(OR(N302="",N302="OK",L302="Cancelled"),0,1)</f>
        <v/>
      </c>
    </row>
    <row r="303">
      <c r="B303" s="22" t="n"/>
      <c r="C303" s="23">
        <f>IF(B303="","",$E$9&amp;TEXT(N($E$10)+285,"000"))</f>
        <v/>
      </c>
      <c r="D303" s="14" t="n"/>
      <c r="E303" s="14" t="n"/>
      <c r="F303" s="14" t="n"/>
      <c r="G303" s="24" t="n"/>
      <c r="H303" s="14" t="n"/>
      <c r="I303" s="24" t="n"/>
      <c r="J303" s="25" t="n"/>
      <c r="K303" s="14" t="n"/>
      <c r="L303" s="24" t="n"/>
      <c r="M303" s="26">
        <f>IF(OR(N(J303)=0,L303="Cancelled"),"",IF(AND(N(J303)&gt;5000,H303="Cash"),"Yes: ₹1","No"))</f>
        <v/>
      </c>
      <c r="N303" s="27">
        <f>IF(AND(B303="",D303="",N(J303)=0),"",IF(B303="","Enter the date",IF(AND(ROW()&gt;18,B302=""),"Use the next empty row: a skipped row leaves a gap in the voucher numbers",IF(D303="","Enter who was paid",IF(N(J303)=0,"Enter the amount",IF(E303="","Pick the head of account",IF(P303="?","Pick the head from the list",IF(H303="","Pick how it was paid",IF(L303="Cancelled","Cancelled: keep this number unused and write a fresh voucher",IF(AND(H303&lt;&gt;"Cash",I303=""),"Enter the cheque no., UTR or UPI reference",IF(AND(N($E$11)&gt;0,N(J303)&gt;N($E$11),K303=""),"Above your approval limit: get it approved before paying",IF(S303&gt;10000,"Cash paid to this person today is over ₹10,000: not deductible, s.36(4)",IF(T303&gt;35000,"Cash freight to this transporter today is over ₹35,000: not deductible, s.36(6)",IF(U303&gt;10000,"Asset paid in cash over ₹10,000 today: left out of its cost, s.39(2)",IF(AND(P303="L",H303="Cash",N(J303)&gt;=20000),"Loan of ₹20,000 or more repaid in cash: barred, s.188","OK")))))))))))))))</f>
        <v/>
      </c>
      <c r="P303">
        <f>IF(E303="","",IFERROR(VLOOKUP(E303,Lists!$A$2:$B$17,2,FALSE),"?"))</f>
        <v/>
      </c>
      <c r="Q303">
        <f>IF(L303="Cancelled",0,N(J303))</f>
        <v/>
      </c>
      <c r="R303">
        <f>IF(H303="Cash",Q303,0)</f>
        <v/>
      </c>
      <c r="S303">
        <f>IF(OR(P303&lt;&gt;"E",R303=0),0,SUMIFS($R$18:$R$317,$B$18:$B$317,B303,$D$18:$D$317,D303,$P$18:$P$317,"E"))</f>
        <v/>
      </c>
      <c r="T303">
        <f>IF(OR(P303&lt;&gt;"F",R303=0),0,SUMIFS($R$18:$R$317,$B$18:$B$317,B303,$D$18:$D$317,D303,$P$18:$P$317,"F"))</f>
        <v/>
      </c>
      <c r="U303">
        <f>IF(OR(P303&lt;&gt;"A",R303=0),0,SUMIFS($R$18:$R$317,$B$18:$B$317,B303,$D$18:$D$317,D303,$P$18:$P$317,"A"))</f>
        <v/>
      </c>
      <c r="V303">
        <f>IF(OR(N303="",N303="OK",L303="Cancelled"),0,1)</f>
        <v/>
      </c>
    </row>
    <row r="304">
      <c r="B304" s="22" t="n"/>
      <c r="C304" s="23">
        <f>IF(B304="","",$E$9&amp;TEXT(N($E$10)+286,"000"))</f>
        <v/>
      </c>
      <c r="D304" s="14" t="n"/>
      <c r="E304" s="14" t="n"/>
      <c r="F304" s="14" t="n"/>
      <c r="G304" s="24" t="n"/>
      <c r="H304" s="14" t="n"/>
      <c r="I304" s="24" t="n"/>
      <c r="J304" s="25" t="n"/>
      <c r="K304" s="14" t="n"/>
      <c r="L304" s="24" t="n"/>
      <c r="M304" s="26">
        <f>IF(OR(N(J304)=0,L304="Cancelled"),"",IF(AND(N(J304)&gt;5000,H304="Cash"),"Yes: ₹1","No"))</f>
        <v/>
      </c>
      <c r="N304" s="27">
        <f>IF(AND(B304="",D304="",N(J304)=0),"",IF(B304="","Enter the date",IF(AND(ROW()&gt;18,B303=""),"Use the next empty row: a skipped row leaves a gap in the voucher numbers",IF(D304="","Enter who was paid",IF(N(J304)=0,"Enter the amount",IF(E304="","Pick the head of account",IF(P304="?","Pick the head from the list",IF(H304="","Pick how it was paid",IF(L304="Cancelled","Cancelled: keep this number unused and write a fresh voucher",IF(AND(H304&lt;&gt;"Cash",I304=""),"Enter the cheque no., UTR or UPI reference",IF(AND(N($E$11)&gt;0,N(J304)&gt;N($E$11),K304=""),"Above your approval limit: get it approved before paying",IF(S304&gt;10000,"Cash paid to this person today is over ₹10,000: not deductible, s.36(4)",IF(T304&gt;35000,"Cash freight to this transporter today is over ₹35,000: not deductible, s.36(6)",IF(U304&gt;10000,"Asset paid in cash over ₹10,000 today: left out of its cost, s.39(2)",IF(AND(P304="L",H304="Cash",N(J304)&gt;=20000),"Loan of ₹20,000 or more repaid in cash: barred, s.188","OK")))))))))))))))</f>
        <v/>
      </c>
      <c r="P304">
        <f>IF(E304="","",IFERROR(VLOOKUP(E304,Lists!$A$2:$B$17,2,FALSE),"?"))</f>
        <v/>
      </c>
      <c r="Q304">
        <f>IF(L304="Cancelled",0,N(J304))</f>
        <v/>
      </c>
      <c r="R304">
        <f>IF(H304="Cash",Q304,0)</f>
        <v/>
      </c>
      <c r="S304">
        <f>IF(OR(P304&lt;&gt;"E",R304=0),0,SUMIFS($R$18:$R$317,$B$18:$B$317,B304,$D$18:$D$317,D304,$P$18:$P$317,"E"))</f>
        <v/>
      </c>
      <c r="T304">
        <f>IF(OR(P304&lt;&gt;"F",R304=0),0,SUMIFS($R$18:$R$317,$B$18:$B$317,B304,$D$18:$D$317,D304,$P$18:$P$317,"F"))</f>
        <v/>
      </c>
      <c r="U304">
        <f>IF(OR(P304&lt;&gt;"A",R304=0),0,SUMIFS($R$18:$R$317,$B$18:$B$317,B304,$D$18:$D$317,D304,$P$18:$P$317,"A"))</f>
        <v/>
      </c>
      <c r="V304">
        <f>IF(OR(N304="",N304="OK",L304="Cancelled"),0,1)</f>
        <v/>
      </c>
    </row>
    <row r="305">
      <c r="B305" s="22" t="n"/>
      <c r="C305" s="23">
        <f>IF(B305="","",$E$9&amp;TEXT(N($E$10)+287,"000"))</f>
        <v/>
      </c>
      <c r="D305" s="14" t="n"/>
      <c r="E305" s="14" t="n"/>
      <c r="F305" s="14" t="n"/>
      <c r="G305" s="24" t="n"/>
      <c r="H305" s="14" t="n"/>
      <c r="I305" s="24" t="n"/>
      <c r="J305" s="25" t="n"/>
      <c r="K305" s="14" t="n"/>
      <c r="L305" s="24" t="n"/>
      <c r="M305" s="26">
        <f>IF(OR(N(J305)=0,L305="Cancelled"),"",IF(AND(N(J305)&gt;5000,H305="Cash"),"Yes: ₹1","No"))</f>
        <v/>
      </c>
      <c r="N305" s="27">
        <f>IF(AND(B305="",D305="",N(J305)=0),"",IF(B305="","Enter the date",IF(AND(ROW()&gt;18,B304=""),"Use the next empty row: a skipped row leaves a gap in the voucher numbers",IF(D305="","Enter who was paid",IF(N(J305)=0,"Enter the amount",IF(E305="","Pick the head of account",IF(P305="?","Pick the head from the list",IF(H305="","Pick how it was paid",IF(L305="Cancelled","Cancelled: keep this number unused and write a fresh voucher",IF(AND(H305&lt;&gt;"Cash",I305=""),"Enter the cheque no., UTR or UPI reference",IF(AND(N($E$11)&gt;0,N(J305)&gt;N($E$11),K305=""),"Above your approval limit: get it approved before paying",IF(S305&gt;10000,"Cash paid to this person today is over ₹10,000: not deductible, s.36(4)",IF(T305&gt;35000,"Cash freight to this transporter today is over ₹35,000: not deductible, s.36(6)",IF(U305&gt;10000,"Asset paid in cash over ₹10,000 today: left out of its cost, s.39(2)",IF(AND(P305="L",H305="Cash",N(J305)&gt;=20000),"Loan of ₹20,000 or more repaid in cash: barred, s.188","OK")))))))))))))))</f>
        <v/>
      </c>
      <c r="P305">
        <f>IF(E305="","",IFERROR(VLOOKUP(E305,Lists!$A$2:$B$17,2,FALSE),"?"))</f>
        <v/>
      </c>
      <c r="Q305">
        <f>IF(L305="Cancelled",0,N(J305))</f>
        <v/>
      </c>
      <c r="R305">
        <f>IF(H305="Cash",Q305,0)</f>
        <v/>
      </c>
      <c r="S305">
        <f>IF(OR(P305&lt;&gt;"E",R305=0),0,SUMIFS($R$18:$R$317,$B$18:$B$317,B305,$D$18:$D$317,D305,$P$18:$P$317,"E"))</f>
        <v/>
      </c>
      <c r="T305">
        <f>IF(OR(P305&lt;&gt;"F",R305=0),0,SUMIFS($R$18:$R$317,$B$18:$B$317,B305,$D$18:$D$317,D305,$P$18:$P$317,"F"))</f>
        <v/>
      </c>
      <c r="U305">
        <f>IF(OR(P305&lt;&gt;"A",R305=0),0,SUMIFS($R$18:$R$317,$B$18:$B$317,B305,$D$18:$D$317,D305,$P$18:$P$317,"A"))</f>
        <v/>
      </c>
      <c r="V305">
        <f>IF(OR(N305="",N305="OK",L305="Cancelled"),0,1)</f>
        <v/>
      </c>
    </row>
    <row r="306">
      <c r="B306" s="22" t="n"/>
      <c r="C306" s="23">
        <f>IF(B306="","",$E$9&amp;TEXT(N($E$10)+288,"000"))</f>
        <v/>
      </c>
      <c r="D306" s="14" t="n"/>
      <c r="E306" s="14" t="n"/>
      <c r="F306" s="14" t="n"/>
      <c r="G306" s="24" t="n"/>
      <c r="H306" s="14" t="n"/>
      <c r="I306" s="24" t="n"/>
      <c r="J306" s="25" t="n"/>
      <c r="K306" s="14" t="n"/>
      <c r="L306" s="24" t="n"/>
      <c r="M306" s="26">
        <f>IF(OR(N(J306)=0,L306="Cancelled"),"",IF(AND(N(J306)&gt;5000,H306="Cash"),"Yes: ₹1","No"))</f>
        <v/>
      </c>
      <c r="N306" s="27">
        <f>IF(AND(B306="",D306="",N(J306)=0),"",IF(B306="","Enter the date",IF(AND(ROW()&gt;18,B305=""),"Use the next empty row: a skipped row leaves a gap in the voucher numbers",IF(D306="","Enter who was paid",IF(N(J306)=0,"Enter the amount",IF(E306="","Pick the head of account",IF(P306="?","Pick the head from the list",IF(H306="","Pick how it was paid",IF(L306="Cancelled","Cancelled: keep this number unused and write a fresh voucher",IF(AND(H306&lt;&gt;"Cash",I306=""),"Enter the cheque no., UTR or UPI reference",IF(AND(N($E$11)&gt;0,N(J306)&gt;N($E$11),K306=""),"Above your approval limit: get it approved before paying",IF(S306&gt;10000,"Cash paid to this person today is over ₹10,000: not deductible, s.36(4)",IF(T306&gt;35000,"Cash freight to this transporter today is over ₹35,000: not deductible, s.36(6)",IF(U306&gt;10000,"Asset paid in cash over ₹10,000 today: left out of its cost, s.39(2)",IF(AND(P306="L",H306="Cash",N(J306)&gt;=20000),"Loan of ₹20,000 or more repaid in cash: barred, s.188","OK")))))))))))))))</f>
        <v/>
      </c>
      <c r="P306">
        <f>IF(E306="","",IFERROR(VLOOKUP(E306,Lists!$A$2:$B$17,2,FALSE),"?"))</f>
        <v/>
      </c>
      <c r="Q306">
        <f>IF(L306="Cancelled",0,N(J306))</f>
        <v/>
      </c>
      <c r="R306">
        <f>IF(H306="Cash",Q306,0)</f>
        <v/>
      </c>
      <c r="S306">
        <f>IF(OR(P306&lt;&gt;"E",R306=0),0,SUMIFS($R$18:$R$317,$B$18:$B$317,B306,$D$18:$D$317,D306,$P$18:$P$317,"E"))</f>
        <v/>
      </c>
      <c r="T306">
        <f>IF(OR(P306&lt;&gt;"F",R306=0),0,SUMIFS($R$18:$R$317,$B$18:$B$317,B306,$D$18:$D$317,D306,$P$18:$P$317,"F"))</f>
        <v/>
      </c>
      <c r="U306">
        <f>IF(OR(P306&lt;&gt;"A",R306=0),0,SUMIFS($R$18:$R$317,$B$18:$B$317,B306,$D$18:$D$317,D306,$P$18:$P$317,"A"))</f>
        <v/>
      </c>
      <c r="V306">
        <f>IF(OR(N306="",N306="OK",L306="Cancelled"),0,1)</f>
        <v/>
      </c>
    </row>
    <row r="307">
      <c r="B307" s="22" t="n"/>
      <c r="C307" s="23">
        <f>IF(B307="","",$E$9&amp;TEXT(N($E$10)+289,"000"))</f>
        <v/>
      </c>
      <c r="D307" s="14" t="n"/>
      <c r="E307" s="14" t="n"/>
      <c r="F307" s="14" t="n"/>
      <c r="G307" s="24" t="n"/>
      <c r="H307" s="14" t="n"/>
      <c r="I307" s="24" t="n"/>
      <c r="J307" s="25" t="n"/>
      <c r="K307" s="14" t="n"/>
      <c r="L307" s="24" t="n"/>
      <c r="M307" s="26">
        <f>IF(OR(N(J307)=0,L307="Cancelled"),"",IF(AND(N(J307)&gt;5000,H307="Cash"),"Yes: ₹1","No"))</f>
        <v/>
      </c>
      <c r="N307" s="27">
        <f>IF(AND(B307="",D307="",N(J307)=0),"",IF(B307="","Enter the date",IF(AND(ROW()&gt;18,B306=""),"Use the next empty row: a skipped row leaves a gap in the voucher numbers",IF(D307="","Enter who was paid",IF(N(J307)=0,"Enter the amount",IF(E307="","Pick the head of account",IF(P307="?","Pick the head from the list",IF(H307="","Pick how it was paid",IF(L307="Cancelled","Cancelled: keep this number unused and write a fresh voucher",IF(AND(H307&lt;&gt;"Cash",I307=""),"Enter the cheque no., UTR or UPI reference",IF(AND(N($E$11)&gt;0,N(J307)&gt;N($E$11),K307=""),"Above your approval limit: get it approved before paying",IF(S307&gt;10000,"Cash paid to this person today is over ₹10,000: not deductible, s.36(4)",IF(T307&gt;35000,"Cash freight to this transporter today is over ₹35,000: not deductible, s.36(6)",IF(U307&gt;10000,"Asset paid in cash over ₹10,000 today: left out of its cost, s.39(2)",IF(AND(P307="L",H307="Cash",N(J307)&gt;=20000),"Loan of ₹20,000 or more repaid in cash: barred, s.188","OK")))))))))))))))</f>
        <v/>
      </c>
      <c r="P307">
        <f>IF(E307="","",IFERROR(VLOOKUP(E307,Lists!$A$2:$B$17,2,FALSE),"?"))</f>
        <v/>
      </c>
      <c r="Q307">
        <f>IF(L307="Cancelled",0,N(J307))</f>
        <v/>
      </c>
      <c r="R307">
        <f>IF(H307="Cash",Q307,0)</f>
        <v/>
      </c>
      <c r="S307">
        <f>IF(OR(P307&lt;&gt;"E",R307=0),0,SUMIFS($R$18:$R$317,$B$18:$B$317,B307,$D$18:$D$317,D307,$P$18:$P$317,"E"))</f>
        <v/>
      </c>
      <c r="T307">
        <f>IF(OR(P307&lt;&gt;"F",R307=0),0,SUMIFS($R$18:$R$317,$B$18:$B$317,B307,$D$18:$D$317,D307,$P$18:$P$317,"F"))</f>
        <v/>
      </c>
      <c r="U307">
        <f>IF(OR(P307&lt;&gt;"A",R307=0),0,SUMIFS($R$18:$R$317,$B$18:$B$317,B307,$D$18:$D$317,D307,$P$18:$P$317,"A"))</f>
        <v/>
      </c>
      <c r="V307">
        <f>IF(OR(N307="",N307="OK",L307="Cancelled"),0,1)</f>
        <v/>
      </c>
    </row>
    <row r="308">
      <c r="B308" s="22" t="n"/>
      <c r="C308" s="23">
        <f>IF(B308="","",$E$9&amp;TEXT(N($E$10)+290,"000"))</f>
        <v/>
      </c>
      <c r="D308" s="14" t="n"/>
      <c r="E308" s="14" t="n"/>
      <c r="F308" s="14" t="n"/>
      <c r="G308" s="24" t="n"/>
      <c r="H308" s="14" t="n"/>
      <c r="I308" s="24" t="n"/>
      <c r="J308" s="25" t="n"/>
      <c r="K308" s="14" t="n"/>
      <c r="L308" s="24" t="n"/>
      <c r="M308" s="26">
        <f>IF(OR(N(J308)=0,L308="Cancelled"),"",IF(AND(N(J308)&gt;5000,H308="Cash"),"Yes: ₹1","No"))</f>
        <v/>
      </c>
      <c r="N308" s="27">
        <f>IF(AND(B308="",D308="",N(J308)=0),"",IF(B308="","Enter the date",IF(AND(ROW()&gt;18,B307=""),"Use the next empty row: a skipped row leaves a gap in the voucher numbers",IF(D308="","Enter who was paid",IF(N(J308)=0,"Enter the amount",IF(E308="","Pick the head of account",IF(P308="?","Pick the head from the list",IF(H308="","Pick how it was paid",IF(L308="Cancelled","Cancelled: keep this number unused and write a fresh voucher",IF(AND(H308&lt;&gt;"Cash",I308=""),"Enter the cheque no., UTR or UPI reference",IF(AND(N($E$11)&gt;0,N(J308)&gt;N($E$11),K308=""),"Above your approval limit: get it approved before paying",IF(S308&gt;10000,"Cash paid to this person today is over ₹10,000: not deductible, s.36(4)",IF(T308&gt;35000,"Cash freight to this transporter today is over ₹35,000: not deductible, s.36(6)",IF(U308&gt;10000,"Asset paid in cash over ₹10,000 today: left out of its cost, s.39(2)",IF(AND(P308="L",H308="Cash",N(J308)&gt;=20000),"Loan of ₹20,000 or more repaid in cash: barred, s.188","OK")))))))))))))))</f>
        <v/>
      </c>
      <c r="P308">
        <f>IF(E308="","",IFERROR(VLOOKUP(E308,Lists!$A$2:$B$17,2,FALSE),"?"))</f>
        <v/>
      </c>
      <c r="Q308">
        <f>IF(L308="Cancelled",0,N(J308))</f>
        <v/>
      </c>
      <c r="R308">
        <f>IF(H308="Cash",Q308,0)</f>
        <v/>
      </c>
      <c r="S308">
        <f>IF(OR(P308&lt;&gt;"E",R308=0),0,SUMIFS($R$18:$R$317,$B$18:$B$317,B308,$D$18:$D$317,D308,$P$18:$P$317,"E"))</f>
        <v/>
      </c>
      <c r="T308">
        <f>IF(OR(P308&lt;&gt;"F",R308=0),0,SUMIFS($R$18:$R$317,$B$18:$B$317,B308,$D$18:$D$317,D308,$P$18:$P$317,"F"))</f>
        <v/>
      </c>
      <c r="U308">
        <f>IF(OR(P308&lt;&gt;"A",R308=0),0,SUMIFS($R$18:$R$317,$B$18:$B$317,B308,$D$18:$D$317,D308,$P$18:$P$317,"A"))</f>
        <v/>
      </c>
      <c r="V308">
        <f>IF(OR(N308="",N308="OK",L308="Cancelled"),0,1)</f>
        <v/>
      </c>
    </row>
    <row r="309">
      <c r="B309" s="22" t="n"/>
      <c r="C309" s="23">
        <f>IF(B309="","",$E$9&amp;TEXT(N($E$10)+291,"000"))</f>
        <v/>
      </c>
      <c r="D309" s="14" t="n"/>
      <c r="E309" s="14" t="n"/>
      <c r="F309" s="14" t="n"/>
      <c r="G309" s="24" t="n"/>
      <c r="H309" s="14" t="n"/>
      <c r="I309" s="24" t="n"/>
      <c r="J309" s="25" t="n"/>
      <c r="K309" s="14" t="n"/>
      <c r="L309" s="24" t="n"/>
      <c r="M309" s="26">
        <f>IF(OR(N(J309)=0,L309="Cancelled"),"",IF(AND(N(J309)&gt;5000,H309="Cash"),"Yes: ₹1","No"))</f>
        <v/>
      </c>
      <c r="N309" s="27">
        <f>IF(AND(B309="",D309="",N(J309)=0),"",IF(B309="","Enter the date",IF(AND(ROW()&gt;18,B308=""),"Use the next empty row: a skipped row leaves a gap in the voucher numbers",IF(D309="","Enter who was paid",IF(N(J309)=0,"Enter the amount",IF(E309="","Pick the head of account",IF(P309="?","Pick the head from the list",IF(H309="","Pick how it was paid",IF(L309="Cancelled","Cancelled: keep this number unused and write a fresh voucher",IF(AND(H309&lt;&gt;"Cash",I309=""),"Enter the cheque no., UTR or UPI reference",IF(AND(N($E$11)&gt;0,N(J309)&gt;N($E$11),K309=""),"Above your approval limit: get it approved before paying",IF(S309&gt;10000,"Cash paid to this person today is over ₹10,000: not deductible, s.36(4)",IF(T309&gt;35000,"Cash freight to this transporter today is over ₹35,000: not deductible, s.36(6)",IF(U309&gt;10000,"Asset paid in cash over ₹10,000 today: left out of its cost, s.39(2)",IF(AND(P309="L",H309="Cash",N(J309)&gt;=20000),"Loan of ₹20,000 or more repaid in cash: barred, s.188","OK")))))))))))))))</f>
        <v/>
      </c>
      <c r="P309">
        <f>IF(E309="","",IFERROR(VLOOKUP(E309,Lists!$A$2:$B$17,2,FALSE),"?"))</f>
        <v/>
      </c>
      <c r="Q309">
        <f>IF(L309="Cancelled",0,N(J309))</f>
        <v/>
      </c>
      <c r="R309">
        <f>IF(H309="Cash",Q309,0)</f>
        <v/>
      </c>
      <c r="S309">
        <f>IF(OR(P309&lt;&gt;"E",R309=0),0,SUMIFS($R$18:$R$317,$B$18:$B$317,B309,$D$18:$D$317,D309,$P$18:$P$317,"E"))</f>
        <v/>
      </c>
      <c r="T309">
        <f>IF(OR(P309&lt;&gt;"F",R309=0),0,SUMIFS($R$18:$R$317,$B$18:$B$317,B309,$D$18:$D$317,D309,$P$18:$P$317,"F"))</f>
        <v/>
      </c>
      <c r="U309">
        <f>IF(OR(P309&lt;&gt;"A",R309=0),0,SUMIFS($R$18:$R$317,$B$18:$B$317,B309,$D$18:$D$317,D309,$P$18:$P$317,"A"))</f>
        <v/>
      </c>
      <c r="V309">
        <f>IF(OR(N309="",N309="OK",L309="Cancelled"),0,1)</f>
        <v/>
      </c>
    </row>
    <row r="310">
      <c r="B310" s="22" t="n"/>
      <c r="C310" s="23">
        <f>IF(B310="","",$E$9&amp;TEXT(N($E$10)+292,"000"))</f>
        <v/>
      </c>
      <c r="D310" s="14" t="n"/>
      <c r="E310" s="14" t="n"/>
      <c r="F310" s="14" t="n"/>
      <c r="G310" s="24" t="n"/>
      <c r="H310" s="14" t="n"/>
      <c r="I310" s="24" t="n"/>
      <c r="J310" s="25" t="n"/>
      <c r="K310" s="14" t="n"/>
      <c r="L310" s="24" t="n"/>
      <c r="M310" s="26">
        <f>IF(OR(N(J310)=0,L310="Cancelled"),"",IF(AND(N(J310)&gt;5000,H310="Cash"),"Yes: ₹1","No"))</f>
        <v/>
      </c>
      <c r="N310" s="27">
        <f>IF(AND(B310="",D310="",N(J310)=0),"",IF(B310="","Enter the date",IF(AND(ROW()&gt;18,B309=""),"Use the next empty row: a skipped row leaves a gap in the voucher numbers",IF(D310="","Enter who was paid",IF(N(J310)=0,"Enter the amount",IF(E310="","Pick the head of account",IF(P310="?","Pick the head from the list",IF(H310="","Pick how it was paid",IF(L310="Cancelled","Cancelled: keep this number unused and write a fresh voucher",IF(AND(H310&lt;&gt;"Cash",I310=""),"Enter the cheque no., UTR or UPI reference",IF(AND(N($E$11)&gt;0,N(J310)&gt;N($E$11),K310=""),"Above your approval limit: get it approved before paying",IF(S310&gt;10000,"Cash paid to this person today is over ₹10,000: not deductible, s.36(4)",IF(T310&gt;35000,"Cash freight to this transporter today is over ₹35,000: not deductible, s.36(6)",IF(U310&gt;10000,"Asset paid in cash over ₹10,000 today: left out of its cost, s.39(2)",IF(AND(P310="L",H310="Cash",N(J310)&gt;=20000),"Loan of ₹20,000 or more repaid in cash: barred, s.188","OK")))))))))))))))</f>
        <v/>
      </c>
      <c r="P310">
        <f>IF(E310="","",IFERROR(VLOOKUP(E310,Lists!$A$2:$B$17,2,FALSE),"?"))</f>
        <v/>
      </c>
      <c r="Q310">
        <f>IF(L310="Cancelled",0,N(J310))</f>
        <v/>
      </c>
      <c r="R310">
        <f>IF(H310="Cash",Q310,0)</f>
        <v/>
      </c>
      <c r="S310">
        <f>IF(OR(P310&lt;&gt;"E",R310=0),0,SUMIFS($R$18:$R$317,$B$18:$B$317,B310,$D$18:$D$317,D310,$P$18:$P$317,"E"))</f>
        <v/>
      </c>
      <c r="T310">
        <f>IF(OR(P310&lt;&gt;"F",R310=0),0,SUMIFS($R$18:$R$317,$B$18:$B$317,B310,$D$18:$D$317,D310,$P$18:$P$317,"F"))</f>
        <v/>
      </c>
      <c r="U310">
        <f>IF(OR(P310&lt;&gt;"A",R310=0),0,SUMIFS($R$18:$R$317,$B$18:$B$317,B310,$D$18:$D$317,D310,$P$18:$P$317,"A"))</f>
        <v/>
      </c>
      <c r="V310">
        <f>IF(OR(N310="",N310="OK",L310="Cancelled"),0,1)</f>
        <v/>
      </c>
    </row>
    <row r="311">
      <c r="B311" s="22" t="n"/>
      <c r="C311" s="23">
        <f>IF(B311="","",$E$9&amp;TEXT(N($E$10)+293,"000"))</f>
        <v/>
      </c>
      <c r="D311" s="14" t="n"/>
      <c r="E311" s="14" t="n"/>
      <c r="F311" s="14" t="n"/>
      <c r="G311" s="24" t="n"/>
      <c r="H311" s="14" t="n"/>
      <c r="I311" s="24" t="n"/>
      <c r="J311" s="25" t="n"/>
      <c r="K311" s="14" t="n"/>
      <c r="L311" s="24" t="n"/>
      <c r="M311" s="26">
        <f>IF(OR(N(J311)=0,L311="Cancelled"),"",IF(AND(N(J311)&gt;5000,H311="Cash"),"Yes: ₹1","No"))</f>
        <v/>
      </c>
      <c r="N311" s="27">
        <f>IF(AND(B311="",D311="",N(J311)=0),"",IF(B311="","Enter the date",IF(AND(ROW()&gt;18,B310=""),"Use the next empty row: a skipped row leaves a gap in the voucher numbers",IF(D311="","Enter who was paid",IF(N(J311)=0,"Enter the amount",IF(E311="","Pick the head of account",IF(P311="?","Pick the head from the list",IF(H311="","Pick how it was paid",IF(L311="Cancelled","Cancelled: keep this number unused and write a fresh voucher",IF(AND(H311&lt;&gt;"Cash",I311=""),"Enter the cheque no., UTR or UPI reference",IF(AND(N($E$11)&gt;0,N(J311)&gt;N($E$11),K311=""),"Above your approval limit: get it approved before paying",IF(S311&gt;10000,"Cash paid to this person today is over ₹10,000: not deductible, s.36(4)",IF(T311&gt;35000,"Cash freight to this transporter today is over ₹35,000: not deductible, s.36(6)",IF(U311&gt;10000,"Asset paid in cash over ₹10,000 today: left out of its cost, s.39(2)",IF(AND(P311="L",H311="Cash",N(J311)&gt;=20000),"Loan of ₹20,000 or more repaid in cash: barred, s.188","OK")))))))))))))))</f>
        <v/>
      </c>
      <c r="P311">
        <f>IF(E311="","",IFERROR(VLOOKUP(E311,Lists!$A$2:$B$17,2,FALSE),"?"))</f>
        <v/>
      </c>
      <c r="Q311">
        <f>IF(L311="Cancelled",0,N(J311))</f>
        <v/>
      </c>
      <c r="R311">
        <f>IF(H311="Cash",Q311,0)</f>
        <v/>
      </c>
      <c r="S311">
        <f>IF(OR(P311&lt;&gt;"E",R311=0),0,SUMIFS($R$18:$R$317,$B$18:$B$317,B311,$D$18:$D$317,D311,$P$18:$P$317,"E"))</f>
        <v/>
      </c>
      <c r="T311">
        <f>IF(OR(P311&lt;&gt;"F",R311=0),0,SUMIFS($R$18:$R$317,$B$18:$B$317,B311,$D$18:$D$317,D311,$P$18:$P$317,"F"))</f>
        <v/>
      </c>
      <c r="U311">
        <f>IF(OR(P311&lt;&gt;"A",R311=0),0,SUMIFS($R$18:$R$317,$B$18:$B$317,B311,$D$18:$D$317,D311,$P$18:$P$317,"A"))</f>
        <v/>
      </c>
      <c r="V311">
        <f>IF(OR(N311="",N311="OK",L311="Cancelled"),0,1)</f>
        <v/>
      </c>
    </row>
    <row r="312">
      <c r="B312" s="22" t="n"/>
      <c r="C312" s="23">
        <f>IF(B312="","",$E$9&amp;TEXT(N($E$10)+294,"000"))</f>
        <v/>
      </c>
      <c r="D312" s="14" t="n"/>
      <c r="E312" s="14" t="n"/>
      <c r="F312" s="14" t="n"/>
      <c r="G312" s="24" t="n"/>
      <c r="H312" s="14" t="n"/>
      <c r="I312" s="24" t="n"/>
      <c r="J312" s="25" t="n"/>
      <c r="K312" s="14" t="n"/>
      <c r="L312" s="24" t="n"/>
      <c r="M312" s="26">
        <f>IF(OR(N(J312)=0,L312="Cancelled"),"",IF(AND(N(J312)&gt;5000,H312="Cash"),"Yes: ₹1","No"))</f>
        <v/>
      </c>
      <c r="N312" s="27">
        <f>IF(AND(B312="",D312="",N(J312)=0),"",IF(B312="","Enter the date",IF(AND(ROW()&gt;18,B311=""),"Use the next empty row: a skipped row leaves a gap in the voucher numbers",IF(D312="","Enter who was paid",IF(N(J312)=0,"Enter the amount",IF(E312="","Pick the head of account",IF(P312="?","Pick the head from the list",IF(H312="","Pick how it was paid",IF(L312="Cancelled","Cancelled: keep this number unused and write a fresh voucher",IF(AND(H312&lt;&gt;"Cash",I312=""),"Enter the cheque no., UTR or UPI reference",IF(AND(N($E$11)&gt;0,N(J312)&gt;N($E$11),K312=""),"Above your approval limit: get it approved before paying",IF(S312&gt;10000,"Cash paid to this person today is over ₹10,000: not deductible, s.36(4)",IF(T312&gt;35000,"Cash freight to this transporter today is over ₹35,000: not deductible, s.36(6)",IF(U312&gt;10000,"Asset paid in cash over ₹10,000 today: left out of its cost, s.39(2)",IF(AND(P312="L",H312="Cash",N(J312)&gt;=20000),"Loan of ₹20,000 or more repaid in cash: barred, s.188","OK")))))))))))))))</f>
        <v/>
      </c>
      <c r="P312">
        <f>IF(E312="","",IFERROR(VLOOKUP(E312,Lists!$A$2:$B$17,2,FALSE),"?"))</f>
        <v/>
      </c>
      <c r="Q312">
        <f>IF(L312="Cancelled",0,N(J312))</f>
        <v/>
      </c>
      <c r="R312">
        <f>IF(H312="Cash",Q312,0)</f>
        <v/>
      </c>
      <c r="S312">
        <f>IF(OR(P312&lt;&gt;"E",R312=0),0,SUMIFS($R$18:$R$317,$B$18:$B$317,B312,$D$18:$D$317,D312,$P$18:$P$317,"E"))</f>
        <v/>
      </c>
      <c r="T312">
        <f>IF(OR(P312&lt;&gt;"F",R312=0),0,SUMIFS($R$18:$R$317,$B$18:$B$317,B312,$D$18:$D$317,D312,$P$18:$P$317,"F"))</f>
        <v/>
      </c>
      <c r="U312">
        <f>IF(OR(P312&lt;&gt;"A",R312=0),0,SUMIFS($R$18:$R$317,$B$18:$B$317,B312,$D$18:$D$317,D312,$P$18:$P$317,"A"))</f>
        <v/>
      </c>
      <c r="V312">
        <f>IF(OR(N312="",N312="OK",L312="Cancelled"),0,1)</f>
        <v/>
      </c>
    </row>
    <row r="313">
      <c r="B313" s="22" t="n"/>
      <c r="C313" s="23">
        <f>IF(B313="","",$E$9&amp;TEXT(N($E$10)+295,"000"))</f>
        <v/>
      </c>
      <c r="D313" s="14" t="n"/>
      <c r="E313" s="14" t="n"/>
      <c r="F313" s="14" t="n"/>
      <c r="G313" s="24" t="n"/>
      <c r="H313" s="14" t="n"/>
      <c r="I313" s="24" t="n"/>
      <c r="J313" s="25" t="n"/>
      <c r="K313" s="14" t="n"/>
      <c r="L313" s="24" t="n"/>
      <c r="M313" s="26">
        <f>IF(OR(N(J313)=0,L313="Cancelled"),"",IF(AND(N(J313)&gt;5000,H313="Cash"),"Yes: ₹1","No"))</f>
        <v/>
      </c>
      <c r="N313" s="27">
        <f>IF(AND(B313="",D313="",N(J313)=0),"",IF(B313="","Enter the date",IF(AND(ROW()&gt;18,B312=""),"Use the next empty row: a skipped row leaves a gap in the voucher numbers",IF(D313="","Enter who was paid",IF(N(J313)=0,"Enter the amount",IF(E313="","Pick the head of account",IF(P313="?","Pick the head from the list",IF(H313="","Pick how it was paid",IF(L313="Cancelled","Cancelled: keep this number unused and write a fresh voucher",IF(AND(H313&lt;&gt;"Cash",I313=""),"Enter the cheque no., UTR or UPI reference",IF(AND(N($E$11)&gt;0,N(J313)&gt;N($E$11),K313=""),"Above your approval limit: get it approved before paying",IF(S313&gt;10000,"Cash paid to this person today is over ₹10,000: not deductible, s.36(4)",IF(T313&gt;35000,"Cash freight to this transporter today is over ₹35,000: not deductible, s.36(6)",IF(U313&gt;10000,"Asset paid in cash over ₹10,000 today: left out of its cost, s.39(2)",IF(AND(P313="L",H313="Cash",N(J313)&gt;=20000),"Loan of ₹20,000 or more repaid in cash: barred, s.188","OK")))))))))))))))</f>
        <v/>
      </c>
      <c r="P313">
        <f>IF(E313="","",IFERROR(VLOOKUP(E313,Lists!$A$2:$B$17,2,FALSE),"?"))</f>
        <v/>
      </c>
      <c r="Q313">
        <f>IF(L313="Cancelled",0,N(J313))</f>
        <v/>
      </c>
      <c r="R313">
        <f>IF(H313="Cash",Q313,0)</f>
        <v/>
      </c>
      <c r="S313">
        <f>IF(OR(P313&lt;&gt;"E",R313=0),0,SUMIFS($R$18:$R$317,$B$18:$B$317,B313,$D$18:$D$317,D313,$P$18:$P$317,"E"))</f>
        <v/>
      </c>
      <c r="T313">
        <f>IF(OR(P313&lt;&gt;"F",R313=0),0,SUMIFS($R$18:$R$317,$B$18:$B$317,B313,$D$18:$D$317,D313,$P$18:$P$317,"F"))</f>
        <v/>
      </c>
      <c r="U313">
        <f>IF(OR(P313&lt;&gt;"A",R313=0),0,SUMIFS($R$18:$R$317,$B$18:$B$317,B313,$D$18:$D$317,D313,$P$18:$P$317,"A"))</f>
        <v/>
      </c>
      <c r="V313">
        <f>IF(OR(N313="",N313="OK",L313="Cancelled"),0,1)</f>
        <v/>
      </c>
    </row>
    <row r="314">
      <c r="B314" s="22" t="n"/>
      <c r="C314" s="23">
        <f>IF(B314="","",$E$9&amp;TEXT(N($E$10)+296,"000"))</f>
        <v/>
      </c>
      <c r="D314" s="14" t="n"/>
      <c r="E314" s="14" t="n"/>
      <c r="F314" s="14" t="n"/>
      <c r="G314" s="24" t="n"/>
      <c r="H314" s="14" t="n"/>
      <c r="I314" s="24" t="n"/>
      <c r="J314" s="25" t="n"/>
      <c r="K314" s="14" t="n"/>
      <c r="L314" s="24" t="n"/>
      <c r="M314" s="26">
        <f>IF(OR(N(J314)=0,L314="Cancelled"),"",IF(AND(N(J314)&gt;5000,H314="Cash"),"Yes: ₹1","No"))</f>
        <v/>
      </c>
      <c r="N314" s="27">
        <f>IF(AND(B314="",D314="",N(J314)=0),"",IF(B314="","Enter the date",IF(AND(ROW()&gt;18,B313=""),"Use the next empty row: a skipped row leaves a gap in the voucher numbers",IF(D314="","Enter who was paid",IF(N(J314)=0,"Enter the amount",IF(E314="","Pick the head of account",IF(P314="?","Pick the head from the list",IF(H314="","Pick how it was paid",IF(L314="Cancelled","Cancelled: keep this number unused and write a fresh voucher",IF(AND(H314&lt;&gt;"Cash",I314=""),"Enter the cheque no., UTR or UPI reference",IF(AND(N($E$11)&gt;0,N(J314)&gt;N($E$11),K314=""),"Above your approval limit: get it approved before paying",IF(S314&gt;10000,"Cash paid to this person today is over ₹10,000: not deductible, s.36(4)",IF(T314&gt;35000,"Cash freight to this transporter today is over ₹35,000: not deductible, s.36(6)",IF(U314&gt;10000,"Asset paid in cash over ₹10,000 today: left out of its cost, s.39(2)",IF(AND(P314="L",H314="Cash",N(J314)&gt;=20000),"Loan of ₹20,000 or more repaid in cash: barred, s.188","OK")))))))))))))))</f>
        <v/>
      </c>
      <c r="P314">
        <f>IF(E314="","",IFERROR(VLOOKUP(E314,Lists!$A$2:$B$17,2,FALSE),"?"))</f>
        <v/>
      </c>
      <c r="Q314">
        <f>IF(L314="Cancelled",0,N(J314))</f>
        <v/>
      </c>
      <c r="R314">
        <f>IF(H314="Cash",Q314,0)</f>
        <v/>
      </c>
      <c r="S314">
        <f>IF(OR(P314&lt;&gt;"E",R314=0),0,SUMIFS($R$18:$R$317,$B$18:$B$317,B314,$D$18:$D$317,D314,$P$18:$P$317,"E"))</f>
        <v/>
      </c>
      <c r="T314">
        <f>IF(OR(P314&lt;&gt;"F",R314=0),0,SUMIFS($R$18:$R$317,$B$18:$B$317,B314,$D$18:$D$317,D314,$P$18:$P$317,"F"))</f>
        <v/>
      </c>
      <c r="U314">
        <f>IF(OR(P314&lt;&gt;"A",R314=0),0,SUMIFS($R$18:$R$317,$B$18:$B$317,B314,$D$18:$D$317,D314,$P$18:$P$317,"A"))</f>
        <v/>
      </c>
      <c r="V314">
        <f>IF(OR(N314="",N314="OK",L314="Cancelled"),0,1)</f>
        <v/>
      </c>
    </row>
    <row r="315">
      <c r="B315" s="22" t="n"/>
      <c r="C315" s="23">
        <f>IF(B315="","",$E$9&amp;TEXT(N($E$10)+297,"000"))</f>
        <v/>
      </c>
      <c r="D315" s="14" t="n"/>
      <c r="E315" s="14" t="n"/>
      <c r="F315" s="14" t="n"/>
      <c r="G315" s="24" t="n"/>
      <c r="H315" s="14" t="n"/>
      <c r="I315" s="24" t="n"/>
      <c r="J315" s="25" t="n"/>
      <c r="K315" s="14" t="n"/>
      <c r="L315" s="24" t="n"/>
      <c r="M315" s="26">
        <f>IF(OR(N(J315)=0,L315="Cancelled"),"",IF(AND(N(J315)&gt;5000,H315="Cash"),"Yes: ₹1","No"))</f>
        <v/>
      </c>
      <c r="N315" s="27">
        <f>IF(AND(B315="",D315="",N(J315)=0),"",IF(B315="","Enter the date",IF(AND(ROW()&gt;18,B314=""),"Use the next empty row: a skipped row leaves a gap in the voucher numbers",IF(D315="","Enter who was paid",IF(N(J315)=0,"Enter the amount",IF(E315="","Pick the head of account",IF(P315="?","Pick the head from the list",IF(H315="","Pick how it was paid",IF(L315="Cancelled","Cancelled: keep this number unused and write a fresh voucher",IF(AND(H315&lt;&gt;"Cash",I315=""),"Enter the cheque no., UTR or UPI reference",IF(AND(N($E$11)&gt;0,N(J315)&gt;N($E$11),K315=""),"Above your approval limit: get it approved before paying",IF(S315&gt;10000,"Cash paid to this person today is over ₹10,000: not deductible, s.36(4)",IF(T315&gt;35000,"Cash freight to this transporter today is over ₹35,000: not deductible, s.36(6)",IF(U315&gt;10000,"Asset paid in cash over ₹10,000 today: left out of its cost, s.39(2)",IF(AND(P315="L",H315="Cash",N(J315)&gt;=20000),"Loan of ₹20,000 or more repaid in cash: barred, s.188","OK")))))))))))))))</f>
        <v/>
      </c>
      <c r="P315">
        <f>IF(E315="","",IFERROR(VLOOKUP(E315,Lists!$A$2:$B$17,2,FALSE),"?"))</f>
        <v/>
      </c>
      <c r="Q315">
        <f>IF(L315="Cancelled",0,N(J315))</f>
        <v/>
      </c>
      <c r="R315">
        <f>IF(H315="Cash",Q315,0)</f>
        <v/>
      </c>
      <c r="S315">
        <f>IF(OR(P315&lt;&gt;"E",R315=0),0,SUMIFS($R$18:$R$317,$B$18:$B$317,B315,$D$18:$D$317,D315,$P$18:$P$317,"E"))</f>
        <v/>
      </c>
      <c r="T315">
        <f>IF(OR(P315&lt;&gt;"F",R315=0),0,SUMIFS($R$18:$R$317,$B$18:$B$317,B315,$D$18:$D$317,D315,$P$18:$P$317,"F"))</f>
        <v/>
      </c>
      <c r="U315">
        <f>IF(OR(P315&lt;&gt;"A",R315=0),0,SUMIFS($R$18:$R$317,$B$18:$B$317,B315,$D$18:$D$317,D315,$P$18:$P$317,"A"))</f>
        <v/>
      </c>
      <c r="V315">
        <f>IF(OR(N315="",N315="OK",L315="Cancelled"),0,1)</f>
        <v/>
      </c>
    </row>
    <row r="316">
      <c r="B316" s="22" t="n"/>
      <c r="C316" s="23">
        <f>IF(B316="","",$E$9&amp;TEXT(N($E$10)+298,"000"))</f>
        <v/>
      </c>
      <c r="D316" s="14" t="n"/>
      <c r="E316" s="14" t="n"/>
      <c r="F316" s="14" t="n"/>
      <c r="G316" s="24" t="n"/>
      <c r="H316" s="14" t="n"/>
      <c r="I316" s="24" t="n"/>
      <c r="J316" s="25" t="n"/>
      <c r="K316" s="14" t="n"/>
      <c r="L316" s="24" t="n"/>
      <c r="M316" s="26">
        <f>IF(OR(N(J316)=0,L316="Cancelled"),"",IF(AND(N(J316)&gt;5000,H316="Cash"),"Yes: ₹1","No"))</f>
        <v/>
      </c>
      <c r="N316" s="27">
        <f>IF(AND(B316="",D316="",N(J316)=0),"",IF(B316="","Enter the date",IF(AND(ROW()&gt;18,B315=""),"Use the next empty row: a skipped row leaves a gap in the voucher numbers",IF(D316="","Enter who was paid",IF(N(J316)=0,"Enter the amount",IF(E316="","Pick the head of account",IF(P316="?","Pick the head from the list",IF(H316="","Pick how it was paid",IF(L316="Cancelled","Cancelled: keep this number unused and write a fresh voucher",IF(AND(H316&lt;&gt;"Cash",I316=""),"Enter the cheque no., UTR or UPI reference",IF(AND(N($E$11)&gt;0,N(J316)&gt;N($E$11),K316=""),"Above your approval limit: get it approved before paying",IF(S316&gt;10000,"Cash paid to this person today is over ₹10,000: not deductible, s.36(4)",IF(T316&gt;35000,"Cash freight to this transporter today is over ₹35,000: not deductible, s.36(6)",IF(U316&gt;10000,"Asset paid in cash over ₹10,000 today: left out of its cost, s.39(2)",IF(AND(P316="L",H316="Cash",N(J316)&gt;=20000),"Loan of ₹20,000 or more repaid in cash: barred, s.188","OK")))))))))))))))</f>
        <v/>
      </c>
      <c r="P316">
        <f>IF(E316="","",IFERROR(VLOOKUP(E316,Lists!$A$2:$B$17,2,FALSE),"?"))</f>
        <v/>
      </c>
      <c r="Q316">
        <f>IF(L316="Cancelled",0,N(J316))</f>
        <v/>
      </c>
      <c r="R316">
        <f>IF(H316="Cash",Q316,0)</f>
        <v/>
      </c>
      <c r="S316">
        <f>IF(OR(P316&lt;&gt;"E",R316=0),0,SUMIFS($R$18:$R$317,$B$18:$B$317,B316,$D$18:$D$317,D316,$P$18:$P$317,"E"))</f>
        <v/>
      </c>
      <c r="T316">
        <f>IF(OR(P316&lt;&gt;"F",R316=0),0,SUMIFS($R$18:$R$317,$B$18:$B$317,B316,$D$18:$D$317,D316,$P$18:$P$317,"F"))</f>
        <v/>
      </c>
      <c r="U316">
        <f>IF(OR(P316&lt;&gt;"A",R316=0),0,SUMIFS($R$18:$R$317,$B$18:$B$317,B316,$D$18:$D$317,D316,$P$18:$P$317,"A"))</f>
        <v/>
      </c>
      <c r="V316">
        <f>IF(OR(N316="",N316="OK",L316="Cancelled"),0,1)</f>
        <v/>
      </c>
    </row>
    <row r="317">
      <c r="B317" s="22" t="n"/>
      <c r="C317" s="23">
        <f>IF(B317="","",$E$9&amp;TEXT(N($E$10)+299,"000"))</f>
        <v/>
      </c>
      <c r="D317" s="14" t="n"/>
      <c r="E317" s="14" t="n"/>
      <c r="F317" s="14" t="n"/>
      <c r="G317" s="24" t="n"/>
      <c r="H317" s="14" t="n"/>
      <c r="I317" s="24" t="n"/>
      <c r="J317" s="25" t="n"/>
      <c r="K317" s="14" t="n"/>
      <c r="L317" s="24" t="n"/>
      <c r="M317" s="26">
        <f>IF(OR(N(J317)=0,L317="Cancelled"),"",IF(AND(N(J317)&gt;5000,H317="Cash"),"Yes: ₹1","No"))</f>
        <v/>
      </c>
      <c r="N317" s="27">
        <f>IF(AND(B317="",D317="",N(J317)=0),"",IF(B317="","Enter the date",IF(AND(ROW()&gt;18,B316=""),"Use the next empty row: a skipped row leaves a gap in the voucher numbers",IF(D317="","Enter who was paid",IF(N(J317)=0,"Enter the amount",IF(E317="","Pick the head of account",IF(P317="?","Pick the head from the list",IF(H317="","Pick how it was paid",IF(L317="Cancelled","Cancelled: keep this number unused and write a fresh voucher",IF(AND(H317&lt;&gt;"Cash",I317=""),"Enter the cheque no., UTR or UPI reference",IF(AND(N($E$11)&gt;0,N(J317)&gt;N($E$11),K317=""),"Above your approval limit: get it approved before paying",IF(S317&gt;10000,"Cash paid to this person today is over ₹10,000: not deductible, s.36(4)",IF(T317&gt;35000,"Cash freight to this transporter today is over ₹35,000: not deductible, s.36(6)",IF(U317&gt;10000,"Asset paid in cash over ₹10,000 today: left out of its cost, s.39(2)",IF(AND(P317="L",H317="Cash",N(J317)&gt;=20000),"Loan of ₹20,000 or more repaid in cash: barred, s.188","OK")))))))))))))))</f>
        <v/>
      </c>
      <c r="P317">
        <f>IF(E317="","",IFERROR(VLOOKUP(E317,Lists!$A$2:$B$17,2,FALSE),"?"))</f>
        <v/>
      </c>
      <c r="Q317">
        <f>IF(L317="Cancelled",0,N(J317))</f>
        <v/>
      </c>
      <c r="R317">
        <f>IF(H317="Cash",Q317,0)</f>
        <v/>
      </c>
      <c r="S317">
        <f>IF(OR(P317&lt;&gt;"E",R317=0),0,SUMIFS($R$18:$R$317,$B$18:$B$317,B317,$D$18:$D$317,D317,$P$18:$P$317,"E"))</f>
        <v/>
      </c>
      <c r="T317">
        <f>IF(OR(P317&lt;&gt;"F",R317=0),0,SUMIFS($R$18:$R$317,$B$18:$B$317,B317,$D$18:$D$317,D317,$P$18:$P$317,"F"))</f>
        <v/>
      </c>
      <c r="U317">
        <f>IF(OR(P317&lt;&gt;"A",R317=0),0,SUMIFS($R$18:$R$317,$B$18:$B$317,B317,$D$18:$D$317,D317,$P$18:$P$317,"A"))</f>
        <v/>
      </c>
      <c r="V317">
        <f>IF(OR(N317="",N317="OK",L317="Cancelled"),0,1)</f>
        <v/>
      </c>
    </row>
    <row r="318" ht="18" customHeight="1">
      <c r="B318" s="28" t="inlineStr">
        <is>
          <t>Total</t>
        </is>
      </c>
      <c r="C318" s="29" t="n"/>
      <c r="D318" s="29" t="n"/>
      <c r="E318" s="29" t="n"/>
      <c r="F318" s="29" t="n"/>
      <c r="G318" s="29" t="n"/>
      <c r="H318" s="29" t="n"/>
      <c r="I318" s="29" t="n"/>
      <c r="J318" s="30">
        <f>SUM($Q$18:$Q$317)</f>
        <v/>
      </c>
      <c r="K318" s="29" t="n"/>
      <c r="L318" s="29" t="n"/>
      <c r="M318" s="29" t="n"/>
      <c r="N318" s="29" t="n"/>
    </row>
    <row r="319" ht="16" customHeight="1">
      <c r="B319" s="11" t="inlineStr">
        <is>
          <t>The total leaves out cancelled vouchers.</t>
        </is>
      </c>
    </row>
    <row r="320"/>
    <row r="321" ht="16" customHeight="1">
      <c r="B321" s="8" t="inlineStr">
        <is>
          <t>General guidance, not legal or tax advice. Cash limits are from the Income-tax Act, 2025; the stamp from the Indian Stamp Act, 1899; the GST payment voucher from the CGST Act, 2017. The Voucher Rules sheet sets out each one.</t>
        </is>
      </c>
      <c r="C321" s="9" t="n"/>
      <c r="D321" s="9" t="n"/>
      <c r="E321" s="9" t="n"/>
      <c r="F321" s="9" t="n"/>
      <c r="G321" s="9" t="n"/>
      <c r="H321" s="9" t="n"/>
      <c r="I321" s="9" t="n"/>
      <c r="J321" s="9" t="n"/>
      <c r="K321" s="9" t="n"/>
      <c r="L321" s="9" t="n"/>
      <c r="M321" s="9" t="n"/>
      <c r="N321" s="9" t="n"/>
    </row>
    <row r="322"/>
    <row r="323" ht="16" customHeight="1">
      <c r="B323"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1"/>
  <mergeCells count="25">
    <mergeCell ref="B11:D11"/>
    <mergeCell ref="B8:D8"/>
    <mergeCell ref="B319:N319"/>
    <mergeCell ref="E7:H7"/>
    <mergeCell ref="E14:F14"/>
    <mergeCell ref="B15:N15"/>
    <mergeCell ref="B10:D10"/>
    <mergeCell ref="B5:N5"/>
    <mergeCell ref="B9:D9"/>
    <mergeCell ref="B14:C14"/>
    <mergeCell ref="B3:N3"/>
    <mergeCell ref="B6:D6"/>
    <mergeCell ref="B321:N321"/>
    <mergeCell ref="E8:H8"/>
    <mergeCell ref="B12:N12"/>
    <mergeCell ref="B323:N323"/>
    <mergeCell ref="B7:D7"/>
    <mergeCell ref="K14:L14"/>
    <mergeCell ref="B2:N2"/>
    <mergeCell ref="E10:H10"/>
    <mergeCell ref="E9:H9"/>
    <mergeCell ref="E6:H6"/>
    <mergeCell ref="B13:N13"/>
    <mergeCell ref="H14:I14"/>
    <mergeCell ref="E11:H11"/>
  </mergeCells>
  <dataValidations count="7">
    <dataValidation sqref="E11" showDropDown="0" showInputMessage="0" showErrorMessage="1" allowBlank="1" errorTitle="Enter an amount" error="Enter the amount in rupees as a number, with no minus sign." type="decimal" operator="greaterThanOrEqual">
      <formula1>0</formula1>
    </dataValidation>
    <dataValidation sqref="E10" showDropDown="0" showInputMessage="0" showErrorMessage="1" allowBlank="1" errorTitle="Enter a number" error="Enter a whole number, such as 1." type="whole" operator="between">
      <formula1>1</formula1>
      <formula2>99999</formula2>
    </dataValidation>
    <dataValidation sqref="B18:B317" showDropDown="0" showInputMessage="0" showErrorMessage="1" allowBlank="1" errorTitle="Enter a date" error="Enter a date, for example 01-Apr-2026." type="date" operator="between">
      <formula1>DATE(2000,1,1)</formula1>
      <formula2>DATE(2100,12,31)</formula2>
    </dataValidation>
    <dataValidation sqref="J18:J317" showDropDown="0" showInputMessage="0" showErrorMessage="1" allowBlank="1" errorTitle="Enter an amount" error="Enter the amount in rupees as a number, with no minus sign." type="decimal" operator="greaterThanOrEqual">
      <formula1>0</formula1>
    </dataValidation>
    <dataValidation sqref="E18:E317" showDropDown="0" showInputMessage="0" showErrorMessage="1" allowBlank="1" errorTitle="Pick from the list" error="Pick an option from the drop-down list." type="list">
      <formula1>=Lists!$A$2:$A$17</formula1>
    </dataValidation>
    <dataValidation sqref="H18:H317" showDropDown="0" showInputMessage="0" showErrorMessage="1" allowBlank="1" errorTitle="Pick from the list" error="Pick an option from the drop-down list." type="list">
      <formula1>=Lists!$C$2:$C$6</formula1>
    </dataValidation>
    <dataValidation sqref="L18:L317" showDropDown="0" showInputMessage="0" showErrorMessage="1" allowBlank="1" errorTitle="Pick from the list" error="Pick an option from the drop-down list." type="list">
      <formula1>=Lists!$A$20:$A$20</formula1>
    </dataValidation>
  </dataValidations>
  <pageMargins left="0.3" right="0.3" top="0.4" bottom="0.4"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B2:L23"/>
  <sheetViews>
    <sheetView showGridLines="0" workbookViewId="0">
      <selection activeCell="A1" sqref="A1"/>
    </sheetView>
  </sheetViews>
  <sheetFormatPr baseColWidth="8" defaultRowHeight="15"/>
  <cols>
    <col width="2" customWidth="1" min="1" max="1"/>
    <col width="22" customWidth="1" min="2" max="2"/>
    <col width="14" customWidth="1" min="3" max="3"/>
    <col width="14" customWidth="1" min="4" max="4"/>
    <col width="14" customWidth="1" min="5" max="5"/>
    <col width="14" customWidth="1" min="6" max="6"/>
    <col width="14" customWidth="1" min="7" max="7"/>
    <col width="16" customWidth="1" min="8" max="8"/>
    <col width="2" customWidth="1" min="9" max="9"/>
    <col hidden="1" width="12" customWidth="1" min="11" max="11"/>
    <col hidden="1" width="12" customWidth="1" min="12" max="12"/>
    <col width="12" customWidth="1" min="13" max="13"/>
  </cols>
  <sheetData>
    <row r="2">
      <c r="B2" s="1" t="inlineStr">
        <is>
          <t>PRINT A VOUCHER</t>
        </is>
      </c>
      <c r="K2" s="31" t="inlineStr">
        <is>
          <t>row</t>
        </is>
      </c>
      <c r="L2" s="32">
        <f>IF($D$4="","",IFERROR(MATCH($D$4,'Voucher Register'!$C$18:$C$317,0),""))</f>
        <v/>
      </c>
    </row>
    <row r="3">
      <c r="B3" s="11" t="inlineStr">
        <is>
          <t>Pick the voucher number, then print this sheet. Have the person paid sign it before the money leaves. Rows 2 to 5 do not print.</t>
        </is>
      </c>
      <c r="K3" s="31" t="inlineStr">
        <is>
          <t>date</t>
        </is>
      </c>
      <c r="L3" s="32">
        <f>IF($L$2="","",INDEX('Voucher Register'!$B$18:$B$317,$L$2))</f>
        <v/>
      </c>
    </row>
    <row r="4">
      <c r="B4" s="12" t="inlineStr">
        <is>
          <t>Voucher number to print</t>
        </is>
      </c>
      <c r="C4" s="13" t="n"/>
      <c r="D4" s="33" t="n"/>
      <c r="E4" s="15" t="n"/>
      <c r="K4" s="31" t="inlineStr">
        <is>
          <t>who</t>
        </is>
      </c>
      <c r="L4" s="32">
        <f>IF($L$2="","",INDEX('Voucher Register'!$D$18:$D$317,$L$2)&amp;"")</f>
        <v/>
      </c>
    </row>
    <row r="5">
      <c r="K5" s="31" t="inlineStr">
        <is>
          <t>head</t>
        </is>
      </c>
      <c r="L5" s="32">
        <f>IF($L$2="","",INDEX('Voucher Register'!$E$18:$E$317,$L$2)&amp;"")</f>
        <v/>
      </c>
    </row>
    <row r="6" ht="24" customHeight="1">
      <c r="B6" s="34">
        <f>IF('Voucher Register'!$E$6="","Name of the business",'Voucher Register'!$E$6)</f>
        <v/>
      </c>
      <c r="K6" s="31" t="inlineStr">
        <is>
          <t>being</t>
        </is>
      </c>
      <c r="L6" s="32">
        <f>IF($L$2="","",INDEX('Voucher Register'!$F$18:$F$317,$L$2)&amp;"")</f>
        <v/>
      </c>
    </row>
    <row r="7">
      <c r="B7" s="35">
        <f>TRIM('Voucher Register'!$E$7&amp;IF('Voucher Register'!$E$8="",""," | GSTIN: "&amp;'Voucher Register'!$E$8))</f>
        <v/>
      </c>
      <c r="K7" s="31" t="inlineStr">
        <is>
          <t>bill</t>
        </is>
      </c>
      <c r="L7" s="32">
        <f>IF($L$2="","",INDEX('Voucher Register'!$G$18:$G$317,$L$2)&amp;"")</f>
        <v/>
      </c>
    </row>
    <row r="8" ht="22" customHeight="1">
      <c r="B8" s="3">
        <f>IF($L$12="Cancelled","  CANCELLED",IF(OR($L$8="",$L$8="Cash"),"  CASH VOUCHER","  BANK PAYMENT VOUCHER"))</f>
        <v/>
      </c>
      <c r="C8" s="4" t="n"/>
      <c r="D8" s="4" t="n"/>
      <c r="E8" s="4" t="n"/>
      <c r="F8" s="4" t="n"/>
      <c r="G8" s="36" t="inlineStr">
        <is>
          <t>Debit voucher</t>
        </is>
      </c>
      <c r="H8" s="4" t="n"/>
      <c r="K8" s="31" t="inlineStr">
        <is>
          <t>mode</t>
        </is>
      </c>
      <c r="L8" s="32">
        <f>IF($L$2="","",INDEX('Voucher Register'!$H$18:$H$317,$L$2)&amp;"")</f>
        <v/>
      </c>
    </row>
    <row r="9" ht="20" customHeight="1">
      <c r="B9" s="12" t="inlineStr">
        <is>
          <t>Voucher no.</t>
        </is>
      </c>
      <c r="C9" s="37">
        <f>$D$4</f>
        <v/>
      </c>
      <c r="D9" s="7" t="n"/>
      <c r="F9" s="12" t="inlineStr">
        <is>
          <t>Date</t>
        </is>
      </c>
      <c r="G9" s="38">
        <f>IF($L$3="","",$L$3)</f>
        <v/>
      </c>
      <c r="H9" s="7" t="n"/>
      <c r="K9" s="31" t="inlineStr">
        <is>
          <t>ref</t>
        </is>
      </c>
      <c r="L9" s="32">
        <f>IF($L$2="","",INDEX('Voucher Register'!$I$18:$I$317,$L$2)&amp;"")</f>
        <v/>
      </c>
    </row>
    <row r="10" ht="30" customHeight="1">
      <c r="B10" s="12" t="inlineStr">
        <is>
          <t>Paid to</t>
        </is>
      </c>
      <c r="C10" s="39">
        <f>$L$4</f>
        <v/>
      </c>
      <c r="D10" s="7" t="n"/>
      <c r="E10" s="7" t="n"/>
      <c r="F10" s="7" t="n"/>
      <c r="G10" s="7" t="n"/>
      <c r="H10" s="7" t="n"/>
      <c r="K10" s="31" t="inlineStr">
        <is>
          <t>amt</t>
        </is>
      </c>
      <c r="L10" s="32">
        <f>IF($L$2="","",INDEX('Voucher Register'!$J$18:$J$317,$L$2))</f>
        <v/>
      </c>
    </row>
    <row r="11" ht="30" customHeight="1">
      <c r="B11" s="12" t="inlineStr">
        <is>
          <t>Debit (head of account)</t>
        </is>
      </c>
      <c r="C11" s="39">
        <f>$L$5</f>
        <v/>
      </c>
      <c r="D11" s="7" t="n"/>
      <c r="E11" s="7" t="n"/>
      <c r="F11" s="7" t="n"/>
      <c r="G11" s="7" t="n"/>
      <c r="H11" s="7" t="n"/>
      <c r="K11" s="31" t="inlineStr">
        <is>
          <t>appr</t>
        </is>
      </c>
      <c r="L11" s="32">
        <f>IF($L$2="","",INDEX('Voucher Register'!$K$18:$K$317,$L$2)&amp;"")</f>
        <v/>
      </c>
    </row>
    <row r="12" ht="30" customHeight="1">
      <c r="B12" s="12" t="inlineStr">
        <is>
          <t>Being</t>
        </is>
      </c>
      <c r="C12" s="39">
        <f>IF($L$6="","",$L$6&amp;IF($L$7="",""," (bill no. "&amp;$L$7&amp;")"))</f>
        <v/>
      </c>
      <c r="D12" s="7" t="n"/>
      <c r="E12" s="7" t="n"/>
      <c r="F12" s="7" t="n"/>
      <c r="G12" s="7" t="n"/>
      <c r="H12" s="7" t="n"/>
      <c r="K12" s="31" t="inlineStr">
        <is>
          <t>canc</t>
        </is>
      </c>
      <c r="L12" s="32">
        <f>IF($L$2="","",INDEX('Voucher Register'!$L$18:$L$317,$L$2)&amp;"")</f>
        <v/>
      </c>
    </row>
    <row r="13" ht="30" customHeight="1">
      <c r="B13" s="12" t="inlineStr">
        <is>
          <t>The sum of</t>
        </is>
      </c>
      <c r="C13" s="39">
        <f>$L$22</f>
        <v/>
      </c>
      <c r="D13" s="7" t="n"/>
      <c r="E13" s="7" t="n"/>
      <c r="F13" s="7" t="n"/>
      <c r="G13" s="7" t="n"/>
      <c r="H13" s="7" t="n"/>
      <c r="K13" s="31" t="inlineStr">
        <is>
          <t>stamp</t>
        </is>
      </c>
      <c r="L13" s="32">
        <f>IF($L$2="","",INDEX('Voucher Register'!$M$18:$M$317,$L$2)&amp;"")</f>
        <v/>
      </c>
    </row>
    <row r="14" ht="30" customHeight="1">
      <c r="B14" s="12" t="inlineStr">
        <is>
          <t>Paid by</t>
        </is>
      </c>
      <c r="C14" s="39">
        <f>IF($L$8="","",$L$8&amp;IF($L$9="","",", ref. "&amp;$L$9))</f>
        <v/>
      </c>
      <c r="D14" s="7" t="n"/>
      <c r="E14" s="7" t="n"/>
      <c r="F14" s="7" t="n"/>
      <c r="G14" s="7" t="n"/>
      <c r="H14" s="7" t="n"/>
      <c r="K14" s="31" t="inlineStr">
        <is>
          <t>check</t>
        </is>
      </c>
      <c r="L14" s="32">
        <f>IF($L$2="","",INDEX('Voucher Register'!$N$18:$N$317,$L$2)&amp;"")</f>
        <v/>
      </c>
    </row>
    <row r="15" ht="26" customHeight="1">
      <c r="B15" s="12" t="inlineStr">
        <is>
          <t>Amount (₹)</t>
        </is>
      </c>
      <c r="C15" s="40">
        <f>IF($L$10="","",$L$10)</f>
        <v/>
      </c>
      <c r="D15" s="7" t="n"/>
      <c r="K15" s="31" t="inlineStr">
        <is>
          <t>a</t>
        </is>
      </c>
      <c r="L15" s="32">
        <f>IF($L$10="",0,ROUND(N($L$10),2))</f>
        <v/>
      </c>
    </row>
    <row r="16">
      <c r="K16" s="31" t="inlineStr">
        <is>
          <t>cr</t>
        </is>
      </c>
      <c r="L16" s="32">
        <f>INT($L$15/10000000)</f>
        <v/>
      </c>
    </row>
    <row r="17">
      <c r="B17" s="41" t="inlineStr">
        <is>
          <t>Prepared by</t>
        </is>
      </c>
      <c r="C17" s="13" t="n"/>
      <c r="D17" s="41" t="inlineStr">
        <is>
          <t>Approved by</t>
        </is>
      </c>
      <c r="E17" s="13" t="n"/>
      <c r="F17" s="41" t="inlineStr">
        <is>
          <t>Received payment (signature of the person paid)</t>
        </is>
      </c>
      <c r="G17" s="13" t="n"/>
      <c r="H17" s="13" t="n"/>
      <c r="K17" s="31" t="inlineStr">
        <is>
          <t>lk</t>
        </is>
      </c>
      <c r="L17" s="32">
        <f>INT(MOD(INT($L$15),10000000)/100000)</f>
        <v/>
      </c>
    </row>
    <row r="18" ht="56" customHeight="1">
      <c r="B18" s="7" t="n"/>
      <c r="C18" s="7" t="n"/>
      <c r="D18" s="26">
        <f>$L$11</f>
        <v/>
      </c>
      <c r="E18" s="7" t="n"/>
      <c r="F18" s="42">
        <f>IF(LEFT($L$13,3)="Yes","Affix a ₹1 revenue stamp here and sign across it","")</f>
        <v/>
      </c>
      <c r="G18" s="7" t="n"/>
      <c r="H18" s="7" t="n"/>
      <c r="K18" s="31" t="inlineStr">
        <is>
          <t>th</t>
        </is>
      </c>
      <c r="L18" s="32">
        <f>INT(MOD(INT($L$15),100000)/1000)</f>
        <v/>
      </c>
    </row>
    <row r="19">
      <c r="K19" s="31" t="inlineStr">
        <is>
          <t>hu</t>
        </is>
      </c>
      <c r="L19" s="32">
        <f>INT(MOD(INT($L$15),1000)/100)</f>
        <v/>
      </c>
    </row>
    <row r="20">
      <c r="B20" s="16">
        <f>IF($D$4="","Pick a voucher number above.",IF($L$2="","No voucher with that number in the register.","Check for this voucher: "&amp;$L$14))</f>
        <v/>
      </c>
      <c r="K20" s="31" t="inlineStr">
        <is>
          <t>te</t>
        </is>
      </c>
      <c r="L20" s="32">
        <f>MOD(INT($L$15),100)</f>
        <v/>
      </c>
    </row>
    <row r="21">
      <c r="B21" s="11" t="inlineStr">
        <is>
          <t>This line sits below the print area, so it never prints on the voucher.</t>
        </is>
      </c>
      <c r="K21" s="31" t="inlineStr">
        <is>
          <t>ps</t>
        </is>
      </c>
      <c r="L21" s="32">
        <f>ROUND(($L$15-INT($L$15))*100,0)</f>
        <v/>
      </c>
    </row>
    <row r="22">
      <c r="K22" s="31" t="inlineStr">
        <is>
          <t>words</t>
        </is>
      </c>
      <c r="L22" s="32">
        <f>IF($L$15=0,"",IF($L$15&gt;=1000000000,"(amount too large to write in words)","Rupees "&amp;PROPER(TRIM(IF($L$16&gt;0,VLOOKUP($L$16,Lists!$D$2:$E$101,2,FALSE)&amp;" crore ","")&amp;IF($L$17&gt;0,VLOOKUP($L$17,Lists!$D$2:$E$101,2,FALSE)&amp;" lakh ","")&amp;IF($L$18&gt;0,VLOOKUP($L$18,Lists!$D$2:$E$101,2,FALSE)&amp;" thousand ","")&amp;IF($L$19&gt;0,VLOOKUP($L$19,Lists!$D$2:$E$101,2,FALSE)&amp;" hundred ","")&amp;IF($L$20&gt;0,VLOOKUP($L$20,Lists!$D$2:$E$101,2,FALSE),"")&amp;IF(INT($L$15)=0,"zero","")))&amp;IF($L$21&gt;0," and "&amp;PROPER(VLOOKUP($L$21,Lists!$D$2:$E$101,2,FALSE))&amp;" Paise","")&amp;" Only"))</f>
        <v/>
      </c>
    </row>
    <row r="23">
      <c r="B23"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25">
    <mergeCell ref="C10:H10"/>
    <mergeCell ref="F18:H18"/>
    <mergeCell ref="C15:D15"/>
    <mergeCell ref="B6:H6"/>
    <mergeCell ref="F17:H17"/>
    <mergeCell ref="C12:H12"/>
    <mergeCell ref="G8:H8"/>
    <mergeCell ref="B18:C18"/>
    <mergeCell ref="B20:H20"/>
    <mergeCell ref="C11:H11"/>
    <mergeCell ref="B7:H7"/>
    <mergeCell ref="C9:D9"/>
    <mergeCell ref="B8:F8"/>
    <mergeCell ref="B3:H3"/>
    <mergeCell ref="D17:E17"/>
    <mergeCell ref="B17:C17"/>
    <mergeCell ref="C13:H13"/>
    <mergeCell ref="B21:H21"/>
    <mergeCell ref="B2:H2"/>
    <mergeCell ref="D4:E4"/>
    <mergeCell ref="D18:E18"/>
    <mergeCell ref="B23:H23"/>
    <mergeCell ref="C14:H14"/>
    <mergeCell ref="G9:H9"/>
    <mergeCell ref="B4:C4"/>
  </mergeCells>
  <dataValidations count="1">
    <dataValidation sqref="D4" showDropDown="0" showInputMessage="0" showErrorMessage="0" allowBlank="1" type="list">
      <formula1>='Voucher Register'!$C$18:$C$317</formula1>
    </dataValidation>
  </dataValidations>
  <pageMargins left="0.4" right="0.4" top="0.4" bottom="0.4" header="0.5" footer="0.5"/>
  <pageSetup orientation="portrait" paperSize="9" fitToHeight="1" fitToWidth="1"/>
</worksheet>
</file>

<file path=xl/worksheets/sheet4.xml><?xml version="1.0" encoding="utf-8"?>
<worksheet xmlns="http://schemas.openxmlformats.org/spreadsheetml/2006/main">
  <sheetPr>
    <outlinePr summaryBelow="1" summaryRight="1"/>
    <pageSetUpPr fitToPage="1"/>
  </sheetPr>
  <dimension ref="A1:D19"/>
  <sheetViews>
    <sheetView showGridLines="0" workbookViewId="0">
      <selection activeCell="A1" sqref="A1"/>
    </sheetView>
  </sheetViews>
  <sheetFormatPr baseColWidth="8" defaultRowHeight="15"/>
  <cols>
    <col width="2" customWidth="1" min="1" max="1"/>
    <col width="30" customWidth="1" min="2" max="2"/>
    <col width="64" customWidth="1" min="3" max="3"/>
    <col width="48" customWidth="1" min="4" max="4"/>
    <col width="2" customWidth="1" min="5" max="5"/>
  </cols>
  <sheetData>
    <row r="1"/>
    <row r="2" ht="26" customHeight="1">
      <c r="B2" s="1" t="inlineStr">
        <is>
          <t>THE RULES BEHIND THE CHECK COLUMN</t>
        </is>
      </c>
    </row>
    <row r="3" ht="28" customHeight="1">
      <c r="B3" s="43" t="inlineStr">
        <is>
          <t>A cash voucher records money going out. The Income-tax Act, 2025 limits what may go out in cash, the Indian Stamp Act decides when the payee's signature needs a stamp, and the CGST Act asks for a payment voucher under reverse charge. Each provision is quoted or summarised.</t>
        </is>
      </c>
    </row>
    <row r="4"/>
    <row r="5" ht="19" customHeight="1">
      <c r="B5" s="21" t="inlineStr">
        <is>
          <t>Provision</t>
        </is>
      </c>
      <c r="C5" s="21" t="inlineStr">
        <is>
          <t>What it says</t>
        </is>
      </c>
      <c r="D5" s="21" t="inlineStr">
        <is>
          <t>What it means for your vouchers</t>
        </is>
      </c>
    </row>
    <row r="6" ht="70" customHeight="1">
      <c r="B6" s="5" t="inlineStr">
        <is>
          <t>Income-tax Act, 2025, s.36(4)  (was 40A(3))</t>
        </is>
      </c>
      <c r="C6" s="6" t="inlineStr">
        <is>
          <t>"Where in respect of any expenditure incurred by the assessee, any payment or aggregate of payments made in a day to a person exceeds ₹10000 and is not made through specified banking or online mode, then the expenditure by way of such payments shall not be allowed as a deduction."</t>
        </is>
      </c>
      <c r="D6" s="6" t="inlineStr">
        <is>
          <t>Cash to one person in one day: keep it to ₹10,000 or less, counting every voucher to them that day. The register adds them up by date and name, so write a name the same way each time.</t>
        </is>
      </c>
    </row>
    <row r="7" ht="44" customHeight="1">
      <c r="B7" s="5" t="inlineStr">
        <is>
          <t>Income-tax Act, 2025, s.36(6)</t>
        </is>
      </c>
      <c r="C7" s="6" t="inlineStr">
        <is>
          <t>"... the figures '₹10000' shall be read as '₹35000' in case the payment is made for plying, hiring or leasing of goods carriages."</t>
        </is>
      </c>
      <c r="D7" s="6" t="inlineStr">
        <is>
          <t>Freight to a goods transporter has a higher limit: ₹35,000 a day. Use the head 'Freight to goods transporter'.</t>
        </is>
      </c>
    </row>
    <row r="8" ht="57" customHeight="1">
      <c r="B8" s="5" t="inlineStr">
        <is>
          <t>Income-tax Act, 2025, s.36(7) and Rule 26  (was Rule 6DD)</t>
        </is>
      </c>
      <c r="C8" s="6" t="inlineStr">
        <is>
          <t>"The provisions of sub-sections (4) and (5) shall not be applicable in cases and circumstances, as may be prescribed, having regard to the nature and extent of banking facilities available, considerations of business expediency and other relevant factors."</t>
        </is>
      </c>
      <c r="D8" s="6" t="inlineStr">
        <is>
          <t>There are exceptions, set out in the Income-tax Rules. The register cannot tell whether one applies. A flag means look, not that you are wrong.</t>
        </is>
      </c>
    </row>
    <row r="9" ht="84" customHeight="1">
      <c r="B9" s="5" t="inlineStr">
        <is>
          <t>Income-tax Act, 2025, s.66(32) and Rule 48</t>
        </is>
      </c>
      <c r="C9" s="6" t="inlineStr">
        <is>
          <t>"'Specified Banking or Online Mode' shall mean transaction by an account payee cheque or an account payee bank draft or use of electronic clearing system through a bank account or through such other electronic mode, as may be prescribed." Rule 48 of the Income-tax Rules, 2026 lists credit card, debit card, net banking, IMPS, UPI, RTGS, NEFT, BHIM Aadhaar Pay and certain CBDC wallets.</t>
        </is>
      </c>
      <c r="D9" s="6" t="inlineStr">
        <is>
          <t>UPI, card, account payee cheque and bank transfer are not cash for these rules. A bearer cheque is not on the list: record it as cash.</t>
        </is>
      </c>
    </row>
    <row r="10" ht="57" customHeight="1">
      <c r="B10" s="5" t="inlineStr">
        <is>
          <t>Income-tax Act, 2025, s.39(2)  (was 43(1))</t>
        </is>
      </c>
      <c r="C10" s="6" t="inlineStr">
        <is>
          <t>"The payment or aggregate of payments exceeding ₹10000 in a day for acquisition of an asset or part thereof, made to a person in a mode otherwise than by specified banking or online mode, shall be excluded from the actual cost of that asset."</t>
        </is>
      </c>
      <c r="D10" s="6" t="inlineStr">
        <is>
          <t>Pay more than ₹10,000 in cash in a day for equipment or furniture and that whole payment gets no depreciation.</t>
        </is>
      </c>
    </row>
    <row r="11" ht="70" customHeight="1">
      <c r="B11" s="5" t="inlineStr">
        <is>
          <t>Income-tax Act, 2025, s.188 and s.453  (was 269T and 271E)</t>
        </is>
      </c>
      <c r="C11" s="6" t="inlineStr">
        <is>
          <t>No person shall repay any loan or deposit or specified advance except through an account payee cheque, bank draft, electronic clearing system or other prescribed electronic mode, if the amount with interest is ₹ 20000 or more. s.453: a penalty equal to the amount so repaid.</t>
        </is>
      </c>
      <c r="D11" s="6" t="inlineStr">
        <is>
          <t>Repay loans of ₹20,000 or more from the bank, not with a cash voucher.</t>
        </is>
      </c>
    </row>
    <row r="12" ht="70" customHeight="1">
      <c r="B12" s="5" t="inlineStr">
        <is>
          <t>Indian Stamp Act, 1899, s.2(23) and Schedule I, Article 53</t>
        </is>
      </c>
      <c r="C12" s="6" t="inlineStr">
        <is>
          <t>"'receipt' includes any note, memorandum or writing (a) whereby any money ... is acknowledged to have been received ... and whether the same is or is not signed with the name of any person". Article 53: a receipt for money "the amount or value of which exceeds five thousand rupees" carries a duty of one rupee.</t>
        </is>
      </c>
      <c r="D12" s="6" t="inlineStr">
        <is>
          <t>When the person paid signs the voucher for cash, that signature is a receipt. Above ₹5,000 it needs a ₹1 revenue stamp, cancelled by signing across it with the date. The Stamp column shows which vouchers.</t>
        </is>
      </c>
    </row>
    <row r="13" ht="57" customHeight="1">
      <c r="B13" s="5" t="inlineStr">
        <is>
          <t>CGST Act, 2017, s.31(3)(f) and (g)</t>
        </is>
      </c>
      <c r="C13" s="6" t="inlineStr">
        <is>
          <t>A registered person liable to pay tax under reverse charge "shall issue an invoice" for supplies received from an unregistered supplier, and "shall issue a payment voucher at the time of making payment to the supplier."</t>
        </is>
      </c>
      <c r="D13" s="6" t="inlineStr">
        <is>
          <t>This cash voucher is not that GST document. If a payment falls under reverse charge, issue the GST self invoice and payment voucher as well.</t>
        </is>
      </c>
    </row>
    <row r="14" ht="44" customHeight="1">
      <c r="B14" s="5" t="inlineStr">
        <is>
          <t>CGST Act, 2017, s.36</t>
        </is>
      </c>
      <c r="C14" s="6" t="inlineStr">
        <is>
          <t>Accounts and records are kept for 72 months from the due date of furnishing the annual return for the year they relate to, and longer where an appeal, revision or proceeding is pending.</t>
        </is>
      </c>
      <c r="D14" s="6" t="inlineStr">
        <is>
          <t>Keep the signed vouchers, with the bills behind them, for at least six years from the annual return due date.</t>
        </is>
      </c>
    </row>
    <row r="15"/>
    <row r="16" ht="40" customHeight="1">
      <c r="B16" s="43" t="inlineStr">
        <is>
          <t>Sources: Income-tax Act, 2025 (No. 30 of 2025), egazette.gov.in/WriteReadData/2025/265620.pdf, checked against ICAI's text as amended by the Finance Act, 2026; Income-tax Rules, 2026, Rule 48, as published by the Income Tax Department; Indian Stamp Act, 1899 (indiacode.nic.in); CGST Act, 2017 (cbic-gst.gov.in). Read 28-Oct-2026.</t>
        </is>
      </c>
    </row>
    <row r="17" ht="16" customHeight="1">
      <c r="B17" s="43" t="inlineStr">
        <is>
          <t>Quotes are shortened where marked. General guidance, not legal or tax advice.</t>
        </is>
      </c>
    </row>
    <row r="18"/>
    <row r="19" ht="16" customHeight="1">
      <c r="B19"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
    <mergeCell ref="B3:D3"/>
    <mergeCell ref="B19:D19"/>
    <mergeCell ref="B17:D17"/>
    <mergeCell ref="B2:D2"/>
    <mergeCell ref="B16:D16"/>
  </mergeCells>
  <pageMargins left="0.3" right="0.3" top="0.4" bottom="0.4"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V323"/>
  <sheetViews>
    <sheetView workbookViewId="0">
      <pane xSplit="3" ySplit="17" topLeftCell="D18"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15" customWidth="1" min="3" max="3"/>
    <col width="26" customWidth="1" min="4" max="4"/>
    <col width="28" customWidth="1" min="5" max="5"/>
    <col width="26" customWidth="1" min="6" max="6"/>
    <col width="14" customWidth="1" min="7" max="7"/>
    <col width="22" customWidth="1" min="8" max="8"/>
    <col width="18" customWidth="1" min="9" max="9"/>
    <col width="13" customWidth="1" min="10" max="10"/>
    <col width="16" customWidth="1" min="11" max="11"/>
    <col width="11" customWidth="1" min="12" max="12"/>
    <col width="10" customWidth="1" min="13" max="13"/>
    <col width="52" customWidth="1" min="14" max="14"/>
    <col width="2"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s>
  <sheetData>
    <row r="1"/>
    <row r="2" ht="26" customHeight="1">
      <c r="B2" s="1" t="inlineStr">
        <is>
          <t>VOUCHER REGISTER  (cash and payment vouchers)</t>
        </is>
      </c>
    </row>
    <row r="3" ht="16" customHeight="1">
      <c r="B3" s="11" t="inlineStr">
        <is>
          <t>EXAMPLE: two weeks of payments at a made-up shop in Indore. Six vouchers are flagged on purpose, five under four cash rules and one waiting for approval, and one is cancelled; read the Check column.</t>
        </is>
      </c>
    </row>
    <row r="4"/>
    <row r="5" ht="19" customHeight="1">
      <c r="B5" s="3" t="inlineStr">
        <is>
          <t xml:space="preserve">  SET UP (name, address and GSTIN print on every voucher)</t>
        </is>
      </c>
      <c r="C5" s="4" t="n"/>
      <c r="D5" s="4" t="n"/>
      <c r="E5" s="4" t="n"/>
      <c r="F5" s="4" t="n"/>
      <c r="G5" s="4" t="n"/>
      <c r="H5" s="4" t="n"/>
      <c r="I5" s="4" t="n"/>
      <c r="J5" s="4" t="n"/>
      <c r="K5" s="4" t="n"/>
      <c r="L5" s="4" t="n"/>
      <c r="M5" s="4" t="n"/>
      <c r="N5" s="4" t="n"/>
    </row>
    <row r="6" ht="18" customHeight="1">
      <c r="B6" s="12" t="inlineStr">
        <is>
          <t>Name of the business</t>
        </is>
      </c>
      <c r="C6" s="13" t="n"/>
      <c r="D6" s="13" t="n"/>
      <c r="E6" s="14" t="inlineStr">
        <is>
          <t>Sample Stores (example)</t>
        </is>
      </c>
      <c r="F6" s="15" t="n"/>
      <c r="G6" s="15" t="n"/>
      <c r="H6" s="15" t="n"/>
    </row>
    <row r="7" ht="18" customHeight="1">
      <c r="B7" s="12" t="inlineStr">
        <is>
          <t>Address</t>
        </is>
      </c>
      <c r="C7" s="13" t="n"/>
      <c r="D7" s="13" t="n"/>
      <c r="E7" s="14" t="inlineStr">
        <is>
          <t>MG Road, Indore, Madhya Pradesh</t>
        </is>
      </c>
      <c r="F7" s="15" t="n"/>
      <c r="G7" s="15" t="n"/>
      <c r="H7" s="15" t="n"/>
    </row>
    <row r="8" ht="18" customHeight="1">
      <c r="B8" s="12" t="inlineStr">
        <is>
          <t>GSTIN (leave blank if not registered)</t>
        </is>
      </c>
      <c r="C8" s="13" t="n"/>
      <c r="D8" s="13" t="n"/>
      <c r="E8" s="14" t="n"/>
      <c r="F8" s="15" t="n"/>
      <c r="G8" s="15" t="n"/>
      <c r="H8" s="15" t="n"/>
    </row>
    <row r="9" ht="18" customHeight="1">
      <c r="B9" s="12" t="inlineStr">
        <is>
          <t>Voucher number starts with</t>
        </is>
      </c>
      <c r="C9" s="13" t="n"/>
      <c r="D9" s="13" t="n"/>
      <c r="E9" s="14" t="inlineStr">
        <is>
          <t>CV/26-27/</t>
        </is>
      </c>
      <c r="F9" s="15" t="n"/>
      <c r="G9" s="15" t="n"/>
      <c r="H9" s="15" t="n"/>
      <c r="I9" s="16">
        <f>IF(LEN($E$9)+3&gt;16,"Keep it shorter: with the number, 16 characters is a sensible limit","")</f>
        <v/>
      </c>
    </row>
    <row r="10" ht="18" customHeight="1">
      <c r="B10" s="12" t="inlineStr">
        <is>
          <t>First voucher number</t>
        </is>
      </c>
      <c r="C10" s="13" t="n"/>
      <c r="D10" s="13" t="n"/>
      <c r="E10" s="17" t="n">
        <v>1</v>
      </c>
      <c r="F10" s="15" t="n"/>
      <c r="G10" s="15" t="n"/>
      <c r="H10" s="15" t="n"/>
      <c r="I10" s="16">
        <f>IF(AND($E$10&lt;&gt;"",OR(NOT(ISNUMBER($E$10)),$E$10&lt;1)),"Enter a whole number, such as 1","")</f>
        <v/>
      </c>
    </row>
    <row r="11" ht="18" customHeight="1">
      <c r="B11" s="12" t="inlineStr">
        <is>
          <t>Payments above this need approval (₹), blank for none</t>
        </is>
      </c>
      <c r="C11" s="13" t="n"/>
      <c r="D11" s="13" t="n"/>
      <c r="E11" s="18" t="n">
        <v>5000</v>
      </c>
      <c r="F11" s="15" t="n"/>
      <c r="G11" s="15" t="n"/>
      <c r="H11" s="15" t="n"/>
    </row>
    <row r="12" ht="16" customHeight="1">
      <c r="B12" s="11" t="inlineStr">
        <is>
          <t>Set the voucher number fields once. Changing them later renumbers every voucher, including ones already signed.</t>
        </is>
      </c>
    </row>
    <row r="13" ht="19" customHeight="1">
      <c r="B13" s="3" t="inlineStr">
        <is>
          <t xml:space="preserve">  WHERE YOU STAND</t>
        </is>
      </c>
      <c r="C13" s="4" t="n"/>
      <c r="D13" s="4" t="n"/>
      <c r="E13" s="4" t="n"/>
      <c r="F13" s="4" t="n"/>
      <c r="G13" s="4" t="n"/>
      <c r="H13" s="4" t="n"/>
      <c r="I13" s="4" t="n"/>
      <c r="J13" s="4" t="n"/>
      <c r="K13" s="4" t="n"/>
      <c r="L13" s="4" t="n"/>
      <c r="M13" s="4" t="n"/>
      <c r="N13" s="4" t="n"/>
    </row>
    <row r="14" ht="18" customHeight="1">
      <c r="B14" s="12" t="inlineStr">
        <is>
          <t>Paid so far (₹)</t>
        </is>
      </c>
      <c r="C14" s="13" t="n"/>
      <c r="D14" s="19">
        <f>SUM($Q$18:$Q$317)</f>
        <v/>
      </c>
      <c r="E14" s="12" t="inlineStr">
        <is>
          <t>Of which in cash (₹)</t>
        </is>
      </c>
      <c r="F14" s="13" t="n"/>
      <c r="G14" s="19">
        <f>SUM($R$18:$R$317)</f>
        <v/>
      </c>
      <c r="H14" s="12" t="inlineStr">
        <is>
          <t>Vouchers that need a ₹1 stamp</t>
        </is>
      </c>
      <c r="I14" s="13" t="n"/>
      <c r="J14" s="20">
        <f>COUNTIF($M$18:$M$317,"Yes*")</f>
        <v/>
      </c>
      <c r="K14" s="12" t="inlineStr">
        <is>
          <t>Vouchers to look at</t>
        </is>
      </c>
      <c r="L14" s="13" t="n"/>
      <c r="M14" s="20">
        <f>SUM($V$18:$V$317)</f>
        <v/>
      </c>
    </row>
    <row r="15" ht="16" customHeight="1">
      <c r="B15" s="11" t="inlineStr">
        <is>
          <t>Anything other than OK in the Check column is something to look at before you pay. The Voucher Rules sheet explains each message.</t>
        </is>
      </c>
    </row>
    <row r="16"/>
    <row r="17" ht="48" customHeight="1">
      <c r="B17" s="21" t="inlineStr">
        <is>
          <t>Date</t>
        </is>
      </c>
      <c r="C17" s="21" t="inlineStr">
        <is>
          <t>Voucher no.</t>
        </is>
      </c>
      <c r="D17" s="21" t="inlineStr">
        <is>
          <t>Paid to</t>
        </is>
      </c>
      <c r="E17" s="21" t="inlineStr">
        <is>
          <t>Head of account</t>
        </is>
      </c>
      <c r="F17" s="21" t="inlineStr">
        <is>
          <t>Being (what it was for)</t>
        </is>
      </c>
      <c r="G17" s="21" t="inlineStr">
        <is>
          <t>Supplier's bill no. (if any)</t>
        </is>
      </c>
      <c r="H17" s="21" t="inlineStr">
        <is>
          <t>How it was paid</t>
        </is>
      </c>
      <c r="I17" s="21" t="inlineStr">
        <is>
          <t>Cheque no., UTR or UPI ref</t>
        </is>
      </c>
      <c r="J17" s="21" t="inlineStr">
        <is>
          <t>Amount</t>
        </is>
      </c>
      <c r="K17" s="21" t="inlineStr">
        <is>
          <t>Approved by</t>
        </is>
      </c>
      <c r="L17" s="21" t="inlineStr">
        <is>
          <t>Cancelled?</t>
        </is>
      </c>
      <c r="M17" s="21" t="inlineStr">
        <is>
          <t>Stamp</t>
        </is>
      </c>
      <c r="N17" s="21" t="inlineStr">
        <is>
          <t>Check</t>
        </is>
      </c>
    </row>
    <row r="18" ht="31" customHeight="1">
      <c r="B18" s="22" t="n">
        <v>46113</v>
      </c>
      <c r="C18" s="23">
        <f>IF(B18="","",$E$9&amp;TEXT(N($E$10)+0,"000"))</f>
        <v/>
      </c>
      <c r="D18" s="14" t="inlineStr">
        <is>
          <t>Tea stall</t>
        </is>
      </c>
      <c r="E18" s="14" t="inlineStr">
        <is>
          <t>Tea, snacks and staff welfare</t>
        </is>
      </c>
      <c r="F18" s="14" t="inlineStr">
        <is>
          <t>Tea for staff, week 1</t>
        </is>
      </c>
      <c r="G18" s="24" t="n"/>
      <c r="H18" s="14" t="inlineStr">
        <is>
          <t>Cash</t>
        </is>
      </c>
      <c r="I18" s="24" t="n"/>
      <c r="J18" s="25" t="n">
        <v>420</v>
      </c>
      <c r="K18" s="14" t="n"/>
      <c r="L18" s="24" t="n"/>
      <c r="M18" s="26">
        <f>IF(OR(N(J18)=0,L18="Cancelled"),"",IF(AND(N(J18)&gt;5000,H18="Cash"),"Yes: ₹1","No"))</f>
        <v/>
      </c>
      <c r="N18" s="27">
        <f>IF(AND(B18="",D18="",N(J18)=0),"",IF(B18="","Enter the date",IF(FALSE,"Use the next empty row: a skipped row leaves a gap in the voucher numbers",IF(D18="","Enter who was paid",IF(N(J18)=0,"Enter the amount",IF(E18="","Pick the head of account",IF(P18="?","Pick the head from the list",IF(H18="","Pick how it was paid",IF(L18="Cancelled","Cancelled: keep this number unused and write a fresh voucher",IF(AND(H18&lt;&gt;"Cash",I18=""),"Enter the cheque no., UTR or UPI reference",IF(AND(N($E$11)&gt;0,N(J18)&gt;N($E$11),K18=""),"Above your approval limit: get it approved before paying",IF(S18&gt;10000,"Cash paid to this person today is over ₹10,000: not deductible, s.36(4)",IF(T18&gt;35000,"Cash freight to this transporter today is over ₹35,000: not deductible, s.36(6)",IF(U18&gt;10000,"Asset paid in cash over ₹10,000 today: left out of its cost, s.39(2)",IF(AND(P18="L",H18="Cash",N(J18)&gt;=20000),"Loan of ₹20,000 or more repaid in cash: barred, s.188","OK")))))))))))))))</f>
        <v/>
      </c>
      <c r="P18">
        <f>IF(E18="","",IFERROR(VLOOKUP(E18,Lists!$A$2:$B$17,2,FALSE),"?"))</f>
        <v/>
      </c>
      <c r="Q18">
        <f>IF(L18="Cancelled",0,N(J18))</f>
        <v/>
      </c>
      <c r="R18">
        <f>IF(H18="Cash",Q18,0)</f>
        <v/>
      </c>
      <c r="S18">
        <f>IF(OR(P18&lt;&gt;"E",R18=0),0,SUMIFS($R$18:$R$317,$B$18:$B$317,B18,$D$18:$D$317,D18,$P$18:$P$317,"E"))</f>
        <v/>
      </c>
      <c r="T18">
        <f>IF(OR(P18&lt;&gt;"F",R18=0),0,SUMIFS($R$18:$R$317,$B$18:$B$317,B18,$D$18:$D$317,D18,$P$18:$P$317,"F"))</f>
        <v/>
      </c>
      <c r="U18">
        <f>IF(OR(P18&lt;&gt;"A",R18=0),0,SUMIFS($R$18:$R$317,$B$18:$B$317,B18,$D$18:$D$317,D18,$P$18:$P$317,"A"))</f>
        <v/>
      </c>
      <c r="V18">
        <f>IF(OR(N18="",N18="OK",L18="Cancelled"),0,1)</f>
        <v/>
      </c>
    </row>
    <row r="19" ht="31" customHeight="1">
      <c r="B19" s="22" t="n">
        <v>46113</v>
      </c>
      <c r="C19" s="23">
        <f>IF(B19="","",$E$9&amp;TEXT(N($E$10)+1,"000"))</f>
        <v/>
      </c>
      <c r="D19" s="14" t="inlineStr">
        <is>
          <t>Courier office</t>
        </is>
      </c>
      <c r="E19" s="14" t="inlineStr">
        <is>
          <t>Courier, printing and stationery</t>
        </is>
      </c>
      <c r="F19" s="14" t="inlineStr">
        <is>
          <t>Documents to the CA</t>
        </is>
      </c>
      <c r="G19" s="24" t="inlineStr">
        <is>
          <t>CR-5521</t>
        </is>
      </c>
      <c r="H19" s="14" t="inlineStr">
        <is>
          <t>Cash</t>
        </is>
      </c>
      <c r="I19" s="24" t="n"/>
      <c r="J19" s="25" t="n">
        <v>180</v>
      </c>
      <c r="K19" s="14" t="n"/>
      <c r="L19" s="24" t="n"/>
      <c r="M19" s="26">
        <f>IF(OR(N(J19)=0,L19="Cancelled"),"",IF(AND(N(J19)&gt;5000,H19="Cash"),"Yes: ₹1","No"))</f>
        <v/>
      </c>
      <c r="N19" s="27">
        <f>IF(AND(B19="",D19="",N(J19)=0),"",IF(B19="","Enter the date",IF(AND(ROW()&gt;18,B18=""),"Use the next empty row: a skipped row leaves a gap in the voucher numbers",IF(D19="","Enter who was paid",IF(N(J19)=0,"Enter the amount",IF(E19="","Pick the head of account",IF(P19="?","Pick the head from the list",IF(H19="","Pick how it was paid",IF(L19="Cancelled","Cancelled: keep this number unused and write a fresh voucher",IF(AND(H19&lt;&gt;"Cash",I19=""),"Enter the cheque no., UTR or UPI reference",IF(AND(N($E$11)&gt;0,N(J19)&gt;N($E$11),K19=""),"Above your approval limit: get it approved before paying",IF(S19&gt;10000,"Cash paid to this person today is over ₹10,000: not deductible, s.36(4)",IF(T19&gt;35000,"Cash freight to this transporter today is over ₹35,000: not deductible, s.36(6)",IF(U19&gt;10000,"Asset paid in cash over ₹10,000 today: left out of its cost, s.39(2)",IF(AND(P19="L",H19="Cash",N(J19)&gt;=20000),"Loan of ₹20,000 or more repaid in cash: barred, s.188","OK")))))))))))))))</f>
        <v/>
      </c>
      <c r="P19">
        <f>IF(E19="","",IFERROR(VLOOKUP(E19,Lists!$A$2:$B$17,2,FALSE),"?"))</f>
        <v/>
      </c>
      <c r="Q19">
        <f>IF(L19="Cancelled",0,N(J19))</f>
        <v/>
      </c>
      <c r="R19">
        <f>IF(H19="Cash",Q19,0)</f>
        <v/>
      </c>
      <c r="S19">
        <f>IF(OR(P19&lt;&gt;"E",R19=0),0,SUMIFS($R$18:$R$317,$B$18:$B$317,B19,$D$18:$D$317,D19,$P$18:$P$317,"E"))</f>
        <v/>
      </c>
      <c r="T19">
        <f>IF(OR(P19&lt;&gt;"F",R19=0),0,SUMIFS($R$18:$R$317,$B$18:$B$317,B19,$D$18:$D$317,D19,$P$18:$P$317,"F"))</f>
        <v/>
      </c>
      <c r="U19">
        <f>IF(OR(P19&lt;&gt;"A",R19=0),0,SUMIFS($R$18:$R$317,$B$18:$B$317,B19,$D$18:$D$317,D19,$P$18:$P$317,"A"))</f>
        <v/>
      </c>
      <c r="V19">
        <f>IF(OR(N19="",N19="OK",L19="Cancelled"),0,1)</f>
        <v/>
      </c>
    </row>
    <row r="20" ht="18" customHeight="1">
      <c r="B20" s="22" t="n">
        <v>46114</v>
      </c>
      <c r="C20" s="23">
        <f>IF(B20="","",$E$9&amp;TEXT(N($E$10)+2,"000"))</f>
        <v/>
      </c>
      <c r="D20" s="14" t="inlineStr">
        <is>
          <t>Helper: weekly wages</t>
        </is>
      </c>
      <c r="E20" s="14" t="inlineStr">
        <is>
          <t>Staff wages and salary</t>
        </is>
      </c>
      <c r="F20" s="14" t="inlineStr">
        <is>
          <t>Wages, 26-Mar to 01-Apr</t>
        </is>
      </c>
      <c r="G20" s="24" t="n"/>
      <c r="H20" s="14" t="inlineStr">
        <is>
          <t>Cash</t>
        </is>
      </c>
      <c r="I20" s="24" t="n"/>
      <c r="J20" s="25" t="n">
        <v>4900</v>
      </c>
      <c r="K20" s="14" t="n"/>
      <c r="L20" s="24" t="n"/>
      <c r="M20" s="26">
        <f>IF(OR(N(J20)=0,L20="Cancelled"),"",IF(AND(N(J20)&gt;5000,H20="Cash"),"Yes: ₹1","No"))</f>
        <v/>
      </c>
      <c r="N20" s="27">
        <f>IF(AND(B20="",D20="",N(J20)=0),"",IF(B20="","Enter the date",IF(AND(ROW()&gt;18,B19=""),"Use the next empty row: a skipped row leaves a gap in the voucher numbers",IF(D20="","Enter who was paid",IF(N(J20)=0,"Enter the amount",IF(E20="","Pick the head of account",IF(P20="?","Pick the head from the list",IF(H20="","Pick how it was paid",IF(L20="Cancelled","Cancelled: keep this number unused and write a fresh voucher",IF(AND(H20&lt;&gt;"Cash",I20=""),"Enter the cheque no., UTR or UPI reference",IF(AND(N($E$11)&gt;0,N(J20)&gt;N($E$11),K20=""),"Above your approval limit: get it approved before paying",IF(S20&gt;10000,"Cash paid to this person today is over ₹10,000: not deductible, s.36(4)",IF(T20&gt;35000,"Cash freight to this transporter today is over ₹35,000: not deductible, s.36(6)",IF(U20&gt;10000,"Asset paid in cash over ₹10,000 today: left out of its cost, s.39(2)",IF(AND(P20="L",H20="Cash",N(J20)&gt;=20000),"Loan of ₹20,000 or more repaid in cash: barred, s.188","OK")))))))))))))))</f>
        <v/>
      </c>
      <c r="P20">
        <f>IF(E20="","",IFERROR(VLOOKUP(E20,Lists!$A$2:$B$17,2,FALSE),"?"))</f>
        <v/>
      </c>
      <c r="Q20">
        <f>IF(L20="Cancelled",0,N(J20))</f>
        <v/>
      </c>
      <c r="R20">
        <f>IF(H20="Cash",Q20,0)</f>
        <v/>
      </c>
      <c r="S20">
        <f>IF(OR(P20&lt;&gt;"E",R20=0),0,SUMIFS($R$18:$R$317,$B$18:$B$317,B20,$D$18:$D$317,D20,$P$18:$P$317,"E"))</f>
        <v/>
      </c>
      <c r="T20">
        <f>IF(OR(P20&lt;&gt;"F",R20=0),0,SUMIFS($R$18:$R$317,$B$18:$B$317,B20,$D$18:$D$317,D20,$P$18:$P$317,"F"))</f>
        <v/>
      </c>
      <c r="U20">
        <f>IF(OR(P20&lt;&gt;"A",R20=0),0,SUMIFS($R$18:$R$317,$B$18:$B$317,B20,$D$18:$D$317,D20,$P$18:$P$317,"A"))</f>
        <v/>
      </c>
      <c r="V20">
        <f>IF(OR(N20="",N20="OK",L20="Cancelled"),0,1)</f>
        <v/>
      </c>
    </row>
    <row r="21" ht="18" customHeight="1">
      <c r="B21" s="22" t="n">
        <v>46115</v>
      </c>
      <c r="C21" s="23">
        <f>IF(B21="","",$E$9&amp;TEXT(N($E$10)+3,"000"))</f>
        <v/>
      </c>
      <c r="D21" s="14" t="inlineStr">
        <is>
          <t>Plumber</t>
        </is>
      </c>
      <c r="E21" s="14" t="inlineStr">
        <is>
          <t>Repairs and maintenance</t>
        </is>
      </c>
      <c r="F21" s="14" t="inlineStr">
        <is>
          <t>Washroom pipe repair</t>
        </is>
      </c>
      <c r="G21" s="24" t="inlineStr">
        <is>
          <t>PL-77</t>
        </is>
      </c>
      <c r="H21" s="14" t="inlineStr">
        <is>
          <t>Cash</t>
        </is>
      </c>
      <c r="I21" s="24" t="n"/>
      <c r="J21" s="25" t="n">
        <v>6000</v>
      </c>
      <c r="K21" s="14" t="inlineStr">
        <is>
          <t>Owner</t>
        </is>
      </c>
      <c r="L21" s="24" t="n"/>
      <c r="M21" s="26">
        <f>IF(OR(N(J21)=0,L21="Cancelled"),"",IF(AND(N(J21)&gt;5000,H21="Cash"),"Yes: ₹1","No"))</f>
        <v/>
      </c>
      <c r="N21" s="27">
        <f>IF(AND(B21="",D21="",N(J21)=0),"",IF(B21="","Enter the date",IF(AND(ROW()&gt;18,B20=""),"Use the next empty row: a skipped row leaves a gap in the voucher numbers",IF(D21="","Enter who was paid",IF(N(J21)=0,"Enter the amount",IF(E21="","Pick the head of account",IF(P21="?","Pick the head from the list",IF(H21="","Pick how it was paid",IF(L21="Cancelled","Cancelled: keep this number unused and write a fresh voucher",IF(AND(H21&lt;&gt;"Cash",I21=""),"Enter the cheque no., UTR or UPI reference",IF(AND(N($E$11)&gt;0,N(J21)&gt;N($E$11),K21=""),"Above your approval limit: get it approved before paying",IF(S21&gt;10000,"Cash paid to this person today is over ₹10,000: not deductible, s.36(4)",IF(T21&gt;35000,"Cash freight to this transporter today is over ₹35,000: not deductible, s.36(6)",IF(U21&gt;10000,"Asset paid in cash over ₹10,000 today: left out of its cost, s.39(2)",IF(AND(P21="L",H21="Cash",N(J21)&gt;=20000),"Loan of ₹20,000 or more repaid in cash: barred, s.188","OK")))))))))))))))</f>
        <v/>
      </c>
      <c r="P21">
        <f>IF(E21="","",IFERROR(VLOOKUP(E21,Lists!$A$2:$B$17,2,FALSE),"?"))</f>
        <v/>
      </c>
      <c r="Q21">
        <f>IF(L21="Cancelled",0,N(J21))</f>
        <v/>
      </c>
      <c r="R21">
        <f>IF(H21="Cash",Q21,0)</f>
        <v/>
      </c>
      <c r="S21">
        <f>IF(OR(P21&lt;&gt;"E",R21=0),0,SUMIFS($R$18:$R$317,$B$18:$B$317,B21,$D$18:$D$317,D21,$P$18:$P$317,"E"))</f>
        <v/>
      </c>
      <c r="T21">
        <f>IF(OR(P21&lt;&gt;"F",R21=0),0,SUMIFS($R$18:$R$317,$B$18:$B$317,B21,$D$18:$D$317,D21,$P$18:$P$317,"F"))</f>
        <v/>
      </c>
      <c r="U21">
        <f>IF(OR(P21&lt;&gt;"A",R21=0),0,SUMIFS($R$18:$R$317,$B$18:$B$317,B21,$D$18:$D$317,D21,$P$18:$P$317,"A"))</f>
        <v/>
      </c>
      <c r="V21">
        <f>IF(OR(N21="",N21="OK",L21="Cancelled"),0,1)</f>
        <v/>
      </c>
    </row>
    <row r="22" ht="18" customHeight="1">
      <c r="B22" s="22" t="n">
        <v>46115</v>
      </c>
      <c r="C22" s="23">
        <f>IF(B22="","",$E$9&amp;TEXT(N($E$10)+4,"000"))</f>
        <v/>
      </c>
      <c r="D22" s="14" t="inlineStr">
        <is>
          <t>Plumber</t>
        </is>
      </c>
      <c r="E22" s="14" t="inlineStr">
        <is>
          <t>Repairs and maintenance</t>
        </is>
      </c>
      <c r="F22" s="14" t="inlineStr">
        <is>
          <t>Fittings for the same job</t>
        </is>
      </c>
      <c r="G22" s="24" t="inlineStr">
        <is>
          <t>PL-78</t>
        </is>
      </c>
      <c r="H22" s="14" t="inlineStr">
        <is>
          <t>Cash</t>
        </is>
      </c>
      <c r="I22" s="24" t="n"/>
      <c r="J22" s="25" t="n">
        <v>5500</v>
      </c>
      <c r="K22" s="14" t="inlineStr">
        <is>
          <t>Owner</t>
        </is>
      </c>
      <c r="L22" s="24" t="n"/>
      <c r="M22" s="26">
        <f>IF(OR(N(J22)=0,L22="Cancelled"),"",IF(AND(N(J22)&gt;5000,H22="Cash"),"Yes: ₹1","No"))</f>
        <v/>
      </c>
      <c r="N22" s="27">
        <f>IF(AND(B22="",D22="",N(J22)=0),"",IF(B22="","Enter the date",IF(AND(ROW()&gt;18,B21=""),"Use the next empty row: a skipped row leaves a gap in the voucher numbers",IF(D22="","Enter who was paid",IF(N(J22)=0,"Enter the amount",IF(E22="","Pick the head of account",IF(P22="?","Pick the head from the list",IF(H22="","Pick how it was paid",IF(L22="Cancelled","Cancelled: keep this number unused and write a fresh voucher",IF(AND(H22&lt;&gt;"Cash",I22=""),"Enter the cheque no., UTR or UPI reference",IF(AND(N($E$11)&gt;0,N(J22)&gt;N($E$11),K22=""),"Above your approval limit: get it approved before paying",IF(S22&gt;10000,"Cash paid to this person today is over ₹10,000: not deductible, s.36(4)",IF(T22&gt;35000,"Cash freight to this transporter today is over ₹35,000: not deductible, s.36(6)",IF(U22&gt;10000,"Asset paid in cash over ₹10,000 today: left out of its cost, s.39(2)",IF(AND(P22="L",H22="Cash",N(J22)&gt;=20000),"Loan of ₹20,000 or more repaid in cash: barred, s.188","OK")))))))))))))))</f>
        <v/>
      </c>
      <c r="P22">
        <f>IF(E22="","",IFERROR(VLOOKUP(E22,Lists!$A$2:$B$17,2,FALSE),"?"))</f>
        <v/>
      </c>
      <c r="Q22">
        <f>IF(L22="Cancelled",0,N(J22))</f>
        <v/>
      </c>
      <c r="R22">
        <f>IF(H22="Cash",Q22,0)</f>
        <v/>
      </c>
      <c r="S22">
        <f>IF(OR(P22&lt;&gt;"E",R22=0),0,SUMIFS($R$18:$R$317,$B$18:$B$317,B22,$D$18:$D$317,D22,$P$18:$P$317,"E"))</f>
        <v/>
      </c>
      <c r="T22">
        <f>IF(OR(P22&lt;&gt;"F",R22=0),0,SUMIFS($R$18:$R$317,$B$18:$B$317,B22,$D$18:$D$317,D22,$P$18:$P$317,"F"))</f>
        <v/>
      </c>
      <c r="U22">
        <f>IF(OR(P22&lt;&gt;"A",R22=0),0,SUMIFS($R$18:$R$317,$B$18:$B$317,B22,$D$18:$D$317,D22,$P$18:$P$317,"A"))</f>
        <v/>
      </c>
      <c r="V22">
        <f>IF(OR(N22="",N22="OK",L22="Cancelled"),0,1)</f>
        <v/>
      </c>
    </row>
    <row r="23" ht="31" customHeight="1">
      <c r="B23" s="22" t="n">
        <v>46116</v>
      </c>
      <c r="C23" s="23">
        <f>IF(B23="","",$E$9&amp;TEXT(N($E$10)+5,"000"))</f>
        <v/>
      </c>
      <c r="D23" s="14" t="inlineStr">
        <is>
          <t>Transporter</t>
        </is>
      </c>
      <c r="E23" s="14" t="inlineStr">
        <is>
          <t>Freight to goods transporter</t>
        </is>
      </c>
      <c r="F23" s="14" t="inlineStr">
        <is>
          <t>Truck hire, Indore to Dewas</t>
        </is>
      </c>
      <c r="G23" s="24" t="inlineStr">
        <is>
          <t>TR-31</t>
        </is>
      </c>
      <c r="H23" s="14" t="inlineStr">
        <is>
          <t>Cash</t>
        </is>
      </c>
      <c r="I23" s="24" t="n"/>
      <c r="J23" s="25" t="n">
        <v>38000</v>
      </c>
      <c r="K23" s="14" t="inlineStr">
        <is>
          <t>Owner</t>
        </is>
      </c>
      <c r="L23" s="24" t="n"/>
      <c r="M23" s="26">
        <f>IF(OR(N(J23)=0,L23="Cancelled"),"",IF(AND(N(J23)&gt;5000,H23="Cash"),"Yes: ₹1","No"))</f>
        <v/>
      </c>
      <c r="N23" s="27">
        <f>IF(AND(B23="",D23="",N(J23)=0),"",IF(B23="","Enter the date",IF(AND(ROW()&gt;18,B22=""),"Use the next empty row: a skipped row leaves a gap in the voucher numbers",IF(D23="","Enter who was paid",IF(N(J23)=0,"Enter the amount",IF(E23="","Pick the head of account",IF(P23="?","Pick the head from the list",IF(H23="","Pick how it was paid",IF(L23="Cancelled","Cancelled: keep this number unused and write a fresh voucher",IF(AND(H23&lt;&gt;"Cash",I23=""),"Enter the cheque no., UTR or UPI reference",IF(AND(N($E$11)&gt;0,N(J23)&gt;N($E$11),K23=""),"Above your approval limit: get it approved before paying",IF(S23&gt;10000,"Cash paid to this person today is over ₹10,000: not deductible, s.36(4)",IF(T23&gt;35000,"Cash freight to this transporter today is over ₹35,000: not deductible, s.36(6)",IF(U23&gt;10000,"Asset paid in cash over ₹10,000 today: left out of its cost, s.39(2)",IF(AND(P23="L",H23="Cash",N(J23)&gt;=20000),"Loan of ₹20,000 or more repaid in cash: barred, s.188","OK")))))))))))))))</f>
        <v/>
      </c>
      <c r="P23">
        <f>IF(E23="","",IFERROR(VLOOKUP(E23,Lists!$A$2:$B$17,2,FALSE),"?"))</f>
        <v/>
      </c>
      <c r="Q23">
        <f>IF(L23="Cancelled",0,N(J23))</f>
        <v/>
      </c>
      <c r="R23">
        <f>IF(H23="Cash",Q23,0)</f>
        <v/>
      </c>
      <c r="S23">
        <f>IF(OR(P23&lt;&gt;"E",R23=0),0,SUMIFS($R$18:$R$317,$B$18:$B$317,B23,$D$18:$D$317,D23,$P$18:$P$317,"E"))</f>
        <v/>
      </c>
      <c r="T23">
        <f>IF(OR(P23&lt;&gt;"F",R23=0),0,SUMIFS($R$18:$R$317,$B$18:$B$317,B23,$D$18:$D$317,D23,$P$18:$P$317,"F"))</f>
        <v/>
      </c>
      <c r="U23">
        <f>IF(OR(P23&lt;&gt;"A",R23=0),0,SUMIFS($R$18:$R$317,$B$18:$B$317,B23,$D$18:$D$317,D23,$P$18:$P$317,"A"))</f>
        <v/>
      </c>
      <c r="V23">
        <f>IF(OR(N23="",N23="OK",L23="Cancelled"),0,1)</f>
        <v/>
      </c>
    </row>
    <row r="24" ht="31" customHeight="1">
      <c r="B24" s="22" t="n">
        <v>46118</v>
      </c>
      <c r="C24" s="23">
        <f>IF(B24="","",$E$9&amp;TEXT(N($E$10)+6,"000"))</f>
        <v/>
      </c>
      <c r="D24" s="14" t="inlineStr">
        <is>
          <t>Furniture dealer</t>
        </is>
      </c>
      <c r="E24" s="14" t="inlineStr">
        <is>
          <t>Asset bought (equipment, furniture)</t>
        </is>
      </c>
      <c r="F24" s="14" t="inlineStr">
        <is>
          <t>Display rack</t>
        </is>
      </c>
      <c r="G24" s="24" t="inlineStr">
        <is>
          <t>FD-210</t>
        </is>
      </c>
      <c r="H24" s="14" t="inlineStr">
        <is>
          <t>Cash</t>
        </is>
      </c>
      <c r="I24" s="24" t="n"/>
      <c r="J24" s="25" t="n">
        <v>15000</v>
      </c>
      <c r="K24" s="14" t="inlineStr">
        <is>
          <t>Owner</t>
        </is>
      </c>
      <c r="L24" s="24" t="n"/>
      <c r="M24" s="26">
        <f>IF(OR(N(J24)=0,L24="Cancelled"),"",IF(AND(N(J24)&gt;5000,H24="Cash"),"Yes: ₹1","No"))</f>
        <v/>
      </c>
      <c r="N24" s="27">
        <f>IF(AND(B24="",D24="",N(J24)=0),"",IF(B24="","Enter the date",IF(AND(ROW()&gt;18,B23=""),"Use the next empty row: a skipped row leaves a gap in the voucher numbers",IF(D24="","Enter who was paid",IF(N(J24)=0,"Enter the amount",IF(E24="","Pick the head of account",IF(P24="?","Pick the head from the list",IF(H24="","Pick how it was paid",IF(L24="Cancelled","Cancelled: keep this number unused and write a fresh voucher",IF(AND(H24&lt;&gt;"Cash",I24=""),"Enter the cheque no., UTR or UPI reference",IF(AND(N($E$11)&gt;0,N(J24)&gt;N($E$11),K24=""),"Above your approval limit: get it approved before paying",IF(S24&gt;10000,"Cash paid to this person today is over ₹10,000: not deductible, s.36(4)",IF(T24&gt;35000,"Cash freight to this transporter today is over ₹35,000: not deductible, s.36(6)",IF(U24&gt;10000,"Asset paid in cash over ₹10,000 today: left out of its cost, s.39(2)",IF(AND(P24="L",H24="Cash",N(J24)&gt;=20000),"Loan of ₹20,000 or more repaid in cash: barred, s.188","OK")))))))))))))))</f>
        <v/>
      </c>
      <c r="P24">
        <f>IF(E24="","",IFERROR(VLOOKUP(E24,Lists!$A$2:$B$17,2,FALSE),"?"))</f>
        <v/>
      </c>
      <c r="Q24">
        <f>IF(L24="Cancelled",0,N(J24))</f>
        <v/>
      </c>
      <c r="R24">
        <f>IF(H24="Cash",Q24,0)</f>
        <v/>
      </c>
      <c r="S24">
        <f>IF(OR(P24&lt;&gt;"E",R24=0),0,SUMIFS($R$18:$R$317,$B$18:$B$317,B24,$D$18:$D$317,D24,$P$18:$P$317,"E"))</f>
        <v/>
      </c>
      <c r="T24">
        <f>IF(OR(P24&lt;&gt;"F",R24=0),0,SUMIFS($R$18:$R$317,$B$18:$B$317,B24,$D$18:$D$317,D24,$P$18:$P$317,"F"))</f>
        <v/>
      </c>
      <c r="U24">
        <f>IF(OR(P24&lt;&gt;"A",R24=0),0,SUMIFS($R$18:$R$317,$B$18:$B$317,B24,$D$18:$D$317,D24,$P$18:$P$317,"A"))</f>
        <v/>
      </c>
      <c r="V24">
        <f>IF(OR(N24="",N24="OK",L24="Cancelled"),0,1)</f>
        <v/>
      </c>
    </row>
    <row r="25" ht="31" customHeight="1">
      <c r="B25" s="22" t="n">
        <v>46119</v>
      </c>
      <c r="C25" s="23">
        <f>IF(B25="","",$E$9&amp;TEXT(N($E$10)+7,"000"))</f>
        <v/>
      </c>
      <c r="D25" s="14" t="inlineStr">
        <is>
          <t>Landlord</t>
        </is>
      </c>
      <c r="E25" s="14" t="inlineStr">
        <is>
          <t>Rent</t>
        </is>
      </c>
      <c r="F25" s="14" t="inlineStr">
        <is>
          <t>Shop rent, April</t>
        </is>
      </c>
      <c r="G25" s="24" t="n"/>
      <c r="H25" s="14" t="inlineStr">
        <is>
          <t>Bank transfer (NEFT, RTGS, IMPS)</t>
        </is>
      </c>
      <c r="I25" s="24" t="inlineStr">
        <is>
          <t>UTR N1102 4433</t>
        </is>
      </c>
      <c r="J25" s="25" t="n">
        <v>30000</v>
      </c>
      <c r="K25" s="14" t="inlineStr">
        <is>
          <t>Owner</t>
        </is>
      </c>
      <c r="L25" s="24" t="n"/>
      <c r="M25" s="26">
        <f>IF(OR(N(J25)=0,L25="Cancelled"),"",IF(AND(N(J25)&gt;5000,H25="Cash"),"Yes: ₹1","No"))</f>
        <v/>
      </c>
      <c r="N25" s="27">
        <f>IF(AND(B25="",D25="",N(J25)=0),"",IF(B25="","Enter the date",IF(AND(ROW()&gt;18,B24=""),"Use the next empty row: a skipped row leaves a gap in the voucher numbers",IF(D25="","Enter who was paid",IF(N(J25)=0,"Enter the amount",IF(E25="","Pick the head of account",IF(P25="?","Pick the head from the list",IF(H25="","Pick how it was paid",IF(L25="Cancelled","Cancelled: keep this number unused and write a fresh voucher",IF(AND(H25&lt;&gt;"Cash",I25=""),"Enter the cheque no., UTR or UPI reference",IF(AND(N($E$11)&gt;0,N(J25)&gt;N($E$11),K25=""),"Above your approval limit: get it approved before paying",IF(S25&gt;10000,"Cash paid to this person today is over ₹10,000: not deductible, s.36(4)",IF(T25&gt;35000,"Cash freight to this transporter today is over ₹35,000: not deductible, s.36(6)",IF(U25&gt;10000,"Asset paid in cash over ₹10,000 today: left out of its cost, s.39(2)",IF(AND(P25="L",H25="Cash",N(J25)&gt;=20000),"Loan of ₹20,000 or more repaid in cash: barred, s.188","OK")))))))))))))))</f>
        <v/>
      </c>
      <c r="P25">
        <f>IF(E25="","",IFERROR(VLOOKUP(E25,Lists!$A$2:$B$17,2,FALSE),"?"))</f>
        <v/>
      </c>
      <c r="Q25">
        <f>IF(L25="Cancelled",0,N(J25))</f>
        <v/>
      </c>
      <c r="R25">
        <f>IF(H25="Cash",Q25,0)</f>
        <v/>
      </c>
      <c r="S25">
        <f>IF(OR(P25&lt;&gt;"E",R25=0),0,SUMIFS($R$18:$R$317,$B$18:$B$317,B25,$D$18:$D$317,D25,$P$18:$P$317,"E"))</f>
        <v/>
      </c>
      <c r="T25">
        <f>IF(OR(P25&lt;&gt;"F",R25=0),0,SUMIFS($R$18:$R$317,$B$18:$B$317,B25,$D$18:$D$317,D25,$P$18:$P$317,"F"))</f>
        <v/>
      </c>
      <c r="U25">
        <f>IF(OR(P25&lt;&gt;"A",R25=0),0,SUMIFS($R$18:$R$317,$B$18:$B$317,B25,$D$18:$D$317,D25,$P$18:$P$317,"A"))</f>
        <v/>
      </c>
      <c r="V25">
        <f>IF(OR(N25="",N25="OK",L25="Cancelled"),0,1)</f>
        <v/>
      </c>
    </row>
    <row r="26" ht="18" customHeight="1">
      <c r="B26" s="22" t="n">
        <v>46120</v>
      </c>
      <c r="C26" s="23">
        <f>IF(B26="","",$E$9&amp;TEXT(N($E$10)+8,"000"))</f>
        <v/>
      </c>
      <c r="D26" s="14" t="inlineStr">
        <is>
          <t>Relative: short-term loan</t>
        </is>
      </c>
      <c r="E26" s="14" t="inlineStr">
        <is>
          <t>Loan repaid</t>
        </is>
      </c>
      <c r="F26" s="14" t="inlineStr">
        <is>
          <t>Part repayment of loan</t>
        </is>
      </c>
      <c r="G26" s="24" t="n"/>
      <c r="H26" s="14" t="inlineStr">
        <is>
          <t>Cash</t>
        </is>
      </c>
      <c r="I26" s="24" t="n"/>
      <c r="J26" s="25" t="n">
        <v>25000</v>
      </c>
      <c r="K26" s="14" t="inlineStr">
        <is>
          <t>Owner</t>
        </is>
      </c>
      <c r="L26" s="24" t="n"/>
      <c r="M26" s="26">
        <f>IF(OR(N(J26)=0,L26="Cancelled"),"",IF(AND(N(J26)&gt;5000,H26="Cash"),"Yes: ₹1","No"))</f>
        <v/>
      </c>
      <c r="N26" s="27">
        <f>IF(AND(B26="",D26="",N(J26)=0),"",IF(B26="","Enter the date",IF(AND(ROW()&gt;18,B25=""),"Use the next empty row: a skipped row leaves a gap in the voucher numbers",IF(D26="","Enter who was paid",IF(N(J26)=0,"Enter the amount",IF(E26="","Pick the head of account",IF(P26="?","Pick the head from the list",IF(H26="","Pick how it was paid",IF(L26="Cancelled","Cancelled: keep this number unused and write a fresh voucher",IF(AND(H26&lt;&gt;"Cash",I26=""),"Enter the cheque no., UTR or UPI reference",IF(AND(N($E$11)&gt;0,N(J26)&gt;N($E$11),K26=""),"Above your approval limit: get it approved before paying",IF(S26&gt;10000,"Cash paid to this person today is over ₹10,000: not deductible, s.36(4)",IF(T26&gt;35000,"Cash freight to this transporter today is over ₹35,000: not deductible, s.36(6)",IF(U26&gt;10000,"Asset paid in cash over ₹10,000 today: left out of its cost, s.39(2)",IF(AND(P26="L",H26="Cash",N(J26)&gt;=20000),"Loan of ₹20,000 or more repaid in cash: barred, s.188","OK")))))))))))))))</f>
        <v/>
      </c>
      <c r="P26">
        <f>IF(E26="","",IFERROR(VLOOKUP(E26,Lists!$A$2:$B$17,2,FALSE),"?"))</f>
        <v/>
      </c>
      <c r="Q26">
        <f>IF(L26="Cancelled",0,N(J26))</f>
        <v/>
      </c>
      <c r="R26">
        <f>IF(H26="Cash",Q26,0)</f>
        <v/>
      </c>
      <c r="S26">
        <f>IF(OR(P26&lt;&gt;"E",R26=0),0,SUMIFS($R$18:$R$317,$B$18:$B$317,B26,$D$18:$D$317,D26,$P$18:$P$317,"E"))</f>
        <v/>
      </c>
      <c r="T26">
        <f>IF(OR(P26&lt;&gt;"F",R26=0),0,SUMIFS($R$18:$R$317,$B$18:$B$317,B26,$D$18:$D$317,D26,$P$18:$P$317,"F"))</f>
        <v/>
      </c>
      <c r="U26">
        <f>IF(OR(P26&lt;&gt;"A",R26=0),0,SUMIFS($R$18:$R$317,$B$18:$B$317,B26,$D$18:$D$317,D26,$P$18:$P$317,"A"))</f>
        <v/>
      </c>
      <c r="V26">
        <f>IF(OR(N26="",N26="OK",L26="Cancelled"),0,1)</f>
        <v/>
      </c>
    </row>
    <row r="27" ht="18" customHeight="1">
      <c r="B27" s="22" t="n">
        <v>46121</v>
      </c>
      <c r="C27" s="23">
        <f>IF(B27="","",$E$9&amp;TEXT(N($E$10)+9,"000"))</f>
        <v/>
      </c>
      <c r="D27" s="14" t="inlineStr">
        <is>
          <t>Electrician</t>
        </is>
      </c>
      <c r="E27" s="14" t="inlineStr">
        <is>
          <t>Repairs and maintenance</t>
        </is>
      </c>
      <c r="F27" s="14" t="inlineStr">
        <is>
          <t>Wrong amount written</t>
        </is>
      </c>
      <c r="G27" s="24" t="inlineStr">
        <is>
          <t>EL-12</t>
        </is>
      </c>
      <c r="H27" s="14" t="inlineStr">
        <is>
          <t>Cash</t>
        </is>
      </c>
      <c r="I27" s="24" t="n"/>
      <c r="J27" s="25" t="n">
        <v>1800</v>
      </c>
      <c r="K27" s="14" t="n"/>
      <c r="L27" s="24" t="inlineStr">
        <is>
          <t>Cancelled</t>
        </is>
      </c>
      <c r="M27" s="26">
        <f>IF(OR(N(J27)=0,L27="Cancelled"),"",IF(AND(N(J27)&gt;5000,H27="Cash"),"Yes: ₹1","No"))</f>
        <v/>
      </c>
      <c r="N27" s="27">
        <f>IF(AND(B27="",D27="",N(J27)=0),"",IF(B27="","Enter the date",IF(AND(ROW()&gt;18,B26=""),"Use the next empty row: a skipped row leaves a gap in the voucher numbers",IF(D27="","Enter who was paid",IF(N(J27)=0,"Enter the amount",IF(E27="","Pick the head of account",IF(P27="?","Pick the head from the list",IF(H27="","Pick how it was paid",IF(L27="Cancelled","Cancelled: keep this number unused and write a fresh voucher",IF(AND(H27&lt;&gt;"Cash",I27=""),"Enter the cheque no., UTR or UPI reference",IF(AND(N($E$11)&gt;0,N(J27)&gt;N($E$11),K27=""),"Above your approval limit: get it approved before paying",IF(S27&gt;10000,"Cash paid to this person today is over ₹10,000: not deductible, s.36(4)",IF(T27&gt;35000,"Cash freight to this transporter today is over ₹35,000: not deductible, s.36(6)",IF(U27&gt;10000,"Asset paid in cash over ₹10,000 today: left out of its cost, s.39(2)",IF(AND(P27="L",H27="Cash",N(J27)&gt;=20000),"Loan of ₹20,000 or more repaid in cash: barred, s.188","OK")))))))))))))))</f>
        <v/>
      </c>
      <c r="P27">
        <f>IF(E27="","",IFERROR(VLOOKUP(E27,Lists!$A$2:$B$17,2,FALSE),"?"))</f>
        <v/>
      </c>
      <c r="Q27">
        <f>IF(L27="Cancelled",0,N(J27))</f>
        <v/>
      </c>
      <c r="R27">
        <f>IF(H27="Cash",Q27,0)</f>
        <v/>
      </c>
      <c r="S27">
        <f>IF(OR(P27&lt;&gt;"E",R27=0),0,SUMIFS($R$18:$R$317,$B$18:$B$317,B27,$D$18:$D$317,D27,$P$18:$P$317,"E"))</f>
        <v/>
      </c>
      <c r="T27">
        <f>IF(OR(P27&lt;&gt;"F",R27=0),0,SUMIFS($R$18:$R$317,$B$18:$B$317,B27,$D$18:$D$317,D27,$P$18:$P$317,"F"))</f>
        <v/>
      </c>
      <c r="U27">
        <f>IF(OR(P27&lt;&gt;"A",R27=0),0,SUMIFS($R$18:$R$317,$B$18:$B$317,B27,$D$18:$D$317,D27,$P$18:$P$317,"A"))</f>
        <v/>
      </c>
      <c r="V27">
        <f>IF(OR(N27="",N27="OK",L27="Cancelled"),0,1)</f>
        <v/>
      </c>
    </row>
    <row r="28" ht="18" customHeight="1">
      <c r="B28" s="22" t="n">
        <v>46121</v>
      </c>
      <c r="C28" s="23">
        <f>IF(B28="","",$E$9&amp;TEXT(N($E$10)+10,"000"))</f>
        <v/>
      </c>
      <c r="D28" s="14" t="inlineStr">
        <is>
          <t>Electrician</t>
        </is>
      </c>
      <c r="E28" s="14" t="inlineStr">
        <is>
          <t>Repairs and maintenance</t>
        </is>
      </c>
      <c r="F28" s="14" t="inlineStr">
        <is>
          <t>Light fitting repair</t>
        </is>
      </c>
      <c r="G28" s="24" t="inlineStr">
        <is>
          <t>EL-12</t>
        </is>
      </c>
      <c r="H28" s="14" t="inlineStr">
        <is>
          <t>Cash</t>
        </is>
      </c>
      <c r="I28" s="24" t="n"/>
      <c r="J28" s="25" t="n">
        <v>1600</v>
      </c>
      <c r="K28" s="14" t="n"/>
      <c r="L28" s="24" t="n"/>
      <c r="M28" s="26">
        <f>IF(OR(N(J28)=0,L28="Cancelled"),"",IF(AND(N(J28)&gt;5000,H28="Cash"),"Yes: ₹1","No"))</f>
        <v/>
      </c>
      <c r="N28" s="27">
        <f>IF(AND(B28="",D28="",N(J28)=0),"",IF(B28="","Enter the date",IF(AND(ROW()&gt;18,B27=""),"Use the next empty row: a skipped row leaves a gap in the voucher numbers",IF(D28="","Enter who was paid",IF(N(J28)=0,"Enter the amount",IF(E28="","Pick the head of account",IF(P28="?","Pick the head from the list",IF(H28="","Pick how it was paid",IF(L28="Cancelled","Cancelled: keep this number unused and write a fresh voucher",IF(AND(H28&lt;&gt;"Cash",I28=""),"Enter the cheque no., UTR or UPI reference",IF(AND(N($E$11)&gt;0,N(J28)&gt;N($E$11),K28=""),"Above your approval limit: get it approved before paying",IF(S28&gt;10000,"Cash paid to this person today is over ₹10,000: not deductible, s.36(4)",IF(T28&gt;35000,"Cash freight to this transporter today is over ₹35,000: not deductible, s.36(6)",IF(U28&gt;10000,"Asset paid in cash over ₹10,000 today: left out of its cost, s.39(2)",IF(AND(P28="L",H28="Cash",N(J28)&gt;=20000),"Loan of ₹20,000 or more repaid in cash: barred, s.188","OK")))))))))))))))</f>
        <v/>
      </c>
      <c r="P28">
        <f>IF(E28="","",IFERROR(VLOOKUP(E28,Lists!$A$2:$B$17,2,FALSE),"?"))</f>
        <v/>
      </c>
      <c r="Q28">
        <f>IF(L28="Cancelled",0,N(J28))</f>
        <v/>
      </c>
      <c r="R28">
        <f>IF(H28="Cash",Q28,0)</f>
        <v/>
      </c>
      <c r="S28">
        <f>IF(OR(P28&lt;&gt;"E",R28=0),0,SUMIFS($R$18:$R$317,$B$18:$B$317,B28,$D$18:$D$317,D28,$P$18:$P$317,"E"))</f>
        <v/>
      </c>
      <c r="T28">
        <f>IF(OR(P28&lt;&gt;"F",R28=0),0,SUMIFS($R$18:$R$317,$B$18:$B$317,B28,$D$18:$D$317,D28,$P$18:$P$317,"F"))</f>
        <v/>
      </c>
      <c r="U28">
        <f>IF(OR(P28&lt;&gt;"A",R28=0),0,SUMIFS($R$18:$R$317,$B$18:$B$317,B28,$D$18:$D$317,D28,$P$18:$P$317,"A"))</f>
        <v/>
      </c>
      <c r="V28">
        <f>IF(OR(N28="",N28="OK",L28="Cancelled"),0,1)</f>
        <v/>
      </c>
    </row>
    <row r="29" ht="31" customHeight="1">
      <c r="B29" s="22" t="n">
        <v>46122</v>
      </c>
      <c r="C29" s="23">
        <f>IF(B29="","",$E$9&amp;TEXT(N($E$10)+11,"000"))</f>
        <v/>
      </c>
      <c r="D29" s="14" t="inlineStr">
        <is>
          <t>Stationery shop</t>
        </is>
      </c>
      <c r="E29" s="14" t="inlineStr">
        <is>
          <t>Courier, printing and stationery</t>
        </is>
      </c>
      <c r="F29" s="14" t="inlineStr">
        <is>
          <t>Bill books and registers</t>
        </is>
      </c>
      <c r="G29" s="24" t="inlineStr">
        <is>
          <t>ST-904</t>
        </is>
      </c>
      <c r="H29" s="14" t="inlineStr">
        <is>
          <t>Cash</t>
        </is>
      </c>
      <c r="I29" s="24" t="n"/>
      <c r="J29" s="25" t="n">
        <v>7200</v>
      </c>
      <c r="K29" s="14" t="n"/>
      <c r="L29" s="24" t="n"/>
      <c r="M29" s="26">
        <f>IF(OR(N(J29)=0,L29="Cancelled"),"",IF(AND(N(J29)&gt;5000,H29="Cash"),"Yes: ₹1","No"))</f>
        <v/>
      </c>
      <c r="N29" s="27">
        <f>IF(AND(B29="",D29="",N(J29)=0),"",IF(B29="","Enter the date",IF(AND(ROW()&gt;18,B28=""),"Use the next empty row: a skipped row leaves a gap in the voucher numbers",IF(D29="","Enter who was paid",IF(N(J29)=0,"Enter the amount",IF(E29="","Pick the head of account",IF(P29="?","Pick the head from the list",IF(H29="","Pick how it was paid",IF(L29="Cancelled","Cancelled: keep this number unused and write a fresh voucher",IF(AND(H29&lt;&gt;"Cash",I29=""),"Enter the cheque no., UTR or UPI reference",IF(AND(N($E$11)&gt;0,N(J29)&gt;N($E$11),K29=""),"Above your approval limit: get it approved before paying",IF(S29&gt;10000,"Cash paid to this person today is over ₹10,000: not deductible, s.36(4)",IF(T29&gt;35000,"Cash freight to this transporter today is over ₹35,000: not deductible, s.36(6)",IF(U29&gt;10000,"Asset paid in cash over ₹10,000 today: left out of its cost, s.39(2)",IF(AND(P29="L",H29="Cash",N(J29)&gt;=20000),"Loan of ₹20,000 or more repaid in cash: barred, s.188","OK")))))))))))))))</f>
        <v/>
      </c>
      <c r="P29">
        <f>IF(E29="","",IFERROR(VLOOKUP(E29,Lists!$A$2:$B$17,2,FALSE),"?"))</f>
        <v/>
      </c>
      <c r="Q29">
        <f>IF(L29="Cancelled",0,N(J29))</f>
        <v/>
      </c>
      <c r="R29">
        <f>IF(H29="Cash",Q29,0)</f>
        <v/>
      </c>
      <c r="S29">
        <f>IF(OR(P29&lt;&gt;"E",R29=0),0,SUMIFS($R$18:$R$317,$B$18:$B$317,B29,$D$18:$D$317,D29,$P$18:$P$317,"E"))</f>
        <v/>
      </c>
      <c r="T29">
        <f>IF(OR(P29&lt;&gt;"F",R29=0),0,SUMIFS($R$18:$R$317,$B$18:$B$317,B29,$D$18:$D$317,D29,$P$18:$P$317,"F"))</f>
        <v/>
      </c>
      <c r="U29">
        <f>IF(OR(P29&lt;&gt;"A",R29=0),0,SUMIFS($R$18:$R$317,$B$18:$B$317,B29,$D$18:$D$317,D29,$P$18:$P$317,"A"))</f>
        <v/>
      </c>
      <c r="V29">
        <f>IF(OR(N29="",N29="OK",L29="Cancelled"),0,1)</f>
        <v/>
      </c>
    </row>
    <row r="30">
      <c r="B30" s="22" t="n"/>
      <c r="C30" s="23">
        <f>IF(B30="","",$E$9&amp;TEXT(N($E$10)+12,"000"))</f>
        <v/>
      </c>
      <c r="D30" s="14" t="n"/>
      <c r="E30" s="14" t="n"/>
      <c r="F30" s="14" t="n"/>
      <c r="G30" s="24" t="n"/>
      <c r="H30" s="14" t="n"/>
      <c r="I30" s="24" t="n"/>
      <c r="J30" s="25" t="n"/>
      <c r="K30" s="14" t="n"/>
      <c r="L30" s="24" t="n"/>
      <c r="M30" s="26">
        <f>IF(OR(N(J30)=0,L30="Cancelled"),"",IF(AND(N(J30)&gt;5000,H30="Cash"),"Yes: ₹1","No"))</f>
        <v/>
      </c>
      <c r="N30" s="27">
        <f>IF(AND(B30="",D30="",N(J30)=0),"",IF(B30="","Enter the date",IF(AND(ROW()&gt;18,B29=""),"Use the next empty row: a skipped row leaves a gap in the voucher numbers",IF(D30="","Enter who was paid",IF(N(J30)=0,"Enter the amount",IF(E30="","Pick the head of account",IF(P30="?","Pick the head from the list",IF(H30="","Pick how it was paid",IF(L30="Cancelled","Cancelled: keep this number unused and write a fresh voucher",IF(AND(H30&lt;&gt;"Cash",I30=""),"Enter the cheque no., UTR or UPI reference",IF(AND(N($E$11)&gt;0,N(J30)&gt;N($E$11),K30=""),"Above your approval limit: get it approved before paying",IF(S30&gt;10000,"Cash paid to this person today is over ₹10,000: not deductible, s.36(4)",IF(T30&gt;35000,"Cash freight to this transporter today is over ₹35,000: not deductible, s.36(6)",IF(U30&gt;10000,"Asset paid in cash over ₹10,000 today: left out of its cost, s.39(2)",IF(AND(P30="L",H30="Cash",N(J30)&gt;=20000),"Loan of ₹20,000 or more repaid in cash: barred, s.188","OK")))))))))))))))</f>
        <v/>
      </c>
      <c r="P30">
        <f>IF(E30="","",IFERROR(VLOOKUP(E30,Lists!$A$2:$B$17,2,FALSE),"?"))</f>
        <v/>
      </c>
      <c r="Q30">
        <f>IF(L30="Cancelled",0,N(J30))</f>
        <v/>
      </c>
      <c r="R30">
        <f>IF(H30="Cash",Q30,0)</f>
        <v/>
      </c>
      <c r="S30">
        <f>IF(OR(P30&lt;&gt;"E",R30=0),0,SUMIFS($R$18:$R$317,$B$18:$B$317,B30,$D$18:$D$317,D30,$P$18:$P$317,"E"))</f>
        <v/>
      </c>
      <c r="T30">
        <f>IF(OR(P30&lt;&gt;"F",R30=0),0,SUMIFS($R$18:$R$317,$B$18:$B$317,B30,$D$18:$D$317,D30,$P$18:$P$317,"F"))</f>
        <v/>
      </c>
      <c r="U30">
        <f>IF(OR(P30&lt;&gt;"A",R30=0),0,SUMIFS($R$18:$R$317,$B$18:$B$317,B30,$D$18:$D$317,D30,$P$18:$P$317,"A"))</f>
        <v/>
      </c>
      <c r="V30">
        <f>IF(OR(N30="",N30="OK",L30="Cancelled"),0,1)</f>
        <v/>
      </c>
    </row>
    <row r="31">
      <c r="B31" s="22" t="n"/>
      <c r="C31" s="23">
        <f>IF(B31="","",$E$9&amp;TEXT(N($E$10)+13,"000"))</f>
        <v/>
      </c>
      <c r="D31" s="14" t="n"/>
      <c r="E31" s="14" t="n"/>
      <c r="F31" s="14" t="n"/>
      <c r="G31" s="24" t="n"/>
      <c r="H31" s="14" t="n"/>
      <c r="I31" s="24" t="n"/>
      <c r="J31" s="25" t="n"/>
      <c r="K31" s="14" t="n"/>
      <c r="L31" s="24" t="n"/>
      <c r="M31" s="26">
        <f>IF(OR(N(J31)=0,L31="Cancelled"),"",IF(AND(N(J31)&gt;5000,H31="Cash"),"Yes: ₹1","No"))</f>
        <v/>
      </c>
      <c r="N31" s="27">
        <f>IF(AND(B31="",D31="",N(J31)=0),"",IF(B31="","Enter the date",IF(AND(ROW()&gt;18,B30=""),"Use the next empty row: a skipped row leaves a gap in the voucher numbers",IF(D31="","Enter who was paid",IF(N(J31)=0,"Enter the amount",IF(E31="","Pick the head of account",IF(P31="?","Pick the head from the list",IF(H31="","Pick how it was paid",IF(L31="Cancelled","Cancelled: keep this number unused and write a fresh voucher",IF(AND(H31&lt;&gt;"Cash",I31=""),"Enter the cheque no., UTR or UPI reference",IF(AND(N($E$11)&gt;0,N(J31)&gt;N($E$11),K31=""),"Above your approval limit: get it approved before paying",IF(S31&gt;10000,"Cash paid to this person today is over ₹10,000: not deductible, s.36(4)",IF(T31&gt;35000,"Cash freight to this transporter today is over ₹35,000: not deductible, s.36(6)",IF(U31&gt;10000,"Asset paid in cash over ₹10,000 today: left out of its cost, s.39(2)",IF(AND(P31="L",H31="Cash",N(J31)&gt;=20000),"Loan of ₹20,000 or more repaid in cash: barred, s.188","OK")))))))))))))))</f>
        <v/>
      </c>
      <c r="P31">
        <f>IF(E31="","",IFERROR(VLOOKUP(E31,Lists!$A$2:$B$17,2,FALSE),"?"))</f>
        <v/>
      </c>
      <c r="Q31">
        <f>IF(L31="Cancelled",0,N(J31))</f>
        <v/>
      </c>
      <c r="R31">
        <f>IF(H31="Cash",Q31,0)</f>
        <v/>
      </c>
      <c r="S31">
        <f>IF(OR(P31&lt;&gt;"E",R31=0),0,SUMIFS($R$18:$R$317,$B$18:$B$317,B31,$D$18:$D$317,D31,$P$18:$P$317,"E"))</f>
        <v/>
      </c>
      <c r="T31">
        <f>IF(OR(P31&lt;&gt;"F",R31=0),0,SUMIFS($R$18:$R$317,$B$18:$B$317,B31,$D$18:$D$317,D31,$P$18:$P$317,"F"))</f>
        <v/>
      </c>
      <c r="U31">
        <f>IF(OR(P31&lt;&gt;"A",R31=0),0,SUMIFS($R$18:$R$317,$B$18:$B$317,B31,$D$18:$D$317,D31,$P$18:$P$317,"A"))</f>
        <v/>
      </c>
      <c r="V31">
        <f>IF(OR(N31="",N31="OK",L31="Cancelled"),0,1)</f>
        <v/>
      </c>
    </row>
    <row r="32">
      <c r="B32" s="22" t="n"/>
      <c r="C32" s="23">
        <f>IF(B32="","",$E$9&amp;TEXT(N($E$10)+14,"000"))</f>
        <v/>
      </c>
      <c r="D32" s="14" t="n"/>
      <c r="E32" s="14" t="n"/>
      <c r="F32" s="14" t="n"/>
      <c r="G32" s="24" t="n"/>
      <c r="H32" s="14" t="n"/>
      <c r="I32" s="24" t="n"/>
      <c r="J32" s="25" t="n"/>
      <c r="K32" s="14" t="n"/>
      <c r="L32" s="24" t="n"/>
      <c r="M32" s="26">
        <f>IF(OR(N(J32)=0,L32="Cancelled"),"",IF(AND(N(J32)&gt;5000,H32="Cash"),"Yes: ₹1","No"))</f>
        <v/>
      </c>
      <c r="N32" s="27">
        <f>IF(AND(B32="",D32="",N(J32)=0),"",IF(B32="","Enter the date",IF(AND(ROW()&gt;18,B31=""),"Use the next empty row: a skipped row leaves a gap in the voucher numbers",IF(D32="","Enter who was paid",IF(N(J32)=0,"Enter the amount",IF(E32="","Pick the head of account",IF(P32="?","Pick the head from the list",IF(H32="","Pick how it was paid",IF(L32="Cancelled","Cancelled: keep this number unused and write a fresh voucher",IF(AND(H32&lt;&gt;"Cash",I32=""),"Enter the cheque no., UTR or UPI reference",IF(AND(N($E$11)&gt;0,N(J32)&gt;N($E$11),K32=""),"Above your approval limit: get it approved before paying",IF(S32&gt;10000,"Cash paid to this person today is over ₹10,000: not deductible, s.36(4)",IF(T32&gt;35000,"Cash freight to this transporter today is over ₹35,000: not deductible, s.36(6)",IF(U32&gt;10000,"Asset paid in cash over ₹10,000 today: left out of its cost, s.39(2)",IF(AND(P32="L",H32="Cash",N(J32)&gt;=20000),"Loan of ₹20,000 or more repaid in cash: barred, s.188","OK")))))))))))))))</f>
        <v/>
      </c>
      <c r="P32">
        <f>IF(E32="","",IFERROR(VLOOKUP(E32,Lists!$A$2:$B$17,2,FALSE),"?"))</f>
        <v/>
      </c>
      <c r="Q32">
        <f>IF(L32="Cancelled",0,N(J32))</f>
        <v/>
      </c>
      <c r="R32">
        <f>IF(H32="Cash",Q32,0)</f>
        <v/>
      </c>
      <c r="S32">
        <f>IF(OR(P32&lt;&gt;"E",R32=0),0,SUMIFS($R$18:$R$317,$B$18:$B$317,B32,$D$18:$D$317,D32,$P$18:$P$317,"E"))</f>
        <v/>
      </c>
      <c r="T32">
        <f>IF(OR(P32&lt;&gt;"F",R32=0),0,SUMIFS($R$18:$R$317,$B$18:$B$317,B32,$D$18:$D$317,D32,$P$18:$P$317,"F"))</f>
        <v/>
      </c>
      <c r="U32">
        <f>IF(OR(P32&lt;&gt;"A",R32=0),0,SUMIFS($R$18:$R$317,$B$18:$B$317,B32,$D$18:$D$317,D32,$P$18:$P$317,"A"))</f>
        <v/>
      </c>
      <c r="V32">
        <f>IF(OR(N32="",N32="OK",L32="Cancelled"),0,1)</f>
        <v/>
      </c>
    </row>
    <row r="33">
      <c r="B33" s="22" t="n"/>
      <c r="C33" s="23">
        <f>IF(B33="","",$E$9&amp;TEXT(N($E$10)+15,"000"))</f>
        <v/>
      </c>
      <c r="D33" s="14" t="n"/>
      <c r="E33" s="14" t="n"/>
      <c r="F33" s="14" t="n"/>
      <c r="G33" s="24" t="n"/>
      <c r="H33" s="14" t="n"/>
      <c r="I33" s="24" t="n"/>
      <c r="J33" s="25" t="n"/>
      <c r="K33" s="14" t="n"/>
      <c r="L33" s="24" t="n"/>
      <c r="M33" s="26">
        <f>IF(OR(N(J33)=0,L33="Cancelled"),"",IF(AND(N(J33)&gt;5000,H33="Cash"),"Yes: ₹1","No"))</f>
        <v/>
      </c>
      <c r="N33" s="27">
        <f>IF(AND(B33="",D33="",N(J33)=0),"",IF(B33="","Enter the date",IF(AND(ROW()&gt;18,B32=""),"Use the next empty row: a skipped row leaves a gap in the voucher numbers",IF(D33="","Enter who was paid",IF(N(J33)=0,"Enter the amount",IF(E33="","Pick the head of account",IF(P33="?","Pick the head from the list",IF(H33="","Pick how it was paid",IF(L33="Cancelled","Cancelled: keep this number unused and write a fresh voucher",IF(AND(H33&lt;&gt;"Cash",I33=""),"Enter the cheque no., UTR or UPI reference",IF(AND(N($E$11)&gt;0,N(J33)&gt;N($E$11),K33=""),"Above your approval limit: get it approved before paying",IF(S33&gt;10000,"Cash paid to this person today is over ₹10,000: not deductible, s.36(4)",IF(T33&gt;35000,"Cash freight to this transporter today is over ₹35,000: not deductible, s.36(6)",IF(U33&gt;10000,"Asset paid in cash over ₹10,000 today: left out of its cost, s.39(2)",IF(AND(P33="L",H33="Cash",N(J33)&gt;=20000),"Loan of ₹20,000 or more repaid in cash: barred, s.188","OK")))))))))))))))</f>
        <v/>
      </c>
      <c r="P33">
        <f>IF(E33="","",IFERROR(VLOOKUP(E33,Lists!$A$2:$B$17,2,FALSE),"?"))</f>
        <v/>
      </c>
      <c r="Q33">
        <f>IF(L33="Cancelled",0,N(J33))</f>
        <v/>
      </c>
      <c r="R33">
        <f>IF(H33="Cash",Q33,0)</f>
        <v/>
      </c>
      <c r="S33">
        <f>IF(OR(P33&lt;&gt;"E",R33=0),0,SUMIFS($R$18:$R$317,$B$18:$B$317,B33,$D$18:$D$317,D33,$P$18:$P$317,"E"))</f>
        <v/>
      </c>
      <c r="T33">
        <f>IF(OR(P33&lt;&gt;"F",R33=0),0,SUMIFS($R$18:$R$317,$B$18:$B$317,B33,$D$18:$D$317,D33,$P$18:$P$317,"F"))</f>
        <v/>
      </c>
      <c r="U33">
        <f>IF(OR(P33&lt;&gt;"A",R33=0),0,SUMIFS($R$18:$R$317,$B$18:$B$317,B33,$D$18:$D$317,D33,$P$18:$P$317,"A"))</f>
        <v/>
      </c>
      <c r="V33">
        <f>IF(OR(N33="",N33="OK",L33="Cancelled"),0,1)</f>
        <v/>
      </c>
    </row>
    <row r="34">
      <c r="B34" s="22" t="n"/>
      <c r="C34" s="23">
        <f>IF(B34="","",$E$9&amp;TEXT(N($E$10)+16,"000"))</f>
        <v/>
      </c>
      <c r="D34" s="14" t="n"/>
      <c r="E34" s="14" t="n"/>
      <c r="F34" s="14" t="n"/>
      <c r="G34" s="24" t="n"/>
      <c r="H34" s="14" t="n"/>
      <c r="I34" s="24" t="n"/>
      <c r="J34" s="25" t="n"/>
      <c r="K34" s="14" t="n"/>
      <c r="L34" s="24" t="n"/>
      <c r="M34" s="26">
        <f>IF(OR(N(J34)=0,L34="Cancelled"),"",IF(AND(N(J34)&gt;5000,H34="Cash"),"Yes: ₹1","No"))</f>
        <v/>
      </c>
      <c r="N34" s="27">
        <f>IF(AND(B34="",D34="",N(J34)=0),"",IF(B34="","Enter the date",IF(AND(ROW()&gt;18,B33=""),"Use the next empty row: a skipped row leaves a gap in the voucher numbers",IF(D34="","Enter who was paid",IF(N(J34)=0,"Enter the amount",IF(E34="","Pick the head of account",IF(P34="?","Pick the head from the list",IF(H34="","Pick how it was paid",IF(L34="Cancelled","Cancelled: keep this number unused and write a fresh voucher",IF(AND(H34&lt;&gt;"Cash",I34=""),"Enter the cheque no., UTR or UPI reference",IF(AND(N($E$11)&gt;0,N(J34)&gt;N($E$11),K34=""),"Above your approval limit: get it approved before paying",IF(S34&gt;10000,"Cash paid to this person today is over ₹10,000: not deductible, s.36(4)",IF(T34&gt;35000,"Cash freight to this transporter today is over ₹35,000: not deductible, s.36(6)",IF(U34&gt;10000,"Asset paid in cash over ₹10,000 today: left out of its cost, s.39(2)",IF(AND(P34="L",H34="Cash",N(J34)&gt;=20000),"Loan of ₹20,000 or more repaid in cash: barred, s.188","OK")))))))))))))))</f>
        <v/>
      </c>
      <c r="P34">
        <f>IF(E34="","",IFERROR(VLOOKUP(E34,Lists!$A$2:$B$17,2,FALSE),"?"))</f>
        <v/>
      </c>
      <c r="Q34">
        <f>IF(L34="Cancelled",0,N(J34))</f>
        <v/>
      </c>
      <c r="R34">
        <f>IF(H34="Cash",Q34,0)</f>
        <v/>
      </c>
      <c r="S34">
        <f>IF(OR(P34&lt;&gt;"E",R34=0),0,SUMIFS($R$18:$R$317,$B$18:$B$317,B34,$D$18:$D$317,D34,$P$18:$P$317,"E"))</f>
        <v/>
      </c>
      <c r="T34">
        <f>IF(OR(P34&lt;&gt;"F",R34=0),0,SUMIFS($R$18:$R$317,$B$18:$B$317,B34,$D$18:$D$317,D34,$P$18:$P$317,"F"))</f>
        <v/>
      </c>
      <c r="U34">
        <f>IF(OR(P34&lt;&gt;"A",R34=0),0,SUMIFS($R$18:$R$317,$B$18:$B$317,B34,$D$18:$D$317,D34,$P$18:$P$317,"A"))</f>
        <v/>
      </c>
      <c r="V34">
        <f>IF(OR(N34="",N34="OK",L34="Cancelled"),0,1)</f>
        <v/>
      </c>
    </row>
    <row r="35">
      <c r="B35" s="22" t="n"/>
      <c r="C35" s="23">
        <f>IF(B35="","",$E$9&amp;TEXT(N($E$10)+17,"000"))</f>
        <v/>
      </c>
      <c r="D35" s="14" t="n"/>
      <c r="E35" s="14" t="n"/>
      <c r="F35" s="14" t="n"/>
      <c r="G35" s="24" t="n"/>
      <c r="H35" s="14" t="n"/>
      <c r="I35" s="24" t="n"/>
      <c r="J35" s="25" t="n"/>
      <c r="K35" s="14" t="n"/>
      <c r="L35" s="24" t="n"/>
      <c r="M35" s="26">
        <f>IF(OR(N(J35)=0,L35="Cancelled"),"",IF(AND(N(J35)&gt;5000,H35="Cash"),"Yes: ₹1","No"))</f>
        <v/>
      </c>
      <c r="N35" s="27">
        <f>IF(AND(B35="",D35="",N(J35)=0),"",IF(B35="","Enter the date",IF(AND(ROW()&gt;18,B34=""),"Use the next empty row: a skipped row leaves a gap in the voucher numbers",IF(D35="","Enter who was paid",IF(N(J35)=0,"Enter the amount",IF(E35="","Pick the head of account",IF(P35="?","Pick the head from the list",IF(H35="","Pick how it was paid",IF(L35="Cancelled","Cancelled: keep this number unused and write a fresh voucher",IF(AND(H35&lt;&gt;"Cash",I35=""),"Enter the cheque no., UTR or UPI reference",IF(AND(N($E$11)&gt;0,N(J35)&gt;N($E$11),K35=""),"Above your approval limit: get it approved before paying",IF(S35&gt;10000,"Cash paid to this person today is over ₹10,000: not deductible, s.36(4)",IF(T35&gt;35000,"Cash freight to this transporter today is over ₹35,000: not deductible, s.36(6)",IF(U35&gt;10000,"Asset paid in cash over ₹10,000 today: left out of its cost, s.39(2)",IF(AND(P35="L",H35="Cash",N(J35)&gt;=20000),"Loan of ₹20,000 or more repaid in cash: barred, s.188","OK")))))))))))))))</f>
        <v/>
      </c>
      <c r="P35">
        <f>IF(E35="","",IFERROR(VLOOKUP(E35,Lists!$A$2:$B$17,2,FALSE),"?"))</f>
        <v/>
      </c>
      <c r="Q35">
        <f>IF(L35="Cancelled",0,N(J35))</f>
        <v/>
      </c>
      <c r="R35">
        <f>IF(H35="Cash",Q35,0)</f>
        <v/>
      </c>
      <c r="S35">
        <f>IF(OR(P35&lt;&gt;"E",R35=0),0,SUMIFS($R$18:$R$317,$B$18:$B$317,B35,$D$18:$D$317,D35,$P$18:$P$317,"E"))</f>
        <v/>
      </c>
      <c r="T35">
        <f>IF(OR(P35&lt;&gt;"F",R35=0),0,SUMIFS($R$18:$R$317,$B$18:$B$317,B35,$D$18:$D$317,D35,$P$18:$P$317,"F"))</f>
        <v/>
      </c>
      <c r="U35">
        <f>IF(OR(P35&lt;&gt;"A",R35=0),0,SUMIFS($R$18:$R$317,$B$18:$B$317,B35,$D$18:$D$317,D35,$P$18:$P$317,"A"))</f>
        <v/>
      </c>
      <c r="V35">
        <f>IF(OR(N35="",N35="OK",L35="Cancelled"),0,1)</f>
        <v/>
      </c>
    </row>
    <row r="36">
      <c r="B36" s="22" t="n"/>
      <c r="C36" s="23">
        <f>IF(B36="","",$E$9&amp;TEXT(N($E$10)+18,"000"))</f>
        <v/>
      </c>
      <c r="D36" s="14" t="n"/>
      <c r="E36" s="14" t="n"/>
      <c r="F36" s="14" t="n"/>
      <c r="G36" s="24" t="n"/>
      <c r="H36" s="14" t="n"/>
      <c r="I36" s="24" t="n"/>
      <c r="J36" s="25" t="n"/>
      <c r="K36" s="14" t="n"/>
      <c r="L36" s="24" t="n"/>
      <c r="M36" s="26">
        <f>IF(OR(N(J36)=0,L36="Cancelled"),"",IF(AND(N(J36)&gt;5000,H36="Cash"),"Yes: ₹1","No"))</f>
        <v/>
      </c>
      <c r="N36" s="27">
        <f>IF(AND(B36="",D36="",N(J36)=0),"",IF(B36="","Enter the date",IF(AND(ROW()&gt;18,B35=""),"Use the next empty row: a skipped row leaves a gap in the voucher numbers",IF(D36="","Enter who was paid",IF(N(J36)=0,"Enter the amount",IF(E36="","Pick the head of account",IF(P36="?","Pick the head from the list",IF(H36="","Pick how it was paid",IF(L36="Cancelled","Cancelled: keep this number unused and write a fresh voucher",IF(AND(H36&lt;&gt;"Cash",I36=""),"Enter the cheque no., UTR or UPI reference",IF(AND(N($E$11)&gt;0,N(J36)&gt;N($E$11),K36=""),"Above your approval limit: get it approved before paying",IF(S36&gt;10000,"Cash paid to this person today is over ₹10,000: not deductible, s.36(4)",IF(T36&gt;35000,"Cash freight to this transporter today is over ₹35,000: not deductible, s.36(6)",IF(U36&gt;10000,"Asset paid in cash over ₹10,000 today: left out of its cost, s.39(2)",IF(AND(P36="L",H36="Cash",N(J36)&gt;=20000),"Loan of ₹20,000 or more repaid in cash: barred, s.188","OK")))))))))))))))</f>
        <v/>
      </c>
      <c r="P36">
        <f>IF(E36="","",IFERROR(VLOOKUP(E36,Lists!$A$2:$B$17,2,FALSE),"?"))</f>
        <v/>
      </c>
      <c r="Q36">
        <f>IF(L36="Cancelled",0,N(J36))</f>
        <v/>
      </c>
      <c r="R36">
        <f>IF(H36="Cash",Q36,0)</f>
        <v/>
      </c>
      <c r="S36">
        <f>IF(OR(P36&lt;&gt;"E",R36=0),0,SUMIFS($R$18:$R$317,$B$18:$B$317,B36,$D$18:$D$317,D36,$P$18:$P$317,"E"))</f>
        <v/>
      </c>
      <c r="T36">
        <f>IF(OR(P36&lt;&gt;"F",R36=0),0,SUMIFS($R$18:$R$317,$B$18:$B$317,B36,$D$18:$D$317,D36,$P$18:$P$317,"F"))</f>
        <v/>
      </c>
      <c r="U36">
        <f>IF(OR(P36&lt;&gt;"A",R36=0),0,SUMIFS($R$18:$R$317,$B$18:$B$317,B36,$D$18:$D$317,D36,$P$18:$P$317,"A"))</f>
        <v/>
      </c>
      <c r="V36">
        <f>IF(OR(N36="",N36="OK",L36="Cancelled"),0,1)</f>
        <v/>
      </c>
    </row>
    <row r="37">
      <c r="B37" s="22" t="n"/>
      <c r="C37" s="23">
        <f>IF(B37="","",$E$9&amp;TEXT(N($E$10)+19,"000"))</f>
        <v/>
      </c>
      <c r="D37" s="14" t="n"/>
      <c r="E37" s="14" t="n"/>
      <c r="F37" s="14" t="n"/>
      <c r="G37" s="24" t="n"/>
      <c r="H37" s="14" t="n"/>
      <c r="I37" s="24" t="n"/>
      <c r="J37" s="25" t="n"/>
      <c r="K37" s="14" t="n"/>
      <c r="L37" s="24" t="n"/>
      <c r="M37" s="26">
        <f>IF(OR(N(J37)=0,L37="Cancelled"),"",IF(AND(N(J37)&gt;5000,H37="Cash"),"Yes: ₹1","No"))</f>
        <v/>
      </c>
      <c r="N37" s="27">
        <f>IF(AND(B37="",D37="",N(J37)=0),"",IF(B37="","Enter the date",IF(AND(ROW()&gt;18,B36=""),"Use the next empty row: a skipped row leaves a gap in the voucher numbers",IF(D37="","Enter who was paid",IF(N(J37)=0,"Enter the amount",IF(E37="","Pick the head of account",IF(P37="?","Pick the head from the list",IF(H37="","Pick how it was paid",IF(L37="Cancelled","Cancelled: keep this number unused and write a fresh voucher",IF(AND(H37&lt;&gt;"Cash",I37=""),"Enter the cheque no., UTR or UPI reference",IF(AND(N($E$11)&gt;0,N(J37)&gt;N($E$11),K37=""),"Above your approval limit: get it approved before paying",IF(S37&gt;10000,"Cash paid to this person today is over ₹10,000: not deductible, s.36(4)",IF(T37&gt;35000,"Cash freight to this transporter today is over ₹35,000: not deductible, s.36(6)",IF(U37&gt;10000,"Asset paid in cash over ₹10,000 today: left out of its cost, s.39(2)",IF(AND(P37="L",H37="Cash",N(J37)&gt;=20000),"Loan of ₹20,000 or more repaid in cash: barred, s.188","OK")))))))))))))))</f>
        <v/>
      </c>
      <c r="P37">
        <f>IF(E37="","",IFERROR(VLOOKUP(E37,Lists!$A$2:$B$17,2,FALSE),"?"))</f>
        <v/>
      </c>
      <c r="Q37">
        <f>IF(L37="Cancelled",0,N(J37))</f>
        <v/>
      </c>
      <c r="R37">
        <f>IF(H37="Cash",Q37,0)</f>
        <v/>
      </c>
      <c r="S37">
        <f>IF(OR(P37&lt;&gt;"E",R37=0),0,SUMIFS($R$18:$R$317,$B$18:$B$317,B37,$D$18:$D$317,D37,$P$18:$P$317,"E"))</f>
        <v/>
      </c>
      <c r="T37">
        <f>IF(OR(P37&lt;&gt;"F",R37=0),0,SUMIFS($R$18:$R$317,$B$18:$B$317,B37,$D$18:$D$317,D37,$P$18:$P$317,"F"))</f>
        <v/>
      </c>
      <c r="U37">
        <f>IF(OR(P37&lt;&gt;"A",R37=0),0,SUMIFS($R$18:$R$317,$B$18:$B$317,B37,$D$18:$D$317,D37,$P$18:$P$317,"A"))</f>
        <v/>
      </c>
      <c r="V37">
        <f>IF(OR(N37="",N37="OK",L37="Cancelled"),0,1)</f>
        <v/>
      </c>
    </row>
    <row r="38">
      <c r="B38" s="22" t="n"/>
      <c r="C38" s="23">
        <f>IF(B38="","",$E$9&amp;TEXT(N($E$10)+20,"000"))</f>
        <v/>
      </c>
      <c r="D38" s="14" t="n"/>
      <c r="E38" s="14" t="n"/>
      <c r="F38" s="14" t="n"/>
      <c r="G38" s="24" t="n"/>
      <c r="H38" s="14" t="n"/>
      <c r="I38" s="24" t="n"/>
      <c r="J38" s="25" t="n"/>
      <c r="K38" s="14" t="n"/>
      <c r="L38" s="24" t="n"/>
      <c r="M38" s="26">
        <f>IF(OR(N(J38)=0,L38="Cancelled"),"",IF(AND(N(J38)&gt;5000,H38="Cash"),"Yes: ₹1","No"))</f>
        <v/>
      </c>
      <c r="N38" s="27">
        <f>IF(AND(B38="",D38="",N(J38)=0),"",IF(B38="","Enter the date",IF(AND(ROW()&gt;18,B37=""),"Use the next empty row: a skipped row leaves a gap in the voucher numbers",IF(D38="","Enter who was paid",IF(N(J38)=0,"Enter the amount",IF(E38="","Pick the head of account",IF(P38="?","Pick the head from the list",IF(H38="","Pick how it was paid",IF(L38="Cancelled","Cancelled: keep this number unused and write a fresh voucher",IF(AND(H38&lt;&gt;"Cash",I38=""),"Enter the cheque no., UTR or UPI reference",IF(AND(N($E$11)&gt;0,N(J38)&gt;N($E$11),K38=""),"Above your approval limit: get it approved before paying",IF(S38&gt;10000,"Cash paid to this person today is over ₹10,000: not deductible, s.36(4)",IF(T38&gt;35000,"Cash freight to this transporter today is over ₹35,000: not deductible, s.36(6)",IF(U38&gt;10000,"Asset paid in cash over ₹10,000 today: left out of its cost, s.39(2)",IF(AND(P38="L",H38="Cash",N(J38)&gt;=20000),"Loan of ₹20,000 or more repaid in cash: barred, s.188","OK")))))))))))))))</f>
        <v/>
      </c>
      <c r="P38">
        <f>IF(E38="","",IFERROR(VLOOKUP(E38,Lists!$A$2:$B$17,2,FALSE),"?"))</f>
        <v/>
      </c>
      <c r="Q38">
        <f>IF(L38="Cancelled",0,N(J38))</f>
        <v/>
      </c>
      <c r="R38">
        <f>IF(H38="Cash",Q38,0)</f>
        <v/>
      </c>
      <c r="S38">
        <f>IF(OR(P38&lt;&gt;"E",R38=0),0,SUMIFS($R$18:$R$317,$B$18:$B$317,B38,$D$18:$D$317,D38,$P$18:$P$317,"E"))</f>
        <v/>
      </c>
      <c r="T38">
        <f>IF(OR(P38&lt;&gt;"F",R38=0),0,SUMIFS($R$18:$R$317,$B$18:$B$317,B38,$D$18:$D$317,D38,$P$18:$P$317,"F"))</f>
        <v/>
      </c>
      <c r="U38">
        <f>IF(OR(P38&lt;&gt;"A",R38=0),0,SUMIFS($R$18:$R$317,$B$18:$B$317,B38,$D$18:$D$317,D38,$P$18:$P$317,"A"))</f>
        <v/>
      </c>
      <c r="V38">
        <f>IF(OR(N38="",N38="OK",L38="Cancelled"),0,1)</f>
        <v/>
      </c>
    </row>
    <row r="39">
      <c r="B39" s="22" t="n"/>
      <c r="C39" s="23">
        <f>IF(B39="","",$E$9&amp;TEXT(N($E$10)+21,"000"))</f>
        <v/>
      </c>
      <c r="D39" s="14" t="n"/>
      <c r="E39" s="14" t="n"/>
      <c r="F39" s="14" t="n"/>
      <c r="G39" s="24" t="n"/>
      <c r="H39" s="14" t="n"/>
      <c r="I39" s="24" t="n"/>
      <c r="J39" s="25" t="n"/>
      <c r="K39" s="14" t="n"/>
      <c r="L39" s="24" t="n"/>
      <c r="M39" s="26">
        <f>IF(OR(N(J39)=0,L39="Cancelled"),"",IF(AND(N(J39)&gt;5000,H39="Cash"),"Yes: ₹1","No"))</f>
        <v/>
      </c>
      <c r="N39" s="27">
        <f>IF(AND(B39="",D39="",N(J39)=0),"",IF(B39="","Enter the date",IF(AND(ROW()&gt;18,B38=""),"Use the next empty row: a skipped row leaves a gap in the voucher numbers",IF(D39="","Enter who was paid",IF(N(J39)=0,"Enter the amount",IF(E39="","Pick the head of account",IF(P39="?","Pick the head from the list",IF(H39="","Pick how it was paid",IF(L39="Cancelled","Cancelled: keep this number unused and write a fresh voucher",IF(AND(H39&lt;&gt;"Cash",I39=""),"Enter the cheque no., UTR or UPI reference",IF(AND(N($E$11)&gt;0,N(J39)&gt;N($E$11),K39=""),"Above your approval limit: get it approved before paying",IF(S39&gt;10000,"Cash paid to this person today is over ₹10,000: not deductible, s.36(4)",IF(T39&gt;35000,"Cash freight to this transporter today is over ₹35,000: not deductible, s.36(6)",IF(U39&gt;10000,"Asset paid in cash over ₹10,000 today: left out of its cost, s.39(2)",IF(AND(P39="L",H39="Cash",N(J39)&gt;=20000),"Loan of ₹20,000 or more repaid in cash: barred, s.188","OK")))))))))))))))</f>
        <v/>
      </c>
      <c r="P39">
        <f>IF(E39="","",IFERROR(VLOOKUP(E39,Lists!$A$2:$B$17,2,FALSE),"?"))</f>
        <v/>
      </c>
      <c r="Q39">
        <f>IF(L39="Cancelled",0,N(J39))</f>
        <v/>
      </c>
      <c r="R39">
        <f>IF(H39="Cash",Q39,0)</f>
        <v/>
      </c>
      <c r="S39">
        <f>IF(OR(P39&lt;&gt;"E",R39=0),0,SUMIFS($R$18:$R$317,$B$18:$B$317,B39,$D$18:$D$317,D39,$P$18:$P$317,"E"))</f>
        <v/>
      </c>
      <c r="T39">
        <f>IF(OR(P39&lt;&gt;"F",R39=0),0,SUMIFS($R$18:$R$317,$B$18:$B$317,B39,$D$18:$D$317,D39,$P$18:$P$317,"F"))</f>
        <v/>
      </c>
      <c r="U39">
        <f>IF(OR(P39&lt;&gt;"A",R39=0),0,SUMIFS($R$18:$R$317,$B$18:$B$317,B39,$D$18:$D$317,D39,$P$18:$P$317,"A"))</f>
        <v/>
      </c>
      <c r="V39">
        <f>IF(OR(N39="",N39="OK",L39="Cancelled"),0,1)</f>
        <v/>
      </c>
    </row>
    <row r="40">
      <c r="B40" s="22" t="n"/>
      <c r="C40" s="23">
        <f>IF(B40="","",$E$9&amp;TEXT(N($E$10)+22,"000"))</f>
        <v/>
      </c>
      <c r="D40" s="14" t="n"/>
      <c r="E40" s="14" t="n"/>
      <c r="F40" s="14" t="n"/>
      <c r="G40" s="24" t="n"/>
      <c r="H40" s="14" t="n"/>
      <c r="I40" s="24" t="n"/>
      <c r="J40" s="25" t="n"/>
      <c r="K40" s="14" t="n"/>
      <c r="L40" s="24" t="n"/>
      <c r="M40" s="26">
        <f>IF(OR(N(J40)=0,L40="Cancelled"),"",IF(AND(N(J40)&gt;5000,H40="Cash"),"Yes: ₹1","No"))</f>
        <v/>
      </c>
      <c r="N40" s="27">
        <f>IF(AND(B40="",D40="",N(J40)=0),"",IF(B40="","Enter the date",IF(AND(ROW()&gt;18,B39=""),"Use the next empty row: a skipped row leaves a gap in the voucher numbers",IF(D40="","Enter who was paid",IF(N(J40)=0,"Enter the amount",IF(E40="","Pick the head of account",IF(P40="?","Pick the head from the list",IF(H40="","Pick how it was paid",IF(L40="Cancelled","Cancelled: keep this number unused and write a fresh voucher",IF(AND(H40&lt;&gt;"Cash",I40=""),"Enter the cheque no., UTR or UPI reference",IF(AND(N($E$11)&gt;0,N(J40)&gt;N($E$11),K40=""),"Above your approval limit: get it approved before paying",IF(S40&gt;10000,"Cash paid to this person today is over ₹10,000: not deductible, s.36(4)",IF(T40&gt;35000,"Cash freight to this transporter today is over ₹35,000: not deductible, s.36(6)",IF(U40&gt;10000,"Asset paid in cash over ₹10,000 today: left out of its cost, s.39(2)",IF(AND(P40="L",H40="Cash",N(J40)&gt;=20000),"Loan of ₹20,000 or more repaid in cash: barred, s.188","OK")))))))))))))))</f>
        <v/>
      </c>
      <c r="P40">
        <f>IF(E40="","",IFERROR(VLOOKUP(E40,Lists!$A$2:$B$17,2,FALSE),"?"))</f>
        <v/>
      </c>
      <c r="Q40">
        <f>IF(L40="Cancelled",0,N(J40))</f>
        <v/>
      </c>
      <c r="R40">
        <f>IF(H40="Cash",Q40,0)</f>
        <v/>
      </c>
      <c r="S40">
        <f>IF(OR(P40&lt;&gt;"E",R40=0),0,SUMIFS($R$18:$R$317,$B$18:$B$317,B40,$D$18:$D$317,D40,$P$18:$P$317,"E"))</f>
        <v/>
      </c>
      <c r="T40">
        <f>IF(OR(P40&lt;&gt;"F",R40=0),0,SUMIFS($R$18:$R$317,$B$18:$B$317,B40,$D$18:$D$317,D40,$P$18:$P$317,"F"))</f>
        <v/>
      </c>
      <c r="U40">
        <f>IF(OR(P40&lt;&gt;"A",R40=0),0,SUMIFS($R$18:$R$317,$B$18:$B$317,B40,$D$18:$D$317,D40,$P$18:$P$317,"A"))</f>
        <v/>
      </c>
      <c r="V40">
        <f>IF(OR(N40="",N40="OK",L40="Cancelled"),0,1)</f>
        <v/>
      </c>
    </row>
    <row r="41">
      <c r="B41" s="22" t="n"/>
      <c r="C41" s="23">
        <f>IF(B41="","",$E$9&amp;TEXT(N($E$10)+23,"000"))</f>
        <v/>
      </c>
      <c r="D41" s="14" t="n"/>
      <c r="E41" s="14" t="n"/>
      <c r="F41" s="14" t="n"/>
      <c r="G41" s="24" t="n"/>
      <c r="H41" s="14" t="n"/>
      <c r="I41" s="24" t="n"/>
      <c r="J41" s="25" t="n"/>
      <c r="K41" s="14" t="n"/>
      <c r="L41" s="24" t="n"/>
      <c r="M41" s="26">
        <f>IF(OR(N(J41)=0,L41="Cancelled"),"",IF(AND(N(J41)&gt;5000,H41="Cash"),"Yes: ₹1","No"))</f>
        <v/>
      </c>
      <c r="N41" s="27">
        <f>IF(AND(B41="",D41="",N(J41)=0),"",IF(B41="","Enter the date",IF(AND(ROW()&gt;18,B40=""),"Use the next empty row: a skipped row leaves a gap in the voucher numbers",IF(D41="","Enter who was paid",IF(N(J41)=0,"Enter the amount",IF(E41="","Pick the head of account",IF(P41="?","Pick the head from the list",IF(H41="","Pick how it was paid",IF(L41="Cancelled","Cancelled: keep this number unused and write a fresh voucher",IF(AND(H41&lt;&gt;"Cash",I41=""),"Enter the cheque no., UTR or UPI reference",IF(AND(N($E$11)&gt;0,N(J41)&gt;N($E$11),K41=""),"Above your approval limit: get it approved before paying",IF(S41&gt;10000,"Cash paid to this person today is over ₹10,000: not deductible, s.36(4)",IF(T41&gt;35000,"Cash freight to this transporter today is over ₹35,000: not deductible, s.36(6)",IF(U41&gt;10000,"Asset paid in cash over ₹10,000 today: left out of its cost, s.39(2)",IF(AND(P41="L",H41="Cash",N(J41)&gt;=20000),"Loan of ₹20,000 or more repaid in cash: barred, s.188","OK")))))))))))))))</f>
        <v/>
      </c>
      <c r="P41">
        <f>IF(E41="","",IFERROR(VLOOKUP(E41,Lists!$A$2:$B$17,2,FALSE),"?"))</f>
        <v/>
      </c>
      <c r="Q41">
        <f>IF(L41="Cancelled",0,N(J41))</f>
        <v/>
      </c>
      <c r="R41">
        <f>IF(H41="Cash",Q41,0)</f>
        <v/>
      </c>
      <c r="S41">
        <f>IF(OR(P41&lt;&gt;"E",R41=0),0,SUMIFS($R$18:$R$317,$B$18:$B$317,B41,$D$18:$D$317,D41,$P$18:$P$317,"E"))</f>
        <v/>
      </c>
      <c r="T41">
        <f>IF(OR(P41&lt;&gt;"F",R41=0),0,SUMIFS($R$18:$R$317,$B$18:$B$317,B41,$D$18:$D$317,D41,$P$18:$P$317,"F"))</f>
        <v/>
      </c>
      <c r="U41">
        <f>IF(OR(P41&lt;&gt;"A",R41=0),0,SUMIFS($R$18:$R$317,$B$18:$B$317,B41,$D$18:$D$317,D41,$P$18:$P$317,"A"))</f>
        <v/>
      </c>
      <c r="V41">
        <f>IF(OR(N41="",N41="OK",L41="Cancelled"),0,1)</f>
        <v/>
      </c>
    </row>
    <row r="42">
      <c r="B42" s="22" t="n"/>
      <c r="C42" s="23">
        <f>IF(B42="","",$E$9&amp;TEXT(N($E$10)+24,"000"))</f>
        <v/>
      </c>
      <c r="D42" s="14" t="n"/>
      <c r="E42" s="14" t="n"/>
      <c r="F42" s="14" t="n"/>
      <c r="G42" s="24" t="n"/>
      <c r="H42" s="14" t="n"/>
      <c r="I42" s="24" t="n"/>
      <c r="J42" s="25" t="n"/>
      <c r="K42" s="14" t="n"/>
      <c r="L42" s="24" t="n"/>
      <c r="M42" s="26">
        <f>IF(OR(N(J42)=0,L42="Cancelled"),"",IF(AND(N(J42)&gt;5000,H42="Cash"),"Yes: ₹1","No"))</f>
        <v/>
      </c>
      <c r="N42" s="27">
        <f>IF(AND(B42="",D42="",N(J42)=0),"",IF(B42="","Enter the date",IF(AND(ROW()&gt;18,B41=""),"Use the next empty row: a skipped row leaves a gap in the voucher numbers",IF(D42="","Enter who was paid",IF(N(J42)=0,"Enter the amount",IF(E42="","Pick the head of account",IF(P42="?","Pick the head from the list",IF(H42="","Pick how it was paid",IF(L42="Cancelled","Cancelled: keep this number unused and write a fresh voucher",IF(AND(H42&lt;&gt;"Cash",I42=""),"Enter the cheque no., UTR or UPI reference",IF(AND(N($E$11)&gt;0,N(J42)&gt;N($E$11),K42=""),"Above your approval limit: get it approved before paying",IF(S42&gt;10000,"Cash paid to this person today is over ₹10,000: not deductible, s.36(4)",IF(T42&gt;35000,"Cash freight to this transporter today is over ₹35,000: not deductible, s.36(6)",IF(U42&gt;10000,"Asset paid in cash over ₹10,000 today: left out of its cost, s.39(2)",IF(AND(P42="L",H42="Cash",N(J42)&gt;=20000),"Loan of ₹20,000 or more repaid in cash: barred, s.188","OK")))))))))))))))</f>
        <v/>
      </c>
      <c r="P42">
        <f>IF(E42="","",IFERROR(VLOOKUP(E42,Lists!$A$2:$B$17,2,FALSE),"?"))</f>
        <v/>
      </c>
      <c r="Q42">
        <f>IF(L42="Cancelled",0,N(J42))</f>
        <v/>
      </c>
      <c r="R42">
        <f>IF(H42="Cash",Q42,0)</f>
        <v/>
      </c>
      <c r="S42">
        <f>IF(OR(P42&lt;&gt;"E",R42=0),0,SUMIFS($R$18:$R$317,$B$18:$B$317,B42,$D$18:$D$317,D42,$P$18:$P$317,"E"))</f>
        <v/>
      </c>
      <c r="T42">
        <f>IF(OR(P42&lt;&gt;"F",R42=0),0,SUMIFS($R$18:$R$317,$B$18:$B$317,B42,$D$18:$D$317,D42,$P$18:$P$317,"F"))</f>
        <v/>
      </c>
      <c r="U42">
        <f>IF(OR(P42&lt;&gt;"A",R42=0),0,SUMIFS($R$18:$R$317,$B$18:$B$317,B42,$D$18:$D$317,D42,$P$18:$P$317,"A"))</f>
        <v/>
      </c>
      <c r="V42">
        <f>IF(OR(N42="",N42="OK",L42="Cancelled"),0,1)</f>
        <v/>
      </c>
    </row>
    <row r="43">
      <c r="B43" s="22" t="n"/>
      <c r="C43" s="23">
        <f>IF(B43="","",$E$9&amp;TEXT(N($E$10)+25,"000"))</f>
        <v/>
      </c>
      <c r="D43" s="14" t="n"/>
      <c r="E43" s="14" t="n"/>
      <c r="F43" s="14" t="n"/>
      <c r="G43" s="24" t="n"/>
      <c r="H43" s="14" t="n"/>
      <c r="I43" s="24" t="n"/>
      <c r="J43" s="25" t="n"/>
      <c r="K43" s="14" t="n"/>
      <c r="L43" s="24" t="n"/>
      <c r="M43" s="26">
        <f>IF(OR(N(J43)=0,L43="Cancelled"),"",IF(AND(N(J43)&gt;5000,H43="Cash"),"Yes: ₹1","No"))</f>
        <v/>
      </c>
      <c r="N43" s="27">
        <f>IF(AND(B43="",D43="",N(J43)=0),"",IF(B43="","Enter the date",IF(AND(ROW()&gt;18,B42=""),"Use the next empty row: a skipped row leaves a gap in the voucher numbers",IF(D43="","Enter who was paid",IF(N(J43)=0,"Enter the amount",IF(E43="","Pick the head of account",IF(P43="?","Pick the head from the list",IF(H43="","Pick how it was paid",IF(L43="Cancelled","Cancelled: keep this number unused and write a fresh voucher",IF(AND(H43&lt;&gt;"Cash",I43=""),"Enter the cheque no., UTR or UPI reference",IF(AND(N($E$11)&gt;0,N(J43)&gt;N($E$11),K43=""),"Above your approval limit: get it approved before paying",IF(S43&gt;10000,"Cash paid to this person today is over ₹10,000: not deductible, s.36(4)",IF(T43&gt;35000,"Cash freight to this transporter today is over ₹35,000: not deductible, s.36(6)",IF(U43&gt;10000,"Asset paid in cash over ₹10,000 today: left out of its cost, s.39(2)",IF(AND(P43="L",H43="Cash",N(J43)&gt;=20000),"Loan of ₹20,000 or more repaid in cash: barred, s.188","OK")))))))))))))))</f>
        <v/>
      </c>
      <c r="P43">
        <f>IF(E43="","",IFERROR(VLOOKUP(E43,Lists!$A$2:$B$17,2,FALSE),"?"))</f>
        <v/>
      </c>
      <c r="Q43">
        <f>IF(L43="Cancelled",0,N(J43))</f>
        <v/>
      </c>
      <c r="R43">
        <f>IF(H43="Cash",Q43,0)</f>
        <v/>
      </c>
      <c r="S43">
        <f>IF(OR(P43&lt;&gt;"E",R43=0),0,SUMIFS($R$18:$R$317,$B$18:$B$317,B43,$D$18:$D$317,D43,$P$18:$P$317,"E"))</f>
        <v/>
      </c>
      <c r="T43">
        <f>IF(OR(P43&lt;&gt;"F",R43=0),0,SUMIFS($R$18:$R$317,$B$18:$B$317,B43,$D$18:$D$317,D43,$P$18:$P$317,"F"))</f>
        <v/>
      </c>
      <c r="U43">
        <f>IF(OR(P43&lt;&gt;"A",R43=0),0,SUMIFS($R$18:$R$317,$B$18:$B$317,B43,$D$18:$D$317,D43,$P$18:$P$317,"A"))</f>
        <v/>
      </c>
      <c r="V43">
        <f>IF(OR(N43="",N43="OK",L43="Cancelled"),0,1)</f>
        <v/>
      </c>
    </row>
    <row r="44">
      <c r="B44" s="22" t="n"/>
      <c r="C44" s="23">
        <f>IF(B44="","",$E$9&amp;TEXT(N($E$10)+26,"000"))</f>
        <v/>
      </c>
      <c r="D44" s="14" t="n"/>
      <c r="E44" s="14" t="n"/>
      <c r="F44" s="14" t="n"/>
      <c r="G44" s="24" t="n"/>
      <c r="H44" s="14" t="n"/>
      <c r="I44" s="24" t="n"/>
      <c r="J44" s="25" t="n"/>
      <c r="K44" s="14" t="n"/>
      <c r="L44" s="24" t="n"/>
      <c r="M44" s="26">
        <f>IF(OR(N(J44)=0,L44="Cancelled"),"",IF(AND(N(J44)&gt;5000,H44="Cash"),"Yes: ₹1","No"))</f>
        <v/>
      </c>
      <c r="N44" s="27">
        <f>IF(AND(B44="",D44="",N(J44)=0),"",IF(B44="","Enter the date",IF(AND(ROW()&gt;18,B43=""),"Use the next empty row: a skipped row leaves a gap in the voucher numbers",IF(D44="","Enter who was paid",IF(N(J44)=0,"Enter the amount",IF(E44="","Pick the head of account",IF(P44="?","Pick the head from the list",IF(H44="","Pick how it was paid",IF(L44="Cancelled","Cancelled: keep this number unused and write a fresh voucher",IF(AND(H44&lt;&gt;"Cash",I44=""),"Enter the cheque no., UTR or UPI reference",IF(AND(N($E$11)&gt;0,N(J44)&gt;N($E$11),K44=""),"Above your approval limit: get it approved before paying",IF(S44&gt;10000,"Cash paid to this person today is over ₹10,000: not deductible, s.36(4)",IF(T44&gt;35000,"Cash freight to this transporter today is over ₹35,000: not deductible, s.36(6)",IF(U44&gt;10000,"Asset paid in cash over ₹10,000 today: left out of its cost, s.39(2)",IF(AND(P44="L",H44="Cash",N(J44)&gt;=20000),"Loan of ₹20,000 or more repaid in cash: barred, s.188","OK")))))))))))))))</f>
        <v/>
      </c>
      <c r="P44">
        <f>IF(E44="","",IFERROR(VLOOKUP(E44,Lists!$A$2:$B$17,2,FALSE),"?"))</f>
        <v/>
      </c>
      <c r="Q44">
        <f>IF(L44="Cancelled",0,N(J44))</f>
        <v/>
      </c>
      <c r="R44">
        <f>IF(H44="Cash",Q44,0)</f>
        <v/>
      </c>
      <c r="S44">
        <f>IF(OR(P44&lt;&gt;"E",R44=0),0,SUMIFS($R$18:$R$317,$B$18:$B$317,B44,$D$18:$D$317,D44,$P$18:$P$317,"E"))</f>
        <v/>
      </c>
      <c r="T44">
        <f>IF(OR(P44&lt;&gt;"F",R44=0),0,SUMIFS($R$18:$R$317,$B$18:$B$317,B44,$D$18:$D$317,D44,$P$18:$P$317,"F"))</f>
        <v/>
      </c>
      <c r="U44">
        <f>IF(OR(P44&lt;&gt;"A",R44=0),0,SUMIFS($R$18:$R$317,$B$18:$B$317,B44,$D$18:$D$317,D44,$P$18:$P$317,"A"))</f>
        <v/>
      </c>
      <c r="V44">
        <f>IF(OR(N44="",N44="OK",L44="Cancelled"),0,1)</f>
        <v/>
      </c>
    </row>
    <row r="45">
      <c r="B45" s="22" t="n"/>
      <c r="C45" s="23">
        <f>IF(B45="","",$E$9&amp;TEXT(N($E$10)+27,"000"))</f>
        <v/>
      </c>
      <c r="D45" s="14" t="n"/>
      <c r="E45" s="14" t="n"/>
      <c r="F45" s="14" t="n"/>
      <c r="G45" s="24" t="n"/>
      <c r="H45" s="14" t="n"/>
      <c r="I45" s="24" t="n"/>
      <c r="J45" s="25" t="n"/>
      <c r="K45" s="14" t="n"/>
      <c r="L45" s="24" t="n"/>
      <c r="M45" s="26">
        <f>IF(OR(N(J45)=0,L45="Cancelled"),"",IF(AND(N(J45)&gt;5000,H45="Cash"),"Yes: ₹1","No"))</f>
        <v/>
      </c>
      <c r="N45" s="27">
        <f>IF(AND(B45="",D45="",N(J45)=0),"",IF(B45="","Enter the date",IF(AND(ROW()&gt;18,B44=""),"Use the next empty row: a skipped row leaves a gap in the voucher numbers",IF(D45="","Enter who was paid",IF(N(J45)=0,"Enter the amount",IF(E45="","Pick the head of account",IF(P45="?","Pick the head from the list",IF(H45="","Pick how it was paid",IF(L45="Cancelled","Cancelled: keep this number unused and write a fresh voucher",IF(AND(H45&lt;&gt;"Cash",I45=""),"Enter the cheque no., UTR or UPI reference",IF(AND(N($E$11)&gt;0,N(J45)&gt;N($E$11),K45=""),"Above your approval limit: get it approved before paying",IF(S45&gt;10000,"Cash paid to this person today is over ₹10,000: not deductible, s.36(4)",IF(T45&gt;35000,"Cash freight to this transporter today is over ₹35,000: not deductible, s.36(6)",IF(U45&gt;10000,"Asset paid in cash over ₹10,000 today: left out of its cost, s.39(2)",IF(AND(P45="L",H45="Cash",N(J45)&gt;=20000),"Loan of ₹20,000 or more repaid in cash: barred, s.188","OK")))))))))))))))</f>
        <v/>
      </c>
      <c r="P45">
        <f>IF(E45="","",IFERROR(VLOOKUP(E45,Lists!$A$2:$B$17,2,FALSE),"?"))</f>
        <v/>
      </c>
      <c r="Q45">
        <f>IF(L45="Cancelled",0,N(J45))</f>
        <v/>
      </c>
      <c r="R45">
        <f>IF(H45="Cash",Q45,0)</f>
        <v/>
      </c>
      <c r="S45">
        <f>IF(OR(P45&lt;&gt;"E",R45=0),0,SUMIFS($R$18:$R$317,$B$18:$B$317,B45,$D$18:$D$317,D45,$P$18:$P$317,"E"))</f>
        <v/>
      </c>
      <c r="T45">
        <f>IF(OR(P45&lt;&gt;"F",R45=0),0,SUMIFS($R$18:$R$317,$B$18:$B$317,B45,$D$18:$D$317,D45,$P$18:$P$317,"F"))</f>
        <v/>
      </c>
      <c r="U45">
        <f>IF(OR(P45&lt;&gt;"A",R45=0),0,SUMIFS($R$18:$R$317,$B$18:$B$317,B45,$D$18:$D$317,D45,$P$18:$P$317,"A"))</f>
        <v/>
      </c>
      <c r="V45">
        <f>IF(OR(N45="",N45="OK",L45="Cancelled"),0,1)</f>
        <v/>
      </c>
    </row>
    <row r="46">
      <c r="B46" s="22" t="n"/>
      <c r="C46" s="23">
        <f>IF(B46="","",$E$9&amp;TEXT(N($E$10)+28,"000"))</f>
        <v/>
      </c>
      <c r="D46" s="14" t="n"/>
      <c r="E46" s="14" t="n"/>
      <c r="F46" s="14" t="n"/>
      <c r="G46" s="24" t="n"/>
      <c r="H46" s="14" t="n"/>
      <c r="I46" s="24" t="n"/>
      <c r="J46" s="25" t="n"/>
      <c r="K46" s="14" t="n"/>
      <c r="L46" s="24" t="n"/>
      <c r="M46" s="26">
        <f>IF(OR(N(J46)=0,L46="Cancelled"),"",IF(AND(N(J46)&gt;5000,H46="Cash"),"Yes: ₹1","No"))</f>
        <v/>
      </c>
      <c r="N46" s="27">
        <f>IF(AND(B46="",D46="",N(J46)=0),"",IF(B46="","Enter the date",IF(AND(ROW()&gt;18,B45=""),"Use the next empty row: a skipped row leaves a gap in the voucher numbers",IF(D46="","Enter who was paid",IF(N(J46)=0,"Enter the amount",IF(E46="","Pick the head of account",IF(P46="?","Pick the head from the list",IF(H46="","Pick how it was paid",IF(L46="Cancelled","Cancelled: keep this number unused and write a fresh voucher",IF(AND(H46&lt;&gt;"Cash",I46=""),"Enter the cheque no., UTR or UPI reference",IF(AND(N($E$11)&gt;0,N(J46)&gt;N($E$11),K46=""),"Above your approval limit: get it approved before paying",IF(S46&gt;10000,"Cash paid to this person today is over ₹10,000: not deductible, s.36(4)",IF(T46&gt;35000,"Cash freight to this transporter today is over ₹35,000: not deductible, s.36(6)",IF(U46&gt;10000,"Asset paid in cash over ₹10,000 today: left out of its cost, s.39(2)",IF(AND(P46="L",H46="Cash",N(J46)&gt;=20000),"Loan of ₹20,000 or more repaid in cash: barred, s.188","OK")))))))))))))))</f>
        <v/>
      </c>
      <c r="P46">
        <f>IF(E46="","",IFERROR(VLOOKUP(E46,Lists!$A$2:$B$17,2,FALSE),"?"))</f>
        <v/>
      </c>
      <c r="Q46">
        <f>IF(L46="Cancelled",0,N(J46))</f>
        <v/>
      </c>
      <c r="R46">
        <f>IF(H46="Cash",Q46,0)</f>
        <v/>
      </c>
      <c r="S46">
        <f>IF(OR(P46&lt;&gt;"E",R46=0),0,SUMIFS($R$18:$R$317,$B$18:$B$317,B46,$D$18:$D$317,D46,$P$18:$P$317,"E"))</f>
        <v/>
      </c>
      <c r="T46">
        <f>IF(OR(P46&lt;&gt;"F",R46=0),0,SUMIFS($R$18:$R$317,$B$18:$B$317,B46,$D$18:$D$317,D46,$P$18:$P$317,"F"))</f>
        <v/>
      </c>
      <c r="U46">
        <f>IF(OR(P46&lt;&gt;"A",R46=0),0,SUMIFS($R$18:$R$317,$B$18:$B$317,B46,$D$18:$D$317,D46,$P$18:$P$317,"A"))</f>
        <v/>
      </c>
      <c r="V46">
        <f>IF(OR(N46="",N46="OK",L46="Cancelled"),0,1)</f>
        <v/>
      </c>
    </row>
    <row r="47">
      <c r="B47" s="22" t="n"/>
      <c r="C47" s="23">
        <f>IF(B47="","",$E$9&amp;TEXT(N($E$10)+29,"000"))</f>
        <v/>
      </c>
      <c r="D47" s="14" t="n"/>
      <c r="E47" s="14" t="n"/>
      <c r="F47" s="14" t="n"/>
      <c r="G47" s="24" t="n"/>
      <c r="H47" s="14" t="n"/>
      <c r="I47" s="24" t="n"/>
      <c r="J47" s="25" t="n"/>
      <c r="K47" s="14" t="n"/>
      <c r="L47" s="24" t="n"/>
      <c r="M47" s="26">
        <f>IF(OR(N(J47)=0,L47="Cancelled"),"",IF(AND(N(J47)&gt;5000,H47="Cash"),"Yes: ₹1","No"))</f>
        <v/>
      </c>
      <c r="N47" s="27">
        <f>IF(AND(B47="",D47="",N(J47)=0),"",IF(B47="","Enter the date",IF(AND(ROW()&gt;18,B46=""),"Use the next empty row: a skipped row leaves a gap in the voucher numbers",IF(D47="","Enter who was paid",IF(N(J47)=0,"Enter the amount",IF(E47="","Pick the head of account",IF(P47="?","Pick the head from the list",IF(H47="","Pick how it was paid",IF(L47="Cancelled","Cancelled: keep this number unused and write a fresh voucher",IF(AND(H47&lt;&gt;"Cash",I47=""),"Enter the cheque no., UTR or UPI reference",IF(AND(N($E$11)&gt;0,N(J47)&gt;N($E$11),K47=""),"Above your approval limit: get it approved before paying",IF(S47&gt;10000,"Cash paid to this person today is over ₹10,000: not deductible, s.36(4)",IF(T47&gt;35000,"Cash freight to this transporter today is over ₹35,000: not deductible, s.36(6)",IF(U47&gt;10000,"Asset paid in cash over ₹10,000 today: left out of its cost, s.39(2)",IF(AND(P47="L",H47="Cash",N(J47)&gt;=20000),"Loan of ₹20,000 or more repaid in cash: barred, s.188","OK")))))))))))))))</f>
        <v/>
      </c>
      <c r="P47">
        <f>IF(E47="","",IFERROR(VLOOKUP(E47,Lists!$A$2:$B$17,2,FALSE),"?"))</f>
        <v/>
      </c>
      <c r="Q47">
        <f>IF(L47="Cancelled",0,N(J47))</f>
        <v/>
      </c>
      <c r="R47">
        <f>IF(H47="Cash",Q47,0)</f>
        <v/>
      </c>
      <c r="S47">
        <f>IF(OR(P47&lt;&gt;"E",R47=0),0,SUMIFS($R$18:$R$317,$B$18:$B$317,B47,$D$18:$D$317,D47,$P$18:$P$317,"E"))</f>
        <v/>
      </c>
      <c r="T47">
        <f>IF(OR(P47&lt;&gt;"F",R47=0),0,SUMIFS($R$18:$R$317,$B$18:$B$317,B47,$D$18:$D$317,D47,$P$18:$P$317,"F"))</f>
        <v/>
      </c>
      <c r="U47">
        <f>IF(OR(P47&lt;&gt;"A",R47=0),0,SUMIFS($R$18:$R$317,$B$18:$B$317,B47,$D$18:$D$317,D47,$P$18:$P$317,"A"))</f>
        <v/>
      </c>
      <c r="V47">
        <f>IF(OR(N47="",N47="OK",L47="Cancelled"),0,1)</f>
        <v/>
      </c>
    </row>
    <row r="48">
      <c r="B48" s="22" t="n"/>
      <c r="C48" s="23">
        <f>IF(B48="","",$E$9&amp;TEXT(N($E$10)+30,"000"))</f>
        <v/>
      </c>
      <c r="D48" s="14" t="n"/>
      <c r="E48" s="14" t="n"/>
      <c r="F48" s="14" t="n"/>
      <c r="G48" s="24" t="n"/>
      <c r="H48" s="14" t="n"/>
      <c r="I48" s="24" t="n"/>
      <c r="J48" s="25" t="n"/>
      <c r="K48" s="14" t="n"/>
      <c r="L48" s="24" t="n"/>
      <c r="M48" s="26">
        <f>IF(OR(N(J48)=0,L48="Cancelled"),"",IF(AND(N(J48)&gt;5000,H48="Cash"),"Yes: ₹1","No"))</f>
        <v/>
      </c>
      <c r="N48" s="27">
        <f>IF(AND(B48="",D48="",N(J48)=0),"",IF(B48="","Enter the date",IF(AND(ROW()&gt;18,B47=""),"Use the next empty row: a skipped row leaves a gap in the voucher numbers",IF(D48="","Enter who was paid",IF(N(J48)=0,"Enter the amount",IF(E48="","Pick the head of account",IF(P48="?","Pick the head from the list",IF(H48="","Pick how it was paid",IF(L48="Cancelled","Cancelled: keep this number unused and write a fresh voucher",IF(AND(H48&lt;&gt;"Cash",I48=""),"Enter the cheque no., UTR or UPI reference",IF(AND(N($E$11)&gt;0,N(J48)&gt;N($E$11),K48=""),"Above your approval limit: get it approved before paying",IF(S48&gt;10000,"Cash paid to this person today is over ₹10,000: not deductible, s.36(4)",IF(T48&gt;35000,"Cash freight to this transporter today is over ₹35,000: not deductible, s.36(6)",IF(U48&gt;10000,"Asset paid in cash over ₹10,000 today: left out of its cost, s.39(2)",IF(AND(P48="L",H48="Cash",N(J48)&gt;=20000),"Loan of ₹20,000 or more repaid in cash: barred, s.188","OK")))))))))))))))</f>
        <v/>
      </c>
      <c r="P48">
        <f>IF(E48="","",IFERROR(VLOOKUP(E48,Lists!$A$2:$B$17,2,FALSE),"?"))</f>
        <v/>
      </c>
      <c r="Q48">
        <f>IF(L48="Cancelled",0,N(J48))</f>
        <v/>
      </c>
      <c r="R48">
        <f>IF(H48="Cash",Q48,0)</f>
        <v/>
      </c>
      <c r="S48">
        <f>IF(OR(P48&lt;&gt;"E",R48=0),0,SUMIFS($R$18:$R$317,$B$18:$B$317,B48,$D$18:$D$317,D48,$P$18:$P$317,"E"))</f>
        <v/>
      </c>
      <c r="T48">
        <f>IF(OR(P48&lt;&gt;"F",R48=0),0,SUMIFS($R$18:$R$317,$B$18:$B$317,B48,$D$18:$D$317,D48,$P$18:$P$317,"F"))</f>
        <v/>
      </c>
      <c r="U48">
        <f>IF(OR(P48&lt;&gt;"A",R48=0),0,SUMIFS($R$18:$R$317,$B$18:$B$317,B48,$D$18:$D$317,D48,$P$18:$P$317,"A"))</f>
        <v/>
      </c>
      <c r="V48">
        <f>IF(OR(N48="",N48="OK",L48="Cancelled"),0,1)</f>
        <v/>
      </c>
    </row>
    <row r="49">
      <c r="B49" s="22" t="n"/>
      <c r="C49" s="23">
        <f>IF(B49="","",$E$9&amp;TEXT(N($E$10)+31,"000"))</f>
        <v/>
      </c>
      <c r="D49" s="14" t="n"/>
      <c r="E49" s="14" t="n"/>
      <c r="F49" s="14" t="n"/>
      <c r="G49" s="24" t="n"/>
      <c r="H49" s="14" t="n"/>
      <c r="I49" s="24" t="n"/>
      <c r="J49" s="25" t="n"/>
      <c r="K49" s="14" t="n"/>
      <c r="L49" s="24" t="n"/>
      <c r="M49" s="26">
        <f>IF(OR(N(J49)=0,L49="Cancelled"),"",IF(AND(N(J49)&gt;5000,H49="Cash"),"Yes: ₹1","No"))</f>
        <v/>
      </c>
      <c r="N49" s="27">
        <f>IF(AND(B49="",D49="",N(J49)=0),"",IF(B49="","Enter the date",IF(AND(ROW()&gt;18,B48=""),"Use the next empty row: a skipped row leaves a gap in the voucher numbers",IF(D49="","Enter who was paid",IF(N(J49)=0,"Enter the amount",IF(E49="","Pick the head of account",IF(P49="?","Pick the head from the list",IF(H49="","Pick how it was paid",IF(L49="Cancelled","Cancelled: keep this number unused and write a fresh voucher",IF(AND(H49&lt;&gt;"Cash",I49=""),"Enter the cheque no., UTR or UPI reference",IF(AND(N($E$11)&gt;0,N(J49)&gt;N($E$11),K49=""),"Above your approval limit: get it approved before paying",IF(S49&gt;10000,"Cash paid to this person today is over ₹10,000: not deductible, s.36(4)",IF(T49&gt;35000,"Cash freight to this transporter today is over ₹35,000: not deductible, s.36(6)",IF(U49&gt;10000,"Asset paid in cash over ₹10,000 today: left out of its cost, s.39(2)",IF(AND(P49="L",H49="Cash",N(J49)&gt;=20000),"Loan of ₹20,000 or more repaid in cash: barred, s.188","OK")))))))))))))))</f>
        <v/>
      </c>
      <c r="P49">
        <f>IF(E49="","",IFERROR(VLOOKUP(E49,Lists!$A$2:$B$17,2,FALSE),"?"))</f>
        <v/>
      </c>
      <c r="Q49">
        <f>IF(L49="Cancelled",0,N(J49))</f>
        <v/>
      </c>
      <c r="R49">
        <f>IF(H49="Cash",Q49,0)</f>
        <v/>
      </c>
      <c r="S49">
        <f>IF(OR(P49&lt;&gt;"E",R49=0),0,SUMIFS($R$18:$R$317,$B$18:$B$317,B49,$D$18:$D$317,D49,$P$18:$P$317,"E"))</f>
        <v/>
      </c>
      <c r="T49">
        <f>IF(OR(P49&lt;&gt;"F",R49=0),0,SUMIFS($R$18:$R$317,$B$18:$B$317,B49,$D$18:$D$317,D49,$P$18:$P$317,"F"))</f>
        <v/>
      </c>
      <c r="U49">
        <f>IF(OR(P49&lt;&gt;"A",R49=0),0,SUMIFS($R$18:$R$317,$B$18:$B$317,B49,$D$18:$D$317,D49,$P$18:$P$317,"A"))</f>
        <v/>
      </c>
      <c r="V49">
        <f>IF(OR(N49="",N49="OK",L49="Cancelled"),0,1)</f>
        <v/>
      </c>
    </row>
    <row r="50">
      <c r="B50" s="22" t="n"/>
      <c r="C50" s="23">
        <f>IF(B50="","",$E$9&amp;TEXT(N($E$10)+32,"000"))</f>
        <v/>
      </c>
      <c r="D50" s="14" t="n"/>
      <c r="E50" s="14" t="n"/>
      <c r="F50" s="14" t="n"/>
      <c r="G50" s="24" t="n"/>
      <c r="H50" s="14" t="n"/>
      <c r="I50" s="24" t="n"/>
      <c r="J50" s="25" t="n"/>
      <c r="K50" s="14" t="n"/>
      <c r="L50" s="24" t="n"/>
      <c r="M50" s="26">
        <f>IF(OR(N(J50)=0,L50="Cancelled"),"",IF(AND(N(J50)&gt;5000,H50="Cash"),"Yes: ₹1","No"))</f>
        <v/>
      </c>
      <c r="N50" s="27">
        <f>IF(AND(B50="",D50="",N(J50)=0),"",IF(B50="","Enter the date",IF(AND(ROW()&gt;18,B49=""),"Use the next empty row: a skipped row leaves a gap in the voucher numbers",IF(D50="","Enter who was paid",IF(N(J50)=0,"Enter the amount",IF(E50="","Pick the head of account",IF(P50="?","Pick the head from the list",IF(H50="","Pick how it was paid",IF(L50="Cancelled","Cancelled: keep this number unused and write a fresh voucher",IF(AND(H50&lt;&gt;"Cash",I50=""),"Enter the cheque no., UTR or UPI reference",IF(AND(N($E$11)&gt;0,N(J50)&gt;N($E$11),K50=""),"Above your approval limit: get it approved before paying",IF(S50&gt;10000,"Cash paid to this person today is over ₹10,000: not deductible, s.36(4)",IF(T50&gt;35000,"Cash freight to this transporter today is over ₹35,000: not deductible, s.36(6)",IF(U50&gt;10000,"Asset paid in cash over ₹10,000 today: left out of its cost, s.39(2)",IF(AND(P50="L",H50="Cash",N(J50)&gt;=20000),"Loan of ₹20,000 or more repaid in cash: barred, s.188","OK")))))))))))))))</f>
        <v/>
      </c>
      <c r="P50">
        <f>IF(E50="","",IFERROR(VLOOKUP(E50,Lists!$A$2:$B$17,2,FALSE),"?"))</f>
        <v/>
      </c>
      <c r="Q50">
        <f>IF(L50="Cancelled",0,N(J50))</f>
        <v/>
      </c>
      <c r="R50">
        <f>IF(H50="Cash",Q50,0)</f>
        <v/>
      </c>
      <c r="S50">
        <f>IF(OR(P50&lt;&gt;"E",R50=0),0,SUMIFS($R$18:$R$317,$B$18:$B$317,B50,$D$18:$D$317,D50,$P$18:$P$317,"E"))</f>
        <v/>
      </c>
      <c r="T50">
        <f>IF(OR(P50&lt;&gt;"F",R50=0),0,SUMIFS($R$18:$R$317,$B$18:$B$317,B50,$D$18:$D$317,D50,$P$18:$P$317,"F"))</f>
        <v/>
      </c>
      <c r="U50">
        <f>IF(OR(P50&lt;&gt;"A",R50=0),0,SUMIFS($R$18:$R$317,$B$18:$B$317,B50,$D$18:$D$317,D50,$P$18:$P$317,"A"))</f>
        <v/>
      </c>
      <c r="V50">
        <f>IF(OR(N50="",N50="OK",L50="Cancelled"),0,1)</f>
        <v/>
      </c>
    </row>
    <row r="51">
      <c r="B51" s="22" t="n"/>
      <c r="C51" s="23">
        <f>IF(B51="","",$E$9&amp;TEXT(N($E$10)+33,"000"))</f>
        <v/>
      </c>
      <c r="D51" s="14" t="n"/>
      <c r="E51" s="14" t="n"/>
      <c r="F51" s="14" t="n"/>
      <c r="G51" s="24" t="n"/>
      <c r="H51" s="14" t="n"/>
      <c r="I51" s="24" t="n"/>
      <c r="J51" s="25" t="n"/>
      <c r="K51" s="14" t="n"/>
      <c r="L51" s="24" t="n"/>
      <c r="M51" s="26">
        <f>IF(OR(N(J51)=0,L51="Cancelled"),"",IF(AND(N(J51)&gt;5000,H51="Cash"),"Yes: ₹1","No"))</f>
        <v/>
      </c>
      <c r="N51" s="27">
        <f>IF(AND(B51="",D51="",N(J51)=0),"",IF(B51="","Enter the date",IF(AND(ROW()&gt;18,B50=""),"Use the next empty row: a skipped row leaves a gap in the voucher numbers",IF(D51="","Enter who was paid",IF(N(J51)=0,"Enter the amount",IF(E51="","Pick the head of account",IF(P51="?","Pick the head from the list",IF(H51="","Pick how it was paid",IF(L51="Cancelled","Cancelled: keep this number unused and write a fresh voucher",IF(AND(H51&lt;&gt;"Cash",I51=""),"Enter the cheque no., UTR or UPI reference",IF(AND(N($E$11)&gt;0,N(J51)&gt;N($E$11),K51=""),"Above your approval limit: get it approved before paying",IF(S51&gt;10000,"Cash paid to this person today is over ₹10,000: not deductible, s.36(4)",IF(T51&gt;35000,"Cash freight to this transporter today is over ₹35,000: not deductible, s.36(6)",IF(U51&gt;10000,"Asset paid in cash over ₹10,000 today: left out of its cost, s.39(2)",IF(AND(P51="L",H51="Cash",N(J51)&gt;=20000),"Loan of ₹20,000 or more repaid in cash: barred, s.188","OK")))))))))))))))</f>
        <v/>
      </c>
      <c r="P51">
        <f>IF(E51="","",IFERROR(VLOOKUP(E51,Lists!$A$2:$B$17,2,FALSE),"?"))</f>
        <v/>
      </c>
      <c r="Q51">
        <f>IF(L51="Cancelled",0,N(J51))</f>
        <v/>
      </c>
      <c r="R51">
        <f>IF(H51="Cash",Q51,0)</f>
        <v/>
      </c>
      <c r="S51">
        <f>IF(OR(P51&lt;&gt;"E",R51=0),0,SUMIFS($R$18:$R$317,$B$18:$B$317,B51,$D$18:$D$317,D51,$P$18:$P$317,"E"))</f>
        <v/>
      </c>
      <c r="T51">
        <f>IF(OR(P51&lt;&gt;"F",R51=0),0,SUMIFS($R$18:$R$317,$B$18:$B$317,B51,$D$18:$D$317,D51,$P$18:$P$317,"F"))</f>
        <v/>
      </c>
      <c r="U51">
        <f>IF(OR(P51&lt;&gt;"A",R51=0),0,SUMIFS($R$18:$R$317,$B$18:$B$317,B51,$D$18:$D$317,D51,$P$18:$P$317,"A"))</f>
        <v/>
      </c>
      <c r="V51">
        <f>IF(OR(N51="",N51="OK",L51="Cancelled"),0,1)</f>
        <v/>
      </c>
    </row>
    <row r="52">
      <c r="B52" s="22" t="n"/>
      <c r="C52" s="23">
        <f>IF(B52="","",$E$9&amp;TEXT(N($E$10)+34,"000"))</f>
        <v/>
      </c>
      <c r="D52" s="14" t="n"/>
      <c r="E52" s="14" t="n"/>
      <c r="F52" s="14" t="n"/>
      <c r="G52" s="24" t="n"/>
      <c r="H52" s="14" t="n"/>
      <c r="I52" s="24" t="n"/>
      <c r="J52" s="25" t="n"/>
      <c r="K52" s="14" t="n"/>
      <c r="L52" s="24" t="n"/>
      <c r="M52" s="26">
        <f>IF(OR(N(J52)=0,L52="Cancelled"),"",IF(AND(N(J52)&gt;5000,H52="Cash"),"Yes: ₹1","No"))</f>
        <v/>
      </c>
      <c r="N52" s="27">
        <f>IF(AND(B52="",D52="",N(J52)=0),"",IF(B52="","Enter the date",IF(AND(ROW()&gt;18,B51=""),"Use the next empty row: a skipped row leaves a gap in the voucher numbers",IF(D52="","Enter who was paid",IF(N(J52)=0,"Enter the amount",IF(E52="","Pick the head of account",IF(P52="?","Pick the head from the list",IF(H52="","Pick how it was paid",IF(L52="Cancelled","Cancelled: keep this number unused and write a fresh voucher",IF(AND(H52&lt;&gt;"Cash",I52=""),"Enter the cheque no., UTR or UPI reference",IF(AND(N($E$11)&gt;0,N(J52)&gt;N($E$11),K52=""),"Above your approval limit: get it approved before paying",IF(S52&gt;10000,"Cash paid to this person today is over ₹10,000: not deductible, s.36(4)",IF(T52&gt;35000,"Cash freight to this transporter today is over ₹35,000: not deductible, s.36(6)",IF(U52&gt;10000,"Asset paid in cash over ₹10,000 today: left out of its cost, s.39(2)",IF(AND(P52="L",H52="Cash",N(J52)&gt;=20000),"Loan of ₹20,000 or more repaid in cash: barred, s.188","OK")))))))))))))))</f>
        <v/>
      </c>
      <c r="P52">
        <f>IF(E52="","",IFERROR(VLOOKUP(E52,Lists!$A$2:$B$17,2,FALSE),"?"))</f>
        <v/>
      </c>
      <c r="Q52">
        <f>IF(L52="Cancelled",0,N(J52))</f>
        <v/>
      </c>
      <c r="R52">
        <f>IF(H52="Cash",Q52,0)</f>
        <v/>
      </c>
      <c r="S52">
        <f>IF(OR(P52&lt;&gt;"E",R52=0),0,SUMIFS($R$18:$R$317,$B$18:$B$317,B52,$D$18:$D$317,D52,$P$18:$P$317,"E"))</f>
        <v/>
      </c>
      <c r="T52">
        <f>IF(OR(P52&lt;&gt;"F",R52=0),0,SUMIFS($R$18:$R$317,$B$18:$B$317,B52,$D$18:$D$317,D52,$P$18:$P$317,"F"))</f>
        <v/>
      </c>
      <c r="U52">
        <f>IF(OR(P52&lt;&gt;"A",R52=0),0,SUMIFS($R$18:$R$317,$B$18:$B$317,B52,$D$18:$D$317,D52,$P$18:$P$317,"A"))</f>
        <v/>
      </c>
      <c r="V52">
        <f>IF(OR(N52="",N52="OK",L52="Cancelled"),0,1)</f>
        <v/>
      </c>
    </row>
    <row r="53">
      <c r="B53" s="22" t="n"/>
      <c r="C53" s="23">
        <f>IF(B53="","",$E$9&amp;TEXT(N($E$10)+35,"000"))</f>
        <v/>
      </c>
      <c r="D53" s="14" t="n"/>
      <c r="E53" s="14" t="n"/>
      <c r="F53" s="14" t="n"/>
      <c r="G53" s="24" t="n"/>
      <c r="H53" s="14" t="n"/>
      <c r="I53" s="24" t="n"/>
      <c r="J53" s="25" t="n"/>
      <c r="K53" s="14" t="n"/>
      <c r="L53" s="24" t="n"/>
      <c r="M53" s="26">
        <f>IF(OR(N(J53)=0,L53="Cancelled"),"",IF(AND(N(J53)&gt;5000,H53="Cash"),"Yes: ₹1","No"))</f>
        <v/>
      </c>
      <c r="N53" s="27">
        <f>IF(AND(B53="",D53="",N(J53)=0),"",IF(B53="","Enter the date",IF(AND(ROW()&gt;18,B52=""),"Use the next empty row: a skipped row leaves a gap in the voucher numbers",IF(D53="","Enter who was paid",IF(N(J53)=0,"Enter the amount",IF(E53="","Pick the head of account",IF(P53="?","Pick the head from the list",IF(H53="","Pick how it was paid",IF(L53="Cancelled","Cancelled: keep this number unused and write a fresh voucher",IF(AND(H53&lt;&gt;"Cash",I53=""),"Enter the cheque no., UTR or UPI reference",IF(AND(N($E$11)&gt;0,N(J53)&gt;N($E$11),K53=""),"Above your approval limit: get it approved before paying",IF(S53&gt;10000,"Cash paid to this person today is over ₹10,000: not deductible, s.36(4)",IF(T53&gt;35000,"Cash freight to this transporter today is over ₹35,000: not deductible, s.36(6)",IF(U53&gt;10000,"Asset paid in cash over ₹10,000 today: left out of its cost, s.39(2)",IF(AND(P53="L",H53="Cash",N(J53)&gt;=20000),"Loan of ₹20,000 or more repaid in cash: barred, s.188","OK")))))))))))))))</f>
        <v/>
      </c>
      <c r="P53">
        <f>IF(E53="","",IFERROR(VLOOKUP(E53,Lists!$A$2:$B$17,2,FALSE),"?"))</f>
        <v/>
      </c>
      <c r="Q53">
        <f>IF(L53="Cancelled",0,N(J53))</f>
        <v/>
      </c>
      <c r="R53">
        <f>IF(H53="Cash",Q53,0)</f>
        <v/>
      </c>
      <c r="S53">
        <f>IF(OR(P53&lt;&gt;"E",R53=0),0,SUMIFS($R$18:$R$317,$B$18:$B$317,B53,$D$18:$D$317,D53,$P$18:$P$317,"E"))</f>
        <v/>
      </c>
      <c r="T53">
        <f>IF(OR(P53&lt;&gt;"F",R53=0),0,SUMIFS($R$18:$R$317,$B$18:$B$317,B53,$D$18:$D$317,D53,$P$18:$P$317,"F"))</f>
        <v/>
      </c>
      <c r="U53">
        <f>IF(OR(P53&lt;&gt;"A",R53=0),0,SUMIFS($R$18:$R$317,$B$18:$B$317,B53,$D$18:$D$317,D53,$P$18:$P$317,"A"))</f>
        <v/>
      </c>
      <c r="V53">
        <f>IF(OR(N53="",N53="OK",L53="Cancelled"),0,1)</f>
        <v/>
      </c>
    </row>
    <row r="54">
      <c r="B54" s="22" t="n"/>
      <c r="C54" s="23">
        <f>IF(B54="","",$E$9&amp;TEXT(N($E$10)+36,"000"))</f>
        <v/>
      </c>
      <c r="D54" s="14" t="n"/>
      <c r="E54" s="14" t="n"/>
      <c r="F54" s="14" t="n"/>
      <c r="G54" s="24" t="n"/>
      <c r="H54" s="14" t="n"/>
      <c r="I54" s="24" t="n"/>
      <c r="J54" s="25" t="n"/>
      <c r="K54" s="14" t="n"/>
      <c r="L54" s="24" t="n"/>
      <c r="M54" s="26">
        <f>IF(OR(N(J54)=0,L54="Cancelled"),"",IF(AND(N(J54)&gt;5000,H54="Cash"),"Yes: ₹1","No"))</f>
        <v/>
      </c>
      <c r="N54" s="27">
        <f>IF(AND(B54="",D54="",N(J54)=0),"",IF(B54="","Enter the date",IF(AND(ROW()&gt;18,B53=""),"Use the next empty row: a skipped row leaves a gap in the voucher numbers",IF(D54="","Enter who was paid",IF(N(J54)=0,"Enter the amount",IF(E54="","Pick the head of account",IF(P54="?","Pick the head from the list",IF(H54="","Pick how it was paid",IF(L54="Cancelled","Cancelled: keep this number unused and write a fresh voucher",IF(AND(H54&lt;&gt;"Cash",I54=""),"Enter the cheque no., UTR or UPI reference",IF(AND(N($E$11)&gt;0,N(J54)&gt;N($E$11),K54=""),"Above your approval limit: get it approved before paying",IF(S54&gt;10000,"Cash paid to this person today is over ₹10,000: not deductible, s.36(4)",IF(T54&gt;35000,"Cash freight to this transporter today is over ₹35,000: not deductible, s.36(6)",IF(U54&gt;10000,"Asset paid in cash over ₹10,000 today: left out of its cost, s.39(2)",IF(AND(P54="L",H54="Cash",N(J54)&gt;=20000),"Loan of ₹20,000 or more repaid in cash: barred, s.188","OK")))))))))))))))</f>
        <v/>
      </c>
      <c r="P54">
        <f>IF(E54="","",IFERROR(VLOOKUP(E54,Lists!$A$2:$B$17,2,FALSE),"?"))</f>
        <v/>
      </c>
      <c r="Q54">
        <f>IF(L54="Cancelled",0,N(J54))</f>
        <v/>
      </c>
      <c r="R54">
        <f>IF(H54="Cash",Q54,0)</f>
        <v/>
      </c>
      <c r="S54">
        <f>IF(OR(P54&lt;&gt;"E",R54=0),0,SUMIFS($R$18:$R$317,$B$18:$B$317,B54,$D$18:$D$317,D54,$P$18:$P$317,"E"))</f>
        <v/>
      </c>
      <c r="T54">
        <f>IF(OR(P54&lt;&gt;"F",R54=0),0,SUMIFS($R$18:$R$317,$B$18:$B$317,B54,$D$18:$D$317,D54,$P$18:$P$317,"F"))</f>
        <v/>
      </c>
      <c r="U54">
        <f>IF(OR(P54&lt;&gt;"A",R54=0),0,SUMIFS($R$18:$R$317,$B$18:$B$317,B54,$D$18:$D$317,D54,$P$18:$P$317,"A"))</f>
        <v/>
      </c>
      <c r="V54">
        <f>IF(OR(N54="",N54="OK",L54="Cancelled"),0,1)</f>
        <v/>
      </c>
    </row>
    <row r="55">
      <c r="B55" s="22" t="n"/>
      <c r="C55" s="23">
        <f>IF(B55="","",$E$9&amp;TEXT(N($E$10)+37,"000"))</f>
        <v/>
      </c>
      <c r="D55" s="14" t="n"/>
      <c r="E55" s="14" t="n"/>
      <c r="F55" s="14" t="n"/>
      <c r="G55" s="24" t="n"/>
      <c r="H55" s="14" t="n"/>
      <c r="I55" s="24" t="n"/>
      <c r="J55" s="25" t="n"/>
      <c r="K55" s="14" t="n"/>
      <c r="L55" s="24" t="n"/>
      <c r="M55" s="26">
        <f>IF(OR(N(J55)=0,L55="Cancelled"),"",IF(AND(N(J55)&gt;5000,H55="Cash"),"Yes: ₹1","No"))</f>
        <v/>
      </c>
      <c r="N55" s="27">
        <f>IF(AND(B55="",D55="",N(J55)=0),"",IF(B55="","Enter the date",IF(AND(ROW()&gt;18,B54=""),"Use the next empty row: a skipped row leaves a gap in the voucher numbers",IF(D55="","Enter who was paid",IF(N(J55)=0,"Enter the amount",IF(E55="","Pick the head of account",IF(P55="?","Pick the head from the list",IF(H55="","Pick how it was paid",IF(L55="Cancelled","Cancelled: keep this number unused and write a fresh voucher",IF(AND(H55&lt;&gt;"Cash",I55=""),"Enter the cheque no., UTR or UPI reference",IF(AND(N($E$11)&gt;0,N(J55)&gt;N($E$11),K55=""),"Above your approval limit: get it approved before paying",IF(S55&gt;10000,"Cash paid to this person today is over ₹10,000: not deductible, s.36(4)",IF(T55&gt;35000,"Cash freight to this transporter today is over ₹35,000: not deductible, s.36(6)",IF(U55&gt;10000,"Asset paid in cash over ₹10,000 today: left out of its cost, s.39(2)",IF(AND(P55="L",H55="Cash",N(J55)&gt;=20000),"Loan of ₹20,000 or more repaid in cash: barred, s.188","OK")))))))))))))))</f>
        <v/>
      </c>
      <c r="P55">
        <f>IF(E55="","",IFERROR(VLOOKUP(E55,Lists!$A$2:$B$17,2,FALSE),"?"))</f>
        <v/>
      </c>
      <c r="Q55">
        <f>IF(L55="Cancelled",0,N(J55))</f>
        <v/>
      </c>
      <c r="R55">
        <f>IF(H55="Cash",Q55,0)</f>
        <v/>
      </c>
      <c r="S55">
        <f>IF(OR(P55&lt;&gt;"E",R55=0),0,SUMIFS($R$18:$R$317,$B$18:$B$317,B55,$D$18:$D$317,D55,$P$18:$P$317,"E"))</f>
        <v/>
      </c>
      <c r="T55">
        <f>IF(OR(P55&lt;&gt;"F",R55=0),0,SUMIFS($R$18:$R$317,$B$18:$B$317,B55,$D$18:$D$317,D55,$P$18:$P$317,"F"))</f>
        <v/>
      </c>
      <c r="U55">
        <f>IF(OR(P55&lt;&gt;"A",R55=0),0,SUMIFS($R$18:$R$317,$B$18:$B$317,B55,$D$18:$D$317,D55,$P$18:$P$317,"A"))</f>
        <v/>
      </c>
      <c r="V55">
        <f>IF(OR(N55="",N55="OK",L55="Cancelled"),0,1)</f>
        <v/>
      </c>
    </row>
    <row r="56">
      <c r="B56" s="22" t="n"/>
      <c r="C56" s="23">
        <f>IF(B56="","",$E$9&amp;TEXT(N($E$10)+38,"000"))</f>
        <v/>
      </c>
      <c r="D56" s="14" t="n"/>
      <c r="E56" s="14" t="n"/>
      <c r="F56" s="14" t="n"/>
      <c r="G56" s="24" t="n"/>
      <c r="H56" s="14" t="n"/>
      <c r="I56" s="24" t="n"/>
      <c r="J56" s="25" t="n"/>
      <c r="K56" s="14" t="n"/>
      <c r="L56" s="24" t="n"/>
      <c r="M56" s="26">
        <f>IF(OR(N(J56)=0,L56="Cancelled"),"",IF(AND(N(J56)&gt;5000,H56="Cash"),"Yes: ₹1","No"))</f>
        <v/>
      </c>
      <c r="N56" s="27">
        <f>IF(AND(B56="",D56="",N(J56)=0),"",IF(B56="","Enter the date",IF(AND(ROW()&gt;18,B55=""),"Use the next empty row: a skipped row leaves a gap in the voucher numbers",IF(D56="","Enter who was paid",IF(N(J56)=0,"Enter the amount",IF(E56="","Pick the head of account",IF(P56="?","Pick the head from the list",IF(H56="","Pick how it was paid",IF(L56="Cancelled","Cancelled: keep this number unused and write a fresh voucher",IF(AND(H56&lt;&gt;"Cash",I56=""),"Enter the cheque no., UTR or UPI reference",IF(AND(N($E$11)&gt;0,N(J56)&gt;N($E$11),K56=""),"Above your approval limit: get it approved before paying",IF(S56&gt;10000,"Cash paid to this person today is over ₹10,000: not deductible, s.36(4)",IF(T56&gt;35000,"Cash freight to this transporter today is over ₹35,000: not deductible, s.36(6)",IF(U56&gt;10000,"Asset paid in cash over ₹10,000 today: left out of its cost, s.39(2)",IF(AND(P56="L",H56="Cash",N(J56)&gt;=20000),"Loan of ₹20,000 or more repaid in cash: barred, s.188","OK")))))))))))))))</f>
        <v/>
      </c>
      <c r="P56">
        <f>IF(E56="","",IFERROR(VLOOKUP(E56,Lists!$A$2:$B$17,2,FALSE),"?"))</f>
        <v/>
      </c>
      <c r="Q56">
        <f>IF(L56="Cancelled",0,N(J56))</f>
        <v/>
      </c>
      <c r="R56">
        <f>IF(H56="Cash",Q56,0)</f>
        <v/>
      </c>
      <c r="S56">
        <f>IF(OR(P56&lt;&gt;"E",R56=0),0,SUMIFS($R$18:$R$317,$B$18:$B$317,B56,$D$18:$D$317,D56,$P$18:$P$317,"E"))</f>
        <v/>
      </c>
      <c r="T56">
        <f>IF(OR(P56&lt;&gt;"F",R56=0),0,SUMIFS($R$18:$R$317,$B$18:$B$317,B56,$D$18:$D$317,D56,$P$18:$P$317,"F"))</f>
        <v/>
      </c>
      <c r="U56">
        <f>IF(OR(P56&lt;&gt;"A",R56=0),0,SUMIFS($R$18:$R$317,$B$18:$B$317,B56,$D$18:$D$317,D56,$P$18:$P$317,"A"))</f>
        <v/>
      </c>
      <c r="V56">
        <f>IF(OR(N56="",N56="OK",L56="Cancelled"),0,1)</f>
        <v/>
      </c>
    </row>
    <row r="57">
      <c r="B57" s="22" t="n"/>
      <c r="C57" s="23">
        <f>IF(B57="","",$E$9&amp;TEXT(N($E$10)+39,"000"))</f>
        <v/>
      </c>
      <c r="D57" s="14" t="n"/>
      <c r="E57" s="14" t="n"/>
      <c r="F57" s="14" t="n"/>
      <c r="G57" s="24" t="n"/>
      <c r="H57" s="14" t="n"/>
      <c r="I57" s="24" t="n"/>
      <c r="J57" s="25" t="n"/>
      <c r="K57" s="14" t="n"/>
      <c r="L57" s="24" t="n"/>
      <c r="M57" s="26">
        <f>IF(OR(N(J57)=0,L57="Cancelled"),"",IF(AND(N(J57)&gt;5000,H57="Cash"),"Yes: ₹1","No"))</f>
        <v/>
      </c>
      <c r="N57" s="27">
        <f>IF(AND(B57="",D57="",N(J57)=0),"",IF(B57="","Enter the date",IF(AND(ROW()&gt;18,B56=""),"Use the next empty row: a skipped row leaves a gap in the voucher numbers",IF(D57="","Enter who was paid",IF(N(J57)=0,"Enter the amount",IF(E57="","Pick the head of account",IF(P57="?","Pick the head from the list",IF(H57="","Pick how it was paid",IF(L57="Cancelled","Cancelled: keep this number unused and write a fresh voucher",IF(AND(H57&lt;&gt;"Cash",I57=""),"Enter the cheque no., UTR or UPI reference",IF(AND(N($E$11)&gt;0,N(J57)&gt;N($E$11),K57=""),"Above your approval limit: get it approved before paying",IF(S57&gt;10000,"Cash paid to this person today is over ₹10,000: not deductible, s.36(4)",IF(T57&gt;35000,"Cash freight to this transporter today is over ₹35,000: not deductible, s.36(6)",IF(U57&gt;10000,"Asset paid in cash over ₹10,000 today: left out of its cost, s.39(2)",IF(AND(P57="L",H57="Cash",N(J57)&gt;=20000),"Loan of ₹20,000 or more repaid in cash: barred, s.188","OK")))))))))))))))</f>
        <v/>
      </c>
      <c r="P57">
        <f>IF(E57="","",IFERROR(VLOOKUP(E57,Lists!$A$2:$B$17,2,FALSE),"?"))</f>
        <v/>
      </c>
      <c r="Q57">
        <f>IF(L57="Cancelled",0,N(J57))</f>
        <v/>
      </c>
      <c r="R57">
        <f>IF(H57="Cash",Q57,0)</f>
        <v/>
      </c>
      <c r="S57">
        <f>IF(OR(P57&lt;&gt;"E",R57=0),0,SUMIFS($R$18:$R$317,$B$18:$B$317,B57,$D$18:$D$317,D57,$P$18:$P$317,"E"))</f>
        <v/>
      </c>
      <c r="T57">
        <f>IF(OR(P57&lt;&gt;"F",R57=0),0,SUMIFS($R$18:$R$317,$B$18:$B$317,B57,$D$18:$D$317,D57,$P$18:$P$317,"F"))</f>
        <v/>
      </c>
      <c r="U57">
        <f>IF(OR(P57&lt;&gt;"A",R57=0),0,SUMIFS($R$18:$R$317,$B$18:$B$317,B57,$D$18:$D$317,D57,$P$18:$P$317,"A"))</f>
        <v/>
      </c>
      <c r="V57">
        <f>IF(OR(N57="",N57="OK",L57="Cancelled"),0,1)</f>
        <v/>
      </c>
    </row>
    <row r="58">
      <c r="B58" s="22" t="n"/>
      <c r="C58" s="23">
        <f>IF(B58="","",$E$9&amp;TEXT(N($E$10)+40,"000"))</f>
        <v/>
      </c>
      <c r="D58" s="14" t="n"/>
      <c r="E58" s="14" t="n"/>
      <c r="F58" s="14" t="n"/>
      <c r="G58" s="24" t="n"/>
      <c r="H58" s="14" t="n"/>
      <c r="I58" s="24" t="n"/>
      <c r="J58" s="25" t="n"/>
      <c r="K58" s="14" t="n"/>
      <c r="L58" s="24" t="n"/>
      <c r="M58" s="26">
        <f>IF(OR(N(J58)=0,L58="Cancelled"),"",IF(AND(N(J58)&gt;5000,H58="Cash"),"Yes: ₹1","No"))</f>
        <v/>
      </c>
      <c r="N58" s="27">
        <f>IF(AND(B58="",D58="",N(J58)=0),"",IF(B58="","Enter the date",IF(AND(ROW()&gt;18,B57=""),"Use the next empty row: a skipped row leaves a gap in the voucher numbers",IF(D58="","Enter who was paid",IF(N(J58)=0,"Enter the amount",IF(E58="","Pick the head of account",IF(P58="?","Pick the head from the list",IF(H58="","Pick how it was paid",IF(L58="Cancelled","Cancelled: keep this number unused and write a fresh voucher",IF(AND(H58&lt;&gt;"Cash",I58=""),"Enter the cheque no., UTR or UPI reference",IF(AND(N($E$11)&gt;0,N(J58)&gt;N($E$11),K58=""),"Above your approval limit: get it approved before paying",IF(S58&gt;10000,"Cash paid to this person today is over ₹10,000: not deductible, s.36(4)",IF(T58&gt;35000,"Cash freight to this transporter today is over ₹35,000: not deductible, s.36(6)",IF(U58&gt;10000,"Asset paid in cash over ₹10,000 today: left out of its cost, s.39(2)",IF(AND(P58="L",H58="Cash",N(J58)&gt;=20000),"Loan of ₹20,000 or more repaid in cash: barred, s.188","OK")))))))))))))))</f>
        <v/>
      </c>
      <c r="P58">
        <f>IF(E58="","",IFERROR(VLOOKUP(E58,Lists!$A$2:$B$17,2,FALSE),"?"))</f>
        <v/>
      </c>
      <c r="Q58">
        <f>IF(L58="Cancelled",0,N(J58))</f>
        <v/>
      </c>
      <c r="R58">
        <f>IF(H58="Cash",Q58,0)</f>
        <v/>
      </c>
      <c r="S58">
        <f>IF(OR(P58&lt;&gt;"E",R58=0),0,SUMIFS($R$18:$R$317,$B$18:$B$317,B58,$D$18:$D$317,D58,$P$18:$P$317,"E"))</f>
        <v/>
      </c>
      <c r="T58">
        <f>IF(OR(P58&lt;&gt;"F",R58=0),0,SUMIFS($R$18:$R$317,$B$18:$B$317,B58,$D$18:$D$317,D58,$P$18:$P$317,"F"))</f>
        <v/>
      </c>
      <c r="U58">
        <f>IF(OR(P58&lt;&gt;"A",R58=0),0,SUMIFS($R$18:$R$317,$B$18:$B$317,B58,$D$18:$D$317,D58,$P$18:$P$317,"A"))</f>
        <v/>
      </c>
      <c r="V58">
        <f>IF(OR(N58="",N58="OK",L58="Cancelled"),0,1)</f>
        <v/>
      </c>
    </row>
    <row r="59">
      <c r="B59" s="22" t="n"/>
      <c r="C59" s="23">
        <f>IF(B59="","",$E$9&amp;TEXT(N($E$10)+41,"000"))</f>
        <v/>
      </c>
      <c r="D59" s="14" t="n"/>
      <c r="E59" s="14" t="n"/>
      <c r="F59" s="14" t="n"/>
      <c r="G59" s="24" t="n"/>
      <c r="H59" s="14" t="n"/>
      <c r="I59" s="24" t="n"/>
      <c r="J59" s="25" t="n"/>
      <c r="K59" s="14" t="n"/>
      <c r="L59" s="24" t="n"/>
      <c r="M59" s="26">
        <f>IF(OR(N(J59)=0,L59="Cancelled"),"",IF(AND(N(J59)&gt;5000,H59="Cash"),"Yes: ₹1","No"))</f>
        <v/>
      </c>
      <c r="N59" s="27">
        <f>IF(AND(B59="",D59="",N(J59)=0),"",IF(B59="","Enter the date",IF(AND(ROW()&gt;18,B58=""),"Use the next empty row: a skipped row leaves a gap in the voucher numbers",IF(D59="","Enter who was paid",IF(N(J59)=0,"Enter the amount",IF(E59="","Pick the head of account",IF(P59="?","Pick the head from the list",IF(H59="","Pick how it was paid",IF(L59="Cancelled","Cancelled: keep this number unused and write a fresh voucher",IF(AND(H59&lt;&gt;"Cash",I59=""),"Enter the cheque no., UTR or UPI reference",IF(AND(N($E$11)&gt;0,N(J59)&gt;N($E$11),K59=""),"Above your approval limit: get it approved before paying",IF(S59&gt;10000,"Cash paid to this person today is over ₹10,000: not deductible, s.36(4)",IF(T59&gt;35000,"Cash freight to this transporter today is over ₹35,000: not deductible, s.36(6)",IF(U59&gt;10000,"Asset paid in cash over ₹10,000 today: left out of its cost, s.39(2)",IF(AND(P59="L",H59="Cash",N(J59)&gt;=20000),"Loan of ₹20,000 or more repaid in cash: barred, s.188","OK")))))))))))))))</f>
        <v/>
      </c>
      <c r="P59">
        <f>IF(E59="","",IFERROR(VLOOKUP(E59,Lists!$A$2:$B$17,2,FALSE),"?"))</f>
        <v/>
      </c>
      <c r="Q59">
        <f>IF(L59="Cancelled",0,N(J59))</f>
        <v/>
      </c>
      <c r="R59">
        <f>IF(H59="Cash",Q59,0)</f>
        <v/>
      </c>
      <c r="S59">
        <f>IF(OR(P59&lt;&gt;"E",R59=0),0,SUMIFS($R$18:$R$317,$B$18:$B$317,B59,$D$18:$D$317,D59,$P$18:$P$317,"E"))</f>
        <v/>
      </c>
      <c r="T59">
        <f>IF(OR(P59&lt;&gt;"F",R59=0),0,SUMIFS($R$18:$R$317,$B$18:$B$317,B59,$D$18:$D$317,D59,$P$18:$P$317,"F"))</f>
        <v/>
      </c>
      <c r="U59">
        <f>IF(OR(P59&lt;&gt;"A",R59=0),0,SUMIFS($R$18:$R$317,$B$18:$B$317,B59,$D$18:$D$317,D59,$P$18:$P$317,"A"))</f>
        <v/>
      </c>
      <c r="V59">
        <f>IF(OR(N59="",N59="OK",L59="Cancelled"),0,1)</f>
        <v/>
      </c>
    </row>
    <row r="60">
      <c r="B60" s="22" t="n"/>
      <c r="C60" s="23">
        <f>IF(B60="","",$E$9&amp;TEXT(N($E$10)+42,"000"))</f>
        <v/>
      </c>
      <c r="D60" s="14" t="n"/>
      <c r="E60" s="14" t="n"/>
      <c r="F60" s="14" t="n"/>
      <c r="G60" s="24" t="n"/>
      <c r="H60" s="14" t="n"/>
      <c r="I60" s="24" t="n"/>
      <c r="J60" s="25" t="n"/>
      <c r="K60" s="14" t="n"/>
      <c r="L60" s="24" t="n"/>
      <c r="M60" s="26">
        <f>IF(OR(N(J60)=0,L60="Cancelled"),"",IF(AND(N(J60)&gt;5000,H60="Cash"),"Yes: ₹1","No"))</f>
        <v/>
      </c>
      <c r="N60" s="27">
        <f>IF(AND(B60="",D60="",N(J60)=0),"",IF(B60="","Enter the date",IF(AND(ROW()&gt;18,B59=""),"Use the next empty row: a skipped row leaves a gap in the voucher numbers",IF(D60="","Enter who was paid",IF(N(J60)=0,"Enter the amount",IF(E60="","Pick the head of account",IF(P60="?","Pick the head from the list",IF(H60="","Pick how it was paid",IF(L60="Cancelled","Cancelled: keep this number unused and write a fresh voucher",IF(AND(H60&lt;&gt;"Cash",I60=""),"Enter the cheque no., UTR or UPI reference",IF(AND(N($E$11)&gt;0,N(J60)&gt;N($E$11),K60=""),"Above your approval limit: get it approved before paying",IF(S60&gt;10000,"Cash paid to this person today is over ₹10,000: not deductible, s.36(4)",IF(T60&gt;35000,"Cash freight to this transporter today is over ₹35,000: not deductible, s.36(6)",IF(U60&gt;10000,"Asset paid in cash over ₹10,000 today: left out of its cost, s.39(2)",IF(AND(P60="L",H60="Cash",N(J60)&gt;=20000),"Loan of ₹20,000 or more repaid in cash: barred, s.188","OK")))))))))))))))</f>
        <v/>
      </c>
      <c r="P60">
        <f>IF(E60="","",IFERROR(VLOOKUP(E60,Lists!$A$2:$B$17,2,FALSE),"?"))</f>
        <v/>
      </c>
      <c r="Q60">
        <f>IF(L60="Cancelled",0,N(J60))</f>
        <v/>
      </c>
      <c r="R60">
        <f>IF(H60="Cash",Q60,0)</f>
        <v/>
      </c>
      <c r="S60">
        <f>IF(OR(P60&lt;&gt;"E",R60=0),0,SUMIFS($R$18:$R$317,$B$18:$B$317,B60,$D$18:$D$317,D60,$P$18:$P$317,"E"))</f>
        <v/>
      </c>
      <c r="T60">
        <f>IF(OR(P60&lt;&gt;"F",R60=0),0,SUMIFS($R$18:$R$317,$B$18:$B$317,B60,$D$18:$D$317,D60,$P$18:$P$317,"F"))</f>
        <v/>
      </c>
      <c r="U60">
        <f>IF(OR(P60&lt;&gt;"A",R60=0),0,SUMIFS($R$18:$R$317,$B$18:$B$317,B60,$D$18:$D$317,D60,$P$18:$P$317,"A"))</f>
        <v/>
      </c>
      <c r="V60">
        <f>IF(OR(N60="",N60="OK",L60="Cancelled"),0,1)</f>
        <v/>
      </c>
    </row>
    <row r="61">
      <c r="B61" s="22" t="n"/>
      <c r="C61" s="23">
        <f>IF(B61="","",$E$9&amp;TEXT(N($E$10)+43,"000"))</f>
        <v/>
      </c>
      <c r="D61" s="14" t="n"/>
      <c r="E61" s="14" t="n"/>
      <c r="F61" s="14" t="n"/>
      <c r="G61" s="24" t="n"/>
      <c r="H61" s="14" t="n"/>
      <c r="I61" s="24" t="n"/>
      <c r="J61" s="25" t="n"/>
      <c r="K61" s="14" t="n"/>
      <c r="L61" s="24" t="n"/>
      <c r="M61" s="26">
        <f>IF(OR(N(J61)=0,L61="Cancelled"),"",IF(AND(N(J61)&gt;5000,H61="Cash"),"Yes: ₹1","No"))</f>
        <v/>
      </c>
      <c r="N61" s="27">
        <f>IF(AND(B61="",D61="",N(J61)=0),"",IF(B61="","Enter the date",IF(AND(ROW()&gt;18,B60=""),"Use the next empty row: a skipped row leaves a gap in the voucher numbers",IF(D61="","Enter who was paid",IF(N(J61)=0,"Enter the amount",IF(E61="","Pick the head of account",IF(P61="?","Pick the head from the list",IF(H61="","Pick how it was paid",IF(L61="Cancelled","Cancelled: keep this number unused and write a fresh voucher",IF(AND(H61&lt;&gt;"Cash",I61=""),"Enter the cheque no., UTR or UPI reference",IF(AND(N($E$11)&gt;0,N(J61)&gt;N($E$11),K61=""),"Above your approval limit: get it approved before paying",IF(S61&gt;10000,"Cash paid to this person today is over ₹10,000: not deductible, s.36(4)",IF(T61&gt;35000,"Cash freight to this transporter today is over ₹35,000: not deductible, s.36(6)",IF(U61&gt;10000,"Asset paid in cash over ₹10,000 today: left out of its cost, s.39(2)",IF(AND(P61="L",H61="Cash",N(J61)&gt;=20000),"Loan of ₹20,000 or more repaid in cash: barred, s.188","OK")))))))))))))))</f>
        <v/>
      </c>
      <c r="P61">
        <f>IF(E61="","",IFERROR(VLOOKUP(E61,Lists!$A$2:$B$17,2,FALSE),"?"))</f>
        <v/>
      </c>
      <c r="Q61">
        <f>IF(L61="Cancelled",0,N(J61))</f>
        <v/>
      </c>
      <c r="R61">
        <f>IF(H61="Cash",Q61,0)</f>
        <v/>
      </c>
      <c r="S61">
        <f>IF(OR(P61&lt;&gt;"E",R61=0),0,SUMIFS($R$18:$R$317,$B$18:$B$317,B61,$D$18:$D$317,D61,$P$18:$P$317,"E"))</f>
        <v/>
      </c>
      <c r="T61">
        <f>IF(OR(P61&lt;&gt;"F",R61=0),0,SUMIFS($R$18:$R$317,$B$18:$B$317,B61,$D$18:$D$317,D61,$P$18:$P$317,"F"))</f>
        <v/>
      </c>
      <c r="U61">
        <f>IF(OR(P61&lt;&gt;"A",R61=0),0,SUMIFS($R$18:$R$317,$B$18:$B$317,B61,$D$18:$D$317,D61,$P$18:$P$317,"A"))</f>
        <v/>
      </c>
      <c r="V61">
        <f>IF(OR(N61="",N61="OK",L61="Cancelled"),0,1)</f>
        <v/>
      </c>
    </row>
    <row r="62">
      <c r="B62" s="22" t="n"/>
      <c r="C62" s="23">
        <f>IF(B62="","",$E$9&amp;TEXT(N($E$10)+44,"000"))</f>
        <v/>
      </c>
      <c r="D62" s="14" t="n"/>
      <c r="E62" s="14" t="n"/>
      <c r="F62" s="14" t="n"/>
      <c r="G62" s="24" t="n"/>
      <c r="H62" s="14" t="n"/>
      <c r="I62" s="24" t="n"/>
      <c r="J62" s="25" t="n"/>
      <c r="K62" s="14" t="n"/>
      <c r="L62" s="24" t="n"/>
      <c r="M62" s="26">
        <f>IF(OR(N(J62)=0,L62="Cancelled"),"",IF(AND(N(J62)&gt;5000,H62="Cash"),"Yes: ₹1","No"))</f>
        <v/>
      </c>
      <c r="N62" s="27">
        <f>IF(AND(B62="",D62="",N(J62)=0),"",IF(B62="","Enter the date",IF(AND(ROW()&gt;18,B61=""),"Use the next empty row: a skipped row leaves a gap in the voucher numbers",IF(D62="","Enter who was paid",IF(N(J62)=0,"Enter the amount",IF(E62="","Pick the head of account",IF(P62="?","Pick the head from the list",IF(H62="","Pick how it was paid",IF(L62="Cancelled","Cancelled: keep this number unused and write a fresh voucher",IF(AND(H62&lt;&gt;"Cash",I62=""),"Enter the cheque no., UTR or UPI reference",IF(AND(N($E$11)&gt;0,N(J62)&gt;N($E$11),K62=""),"Above your approval limit: get it approved before paying",IF(S62&gt;10000,"Cash paid to this person today is over ₹10,000: not deductible, s.36(4)",IF(T62&gt;35000,"Cash freight to this transporter today is over ₹35,000: not deductible, s.36(6)",IF(U62&gt;10000,"Asset paid in cash over ₹10,000 today: left out of its cost, s.39(2)",IF(AND(P62="L",H62="Cash",N(J62)&gt;=20000),"Loan of ₹20,000 or more repaid in cash: barred, s.188","OK")))))))))))))))</f>
        <v/>
      </c>
      <c r="P62">
        <f>IF(E62="","",IFERROR(VLOOKUP(E62,Lists!$A$2:$B$17,2,FALSE),"?"))</f>
        <v/>
      </c>
      <c r="Q62">
        <f>IF(L62="Cancelled",0,N(J62))</f>
        <v/>
      </c>
      <c r="R62">
        <f>IF(H62="Cash",Q62,0)</f>
        <v/>
      </c>
      <c r="S62">
        <f>IF(OR(P62&lt;&gt;"E",R62=0),0,SUMIFS($R$18:$R$317,$B$18:$B$317,B62,$D$18:$D$317,D62,$P$18:$P$317,"E"))</f>
        <v/>
      </c>
      <c r="T62">
        <f>IF(OR(P62&lt;&gt;"F",R62=0),0,SUMIFS($R$18:$R$317,$B$18:$B$317,B62,$D$18:$D$317,D62,$P$18:$P$317,"F"))</f>
        <v/>
      </c>
      <c r="U62">
        <f>IF(OR(P62&lt;&gt;"A",R62=0),0,SUMIFS($R$18:$R$317,$B$18:$B$317,B62,$D$18:$D$317,D62,$P$18:$P$317,"A"))</f>
        <v/>
      </c>
      <c r="V62">
        <f>IF(OR(N62="",N62="OK",L62="Cancelled"),0,1)</f>
        <v/>
      </c>
    </row>
    <row r="63">
      <c r="B63" s="22" t="n"/>
      <c r="C63" s="23">
        <f>IF(B63="","",$E$9&amp;TEXT(N($E$10)+45,"000"))</f>
        <v/>
      </c>
      <c r="D63" s="14" t="n"/>
      <c r="E63" s="14" t="n"/>
      <c r="F63" s="14" t="n"/>
      <c r="G63" s="24" t="n"/>
      <c r="H63" s="14" t="n"/>
      <c r="I63" s="24" t="n"/>
      <c r="J63" s="25" t="n"/>
      <c r="K63" s="14" t="n"/>
      <c r="L63" s="24" t="n"/>
      <c r="M63" s="26">
        <f>IF(OR(N(J63)=0,L63="Cancelled"),"",IF(AND(N(J63)&gt;5000,H63="Cash"),"Yes: ₹1","No"))</f>
        <v/>
      </c>
      <c r="N63" s="27">
        <f>IF(AND(B63="",D63="",N(J63)=0),"",IF(B63="","Enter the date",IF(AND(ROW()&gt;18,B62=""),"Use the next empty row: a skipped row leaves a gap in the voucher numbers",IF(D63="","Enter who was paid",IF(N(J63)=0,"Enter the amount",IF(E63="","Pick the head of account",IF(P63="?","Pick the head from the list",IF(H63="","Pick how it was paid",IF(L63="Cancelled","Cancelled: keep this number unused and write a fresh voucher",IF(AND(H63&lt;&gt;"Cash",I63=""),"Enter the cheque no., UTR or UPI reference",IF(AND(N($E$11)&gt;0,N(J63)&gt;N($E$11),K63=""),"Above your approval limit: get it approved before paying",IF(S63&gt;10000,"Cash paid to this person today is over ₹10,000: not deductible, s.36(4)",IF(T63&gt;35000,"Cash freight to this transporter today is over ₹35,000: not deductible, s.36(6)",IF(U63&gt;10000,"Asset paid in cash over ₹10,000 today: left out of its cost, s.39(2)",IF(AND(P63="L",H63="Cash",N(J63)&gt;=20000),"Loan of ₹20,000 or more repaid in cash: barred, s.188","OK")))))))))))))))</f>
        <v/>
      </c>
      <c r="P63">
        <f>IF(E63="","",IFERROR(VLOOKUP(E63,Lists!$A$2:$B$17,2,FALSE),"?"))</f>
        <v/>
      </c>
      <c r="Q63">
        <f>IF(L63="Cancelled",0,N(J63))</f>
        <v/>
      </c>
      <c r="R63">
        <f>IF(H63="Cash",Q63,0)</f>
        <v/>
      </c>
      <c r="S63">
        <f>IF(OR(P63&lt;&gt;"E",R63=0),0,SUMIFS($R$18:$R$317,$B$18:$B$317,B63,$D$18:$D$317,D63,$P$18:$P$317,"E"))</f>
        <v/>
      </c>
      <c r="T63">
        <f>IF(OR(P63&lt;&gt;"F",R63=0),0,SUMIFS($R$18:$R$317,$B$18:$B$317,B63,$D$18:$D$317,D63,$P$18:$P$317,"F"))</f>
        <v/>
      </c>
      <c r="U63">
        <f>IF(OR(P63&lt;&gt;"A",R63=0),0,SUMIFS($R$18:$R$317,$B$18:$B$317,B63,$D$18:$D$317,D63,$P$18:$P$317,"A"))</f>
        <v/>
      </c>
      <c r="V63">
        <f>IF(OR(N63="",N63="OK",L63="Cancelled"),0,1)</f>
        <v/>
      </c>
    </row>
    <row r="64">
      <c r="B64" s="22" t="n"/>
      <c r="C64" s="23">
        <f>IF(B64="","",$E$9&amp;TEXT(N($E$10)+46,"000"))</f>
        <v/>
      </c>
      <c r="D64" s="14" t="n"/>
      <c r="E64" s="14" t="n"/>
      <c r="F64" s="14" t="n"/>
      <c r="G64" s="24" t="n"/>
      <c r="H64" s="14" t="n"/>
      <c r="I64" s="24" t="n"/>
      <c r="J64" s="25" t="n"/>
      <c r="K64" s="14" t="n"/>
      <c r="L64" s="24" t="n"/>
      <c r="M64" s="26">
        <f>IF(OR(N(J64)=0,L64="Cancelled"),"",IF(AND(N(J64)&gt;5000,H64="Cash"),"Yes: ₹1","No"))</f>
        <v/>
      </c>
      <c r="N64" s="27">
        <f>IF(AND(B64="",D64="",N(J64)=0),"",IF(B64="","Enter the date",IF(AND(ROW()&gt;18,B63=""),"Use the next empty row: a skipped row leaves a gap in the voucher numbers",IF(D64="","Enter who was paid",IF(N(J64)=0,"Enter the amount",IF(E64="","Pick the head of account",IF(P64="?","Pick the head from the list",IF(H64="","Pick how it was paid",IF(L64="Cancelled","Cancelled: keep this number unused and write a fresh voucher",IF(AND(H64&lt;&gt;"Cash",I64=""),"Enter the cheque no., UTR or UPI reference",IF(AND(N($E$11)&gt;0,N(J64)&gt;N($E$11),K64=""),"Above your approval limit: get it approved before paying",IF(S64&gt;10000,"Cash paid to this person today is over ₹10,000: not deductible, s.36(4)",IF(T64&gt;35000,"Cash freight to this transporter today is over ₹35,000: not deductible, s.36(6)",IF(U64&gt;10000,"Asset paid in cash over ₹10,000 today: left out of its cost, s.39(2)",IF(AND(P64="L",H64="Cash",N(J64)&gt;=20000),"Loan of ₹20,000 or more repaid in cash: barred, s.188","OK")))))))))))))))</f>
        <v/>
      </c>
      <c r="P64">
        <f>IF(E64="","",IFERROR(VLOOKUP(E64,Lists!$A$2:$B$17,2,FALSE),"?"))</f>
        <v/>
      </c>
      <c r="Q64">
        <f>IF(L64="Cancelled",0,N(J64))</f>
        <v/>
      </c>
      <c r="R64">
        <f>IF(H64="Cash",Q64,0)</f>
        <v/>
      </c>
      <c r="S64">
        <f>IF(OR(P64&lt;&gt;"E",R64=0),0,SUMIFS($R$18:$R$317,$B$18:$B$317,B64,$D$18:$D$317,D64,$P$18:$P$317,"E"))</f>
        <v/>
      </c>
      <c r="T64">
        <f>IF(OR(P64&lt;&gt;"F",R64=0),0,SUMIFS($R$18:$R$317,$B$18:$B$317,B64,$D$18:$D$317,D64,$P$18:$P$317,"F"))</f>
        <v/>
      </c>
      <c r="U64">
        <f>IF(OR(P64&lt;&gt;"A",R64=0),0,SUMIFS($R$18:$R$317,$B$18:$B$317,B64,$D$18:$D$317,D64,$P$18:$P$317,"A"))</f>
        <v/>
      </c>
      <c r="V64">
        <f>IF(OR(N64="",N64="OK",L64="Cancelled"),0,1)</f>
        <v/>
      </c>
    </row>
    <row r="65">
      <c r="B65" s="22" t="n"/>
      <c r="C65" s="23">
        <f>IF(B65="","",$E$9&amp;TEXT(N($E$10)+47,"000"))</f>
        <v/>
      </c>
      <c r="D65" s="14" t="n"/>
      <c r="E65" s="14" t="n"/>
      <c r="F65" s="14" t="n"/>
      <c r="G65" s="24" t="n"/>
      <c r="H65" s="14" t="n"/>
      <c r="I65" s="24" t="n"/>
      <c r="J65" s="25" t="n"/>
      <c r="K65" s="14" t="n"/>
      <c r="L65" s="24" t="n"/>
      <c r="M65" s="26">
        <f>IF(OR(N(J65)=0,L65="Cancelled"),"",IF(AND(N(J65)&gt;5000,H65="Cash"),"Yes: ₹1","No"))</f>
        <v/>
      </c>
      <c r="N65" s="27">
        <f>IF(AND(B65="",D65="",N(J65)=0),"",IF(B65="","Enter the date",IF(AND(ROW()&gt;18,B64=""),"Use the next empty row: a skipped row leaves a gap in the voucher numbers",IF(D65="","Enter who was paid",IF(N(J65)=0,"Enter the amount",IF(E65="","Pick the head of account",IF(P65="?","Pick the head from the list",IF(H65="","Pick how it was paid",IF(L65="Cancelled","Cancelled: keep this number unused and write a fresh voucher",IF(AND(H65&lt;&gt;"Cash",I65=""),"Enter the cheque no., UTR or UPI reference",IF(AND(N($E$11)&gt;0,N(J65)&gt;N($E$11),K65=""),"Above your approval limit: get it approved before paying",IF(S65&gt;10000,"Cash paid to this person today is over ₹10,000: not deductible, s.36(4)",IF(T65&gt;35000,"Cash freight to this transporter today is over ₹35,000: not deductible, s.36(6)",IF(U65&gt;10000,"Asset paid in cash over ₹10,000 today: left out of its cost, s.39(2)",IF(AND(P65="L",H65="Cash",N(J65)&gt;=20000),"Loan of ₹20,000 or more repaid in cash: barred, s.188","OK")))))))))))))))</f>
        <v/>
      </c>
      <c r="P65">
        <f>IF(E65="","",IFERROR(VLOOKUP(E65,Lists!$A$2:$B$17,2,FALSE),"?"))</f>
        <v/>
      </c>
      <c r="Q65">
        <f>IF(L65="Cancelled",0,N(J65))</f>
        <v/>
      </c>
      <c r="R65">
        <f>IF(H65="Cash",Q65,0)</f>
        <v/>
      </c>
      <c r="S65">
        <f>IF(OR(P65&lt;&gt;"E",R65=0),0,SUMIFS($R$18:$R$317,$B$18:$B$317,B65,$D$18:$D$317,D65,$P$18:$P$317,"E"))</f>
        <v/>
      </c>
      <c r="T65">
        <f>IF(OR(P65&lt;&gt;"F",R65=0),0,SUMIFS($R$18:$R$317,$B$18:$B$317,B65,$D$18:$D$317,D65,$P$18:$P$317,"F"))</f>
        <v/>
      </c>
      <c r="U65">
        <f>IF(OR(P65&lt;&gt;"A",R65=0),0,SUMIFS($R$18:$R$317,$B$18:$B$317,B65,$D$18:$D$317,D65,$P$18:$P$317,"A"))</f>
        <v/>
      </c>
      <c r="V65">
        <f>IF(OR(N65="",N65="OK",L65="Cancelled"),0,1)</f>
        <v/>
      </c>
    </row>
    <row r="66">
      <c r="B66" s="22" t="n"/>
      <c r="C66" s="23">
        <f>IF(B66="","",$E$9&amp;TEXT(N($E$10)+48,"000"))</f>
        <v/>
      </c>
      <c r="D66" s="14" t="n"/>
      <c r="E66" s="14" t="n"/>
      <c r="F66" s="14" t="n"/>
      <c r="G66" s="24" t="n"/>
      <c r="H66" s="14" t="n"/>
      <c r="I66" s="24" t="n"/>
      <c r="J66" s="25" t="n"/>
      <c r="K66" s="14" t="n"/>
      <c r="L66" s="24" t="n"/>
      <c r="M66" s="26">
        <f>IF(OR(N(J66)=0,L66="Cancelled"),"",IF(AND(N(J66)&gt;5000,H66="Cash"),"Yes: ₹1","No"))</f>
        <v/>
      </c>
      <c r="N66" s="27">
        <f>IF(AND(B66="",D66="",N(J66)=0),"",IF(B66="","Enter the date",IF(AND(ROW()&gt;18,B65=""),"Use the next empty row: a skipped row leaves a gap in the voucher numbers",IF(D66="","Enter who was paid",IF(N(J66)=0,"Enter the amount",IF(E66="","Pick the head of account",IF(P66="?","Pick the head from the list",IF(H66="","Pick how it was paid",IF(L66="Cancelled","Cancelled: keep this number unused and write a fresh voucher",IF(AND(H66&lt;&gt;"Cash",I66=""),"Enter the cheque no., UTR or UPI reference",IF(AND(N($E$11)&gt;0,N(J66)&gt;N($E$11),K66=""),"Above your approval limit: get it approved before paying",IF(S66&gt;10000,"Cash paid to this person today is over ₹10,000: not deductible, s.36(4)",IF(T66&gt;35000,"Cash freight to this transporter today is over ₹35,000: not deductible, s.36(6)",IF(U66&gt;10000,"Asset paid in cash over ₹10,000 today: left out of its cost, s.39(2)",IF(AND(P66="L",H66="Cash",N(J66)&gt;=20000),"Loan of ₹20,000 or more repaid in cash: barred, s.188","OK")))))))))))))))</f>
        <v/>
      </c>
      <c r="P66">
        <f>IF(E66="","",IFERROR(VLOOKUP(E66,Lists!$A$2:$B$17,2,FALSE),"?"))</f>
        <v/>
      </c>
      <c r="Q66">
        <f>IF(L66="Cancelled",0,N(J66))</f>
        <v/>
      </c>
      <c r="R66">
        <f>IF(H66="Cash",Q66,0)</f>
        <v/>
      </c>
      <c r="S66">
        <f>IF(OR(P66&lt;&gt;"E",R66=0),0,SUMIFS($R$18:$R$317,$B$18:$B$317,B66,$D$18:$D$317,D66,$P$18:$P$317,"E"))</f>
        <v/>
      </c>
      <c r="T66">
        <f>IF(OR(P66&lt;&gt;"F",R66=0),0,SUMIFS($R$18:$R$317,$B$18:$B$317,B66,$D$18:$D$317,D66,$P$18:$P$317,"F"))</f>
        <v/>
      </c>
      <c r="U66">
        <f>IF(OR(P66&lt;&gt;"A",R66=0),0,SUMIFS($R$18:$R$317,$B$18:$B$317,B66,$D$18:$D$317,D66,$P$18:$P$317,"A"))</f>
        <v/>
      </c>
      <c r="V66">
        <f>IF(OR(N66="",N66="OK",L66="Cancelled"),0,1)</f>
        <v/>
      </c>
    </row>
    <row r="67">
      <c r="B67" s="22" t="n"/>
      <c r="C67" s="23">
        <f>IF(B67="","",$E$9&amp;TEXT(N($E$10)+49,"000"))</f>
        <v/>
      </c>
      <c r="D67" s="14" t="n"/>
      <c r="E67" s="14" t="n"/>
      <c r="F67" s="14" t="n"/>
      <c r="G67" s="24" t="n"/>
      <c r="H67" s="14" t="n"/>
      <c r="I67" s="24" t="n"/>
      <c r="J67" s="25" t="n"/>
      <c r="K67" s="14" t="n"/>
      <c r="L67" s="24" t="n"/>
      <c r="M67" s="26">
        <f>IF(OR(N(J67)=0,L67="Cancelled"),"",IF(AND(N(J67)&gt;5000,H67="Cash"),"Yes: ₹1","No"))</f>
        <v/>
      </c>
      <c r="N67" s="27">
        <f>IF(AND(B67="",D67="",N(J67)=0),"",IF(B67="","Enter the date",IF(AND(ROW()&gt;18,B66=""),"Use the next empty row: a skipped row leaves a gap in the voucher numbers",IF(D67="","Enter who was paid",IF(N(J67)=0,"Enter the amount",IF(E67="","Pick the head of account",IF(P67="?","Pick the head from the list",IF(H67="","Pick how it was paid",IF(L67="Cancelled","Cancelled: keep this number unused and write a fresh voucher",IF(AND(H67&lt;&gt;"Cash",I67=""),"Enter the cheque no., UTR or UPI reference",IF(AND(N($E$11)&gt;0,N(J67)&gt;N($E$11),K67=""),"Above your approval limit: get it approved before paying",IF(S67&gt;10000,"Cash paid to this person today is over ₹10,000: not deductible, s.36(4)",IF(T67&gt;35000,"Cash freight to this transporter today is over ₹35,000: not deductible, s.36(6)",IF(U67&gt;10000,"Asset paid in cash over ₹10,000 today: left out of its cost, s.39(2)",IF(AND(P67="L",H67="Cash",N(J67)&gt;=20000),"Loan of ₹20,000 or more repaid in cash: barred, s.188","OK")))))))))))))))</f>
        <v/>
      </c>
      <c r="P67">
        <f>IF(E67="","",IFERROR(VLOOKUP(E67,Lists!$A$2:$B$17,2,FALSE),"?"))</f>
        <v/>
      </c>
      <c r="Q67">
        <f>IF(L67="Cancelled",0,N(J67))</f>
        <v/>
      </c>
      <c r="R67">
        <f>IF(H67="Cash",Q67,0)</f>
        <v/>
      </c>
      <c r="S67">
        <f>IF(OR(P67&lt;&gt;"E",R67=0),0,SUMIFS($R$18:$R$317,$B$18:$B$317,B67,$D$18:$D$317,D67,$P$18:$P$317,"E"))</f>
        <v/>
      </c>
      <c r="T67">
        <f>IF(OR(P67&lt;&gt;"F",R67=0),0,SUMIFS($R$18:$R$317,$B$18:$B$317,B67,$D$18:$D$317,D67,$P$18:$P$317,"F"))</f>
        <v/>
      </c>
      <c r="U67">
        <f>IF(OR(P67&lt;&gt;"A",R67=0),0,SUMIFS($R$18:$R$317,$B$18:$B$317,B67,$D$18:$D$317,D67,$P$18:$P$317,"A"))</f>
        <v/>
      </c>
      <c r="V67">
        <f>IF(OR(N67="",N67="OK",L67="Cancelled"),0,1)</f>
        <v/>
      </c>
    </row>
    <row r="68">
      <c r="B68" s="22" t="n"/>
      <c r="C68" s="23">
        <f>IF(B68="","",$E$9&amp;TEXT(N($E$10)+50,"000"))</f>
        <v/>
      </c>
      <c r="D68" s="14" t="n"/>
      <c r="E68" s="14" t="n"/>
      <c r="F68" s="14" t="n"/>
      <c r="G68" s="24" t="n"/>
      <c r="H68" s="14" t="n"/>
      <c r="I68" s="24" t="n"/>
      <c r="J68" s="25" t="n"/>
      <c r="K68" s="14" t="n"/>
      <c r="L68" s="24" t="n"/>
      <c r="M68" s="26">
        <f>IF(OR(N(J68)=0,L68="Cancelled"),"",IF(AND(N(J68)&gt;5000,H68="Cash"),"Yes: ₹1","No"))</f>
        <v/>
      </c>
      <c r="N68" s="27">
        <f>IF(AND(B68="",D68="",N(J68)=0),"",IF(B68="","Enter the date",IF(AND(ROW()&gt;18,B67=""),"Use the next empty row: a skipped row leaves a gap in the voucher numbers",IF(D68="","Enter who was paid",IF(N(J68)=0,"Enter the amount",IF(E68="","Pick the head of account",IF(P68="?","Pick the head from the list",IF(H68="","Pick how it was paid",IF(L68="Cancelled","Cancelled: keep this number unused and write a fresh voucher",IF(AND(H68&lt;&gt;"Cash",I68=""),"Enter the cheque no., UTR or UPI reference",IF(AND(N($E$11)&gt;0,N(J68)&gt;N($E$11),K68=""),"Above your approval limit: get it approved before paying",IF(S68&gt;10000,"Cash paid to this person today is over ₹10,000: not deductible, s.36(4)",IF(T68&gt;35000,"Cash freight to this transporter today is over ₹35,000: not deductible, s.36(6)",IF(U68&gt;10000,"Asset paid in cash over ₹10,000 today: left out of its cost, s.39(2)",IF(AND(P68="L",H68="Cash",N(J68)&gt;=20000),"Loan of ₹20,000 or more repaid in cash: barred, s.188","OK")))))))))))))))</f>
        <v/>
      </c>
      <c r="P68">
        <f>IF(E68="","",IFERROR(VLOOKUP(E68,Lists!$A$2:$B$17,2,FALSE),"?"))</f>
        <v/>
      </c>
      <c r="Q68">
        <f>IF(L68="Cancelled",0,N(J68))</f>
        <v/>
      </c>
      <c r="R68">
        <f>IF(H68="Cash",Q68,0)</f>
        <v/>
      </c>
      <c r="S68">
        <f>IF(OR(P68&lt;&gt;"E",R68=0),0,SUMIFS($R$18:$R$317,$B$18:$B$317,B68,$D$18:$D$317,D68,$P$18:$P$317,"E"))</f>
        <v/>
      </c>
      <c r="T68">
        <f>IF(OR(P68&lt;&gt;"F",R68=0),0,SUMIFS($R$18:$R$317,$B$18:$B$317,B68,$D$18:$D$317,D68,$P$18:$P$317,"F"))</f>
        <v/>
      </c>
      <c r="U68">
        <f>IF(OR(P68&lt;&gt;"A",R68=0),0,SUMIFS($R$18:$R$317,$B$18:$B$317,B68,$D$18:$D$317,D68,$P$18:$P$317,"A"))</f>
        <v/>
      </c>
      <c r="V68">
        <f>IF(OR(N68="",N68="OK",L68="Cancelled"),0,1)</f>
        <v/>
      </c>
    </row>
    <row r="69">
      <c r="B69" s="22" t="n"/>
      <c r="C69" s="23">
        <f>IF(B69="","",$E$9&amp;TEXT(N($E$10)+51,"000"))</f>
        <v/>
      </c>
      <c r="D69" s="14" t="n"/>
      <c r="E69" s="14" t="n"/>
      <c r="F69" s="14" t="n"/>
      <c r="G69" s="24" t="n"/>
      <c r="H69" s="14" t="n"/>
      <c r="I69" s="24" t="n"/>
      <c r="J69" s="25" t="n"/>
      <c r="K69" s="14" t="n"/>
      <c r="L69" s="24" t="n"/>
      <c r="M69" s="26">
        <f>IF(OR(N(J69)=0,L69="Cancelled"),"",IF(AND(N(J69)&gt;5000,H69="Cash"),"Yes: ₹1","No"))</f>
        <v/>
      </c>
      <c r="N69" s="27">
        <f>IF(AND(B69="",D69="",N(J69)=0),"",IF(B69="","Enter the date",IF(AND(ROW()&gt;18,B68=""),"Use the next empty row: a skipped row leaves a gap in the voucher numbers",IF(D69="","Enter who was paid",IF(N(J69)=0,"Enter the amount",IF(E69="","Pick the head of account",IF(P69="?","Pick the head from the list",IF(H69="","Pick how it was paid",IF(L69="Cancelled","Cancelled: keep this number unused and write a fresh voucher",IF(AND(H69&lt;&gt;"Cash",I69=""),"Enter the cheque no., UTR or UPI reference",IF(AND(N($E$11)&gt;0,N(J69)&gt;N($E$11),K69=""),"Above your approval limit: get it approved before paying",IF(S69&gt;10000,"Cash paid to this person today is over ₹10,000: not deductible, s.36(4)",IF(T69&gt;35000,"Cash freight to this transporter today is over ₹35,000: not deductible, s.36(6)",IF(U69&gt;10000,"Asset paid in cash over ₹10,000 today: left out of its cost, s.39(2)",IF(AND(P69="L",H69="Cash",N(J69)&gt;=20000),"Loan of ₹20,000 or more repaid in cash: barred, s.188","OK")))))))))))))))</f>
        <v/>
      </c>
      <c r="P69">
        <f>IF(E69="","",IFERROR(VLOOKUP(E69,Lists!$A$2:$B$17,2,FALSE),"?"))</f>
        <v/>
      </c>
      <c r="Q69">
        <f>IF(L69="Cancelled",0,N(J69))</f>
        <v/>
      </c>
      <c r="R69">
        <f>IF(H69="Cash",Q69,0)</f>
        <v/>
      </c>
      <c r="S69">
        <f>IF(OR(P69&lt;&gt;"E",R69=0),0,SUMIFS($R$18:$R$317,$B$18:$B$317,B69,$D$18:$D$317,D69,$P$18:$P$317,"E"))</f>
        <v/>
      </c>
      <c r="T69">
        <f>IF(OR(P69&lt;&gt;"F",R69=0),0,SUMIFS($R$18:$R$317,$B$18:$B$317,B69,$D$18:$D$317,D69,$P$18:$P$317,"F"))</f>
        <v/>
      </c>
      <c r="U69">
        <f>IF(OR(P69&lt;&gt;"A",R69=0),0,SUMIFS($R$18:$R$317,$B$18:$B$317,B69,$D$18:$D$317,D69,$P$18:$P$317,"A"))</f>
        <v/>
      </c>
      <c r="V69">
        <f>IF(OR(N69="",N69="OK",L69="Cancelled"),0,1)</f>
        <v/>
      </c>
    </row>
    <row r="70">
      <c r="B70" s="22" t="n"/>
      <c r="C70" s="23">
        <f>IF(B70="","",$E$9&amp;TEXT(N($E$10)+52,"000"))</f>
        <v/>
      </c>
      <c r="D70" s="14" t="n"/>
      <c r="E70" s="14" t="n"/>
      <c r="F70" s="14" t="n"/>
      <c r="G70" s="24" t="n"/>
      <c r="H70" s="14" t="n"/>
      <c r="I70" s="24" t="n"/>
      <c r="J70" s="25" t="n"/>
      <c r="K70" s="14" t="n"/>
      <c r="L70" s="24" t="n"/>
      <c r="M70" s="26">
        <f>IF(OR(N(J70)=0,L70="Cancelled"),"",IF(AND(N(J70)&gt;5000,H70="Cash"),"Yes: ₹1","No"))</f>
        <v/>
      </c>
      <c r="N70" s="27">
        <f>IF(AND(B70="",D70="",N(J70)=0),"",IF(B70="","Enter the date",IF(AND(ROW()&gt;18,B69=""),"Use the next empty row: a skipped row leaves a gap in the voucher numbers",IF(D70="","Enter who was paid",IF(N(J70)=0,"Enter the amount",IF(E70="","Pick the head of account",IF(P70="?","Pick the head from the list",IF(H70="","Pick how it was paid",IF(L70="Cancelled","Cancelled: keep this number unused and write a fresh voucher",IF(AND(H70&lt;&gt;"Cash",I70=""),"Enter the cheque no., UTR or UPI reference",IF(AND(N($E$11)&gt;0,N(J70)&gt;N($E$11),K70=""),"Above your approval limit: get it approved before paying",IF(S70&gt;10000,"Cash paid to this person today is over ₹10,000: not deductible, s.36(4)",IF(T70&gt;35000,"Cash freight to this transporter today is over ₹35,000: not deductible, s.36(6)",IF(U70&gt;10000,"Asset paid in cash over ₹10,000 today: left out of its cost, s.39(2)",IF(AND(P70="L",H70="Cash",N(J70)&gt;=20000),"Loan of ₹20,000 or more repaid in cash: barred, s.188","OK")))))))))))))))</f>
        <v/>
      </c>
      <c r="P70">
        <f>IF(E70="","",IFERROR(VLOOKUP(E70,Lists!$A$2:$B$17,2,FALSE),"?"))</f>
        <v/>
      </c>
      <c r="Q70">
        <f>IF(L70="Cancelled",0,N(J70))</f>
        <v/>
      </c>
      <c r="R70">
        <f>IF(H70="Cash",Q70,0)</f>
        <v/>
      </c>
      <c r="S70">
        <f>IF(OR(P70&lt;&gt;"E",R70=0),0,SUMIFS($R$18:$R$317,$B$18:$B$317,B70,$D$18:$D$317,D70,$P$18:$P$317,"E"))</f>
        <v/>
      </c>
      <c r="T70">
        <f>IF(OR(P70&lt;&gt;"F",R70=0),0,SUMIFS($R$18:$R$317,$B$18:$B$317,B70,$D$18:$D$317,D70,$P$18:$P$317,"F"))</f>
        <v/>
      </c>
      <c r="U70">
        <f>IF(OR(P70&lt;&gt;"A",R70=0),0,SUMIFS($R$18:$R$317,$B$18:$B$317,B70,$D$18:$D$317,D70,$P$18:$P$317,"A"))</f>
        <v/>
      </c>
      <c r="V70">
        <f>IF(OR(N70="",N70="OK",L70="Cancelled"),0,1)</f>
        <v/>
      </c>
    </row>
    <row r="71">
      <c r="B71" s="22" t="n"/>
      <c r="C71" s="23">
        <f>IF(B71="","",$E$9&amp;TEXT(N($E$10)+53,"000"))</f>
        <v/>
      </c>
      <c r="D71" s="14" t="n"/>
      <c r="E71" s="14" t="n"/>
      <c r="F71" s="14" t="n"/>
      <c r="G71" s="24" t="n"/>
      <c r="H71" s="14" t="n"/>
      <c r="I71" s="24" t="n"/>
      <c r="J71" s="25" t="n"/>
      <c r="K71" s="14" t="n"/>
      <c r="L71" s="24" t="n"/>
      <c r="M71" s="26">
        <f>IF(OR(N(J71)=0,L71="Cancelled"),"",IF(AND(N(J71)&gt;5000,H71="Cash"),"Yes: ₹1","No"))</f>
        <v/>
      </c>
      <c r="N71" s="27">
        <f>IF(AND(B71="",D71="",N(J71)=0),"",IF(B71="","Enter the date",IF(AND(ROW()&gt;18,B70=""),"Use the next empty row: a skipped row leaves a gap in the voucher numbers",IF(D71="","Enter who was paid",IF(N(J71)=0,"Enter the amount",IF(E71="","Pick the head of account",IF(P71="?","Pick the head from the list",IF(H71="","Pick how it was paid",IF(L71="Cancelled","Cancelled: keep this number unused and write a fresh voucher",IF(AND(H71&lt;&gt;"Cash",I71=""),"Enter the cheque no., UTR or UPI reference",IF(AND(N($E$11)&gt;0,N(J71)&gt;N($E$11),K71=""),"Above your approval limit: get it approved before paying",IF(S71&gt;10000,"Cash paid to this person today is over ₹10,000: not deductible, s.36(4)",IF(T71&gt;35000,"Cash freight to this transporter today is over ₹35,000: not deductible, s.36(6)",IF(U71&gt;10000,"Asset paid in cash over ₹10,000 today: left out of its cost, s.39(2)",IF(AND(P71="L",H71="Cash",N(J71)&gt;=20000),"Loan of ₹20,000 or more repaid in cash: barred, s.188","OK")))))))))))))))</f>
        <v/>
      </c>
      <c r="P71">
        <f>IF(E71="","",IFERROR(VLOOKUP(E71,Lists!$A$2:$B$17,2,FALSE),"?"))</f>
        <v/>
      </c>
      <c r="Q71">
        <f>IF(L71="Cancelled",0,N(J71))</f>
        <v/>
      </c>
      <c r="R71">
        <f>IF(H71="Cash",Q71,0)</f>
        <v/>
      </c>
      <c r="S71">
        <f>IF(OR(P71&lt;&gt;"E",R71=0),0,SUMIFS($R$18:$R$317,$B$18:$B$317,B71,$D$18:$D$317,D71,$P$18:$P$317,"E"))</f>
        <v/>
      </c>
      <c r="T71">
        <f>IF(OR(P71&lt;&gt;"F",R71=0),0,SUMIFS($R$18:$R$317,$B$18:$B$317,B71,$D$18:$D$317,D71,$P$18:$P$317,"F"))</f>
        <v/>
      </c>
      <c r="U71">
        <f>IF(OR(P71&lt;&gt;"A",R71=0),0,SUMIFS($R$18:$R$317,$B$18:$B$317,B71,$D$18:$D$317,D71,$P$18:$P$317,"A"))</f>
        <v/>
      </c>
      <c r="V71">
        <f>IF(OR(N71="",N71="OK",L71="Cancelled"),0,1)</f>
        <v/>
      </c>
    </row>
    <row r="72">
      <c r="B72" s="22" t="n"/>
      <c r="C72" s="23">
        <f>IF(B72="","",$E$9&amp;TEXT(N($E$10)+54,"000"))</f>
        <v/>
      </c>
      <c r="D72" s="14" t="n"/>
      <c r="E72" s="14" t="n"/>
      <c r="F72" s="14" t="n"/>
      <c r="G72" s="24" t="n"/>
      <c r="H72" s="14" t="n"/>
      <c r="I72" s="24" t="n"/>
      <c r="J72" s="25" t="n"/>
      <c r="K72" s="14" t="n"/>
      <c r="L72" s="24" t="n"/>
      <c r="M72" s="26">
        <f>IF(OR(N(J72)=0,L72="Cancelled"),"",IF(AND(N(J72)&gt;5000,H72="Cash"),"Yes: ₹1","No"))</f>
        <v/>
      </c>
      <c r="N72" s="27">
        <f>IF(AND(B72="",D72="",N(J72)=0),"",IF(B72="","Enter the date",IF(AND(ROW()&gt;18,B71=""),"Use the next empty row: a skipped row leaves a gap in the voucher numbers",IF(D72="","Enter who was paid",IF(N(J72)=0,"Enter the amount",IF(E72="","Pick the head of account",IF(P72="?","Pick the head from the list",IF(H72="","Pick how it was paid",IF(L72="Cancelled","Cancelled: keep this number unused and write a fresh voucher",IF(AND(H72&lt;&gt;"Cash",I72=""),"Enter the cheque no., UTR or UPI reference",IF(AND(N($E$11)&gt;0,N(J72)&gt;N($E$11),K72=""),"Above your approval limit: get it approved before paying",IF(S72&gt;10000,"Cash paid to this person today is over ₹10,000: not deductible, s.36(4)",IF(T72&gt;35000,"Cash freight to this transporter today is over ₹35,000: not deductible, s.36(6)",IF(U72&gt;10000,"Asset paid in cash over ₹10,000 today: left out of its cost, s.39(2)",IF(AND(P72="L",H72="Cash",N(J72)&gt;=20000),"Loan of ₹20,000 or more repaid in cash: barred, s.188","OK")))))))))))))))</f>
        <v/>
      </c>
      <c r="P72">
        <f>IF(E72="","",IFERROR(VLOOKUP(E72,Lists!$A$2:$B$17,2,FALSE),"?"))</f>
        <v/>
      </c>
      <c r="Q72">
        <f>IF(L72="Cancelled",0,N(J72))</f>
        <v/>
      </c>
      <c r="R72">
        <f>IF(H72="Cash",Q72,0)</f>
        <v/>
      </c>
      <c r="S72">
        <f>IF(OR(P72&lt;&gt;"E",R72=0),0,SUMIFS($R$18:$R$317,$B$18:$B$317,B72,$D$18:$D$317,D72,$P$18:$P$317,"E"))</f>
        <v/>
      </c>
      <c r="T72">
        <f>IF(OR(P72&lt;&gt;"F",R72=0),0,SUMIFS($R$18:$R$317,$B$18:$B$317,B72,$D$18:$D$317,D72,$P$18:$P$317,"F"))</f>
        <v/>
      </c>
      <c r="U72">
        <f>IF(OR(P72&lt;&gt;"A",R72=0),0,SUMIFS($R$18:$R$317,$B$18:$B$317,B72,$D$18:$D$317,D72,$P$18:$P$317,"A"))</f>
        <v/>
      </c>
      <c r="V72">
        <f>IF(OR(N72="",N72="OK",L72="Cancelled"),0,1)</f>
        <v/>
      </c>
    </row>
    <row r="73">
      <c r="B73" s="22" t="n"/>
      <c r="C73" s="23">
        <f>IF(B73="","",$E$9&amp;TEXT(N($E$10)+55,"000"))</f>
        <v/>
      </c>
      <c r="D73" s="14" t="n"/>
      <c r="E73" s="14" t="n"/>
      <c r="F73" s="14" t="n"/>
      <c r="G73" s="24" t="n"/>
      <c r="H73" s="14" t="n"/>
      <c r="I73" s="24" t="n"/>
      <c r="J73" s="25" t="n"/>
      <c r="K73" s="14" t="n"/>
      <c r="L73" s="24" t="n"/>
      <c r="M73" s="26">
        <f>IF(OR(N(J73)=0,L73="Cancelled"),"",IF(AND(N(J73)&gt;5000,H73="Cash"),"Yes: ₹1","No"))</f>
        <v/>
      </c>
      <c r="N73" s="27">
        <f>IF(AND(B73="",D73="",N(J73)=0),"",IF(B73="","Enter the date",IF(AND(ROW()&gt;18,B72=""),"Use the next empty row: a skipped row leaves a gap in the voucher numbers",IF(D73="","Enter who was paid",IF(N(J73)=0,"Enter the amount",IF(E73="","Pick the head of account",IF(P73="?","Pick the head from the list",IF(H73="","Pick how it was paid",IF(L73="Cancelled","Cancelled: keep this number unused and write a fresh voucher",IF(AND(H73&lt;&gt;"Cash",I73=""),"Enter the cheque no., UTR or UPI reference",IF(AND(N($E$11)&gt;0,N(J73)&gt;N($E$11),K73=""),"Above your approval limit: get it approved before paying",IF(S73&gt;10000,"Cash paid to this person today is over ₹10,000: not deductible, s.36(4)",IF(T73&gt;35000,"Cash freight to this transporter today is over ₹35,000: not deductible, s.36(6)",IF(U73&gt;10000,"Asset paid in cash over ₹10,000 today: left out of its cost, s.39(2)",IF(AND(P73="L",H73="Cash",N(J73)&gt;=20000),"Loan of ₹20,000 or more repaid in cash: barred, s.188","OK")))))))))))))))</f>
        <v/>
      </c>
      <c r="P73">
        <f>IF(E73="","",IFERROR(VLOOKUP(E73,Lists!$A$2:$B$17,2,FALSE),"?"))</f>
        <v/>
      </c>
      <c r="Q73">
        <f>IF(L73="Cancelled",0,N(J73))</f>
        <v/>
      </c>
      <c r="R73">
        <f>IF(H73="Cash",Q73,0)</f>
        <v/>
      </c>
      <c r="S73">
        <f>IF(OR(P73&lt;&gt;"E",R73=0),0,SUMIFS($R$18:$R$317,$B$18:$B$317,B73,$D$18:$D$317,D73,$P$18:$P$317,"E"))</f>
        <v/>
      </c>
      <c r="T73">
        <f>IF(OR(P73&lt;&gt;"F",R73=0),0,SUMIFS($R$18:$R$317,$B$18:$B$317,B73,$D$18:$D$317,D73,$P$18:$P$317,"F"))</f>
        <v/>
      </c>
      <c r="U73">
        <f>IF(OR(P73&lt;&gt;"A",R73=0),0,SUMIFS($R$18:$R$317,$B$18:$B$317,B73,$D$18:$D$317,D73,$P$18:$P$317,"A"))</f>
        <v/>
      </c>
      <c r="V73">
        <f>IF(OR(N73="",N73="OK",L73="Cancelled"),0,1)</f>
        <v/>
      </c>
    </row>
    <row r="74">
      <c r="B74" s="22" t="n"/>
      <c r="C74" s="23">
        <f>IF(B74="","",$E$9&amp;TEXT(N($E$10)+56,"000"))</f>
        <v/>
      </c>
      <c r="D74" s="14" t="n"/>
      <c r="E74" s="14" t="n"/>
      <c r="F74" s="14" t="n"/>
      <c r="G74" s="24" t="n"/>
      <c r="H74" s="14" t="n"/>
      <c r="I74" s="24" t="n"/>
      <c r="J74" s="25" t="n"/>
      <c r="K74" s="14" t="n"/>
      <c r="L74" s="24" t="n"/>
      <c r="M74" s="26">
        <f>IF(OR(N(J74)=0,L74="Cancelled"),"",IF(AND(N(J74)&gt;5000,H74="Cash"),"Yes: ₹1","No"))</f>
        <v/>
      </c>
      <c r="N74" s="27">
        <f>IF(AND(B74="",D74="",N(J74)=0),"",IF(B74="","Enter the date",IF(AND(ROW()&gt;18,B73=""),"Use the next empty row: a skipped row leaves a gap in the voucher numbers",IF(D74="","Enter who was paid",IF(N(J74)=0,"Enter the amount",IF(E74="","Pick the head of account",IF(P74="?","Pick the head from the list",IF(H74="","Pick how it was paid",IF(L74="Cancelled","Cancelled: keep this number unused and write a fresh voucher",IF(AND(H74&lt;&gt;"Cash",I74=""),"Enter the cheque no., UTR or UPI reference",IF(AND(N($E$11)&gt;0,N(J74)&gt;N($E$11),K74=""),"Above your approval limit: get it approved before paying",IF(S74&gt;10000,"Cash paid to this person today is over ₹10,000: not deductible, s.36(4)",IF(T74&gt;35000,"Cash freight to this transporter today is over ₹35,000: not deductible, s.36(6)",IF(U74&gt;10000,"Asset paid in cash over ₹10,000 today: left out of its cost, s.39(2)",IF(AND(P74="L",H74="Cash",N(J74)&gt;=20000),"Loan of ₹20,000 or more repaid in cash: barred, s.188","OK")))))))))))))))</f>
        <v/>
      </c>
      <c r="P74">
        <f>IF(E74="","",IFERROR(VLOOKUP(E74,Lists!$A$2:$B$17,2,FALSE),"?"))</f>
        <v/>
      </c>
      <c r="Q74">
        <f>IF(L74="Cancelled",0,N(J74))</f>
        <v/>
      </c>
      <c r="R74">
        <f>IF(H74="Cash",Q74,0)</f>
        <v/>
      </c>
      <c r="S74">
        <f>IF(OR(P74&lt;&gt;"E",R74=0),0,SUMIFS($R$18:$R$317,$B$18:$B$317,B74,$D$18:$D$317,D74,$P$18:$P$317,"E"))</f>
        <v/>
      </c>
      <c r="T74">
        <f>IF(OR(P74&lt;&gt;"F",R74=0),0,SUMIFS($R$18:$R$317,$B$18:$B$317,B74,$D$18:$D$317,D74,$P$18:$P$317,"F"))</f>
        <v/>
      </c>
      <c r="U74">
        <f>IF(OR(P74&lt;&gt;"A",R74=0),0,SUMIFS($R$18:$R$317,$B$18:$B$317,B74,$D$18:$D$317,D74,$P$18:$P$317,"A"))</f>
        <v/>
      </c>
      <c r="V74">
        <f>IF(OR(N74="",N74="OK",L74="Cancelled"),0,1)</f>
        <v/>
      </c>
    </row>
    <row r="75">
      <c r="B75" s="22" t="n"/>
      <c r="C75" s="23">
        <f>IF(B75="","",$E$9&amp;TEXT(N($E$10)+57,"000"))</f>
        <v/>
      </c>
      <c r="D75" s="14" t="n"/>
      <c r="E75" s="14" t="n"/>
      <c r="F75" s="14" t="n"/>
      <c r="G75" s="24" t="n"/>
      <c r="H75" s="14" t="n"/>
      <c r="I75" s="24" t="n"/>
      <c r="J75" s="25" t="n"/>
      <c r="K75" s="14" t="n"/>
      <c r="L75" s="24" t="n"/>
      <c r="M75" s="26">
        <f>IF(OR(N(J75)=0,L75="Cancelled"),"",IF(AND(N(J75)&gt;5000,H75="Cash"),"Yes: ₹1","No"))</f>
        <v/>
      </c>
      <c r="N75" s="27">
        <f>IF(AND(B75="",D75="",N(J75)=0),"",IF(B75="","Enter the date",IF(AND(ROW()&gt;18,B74=""),"Use the next empty row: a skipped row leaves a gap in the voucher numbers",IF(D75="","Enter who was paid",IF(N(J75)=0,"Enter the amount",IF(E75="","Pick the head of account",IF(P75="?","Pick the head from the list",IF(H75="","Pick how it was paid",IF(L75="Cancelled","Cancelled: keep this number unused and write a fresh voucher",IF(AND(H75&lt;&gt;"Cash",I75=""),"Enter the cheque no., UTR or UPI reference",IF(AND(N($E$11)&gt;0,N(J75)&gt;N($E$11),K75=""),"Above your approval limit: get it approved before paying",IF(S75&gt;10000,"Cash paid to this person today is over ₹10,000: not deductible, s.36(4)",IF(T75&gt;35000,"Cash freight to this transporter today is over ₹35,000: not deductible, s.36(6)",IF(U75&gt;10000,"Asset paid in cash over ₹10,000 today: left out of its cost, s.39(2)",IF(AND(P75="L",H75="Cash",N(J75)&gt;=20000),"Loan of ₹20,000 or more repaid in cash: barred, s.188","OK")))))))))))))))</f>
        <v/>
      </c>
      <c r="P75">
        <f>IF(E75="","",IFERROR(VLOOKUP(E75,Lists!$A$2:$B$17,2,FALSE),"?"))</f>
        <v/>
      </c>
      <c r="Q75">
        <f>IF(L75="Cancelled",0,N(J75))</f>
        <v/>
      </c>
      <c r="R75">
        <f>IF(H75="Cash",Q75,0)</f>
        <v/>
      </c>
      <c r="S75">
        <f>IF(OR(P75&lt;&gt;"E",R75=0),0,SUMIFS($R$18:$R$317,$B$18:$B$317,B75,$D$18:$D$317,D75,$P$18:$P$317,"E"))</f>
        <v/>
      </c>
      <c r="T75">
        <f>IF(OR(P75&lt;&gt;"F",R75=0),0,SUMIFS($R$18:$R$317,$B$18:$B$317,B75,$D$18:$D$317,D75,$P$18:$P$317,"F"))</f>
        <v/>
      </c>
      <c r="U75">
        <f>IF(OR(P75&lt;&gt;"A",R75=0),0,SUMIFS($R$18:$R$317,$B$18:$B$317,B75,$D$18:$D$317,D75,$P$18:$P$317,"A"))</f>
        <v/>
      </c>
      <c r="V75">
        <f>IF(OR(N75="",N75="OK",L75="Cancelled"),0,1)</f>
        <v/>
      </c>
    </row>
    <row r="76">
      <c r="B76" s="22" t="n"/>
      <c r="C76" s="23">
        <f>IF(B76="","",$E$9&amp;TEXT(N($E$10)+58,"000"))</f>
        <v/>
      </c>
      <c r="D76" s="14" t="n"/>
      <c r="E76" s="14" t="n"/>
      <c r="F76" s="14" t="n"/>
      <c r="G76" s="24" t="n"/>
      <c r="H76" s="14" t="n"/>
      <c r="I76" s="24" t="n"/>
      <c r="J76" s="25" t="n"/>
      <c r="K76" s="14" t="n"/>
      <c r="L76" s="24" t="n"/>
      <c r="M76" s="26">
        <f>IF(OR(N(J76)=0,L76="Cancelled"),"",IF(AND(N(J76)&gt;5000,H76="Cash"),"Yes: ₹1","No"))</f>
        <v/>
      </c>
      <c r="N76" s="27">
        <f>IF(AND(B76="",D76="",N(J76)=0),"",IF(B76="","Enter the date",IF(AND(ROW()&gt;18,B75=""),"Use the next empty row: a skipped row leaves a gap in the voucher numbers",IF(D76="","Enter who was paid",IF(N(J76)=0,"Enter the amount",IF(E76="","Pick the head of account",IF(P76="?","Pick the head from the list",IF(H76="","Pick how it was paid",IF(L76="Cancelled","Cancelled: keep this number unused and write a fresh voucher",IF(AND(H76&lt;&gt;"Cash",I76=""),"Enter the cheque no., UTR or UPI reference",IF(AND(N($E$11)&gt;0,N(J76)&gt;N($E$11),K76=""),"Above your approval limit: get it approved before paying",IF(S76&gt;10000,"Cash paid to this person today is over ₹10,000: not deductible, s.36(4)",IF(T76&gt;35000,"Cash freight to this transporter today is over ₹35,000: not deductible, s.36(6)",IF(U76&gt;10000,"Asset paid in cash over ₹10,000 today: left out of its cost, s.39(2)",IF(AND(P76="L",H76="Cash",N(J76)&gt;=20000),"Loan of ₹20,000 or more repaid in cash: barred, s.188","OK")))))))))))))))</f>
        <v/>
      </c>
      <c r="P76">
        <f>IF(E76="","",IFERROR(VLOOKUP(E76,Lists!$A$2:$B$17,2,FALSE),"?"))</f>
        <v/>
      </c>
      <c r="Q76">
        <f>IF(L76="Cancelled",0,N(J76))</f>
        <v/>
      </c>
      <c r="R76">
        <f>IF(H76="Cash",Q76,0)</f>
        <v/>
      </c>
      <c r="S76">
        <f>IF(OR(P76&lt;&gt;"E",R76=0),0,SUMIFS($R$18:$R$317,$B$18:$B$317,B76,$D$18:$D$317,D76,$P$18:$P$317,"E"))</f>
        <v/>
      </c>
      <c r="T76">
        <f>IF(OR(P76&lt;&gt;"F",R76=0),0,SUMIFS($R$18:$R$317,$B$18:$B$317,B76,$D$18:$D$317,D76,$P$18:$P$317,"F"))</f>
        <v/>
      </c>
      <c r="U76">
        <f>IF(OR(P76&lt;&gt;"A",R76=0),0,SUMIFS($R$18:$R$317,$B$18:$B$317,B76,$D$18:$D$317,D76,$P$18:$P$317,"A"))</f>
        <v/>
      </c>
      <c r="V76">
        <f>IF(OR(N76="",N76="OK",L76="Cancelled"),0,1)</f>
        <v/>
      </c>
    </row>
    <row r="77">
      <c r="B77" s="22" t="n"/>
      <c r="C77" s="23">
        <f>IF(B77="","",$E$9&amp;TEXT(N($E$10)+59,"000"))</f>
        <v/>
      </c>
      <c r="D77" s="14" t="n"/>
      <c r="E77" s="14" t="n"/>
      <c r="F77" s="14" t="n"/>
      <c r="G77" s="24" t="n"/>
      <c r="H77" s="14" t="n"/>
      <c r="I77" s="24" t="n"/>
      <c r="J77" s="25" t="n"/>
      <c r="K77" s="14" t="n"/>
      <c r="L77" s="24" t="n"/>
      <c r="M77" s="26">
        <f>IF(OR(N(J77)=0,L77="Cancelled"),"",IF(AND(N(J77)&gt;5000,H77="Cash"),"Yes: ₹1","No"))</f>
        <v/>
      </c>
      <c r="N77" s="27">
        <f>IF(AND(B77="",D77="",N(J77)=0),"",IF(B77="","Enter the date",IF(AND(ROW()&gt;18,B76=""),"Use the next empty row: a skipped row leaves a gap in the voucher numbers",IF(D77="","Enter who was paid",IF(N(J77)=0,"Enter the amount",IF(E77="","Pick the head of account",IF(P77="?","Pick the head from the list",IF(H77="","Pick how it was paid",IF(L77="Cancelled","Cancelled: keep this number unused and write a fresh voucher",IF(AND(H77&lt;&gt;"Cash",I77=""),"Enter the cheque no., UTR or UPI reference",IF(AND(N($E$11)&gt;0,N(J77)&gt;N($E$11),K77=""),"Above your approval limit: get it approved before paying",IF(S77&gt;10000,"Cash paid to this person today is over ₹10,000: not deductible, s.36(4)",IF(T77&gt;35000,"Cash freight to this transporter today is over ₹35,000: not deductible, s.36(6)",IF(U77&gt;10000,"Asset paid in cash over ₹10,000 today: left out of its cost, s.39(2)",IF(AND(P77="L",H77="Cash",N(J77)&gt;=20000),"Loan of ₹20,000 or more repaid in cash: barred, s.188","OK")))))))))))))))</f>
        <v/>
      </c>
      <c r="P77">
        <f>IF(E77="","",IFERROR(VLOOKUP(E77,Lists!$A$2:$B$17,2,FALSE),"?"))</f>
        <v/>
      </c>
      <c r="Q77">
        <f>IF(L77="Cancelled",0,N(J77))</f>
        <v/>
      </c>
      <c r="R77">
        <f>IF(H77="Cash",Q77,0)</f>
        <v/>
      </c>
      <c r="S77">
        <f>IF(OR(P77&lt;&gt;"E",R77=0),0,SUMIFS($R$18:$R$317,$B$18:$B$317,B77,$D$18:$D$317,D77,$P$18:$P$317,"E"))</f>
        <v/>
      </c>
      <c r="T77">
        <f>IF(OR(P77&lt;&gt;"F",R77=0),0,SUMIFS($R$18:$R$317,$B$18:$B$317,B77,$D$18:$D$317,D77,$P$18:$P$317,"F"))</f>
        <v/>
      </c>
      <c r="U77">
        <f>IF(OR(P77&lt;&gt;"A",R77=0),0,SUMIFS($R$18:$R$317,$B$18:$B$317,B77,$D$18:$D$317,D77,$P$18:$P$317,"A"))</f>
        <v/>
      </c>
      <c r="V77">
        <f>IF(OR(N77="",N77="OK",L77="Cancelled"),0,1)</f>
        <v/>
      </c>
    </row>
    <row r="78">
      <c r="B78" s="22" t="n"/>
      <c r="C78" s="23">
        <f>IF(B78="","",$E$9&amp;TEXT(N($E$10)+60,"000"))</f>
        <v/>
      </c>
      <c r="D78" s="14" t="n"/>
      <c r="E78" s="14" t="n"/>
      <c r="F78" s="14" t="n"/>
      <c r="G78" s="24" t="n"/>
      <c r="H78" s="14" t="n"/>
      <c r="I78" s="24" t="n"/>
      <c r="J78" s="25" t="n"/>
      <c r="K78" s="14" t="n"/>
      <c r="L78" s="24" t="n"/>
      <c r="M78" s="26">
        <f>IF(OR(N(J78)=0,L78="Cancelled"),"",IF(AND(N(J78)&gt;5000,H78="Cash"),"Yes: ₹1","No"))</f>
        <v/>
      </c>
      <c r="N78" s="27">
        <f>IF(AND(B78="",D78="",N(J78)=0),"",IF(B78="","Enter the date",IF(AND(ROW()&gt;18,B77=""),"Use the next empty row: a skipped row leaves a gap in the voucher numbers",IF(D78="","Enter who was paid",IF(N(J78)=0,"Enter the amount",IF(E78="","Pick the head of account",IF(P78="?","Pick the head from the list",IF(H78="","Pick how it was paid",IF(L78="Cancelled","Cancelled: keep this number unused and write a fresh voucher",IF(AND(H78&lt;&gt;"Cash",I78=""),"Enter the cheque no., UTR or UPI reference",IF(AND(N($E$11)&gt;0,N(J78)&gt;N($E$11),K78=""),"Above your approval limit: get it approved before paying",IF(S78&gt;10000,"Cash paid to this person today is over ₹10,000: not deductible, s.36(4)",IF(T78&gt;35000,"Cash freight to this transporter today is over ₹35,000: not deductible, s.36(6)",IF(U78&gt;10000,"Asset paid in cash over ₹10,000 today: left out of its cost, s.39(2)",IF(AND(P78="L",H78="Cash",N(J78)&gt;=20000),"Loan of ₹20,000 or more repaid in cash: barred, s.188","OK")))))))))))))))</f>
        <v/>
      </c>
      <c r="P78">
        <f>IF(E78="","",IFERROR(VLOOKUP(E78,Lists!$A$2:$B$17,2,FALSE),"?"))</f>
        <v/>
      </c>
      <c r="Q78">
        <f>IF(L78="Cancelled",0,N(J78))</f>
        <v/>
      </c>
      <c r="R78">
        <f>IF(H78="Cash",Q78,0)</f>
        <v/>
      </c>
      <c r="S78">
        <f>IF(OR(P78&lt;&gt;"E",R78=0),0,SUMIFS($R$18:$R$317,$B$18:$B$317,B78,$D$18:$D$317,D78,$P$18:$P$317,"E"))</f>
        <v/>
      </c>
      <c r="T78">
        <f>IF(OR(P78&lt;&gt;"F",R78=0),0,SUMIFS($R$18:$R$317,$B$18:$B$317,B78,$D$18:$D$317,D78,$P$18:$P$317,"F"))</f>
        <v/>
      </c>
      <c r="U78">
        <f>IF(OR(P78&lt;&gt;"A",R78=0),0,SUMIFS($R$18:$R$317,$B$18:$B$317,B78,$D$18:$D$317,D78,$P$18:$P$317,"A"))</f>
        <v/>
      </c>
      <c r="V78">
        <f>IF(OR(N78="",N78="OK",L78="Cancelled"),0,1)</f>
        <v/>
      </c>
    </row>
    <row r="79">
      <c r="B79" s="22" t="n"/>
      <c r="C79" s="23">
        <f>IF(B79="","",$E$9&amp;TEXT(N($E$10)+61,"000"))</f>
        <v/>
      </c>
      <c r="D79" s="14" t="n"/>
      <c r="E79" s="14" t="n"/>
      <c r="F79" s="14" t="n"/>
      <c r="G79" s="24" t="n"/>
      <c r="H79" s="14" t="n"/>
      <c r="I79" s="24" t="n"/>
      <c r="J79" s="25" t="n"/>
      <c r="K79" s="14" t="n"/>
      <c r="L79" s="24" t="n"/>
      <c r="M79" s="26">
        <f>IF(OR(N(J79)=0,L79="Cancelled"),"",IF(AND(N(J79)&gt;5000,H79="Cash"),"Yes: ₹1","No"))</f>
        <v/>
      </c>
      <c r="N79" s="27">
        <f>IF(AND(B79="",D79="",N(J79)=0),"",IF(B79="","Enter the date",IF(AND(ROW()&gt;18,B78=""),"Use the next empty row: a skipped row leaves a gap in the voucher numbers",IF(D79="","Enter who was paid",IF(N(J79)=0,"Enter the amount",IF(E79="","Pick the head of account",IF(P79="?","Pick the head from the list",IF(H79="","Pick how it was paid",IF(L79="Cancelled","Cancelled: keep this number unused and write a fresh voucher",IF(AND(H79&lt;&gt;"Cash",I79=""),"Enter the cheque no., UTR or UPI reference",IF(AND(N($E$11)&gt;0,N(J79)&gt;N($E$11),K79=""),"Above your approval limit: get it approved before paying",IF(S79&gt;10000,"Cash paid to this person today is over ₹10,000: not deductible, s.36(4)",IF(T79&gt;35000,"Cash freight to this transporter today is over ₹35,000: not deductible, s.36(6)",IF(U79&gt;10000,"Asset paid in cash over ₹10,000 today: left out of its cost, s.39(2)",IF(AND(P79="L",H79="Cash",N(J79)&gt;=20000),"Loan of ₹20,000 or more repaid in cash: barred, s.188","OK")))))))))))))))</f>
        <v/>
      </c>
      <c r="P79">
        <f>IF(E79="","",IFERROR(VLOOKUP(E79,Lists!$A$2:$B$17,2,FALSE),"?"))</f>
        <v/>
      </c>
      <c r="Q79">
        <f>IF(L79="Cancelled",0,N(J79))</f>
        <v/>
      </c>
      <c r="R79">
        <f>IF(H79="Cash",Q79,0)</f>
        <v/>
      </c>
      <c r="S79">
        <f>IF(OR(P79&lt;&gt;"E",R79=0),0,SUMIFS($R$18:$R$317,$B$18:$B$317,B79,$D$18:$D$317,D79,$P$18:$P$317,"E"))</f>
        <v/>
      </c>
      <c r="T79">
        <f>IF(OR(P79&lt;&gt;"F",R79=0),0,SUMIFS($R$18:$R$317,$B$18:$B$317,B79,$D$18:$D$317,D79,$P$18:$P$317,"F"))</f>
        <v/>
      </c>
      <c r="U79">
        <f>IF(OR(P79&lt;&gt;"A",R79=0),0,SUMIFS($R$18:$R$317,$B$18:$B$317,B79,$D$18:$D$317,D79,$P$18:$P$317,"A"))</f>
        <v/>
      </c>
      <c r="V79">
        <f>IF(OR(N79="",N79="OK",L79="Cancelled"),0,1)</f>
        <v/>
      </c>
    </row>
    <row r="80">
      <c r="B80" s="22" t="n"/>
      <c r="C80" s="23">
        <f>IF(B80="","",$E$9&amp;TEXT(N($E$10)+62,"000"))</f>
        <v/>
      </c>
      <c r="D80" s="14" t="n"/>
      <c r="E80" s="14" t="n"/>
      <c r="F80" s="14" t="n"/>
      <c r="G80" s="24" t="n"/>
      <c r="H80" s="14" t="n"/>
      <c r="I80" s="24" t="n"/>
      <c r="J80" s="25" t="n"/>
      <c r="K80" s="14" t="n"/>
      <c r="L80" s="24" t="n"/>
      <c r="M80" s="26">
        <f>IF(OR(N(J80)=0,L80="Cancelled"),"",IF(AND(N(J80)&gt;5000,H80="Cash"),"Yes: ₹1","No"))</f>
        <v/>
      </c>
      <c r="N80" s="27">
        <f>IF(AND(B80="",D80="",N(J80)=0),"",IF(B80="","Enter the date",IF(AND(ROW()&gt;18,B79=""),"Use the next empty row: a skipped row leaves a gap in the voucher numbers",IF(D80="","Enter who was paid",IF(N(J80)=0,"Enter the amount",IF(E80="","Pick the head of account",IF(P80="?","Pick the head from the list",IF(H80="","Pick how it was paid",IF(L80="Cancelled","Cancelled: keep this number unused and write a fresh voucher",IF(AND(H80&lt;&gt;"Cash",I80=""),"Enter the cheque no., UTR or UPI reference",IF(AND(N($E$11)&gt;0,N(J80)&gt;N($E$11),K80=""),"Above your approval limit: get it approved before paying",IF(S80&gt;10000,"Cash paid to this person today is over ₹10,000: not deductible, s.36(4)",IF(T80&gt;35000,"Cash freight to this transporter today is over ₹35,000: not deductible, s.36(6)",IF(U80&gt;10000,"Asset paid in cash over ₹10,000 today: left out of its cost, s.39(2)",IF(AND(P80="L",H80="Cash",N(J80)&gt;=20000),"Loan of ₹20,000 or more repaid in cash: barred, s.188","OK")))))))))))))))</f>
        <v/>
      </c>
      <c r="P80">
        <f>IF(E80="","",IFERROR(VLOOKUP(E80,Lists!$A$2:$B$17,2,FALSE),"?"))</f>
        <v/>
      </c>
      <c r="Q80">
        <f>IF(L80="Cancelled",0,N(J80))</f>
        <v/>
      </c>
      <c r="R80">
        <f>IF(H80="Cash",Q80,0)</f>
        <v/>
      </c>
      <c r="S80">
        <f>IF(OR(P80&lt;&gt;"E",R80=0),0,SUMIFS($R$18:$R$317,$B$18:$B$317,B80,$D$18:$D$317,D80,$P$18:$P$317,"E"))</f>
        <v/>
      </c>
      <c r="T80">
        <f>IF(OR(P80&lt;&gt;"F",R80=0),0,SUMIFS($R$18:$R$317,$B$18:$B$317,B80,$D$18:$D$317,D80,$P$18:$P$317,"F"))</f>
        <v/>
      </c>
      <c r="U80">
        <f>IF(OR(P80&lt;&gt;"A",R80=0),0,SUMIFS($R$18:$R$317,$B$18:$B$317,B80,$D$18:$D$317,D80,$P$18:$P$317,"A"))</f>
        <v/>
      </c>
      <c r="V80">
        <f>IF(OR(N80="",N80="OK",L80="Cancelled"),0,1)</f>
        <v/>
      </c>
    </row>
    <row r="81">
      <c r="B81" s="22" t="n"/>
      <c r="C81" s="23">
        <f>IF(B81="","",$E$9&amp;TEXT(N($E$10)+63,"000"))</f>
        <v/>
      </c>
      <c r="D81" s="14" t="n"/>
      <c r="E81" s="14" t="n"/>
      <c r="F81" s="14" t="n"/>
      <c r="G81" s="24" t="n"/>
      <c r="H81" s="14" t="n"/>
      <c r="I81" s="24" t="n"/>
      <c r="J81" s="25" t="n"/>
      <c r="K81" s="14" t="n"/>
      <c r="L81" s="24" t="n"/>
      <c r="M81" s="26">
        <f>IF(OR(N(J81)=0,L81="Cancelled"),"",IF(AND(N(J81)&gt;5000,H81="Cash"),"Yes: ₹1","No"))</f>
        <v/>
      </c>
      <c r="N81" s="27">
        <f>IF(AND(B81="",D81="",N(J81)=0),"",IF(B81="","Enter the date",IF(AND(ROW()&gt;18,B80=""),"Use the next empty row: a skipped row leaves a gap in the voucher numbers",IF(D81="","Enter who was paid",IF(N(J81)=0,"Enter the amount",IF(E81="","Pick the head of account",IF(P81="?","Pick the head from the list",IF(H81="","Pick how it was paid",IF(L81="Cancelled","Cancelled: keep this number unused and write a fresh voucher",IF(AND(H81&lt;&gt;"Cash",I81=""),"Enter the cheque no., UTR or UPI reference",IF(AND(N($E$11)&gt;0,N(J81)&gt;N($E$11),K81=""),"Above your approval limit: get it approved before paying",IF(S81&gt;10000,"Cash paid to this person today is over ₹10,000: not deductible, s.36(4)",IF(T81&gt;35000,"Cash freight to this transporter today is over ₹35,000: not deductible, s.36(6)",IF(U81&gt;10000,"Asset paid in cash over ₹10,000 today: left out of its cost, s.39(2)",IF(AND(P81="L",H81="Cash",N(J81)&gt;=20000),"Loan of ₹20,000 or more repaid in cash: barred, s.188","OK")))))))))))))))</f>
        <v/>
      </c>
      <c r="P81">
        <f>IF(E81="","",IFERROR(VLOOKUP(E81,Lists!$A$2:$B$17,2,FALSE),"?"))</f>
        <v/>
      </c>
      <c r="Q81">
        <f>IF(L81="Cancelled",0,N(J81))</f>
        <v/>
      </c>
      <c r="R81">
        <f>IF(H81="Cash",Q81,0)</f>
        <v/>
      </c>
      <c r="S81">
        <f>IF(OR(P81&lt;&gt;"E",R81=0),0,SUMIFS($R$18:$R$317,$B$18:$B$317,B81,$D$18:$D$317,D81,$P$18:$P$317,"E"))</f>
        <v/>
      </c>
      <c r="T81">
        <f>IF(OR(P81&lt;&gt;"F",R81=0),0,SUMIFS($R$18:$R$317,$B$18:$B$317,B81,$D$18:$D$317,D81,$P$18:$P$317,"F"))</f>
        <v/>
      </c>
      <c r="U81">
        <f>IF(OR(P81&lt;&gt;"A",R81=0),0,SUMIFS($R$18:$R$317,$B$18:$B$317,B81,$D$18:$D$317,D81,$P$18:$P$317,"A"))</f>
        <v/>
      </c>
      <c r="V81">
        <f>IF(OR(N81="",N81="OK",L81="Cancelled"),0,1)</f>
        <v/>
      </c>
    </row>
    <row r="82">
      <c r="B82" s="22" t="n"/>
      <c r="C82" s="23">
        <f>IF(B82="","",$E$9&amp;TEXT(N($E$10)+64,"000"))</f>
        <v/>
      </c>
      <c r="D82" s="14" t="n"/>
      <c r="E82" s="14" t="n"/>
      <c r="F82" s="14" t="n"/>
      <c r="G82" s="24" t="n"/>
      <c r="H82" s="14" t="n"/>
      <c r="I82" s="24" t="n"/>
      <c r="J82" s="25" t="n"/>
      <c r="K82" s="14" t="n"/>
      <c r="L82" s="24" t="n"/>
      <c r="M82" s="26">
        <f>IF(OR(N(J82)=0,L82="Cancelled"),"",IF(AND(N(J82)&gt;5000,H82="Cash"),"Yes: ₹1","No"))</f>
        <v/>
      </c>
      <c r="N82" s="27">
        <f>IF(AND(B82="",D82="",N(J82)=0),"",IF(B82="","Enter the date",IF(AND(ROW()&gt;18,B81=""),"Use the next empty row: a skipped row leaves a gap in the voucher numbers",IF(D82="","Enter who was paid",IF(N(J82)=0,"Enter the amount",IF(E82="","Pick the head of account",IF(P82="?","Pick the head from the list",IF(H82="","Pick how it was paid",IF(L82="Cancelled","Cancelled: keep this number unused and write a fresh voucher",IF(AND(H82&lt;&gt;"Cash",I82=""),"Enter the cheque no., UTR or UPI reference",IF(AND(N($E$11)&gt;0,N(J82)&gt;N($E$11),K82=""),"Above your approval limit: get it approved before paying",IF(S82&gt;10000,"Cash paid to this person today is over ₹10,000: not deductible, s.36(4)",IF(T82&gt;35000,"Cash freight to this transporter today is over ₹35,000: not deductible, s.36(6)",IF(U82&gt;10000,"Asset paid in cash over ₹10,000 today: left out of its cost, s.39(2)",IF(AND(P82="L",H82="Cash",N(J82)&gt;=20000),"Loan of ₹20,000 or more repaid in cash: barred, s.188","OK")))))))))))))))</f>
        <v/>
      </c>
      <c r="P82">
        <f>IF(E82="","",IFERROR(VLOOKUP(E82,Lists!$A$2:$B$17,2,FALSE),"?"))</f>
        <v/>
      </c>
      <c r="Q82">
        <f>IF(L82="Cancelled",0,N(J82))</f>
        <v/>
      </c>
      <c r="R82">
        <f>IF(H82="Cash",Q82,0)</f>
        <v/>
      </c>
      <c r="S82">
        <f>IF(OR(P82&lt;&gt;"E",R82=0),0,SUMIFS($R$18:$R$317,$B$18:$B$317,B82,$D$18:$D$317,D82,$P$18:$P$317,"E"))</f>
        <v/>
      </c>
      <c r="T82">
        <f>IF(OR(P82&lt;&gt;"F",R82=0),0,SUMIFS($R$18:$R$317,$B$18:$B$317,B82,$D$18:$D$317,D82,$P$18:$P$317,"F"))</f>
        <v/>
      </c>
      <c r="U82">
        <f>IF(OR(P82&lt;&gt;"A",R82=0),0,SUMIFS($R$18:$R$317,$B$18:$B$317,B82,$D$18:$D$317,D82,$P$18:$P$317,"A"))</f>
        <v/>
      </c>
      <c r="V82">
        <f>IF(OR(N82="",N82="OK",L82="Cancelled"),0,1)</f>
        <v/>
      </c>
    </row>
    <row r="83">
      <c r="B83" s="22" t="n"/>
      <c r="C83" s="23">
        <f>IF(B83="","",$E$9&amp;TEXT(N($E$10)+65,"000"))</f>
        <v/>
      </c>
      <c r="D83" s="14" t="n"/>
      <c r="E83" s="14" t="n"/>
      <c r="F83" s="14" t="n"/>
      <c r="G83" s="24" t="n"/>
      <c r="H83" s="14" t="n"/>
      <c r="I83" s="24" t="n"/>
      <c r="J83" s="25" t="n"/>
      <c r="K83" s="14" t="n"/>
      <c r="L83" s="24" t="n"/>
      <c r="M83" s="26">
        <f>IF(OR(N(J83)=0,L83="Cancelled"),"",IF(AND(N(J83)&gt;5000,H83="Cash"),"Yes: ₹1","No"))</f>
        <v/>
      </c>
      <c r="N83" s="27">
        <f>IF(AND(B83="",D83="",N(J83)=0),"",IF(B83="","Enter the date",IF(AND(ROW()&gt;18,B82=""),"Use the next empty row: a skipped row leaves a gap in the voucher numbers",IF(D83="","Enter who was paid",IF(N(J83)=0,"Enter the amount",IF(E83="","Pick the head of account",IF(P83="?","Pick the head from the list",IF(H83="","Pick how it was paid",IF(L83="Cancelled","Cancelled: keep this number unused and write a fresh voucher",IF(AND(H83&lt;&gt;"Cash",I83=""),"Enter the cheque no., UTR or UPI reference",IF(AND(N($E$11)&gt;0,N(J83)&gt;N($E$11),K83=""),"Above your approval limit: get it approved before paying",IF(S83&gt;10000,"Cash paid to this person today is over ₹10,000: not deductible, s.36(4)",IF(T83&gt;35000,"Cash freight to this transporter today is over ₹35,000: not deductible, s.36(6)",IF(U83&gt;10000,"Asset paid in cash over ₹10,000 today: left out of its cost, s.39(2)",IF(AND(P83="L",H83="Cash",N(J83)&gt;=20000),"Loan of ₹20,000 or more repaid in cash: barred, s.188","OK")))))))))))))))</f>
        <v/>
      </c>
      <c r="P83">
        <f>IF(E83="","",IFERROR(VLOOKUP(E83,Lists!$A$2:$B$17,2,FALSE),"?"))</f>
        <v/>
      </c>
      <c r="Q83">
        <f>IF(L83="Cancelled",0,N(J83))</f>
        <v/>
      </c>
      <c r="R83">
        <f>IF(H83="Cash",Q83,0)</f>
        <v/>
      </c>
      <c r="S83">
        <f>IF(OR(P83&lt;&gt;"E",R83=0),0,SUMIFS($R$18:$R$317,$B$18:$B$317,B83,$D$18:$D$317,D83,$P$18:$P$317,"E"))</f>
        <v/>
      </c>
      <c r="T83">
        <f>IF(OR(P83&lt;&gt;"F",R83=0),0,SUMIFS($R$18:$R$317,$B$18:$B$317,B83,$D$18:$D$317,D83,$P$18:$P$317,"F"))</f>
        <v/>
      </c>
      <c r="U83">
        <f>IF(OR(P83&lt;&gt;"A",R83=0),0,SUMIFS($R$18:$R$317,$B$18:$B$317,B83,$D$18:$D$317,D83,$P$18:$P$317,"A"))</f>
        <v/>
      </c>
      <c r="V83">
        <f>IF(OR(N83="",N83="OK",L83="Cancelled"),0,1)</f>
        <v/>
      </c>
    </row>
    <row r="84">
      <c r="B84" s="22" t="n"/>
      <c r="C84" s="23">
        <f>IF(B84="","",$E$9&amp;TEXT(N($E$10)+66,"000"))</f>
        <v/>
      </c>
      <c r="D84" s="14" t="n"/>
      <c r="E84" s="14" t="n"/>
      <c r="F84" s="14" t="n"/>
      <c r="G84" s="24" t="n"/>
      <c r="H84" s="14" t="n"/>
      <c r="I84" s="24" t="n"/>
      <c r="J84" s="25" t="n"/>
      <c r="K84" s="14" t="n"/>
      <c r="L84" s="24" t="n"/>
      <c r="M84" s="26">
        <f>IF(OR(N(J84)=0,L84="Cancelled"),"",IF(AND(N(J84)&gt;5000,H84="Cash"),"Yes: ₹1","No"))</f>
        <v/>
      </c>
      <c r="N84" s="27">
        <f>IF(AND(B84="",D84="",N(J84)=0),"",IF(B84="","Enter the date",IF(AND(ROW()&gt;18,B83=""),"Use the next empty row: a skipped row leaves a gap in the voucher numbers",IF(D84="","Enter who was paid",IF(N(J84)=0,"Enter the amount",IF(E84="","Pick the head of account",IF(P84="?","Pick the head from the list",IF(H84="","Pick how it was paid",IF(L84="Cancelled","Cancelled: keep this number unused and write a fresh voucher",IF(AND(H84&lt;&gt;"Cash",I84=""),"Enter the cheque no., UTR or UPI reference",IF(AND(N($E$11)&gt;0,N(J84)&gt;N($E$11),K84=""),"Above your approval limit: get it approved before paying",IF(S84&gt;10000,"Cash paid to this person today is over ₹10,000: not deductible, s.36(4)",IF(T84&gt;35000,"Cash freight to this transporter today is over ₹35,000: not deductible, s.36(6)",IF(U84&gt;10000,"Asset paid in cash over ₹10,000 today: left out of its cost, s.39(2)",IF(AND(P84="L",H84="Cash",N(J84)&gt;=20000),"Loan of ₹20,000 or more repaid in cash: barred, s.188","OK")))))))))))))))</f>
        <v/>
      </c>
      <c r="P84">
        <f>IF(E84="","",IFERROR(VLOOKUP(E84,Lists!$A$2:$B$17,2,FALSE),"?"))</f>
        <v/>
      </c>
      <c r="Q84">
        <f>IF(L84="Cancelled",0,N(J84))</f>
        <v/>
      </c>
      <c r="R84">
        <f>IF(H84="Cash",Q84,0)</f>
        <v/>
      </c>
      <c r="S84">
        <f>IF(OR(P84&lt;&gt;"E",R84=0),0,SUMIFS($R$18:$R$317,$B$18:$B$317,B84,$D$18:$D$317,D84,$P$18:$P$317,"E"))</f>
        <v/>
      </c>
      <c r="T84">
        <f>IF(OR(P84&lt;&gt;"F",R84=0),0,SUMIFS($R$18:$R$317,$B$18:$B$317,B84,$D$18:$D$317,D84,$P$18:$P$317,"F"))</f>
        <v/>
      </c>
      <c r="U84">
        <f>IF(OR(P84&lt;&gt;"A",R84=0),0,SUMIFS($R$18:$R$317,$B$18:$B$317,B84,$D$18:$D$317,D84,$P$18:$P$317,"A"))</f>
        <v/>
      </c>
      <c r="V84">
        <f>IF(OR(N84="",N84="OK",L84="Cancelled"),0,1)</f>
        <v/>
      </c>
    </row>
    <row r="85">
      <c r="B85" s="22" t="n"/>
      <c r="C85" s="23">
        <f>IF(B85="","",$E$9&amp;TEXT(N($E$10)+67,"000"))</f>
        <v/>
      </c>
      <c r="D85" s="14" t="n"/>
      <c r="E85" s="14" t="n"/>
      <c r="F85" s="14" t="n"/>
      <c r="G85" s="24" t="n"/>
      <c r="H85" s="14" t="n"/>
      <c r="I85" s="24" t="n"/>
      <c r="J85" s="25" t="n"/>
      <c r="K85" s="14" t="n"/>
      <c r="L85" s="24" t="n"/>
      <c r="M85" s="26">
        <f>IF(OR(N(J85)=0,L85="Cancelled"),"",IF(AND(N(J85)&gt;5000,H85="Cash"),"Yes: ₹1","No"))</f>
        <v/>
      </c>
      <c r="N85" s="27">
        <f>IF(AND(B85="",D85="",N(J85)=0),"",IF(B85="","Enter the date",IF(AND(ROW()&gt;18,B84=""),"Use the next empty row: a skipped row leaves a gap in the voucher numbers",IF(D85="","Enter who was paid",IF(N(J85)=0,"Enter the amount",IF(E85="","Pick the head of account",IF(P85="?","Pick the head from the list",IF(H85="","Pick how it was paid",IF(L85="Cancelled","Cancelled: keep this number unused and write a fresh voucher",IF(AND(H85&lt;&gt;"Cash",I85=""),"Enter the cheque no., UTR or UPI reference",IF(AND(N($E$11)&gt;0,N(J85)&gt;N($E$11),K85=""),"Above your approval limit: get it approved before paying",IF(S85&gt;10000,"Cash paid to this person today is over ₹10,000: not deductible, s.36(4)",IF(T85&gt;35000,"Cash freight to this transporter today is over ₹35,000: not deductible, s.36(6)",IF(U85&gt;10000,"Asset paid in cash over ₹10,000 today: left out of its cost, s.39(2)",IF(AND(P85="L",H85="Cash",N(J85)&gt;=20000),"Loan of ₹20,000 or more repaid in cash: barred, s.188","OK")))))))))))))))</f>
        <v/>
      </c>
      <c r="P85">
        <f>IF(E85="","",IFERROR(VLOOKUP(E85,Lists!$A$2:$B$17,2,FALSE),"?"))</f>
        <v/>
      </c>
      <c r="Q85">
        <f>IF(L85="Cancelled",0,N(J85))</f>
        <v/>
      </c>
      <c r="R85">
        <f>IF(H85="Cash",Q85,0)</f>
        <v/>
      </c>
      <c r="S85">
        <f>IF(OR(P85&lt;&gt;"E",R85=0),0,SUMIFS($R$18:$R$317,$B$18:$B$317,B85,$D$18:$D$317,D85,$P$18:$P$317,"E"))</f>
        <v/>
      </c>
      <c r="T85">
        <f>IF(OR(P85&lt;&gt;"F",R85=0),0,SUMIFS($R$18:$R$317,$B$18:$B$317,B85,$D$18:$D$317,D85,$P$18:$P$317,"F"))</f>
        <v/>
      </c>
      <c r="U85">
        <f>IF(OR(P85&lt;&gt;"A",R85=0),0,SUMIFS($R$18:$R$317,$B$18:$B$317,B85,$D$18:$D$317,D85,$P$18:$P$317,"A"))</f>
        <v/>
      </c>
      <c r="V85">
        <f>IF(OR(N85="",N85="OK",L85="Cancelled"),0,1)</f>
        <v/>
      </c>
    </row>
    <row r="86">
      <c r="B86" s="22" t="n"/>
      <c r="C86" s="23">
        <f>IF(B86="","",$E$9&amp;TEXT(N($E$10)+68,"000"))</f>
        <v/>
      </c>
      <c r="D86" s="14" t="n"/>
      <c r="E86" s="14" t="n"/>
      <c r="F86" s="14" t="n"/>
      <c r="G86" s="24" t="n"/>
      <c r="H86" s="14" t="n"/>
      <c r="I86" s="24" t="n"/>
      <c r="J86" s="25" t="n"/>
      <c r="K86" s="14" t="n"/>
      <c r="L86" s="24" t="n"/>
      <c r="M86" s="26">
        <f>IF(OR(N(J86)=0,L86="Cancelled"),"",IF(AND(N(J86)&gt;5000,H86="Cash"),"Yes: ₹1","No"))</f>
        <v/>
      </c>
      <c r="N86" s="27">
        <f>IF(AND(B86="",D86="",N(J86)=0),"",IF(B86="","Enter the date",IF(AND(ROW()&gt;18,B85=""),"Use the next empty row: a skipped row leaves a gap in the voucher numbers",IF(D86="","Enter who was paid",IF(N(J86)=0,"Enter the amount",IF(E86="","Pick the head of account",IF(P86="?","Pick the head from the list",IF(H86="","Pick how it was paid",IF(L86="Cancelled","Cancelled: keep this number unused and write a fresh voucher",IF(AND(H86&lt;&gt;"Cash",I86=""),"Enter the cheque no., UTR or UPI reference",IF(AND(N($E$11)&gt;0,N(J86)&gt;N($E$11),K86=""),"Above your approval limit: get it approved before paying",IF(S86&gt;10000,"Cash paid to this person today is over ₹10,000: not deductible, s.36(4)",IF(T86&gt;35000,"Cash freight to this transporter today is over ₹35,000: not deductible, s.36(6)",IF(U86&gt;10000,"Asset paid in cash over ₹10,000 today: left out of its cost, s.39(2)",IF(AND(P86="L",H86="Cash",N(J86)&gt;=20000),"Loan of ₹20,000 or more repaid in cash: barred, s.188","OK")))))))))))))))</f>
        <v/>
      </c>
      <c r="P86">
        <f>IF(E86="","",IFERROR(VLOOKUP(E86,Lists!$A$2:$B$17,2,FALSE),"?"))</f>
        <v/>
      </c>
      <c r="Q86">
        <f>IF(L86="Cancelled",0,N(J86))</f>
        <v/>
      </c>
      <c r="R86">
        <f>IF(H86="Cash",Q86,0)</f>
        <v/>
      </c>
      <c r="S86">
        <f>IF(OR(P86&lt;&gt;"E",R86=0),0,SUMIFS($R$18:$R$317,$B$18:$B$317,B86,$D$18:$D$317,D86,$P$18:$P$317,"E"))</f>
        <v/>
      </c>
      <c r="T86">
        <f>IF(OR(P86&lt;&gt;"F",R86=0),0,SUMIFS($R$18:$R$317,$B$18:$B$317,B86,$D$18:$D$317,D86,$P$18:$P$317,"F"))</f>
        <v/>
      </c>
      <c r="U86">
        <f>IF(OR(P86&lt;&gt;"A",R86=0),0,SUMIFS($R$18:$R$317,$B$18:$B$317,B86,$D$18:$D$317,D86,$P$18:$P$317,"A"))</f>
        <v/>
      </c>
      <c r="V86">
        <f>IF(OR(N86="",N86="OK",L86="Cancelled"),0,1)</f>
        <v/>
      </c>
    </row>
    <row r="87">
      <c r="B87" s="22" t="n"/>
      <c r="C87" s="23">
        <f>IF(B87="","",$E$9&amp;TEXT(N($E$10)+69,"000"))</f>
        <v/>
      </c>
      <c r="D87" s="14" t="n"/>
      <c r="E87" s="14" t="n"/>
      <c r="F87" s="14" t="n"/>
      <c r="G87" s="24" t="n"/>
      <c r="H87" s="14" t="n"/>
      <c r="I87" s="24" t="n"/>
      <c r="J87" s="25" t="n"/>
      <c r="K87" s="14" t="n"/>
      <c r="L87" s="24" t="n"/>
      <c r="M87" s="26">
        <f>IF(OR(N(J87)=0,L87="Cancelled"),"",IF(AND(N(J87)&gt;5000,H87="Cash"),"Yes: ₹1","No"))</f>
        <v/>
      </c>
      <c r="N87" s="27">
        <f>IF(AND(B87="",D87="",N(J87)=0),"",IF(B87="","Enter the date",IF(AND(ROW()&gt;18,B86=""),"Use the next empty row: a skipped row leaves a gap in the voucher numbers",IF(D87="","Enter who was paid",IF(N(J87)=0,"Enter the amount",IF(E87="","Pick the head of account",IF(P87="?","Pick the head from the list",IF(H87="","Pick how it was paid",IF(L87="Cancelled","Cancelled: keep this number unused and write a fresh voucher",IF(AND(H87&lt;&gt;"Cash",I87=""),"Enter the cheque no., UTR or UPI reference",IF(AND(N($E$11)&gt;0,N(J87)&gt;N($E$11),K87=""),"Above your approval limit: get it approved before paying",IF(S87&gt;10000,"Cash paid to this person today is over ₹10,000: not deductible, s.36(4)",IF(T87&gt;35000,"Cash freight to this transporter today is over ₹35,000: not deductible, s.36(6)",IF(U87&gt;10000,"Asset paid in cash over ₹10,000 today: left out of its cost, s.39(2)",IF(AND(P87="L",H87="Cash",N(J87)&gt;=20000),"Loan of ₹20,000 or more repaid in cash: barred, s.188","OK")))))))))))))))</f>
        <v/>
      </c>
      <c r="P87">
        <f>IF(E87="","",IFERROR(VLOOKUP(E87,Lists!$A$2:$B$17,2,FALSE),"?"))</f>
        <v/>
      </c>
      <c r="Q87">
        <f>IF(L87="Cancelled",0,N(J87))</f>
        <v/>
      </c>
      <c r="R87">
        <f>IF(H87="Cash",Q87,0)</f>
        <v/>
      </c>
      <c r="S87">
        <f>IF(OR(P87&lt;&gt;"E",R87=0),0,SUMIFS($R$18:$R$317,$B$18:$B$317,B87,$D$18:$D$317,D87,$P$18:$P$317,"E"))</f>
        <v/>
      </c>
      <c r="T87">
        <f>IF(OR(P87&lt;&gt;"F",R87=0),0,SUMIFS($R$18:$R$317,$B$18:$B$317,B87,$D$18:$D$317,D87,$P$18:$P$317,"F"))</f>
        <v/>
      </c>
      <c r="U87">
        <f>IF(OR(P87&lt;&gt;"A",R87=0),0,SUMIFS($R$18:$R$317,$B$18:$B$317,B87,$D$18:$D$317,D87,$P$18:$P$317,"A"))</f>
        <v/>
      </c>
      <c r="V87">
        <f>IF(OR(N87="",N87="OK",L87="Cancelled"),0,1)</f>
        <v/>
      </c>
    </row>
    <row r="88">
      <c r="B88" s="22" t="n"/>
      <c r="C88" s="23">
        <f>IF(B88="","",$E$9&amp;TEXT(N($E$10)+70,"000"))</f>
        <v/>
      </c>
      <c r="D88" s="14" t="n"/>
      <c r="E88" s="14" t="n"/>
      <c r="F88" s="14" t="n"/>
      <c r="G88" s="24" t="n"/>
      <c r="H88" s="14" t="n"/>
      <c r="I88" s="24" t="n"/>
      <c r="J88" s="25" t="n"/>
      <c r="K88" s="14" t="n"/>
      <c r="L88" s="24" t="n"/>
      <c r="M88" s="26">
        <f>IF(OR(N(J88)=0,L88="Cancelled"),"",IF(AND(N(J88)&gt;5000,H88="Cash"),"Yes: ₹1","No"))</f>
        <v/>
      </c>
      <c r="N88" s="27">
        <f>IF(AND(B88="",D88="",N(J88)=0),"",IF(B88="","Enter the date",IF(AND(ROW()&gt;18,B87=""),"Use the next empty row: a skipped row leaves a gap in the voucher numbers",IF(D88="","Enter who was paid",IF(N(J88)=0,"Enter the amount",IF(E88="","Pick the head of account",IF(P88="?","Pick the head from the list",IF(H88="","Pick how it was paid",IF(L88="Cancelled","Cancelled: keep this number unused and write a fresh voucher",IF(AND(H88&lt;&gt;"Cash",I88=""),"Enter the cheque no., UTR or UPI reference",IF(AND(N($E$11)&gt;0,N(J88)&gt;N($E$11),K88=""),"Above your approval limit: get it approved before paying",IF(S88&gt;10000,"Cash paid to this person today is over ₹10,000: not deductible, s.36(4)",IF(T88&gt;35000,"Cash freight to this transporter today is over ₹35,000: not deductible, s.36(6)",IF(U88&gt;10000,"Asset paid in cash over ₹10,000 today: left out of its cost, s.39(2)",IF(AND(P88="L",H88="Cash",N(J88)&gt;=20000),"Loan of ₹20,000 or more repaid in cash: barred, s.188","OK")))))))))))))))</f>
        <v/>
      </c>
      <c r="P88">
        <f>IF(E88="","",IFERROR(VLOOKUP(E88,Lists!$A$2:$B$17,2,FALSE),"?"))</f>
        <v/>
      </c>
      <c r="Q88">
        <f>IF(L88="Cancelled",0,N(J88))</f>
        <v/>
      </c>
      <c r="R88">
        <f>IF(H88="Cash",Q88,0)</f>
        <v/>
      </c>
      <c r="S88">
        <f>IF(OR(P88&lt;&gt;"E",R88=0),0,SUMIFS($R$18:$R$317,$B$18:$B$317,B88,$D$18:$D$317,D88,$P$18:$P$317,"E"))</f>
        <v/>
      </c>
      <c r="T88">
        <f>IF(OR(P88&lt;&gt;"F",R88=0),0,SUMIFS($R$18:$R$317,$B$18:$B$317,B88,$D$18:$D$317,D88,$P$18:$P$317,"F"))</f>
        <v/>
      </c>
      <c r="U88">
        <f>IF(OR(P88&lt;&gt;"A",R88=0),0,SUMIFS($R$18:$R$317,$B$18:$B$317,B88,$D$18:$D$317,D88,$P$18:$P$317,"A"))</f>
        <v/>
      </c>
      <c r="V88">
        <f>IF(OR(N88="",N88="OK",L88="Cancelled"),0,1)</f>
        <v/>
      </c>
    </row>
    <row r="89">
      <c r="B89" s="22" t="n"/>
      <c r="C89" s="23">
        <f>IF(B89="","",$E$9&amp;TEXT(N($E$10)+71,"000"))</f>
        <v/>
      </c>
      <c r="D89" s="14" t="n"/>
      <c r="E89" s="14" t="n"/>
      <c r="F89" s="14" t="n"/>
      <c r="G89" s="24" t="n"/>
      <c r="H89" s="14" t="n"/>
      <c r="I89" s="24" t="n"/>
      <c r="J89" s="25" t="n"/>
      <c r="K89" s="14" t="n"/>
      <c r="L89" s="24" t="n"/>
      <c r="M89" s="26">
        <f>IF(OR(N(J89)=0,L89="Cancelled"),"",IF(AND(N(J89)&gt;5000,H89="Cash"),"Yes: ₹1","No"))</f>
        <v/>
      </c>
      <c r="N89" s="27">
        <f>IF(AND(B89="",D89="",N(J89)=0),"",IF(B89="","Enter the date",IF(AND(ROW()&gt;18,B88=""),"Use the next empty row: a skipped row leaves a gap in the voucher numbers",IF(D89="","Enter who was paid",IF(N(J89)=0,"Enter the amount",IF(E89="","Pick the head of account",IF(P89="?","Pick the head from the list",IF(H89="","Pick how it was paid",IF(L89="Cancelled","Cancelled: keep this number unused and write a fresh voucher",IF(AND(H89&lt;&gt;"Cash",I89=""),"Enter the cheque no., UTR or UPI reference",IF(AND(N($E$11)&gt;0,N(J89)&gt;N($E$11),K89=""),"Above your approval limit: get it approved before paying",IF(S89&gt;10000,"Cash paid to this person today is over ₹10,000: not deductible, s.36(4)",IF(T89&gt;35000,"Cash freight to this transporter today is over ₹35,000: not deductible, s.36(6)",IF(U89&gt;10000,"Asset paid in cash over ₹10,000 today: left out of its cost, s.39(2)",IF(AND(P89="L",H89="Cash",N(J89)&gt;=20000),"Loan of ₹20,000 or more repaid in cash: barred, s.188","OK")))))))))))))))</f>
        <v/>
      </c>
      <c r="P89">
        <f>IF(E89="","",IFERROR(VLOOKUP(E89,Lists!$A$2:$B$17,2,FALSE),"?"))</f>
        <v/>
      </c>
      <c r="Q89">
        <f>IF(L89="Cancelled",0,N(J89))</f>
        <v/>
      </c>
      <c r="R89">
        <f>IF(H89="Cash",Q89,0)</f>
        <v/>
      </c>
      <c r="S89">
        <f>IF(OR(P89&lt;&gt;"E",R89=0),0,SUMIFS($R$18:$R$317,$B$18:$B$317,B89,$D$18:$D$317,D89,$P$18:$P$317,"E"))</f>
        <v/>
      </c>
      <c r="T89">
        <f>IF(OR(P89&lt;&gt;"F",R89=0),0,SUMIFS($R$18:$R$317,$B$18:$B$317,B89,$D$18:$D$317,D89,$P$18:$P$317,"F"))</f>
        <v/>
      </c>
      <c r="U89">
        <f>IF(OR(P89&lt;&gt;"A",R89=0),0,SUMIFS($R$18:$R$317,$B$18:$B$317,B89,$D$18:$D$317,D89,$P$18:$P$317,"A"))</f>
        <v/>
      </c>
      <c r="V89">
        <f>IF(OR(N89="",N89="OK",L89="Cancelled"),0,1)</f>
        <v/>
      </c>
    </row>
    <row r="90">
      <c r="B90" s="22" t="n"/>
      <c r="C90" s="23">
        <f>IF(B90="","",$E$9&amp;TEXT(N($E$10)+72,"000"))</f>
        <v/>
      </c>
      <c r="D90" s="14" t="n"/>
      <c r="E90" s="14" t="n"/>
      <c r="F90" s="14" t="n"/>
      <c r="G90" s="24" t="n"/>
      <c r="H90" s="14" t="n"/>
      <c r="I90" s="24" t="n"/>
      <c r="J90" s="25" t="n"/>
      <c r="K90" s="14" t="n"/>
      <c r="L90" s="24" t="n"/>
      <c r="M90" s="26">
        <f>IF(OR(N(J90)=0,L90="Cancelled"),"",IF(AND(N(J90)&gt;5000,H90="Cash"),"Yes: ₹1","No"))</f>
        <v/>
      </c>
      <c r="N90" s="27">
        <f>IF(AND(B90="",D90="",N(J90)=0),"",IF(B90="","Enter the date",IF(AND(ROW()&gt;18,B89=""),"Use the next empty row: a skipped row leaves a gap in the voucher numbers",IF(D90="","Enter who was paid",IF(N(J90)=0,"Enter the amount",IF(E90="","Pick the head of account",IF(P90="?","Pick the head from the list",IF(H90="","Pick how it was paid",IF(L90="Cancelled","Cancelled: keep this number unused and write a fresh voucher",IF(AND(H90&lt;&gt;"Cash",I90=""),"Enter the cheque no., UTR or UPI reference",IF(AND(N($E$11)&gt;0,N(J90)&gt;N($E$11),K90=""),"Above your approval limit: get it approved before paying",IF(S90&gt;10000,"Cash paid to this person today is over ₹10,000: not deductible, s.36(4)",IF(T90&gt;35000,"Cash freight to this transporter today is over ₹35,000: not deductible, s.36(6)",IF(U90&gt;10000,"Asset paid in cash over ₹10,000 today: left out of its cost, s.39(2)",IF(AND(P90="L",H90="Cash",N(J90)&gt;=20000),"Loan of ₹20,000 or more repaid in cash: barred, s.188","OK")))))))))))))))</f>
        <v/>
      </c>
      <c r="P90">
        <f>IF(E90="","",IFERROR(VLOOKUP(E90,Lists!$A$2:$B$17,2,FALSE),"?"))</f>
        <v/>
      </c>
      <c r="Q90">
        <f>IF(L90="Cancelled",0,N(J90))</f>
        <v/>
      </c>
      <c r="R90">
        <f>IF(H90="Cash",Q90,0)</f>
        <v/>
      </c>
      <c r="S90">
        <f>IF(OR(P90&lt;&gt;"E",R90=0),0,SUMIFS($R$18:$R$317,$B$18:$B$317,B90,$D$18:$D$317,D90,$P$18:$P$317,"E"))</f>
        <v/>
      </c>
      <c r="T90">
        <f>IF(OR(P90&lt;&gt;"F",R90=0),0,SUMIFS($R$18:$R$317,$B$18:$B$317,B90,$D$18:$D$317,D90,$P$18:$P$317,"F"))</f>
        <v/>
      </c>
      <c r="U90">
        <f>IF(OR(P90&lt;&gt;"A",R90=0),0,SUMIFS($R$18:$R$317,$B$18:$B$317,B90,$D$18:$D$317,D90,$P$18:$P$317,"A"))</f>
        <v/>
      </c>
      <c r="V90">
        <f>IF(OR(N90="",N90="OK",L90="Cancelled"),0,1)</f>
        <v/>
      </c>
    </row>
    <row r="91">
      <c r="B91" s="22" t="n"/>
      <c r="C91" s="23">
        <f>IF(B91="","",$E$9&amp;TEXT(N($E$10)+73,"000"))</f>
        <v/>
      </c>
      <c r="D91" s="14" t="n"/>
      <c r="E91" s="14" t="n"/>
      <c r="F91" s="14" t="n"/>
      <c r="G91" s="24" t="n"/>
      <c r="H91" s="14" t="n"/>
      <c r="I91" s="24" t="n"/>
      <c r="J91" s="25" t="n"/>
      <c r="K91" s="14" t="n"/>
      <c r="L91" s="24" t="n"/>
      <c r="M91" s="26">
        <f>IF(OR(N(J91)=0,L91="Cancelled"),"",IF(AND(N(J91)&gt;5000,H91="Cash"),"Yes: ₹1","No"))</f>
        <v/>
      </c>
      <c r="N91" s="27">
        <f>IF(AND(B91="",D91="",N(J91)=0),"",IF(B91="","Enter the date",IF(AND(ROW()&gt;18,B90=""),"Use the next empty row: a skipped row leaves a gap in the voucher numbers",IF(D91="","Enter who was paid",IF(N(J91)=0,"Enter the amount",IF(E91="","Pick the head of account",IF(P91="?","Pick the head from the list",IF(H91="","Pick how it was paid",IF(L91="Cancelled","Cancelled: keep this number unused and write a fresh voucher",IF(AND(H91&lt;&gt;"Cash",I91=""),"Enter the cheque no., UTR or UPI reference",IF(AND(N($E$11)&gt;0,N(J91)&gt;N($E$11),K91=""),"Above your approval limit: get it approved before paying",IF(S91&gt;10000,"Cash paid to this person today is over ₹10,000: not deductible, s.36(4)",IF(T91&gt;35000,"Cash freight to this transporter today is over ₹35,000: not deductible, s.36(6)",IF(U91&gt;10000,"Asset paid in cash over ₹10,000 today: left out of its cost, s.39(2)",IF(AND(P91="L",H91="Cash",N(J91)&gt;=20000),"Loan of ₹20,000 or more repaid in cash: barred, s.188","OK")))))))))))))))</f>
        <v/>
      </c>
      <c r="P91">
        <f>IF(E91="","",IFERROR(VLOOKUP(E91,Lists!$A$2:$B$17,2,FALSE),"?"))</f>
        <v/>
      </c>
      <c r="Q91">
        <f>IF(L91="Cancelled",0,N(J91))</f>
        <v/>
      </c>
      <c r="R91">
        <f>IF(H91="Cash",Q91,0)</f>
        <v/>
      </c>
      <c r="S91">
        <f>IF(OR(P91&lt;&gt;"E",R91=0),0,SUMIFS($R$18:$R$317,$B$18:$B$317,B91,$D$18:$D$317,D91,$P$18:$P$317,"E"))</f>
        <v/>
      </c>
      <c r="T91">
        <f>IF(OR(P91&lt;&gt;"F",R91=0),0,SUMIFS($R$18:$R$317,$B$18:$B$317,B91,$D$18:$D$317,D91,$P$18:$P$317,"F"))</f>
        <v/>
      </c>
      <c r="U91">
        <f>IF(OR(P91&lt;&gt;"A",R91=0),0,SUMIFS($R$18:$R$317,$B$18:$B$317,B91,$D$18:$D$317,D91,$P$18:$P$317,"A"))</f>
        <v/>
      </c>
      <c r="V91">
        <f>IF(OR(N91="",N91="OK",L91="Cancelled"),0,1)</f>
        <v/>
      </c>
    </row>
    <row r="92">
      <c r="B92" s="22" t="n"/>
      <c r="C92" s="23">
        <f>IF(B92="","",$E$9&amp;TEXT(N($E$10)+74,"000"))</f>
        <v/>
      </c>
      <c r="D92" s="14" t="n"/>
      <c r="E92" s="14" t="n"/>
      <c r="F92" s="14" t="n"/>
      <c r="G92" s="24" t="n"/>
      <c r="H92" s="14" t="n"/>
      <c r="I92" s="24" t="n"/>
      <c r="J92" s="25" t="n"/>
      <c r="K92" s="14" t="n"/>
      <c r="L92" s="24" t="n"/>
      <c r="M92" s="26">
        <f>IF(OR(N(J92)=0,L92="Cancelled"),"",IF(AND(N(J92)&gt;5000,H92="Cash"),"Yes: ₹1","No"))</f>
        <v/>
      </c>
      <c r="N92" s="27">
        <f>IF(AND(B92="",D92="",N(J92)=0),"",IF(B92="","Enter the date",IF(AND(ROW()&gt;18,B91=""),"Use the next empty row: a skipped row leaves a gap in the voucher numbers",IF(D92="","Enter who was paid",IF(N(J92)=0,"Enter the amount",IF(E92="","Pick the head of account",IF(P92="?","Pick the head from the list",IF(H92="","Pick how it was paid",IF(L92="Cancelled","Cancelled: keep this number unused and write a fresh voucher",IF(AND(H92&lt;&gt;"Cash",I92=""),"Enter the cheque no., UTR or UPI reference",IF(AND(N($E$11)&gt;0,N(J92)&gt;N($E$11),K92=""),"Above your approval limit: get it approved before paying",IF(S92&gt;10000,"Cash paid to this person today is over ₹10,000: not deductible, s.36(4)",IF(T92&gt;35000,"Cash freight to this transporter today is over ₹35,000: not deductible, s.36(6)",IF(U92&gt;10000,"Asset paid in cash over ₹10,000 today: left out of its cost, s.39(2)",IF(AND(P92="L",H92="Cash",N(J92)&gt;=20000),"Loan of ₹20,000 or more repaid in cash: barred, s.188","OK")))))))))))))))</f>
        <v/>
      </c>
      <c r="P92">
        <f>IF(E92="","",IFERROR(VLOOKUP(E92,Lists!$A$2:$B$17,2,FALSE),"?"))</f>
        <v/>
      </c>
      <c r="Q92">
        <f>IF(L92="Cancelled",0,N(J92))</f>
        <v/>
      </c>
      <c r="R92">
        <f>IF(H92="Cash",Q92,0)</f>
        <v/>
      </c>
      <c r="S92">
        <f>IF(OR(P92&lt;&gt;"E",R92=0),0,SUMIFS($R$18:$R$317,$B$18:$B$317,B92,$D$18:$D$317,D92,$P$18:$P$317,"E"))</f>
        <v/>
      </c>
      <c r="T92">
        <f>IF(OR(P92&lt;&gt;"F",R92=0),0,SUMIFS($R$18:$R$317,$B$18:$B$317,B92,$D$18:$D$317,D92,$P$18:$P$317,"F"))</f>
        <v/>
      </c>
      <c r="U92">
        <f>IF(OR(P92&lt;&gt;"A",R92=0),0,SUMIFS($R$18:$R$317,$B$18:$B$317,B92,$D$18:$D$317,D92,$P$18:$P$317,"A"))</f>
        <v/>
      </c>
      <c r="V92">
        <f>IF(OR(N92="",N92="OK",L92="Cancelled"),0,1)</f>
        <v/>
      </c>
    </row>
    <row r="93">
      <c r="B93" s="22" t="n"/>
      <c r="C93" s="23">
        <f>IF(B93="","",$E$9&amp;TEXT(N($E$10)+75,"000"))</f>
        <v/>
      </c>
      <c r="D93" s="14" t="n"/>
      <c r="E93" s="14" t="n"/>
      <c r="F93" s="14" t="n"/>
      <c r="G93" s="24" t="n"/>
      <c r="H93" s="14" t="n"/>
      <c r="I93" s="24" t="n"/>
      <c r="J93" s="25" t="n"/>
      <c r="K93" s="14" t="n"/>
      <c r="L93" s="24" t="n"/>
      <c r="M93" s="26">
        <f>IF(OR(N(J93)=0,L93="Cancelled"),"",IF(AND(N(J93)&gt;5000,H93="Cash"),"Yes: ₹1","No"))</f>
        <v/>
      </c>
      <c r="N93" s="27">
        <f>IF(AND(B93="",D93="",N(J93)=0),"",IF(B93="","Enter the date",IF(AND(ROW()&gt;18,B92=""),"Use the next empty row: a skipped row leaves a gap in the voucher numbers",IF(D93="","Enter who was paid",IF(N(J93)=0,"Enter the amount",IF(E93="","Pick the head of account",IF(P93="?","Pick the head from the list",IF(H93="","Pick how it was paid",IF(L93="Cancelled","Cancelled: keep this number unused and write a fresh voucher",IF(AND(H93&lt;&gt;"Cash",I93=""),"Enter the cheque no., UTR or UPI reference",IF(AND(N($E$11)&gt;0,N(J93)&gt;N($E$11),K93=""),"Above your approval limit: get it approved before paying",IF(S93&gt;10000,"Cash paid to this person today is over ₹10,000: not deductible, s.36(4)",IF(T93&gt;35000,"Cash freight to this transporter today is over ₹35,000: not deductible, s.36(6)",IF(U93&gt;10000,"Asset paid in cash over ₹10,000 today: left out of its cost, s.39(2)",IF(AND(P93="L",H93="Cash",N(J93)&gt;=20000),"Loan of ₹20,000 or more repaid in cash: barred, s.188","OK")))))))))))))))</f>
        <v/>
      </c>
      <c r="P93">
        <f>IF(E93="","",IFERROR(VLOOKUP(E93,Lists!$A$2:$B$17,2,FALSE),"?"))</f>
        <v/>
      </c>
      <c r="Q93">
        <f>IF(L93="Cancelled",0,N(J93))</f>
        <v/>
      </c>
      <c r="R93">
        <f>IF(H93="Cash",Q93,0)</f>
        <v/>
      </c>
      <c r="S93">
        <f>IF(OR(P93&lt;&gt;"E",R93=0),0,SUMIFS($R$18:$R$317,$B$18:$B$317,B93,$D$18:$D$317,D93,$P$18:$P$317,"E"))</f>
        <v/>
      </c>
      <c r="T93">
        <f>IF(OR(P93&lt;&gt;"F",R93=0),0,SUMIFS($R$18:$R$317,$B$18:$B$317,B93,$D$18:$D$317,D93,$P$18:$P$317,"F"))</f>
        <v/>
      </c>
      <c r="U93">
        <f>IF(OR(P93&lt;&gt;"A",R93=0),0,SUMIFS($R$18:$R$317,$B$18:$B$317,B93,$D$18:$D$317,D93,$P$18:$P$317,"A"))</f>
        <v/>
      </c>
      <c r="V93">
        <f>IF(OR(N93="",N93="OK",L93="Cancelled"),0,1)</f>
        <v/>
      </c>
    </row>
    <row r="94">
      <c r="B94" s="22" t="n"/>
      <c r="C94" s="23">
        <f>IF(B94="","",$E$9&amp;TEXT(N($E$10)+76,"000"))</f>
        <v/>
      </c>
      <c r="D94" s="14" t="n"/>
      <c r="E94" s="14" t="n"/>
      <c r="F94" s="14" t="n"/>
      <c r="G94" s="24" t="n"/>
      <c r="H94" s="14" t="n"/>
      <c r="I94" s="24" t="n"/>
      <c r="J94" s="25" t="n"/>
      <c r="K94" s="14" t="n"/>
      <c r="L94" s="24" t="n"/>
      <c r="M94" s="26">
        <f>IF(OR(N(J94)=0,L94="Cancelled"),"",IF(AND(N(J94)&gt;5000,H94="Cash"),"Yes: ₹1","No"))</f>
        <v/>
      </c>
      <c r="N94" s="27">
        <f>IF(AND(B94="",D94="",N(J94)=0),"",IF(B94="","Enter the date",IF(AND(ROW()&gt;18,B93=""),"Use the next empty row: a skipped row leaves a gap in the voucher numbers",IF(D94="","Enter who was paid",IF(N(J94)=0,"Enter the amount",IF(E94="","Pick the head of account",IF(P94="?","Pick the head from the list",IF(H94="","Pick how it was paid",IF(L94="Cancelled","Cancelled: keep this number unused and write a fresh voucher",IF(AND(H94&lt;&gt;"Cash",I94=""),"Enter the cheque no., UTR or UPI reference",IF(AND(N($E$11)&gt;0,N(J94)&gt;N($E$11),K94=""),"Above your approval limit: get it approved before paying",IF(S94&gt;10000,"Cash paid to this person today is over ₹10,000: not deductible, s.36(4)",IF(T94&gt;35000,"Cash freight to this transporter today is over ₹35,000: not deductible, s.36(6)",IF(U94&gt;10000,"Asset paid in cash over ₹10,000 today: left out of its cost, s.39(2)",IF(AND(P94="L",H94="Cash",N(J94)&gt;=20000),"Loan of ₹20,000 or more repaid in cash: barred, s.188","OK")))))))))))))))</f>
        <v/>
      </c>
      <c r="P94">
        <f>IF(E94="","",IFERROR(VLOOKUP(E94,Lists!$A$2:$B$17,2,FALSE),"?"))</f>
        <v/>
      </c>
      <c r="Q94">
        <f>IF(L94="Cancelled",0,N(J94))</f>
        <v/>
      </c>
      <c r="R94">
        <f>IF(H94="Cash",Q94,0)</f>
        <v/>
      </c>
      <c r="S94">
        <f>IF(OR(P94&lt;&gt;"E",R94=0),0,SUMIFS($R$18:$R$317,$B$18:$B$317,B94,$D$18:$D$317,D94,$P$18:$P$317,"E"))</f>
        <v/>
      </c>
      <c r="T94">
        <f>IF(OR(P94&lt;&gt;"F",R94=0),0,SUMIFS($R$18:$R$317,$B$18:$B$317,B94,$D$18:$D$317,D94,$P$18:$P$317,"F"))</f>
        <v/>
      </c>
      <c r="U94">
        <f>IF(OR(P94&lt;&gt;"A",R94=0),0,SUMIFS($R$18:$R$317,$B$18:$B$317,B94,$D$18:$D$317,D94,$P$18:$P$317,"A"))</f>
        <v/>
      </c>
      <c r="V94">
        <f>IF(OR(N94="",N94="OK",L94="Cancelled"),0,1)</f>
        <v/>
      </c>
    </row>
    <row r="95">
      <c r="B95" s="22" t="n"/>
      <c r="C95" s="23">
        <f>IF(B95="","",$E$9&amp;TEXT(N($E$10)+77,"000"))</f>
        <v/>
      </c>
      <c r="D95" s="14" t="n"/>
      <c r="E95" s="14" t="n"/>
      <c r="F95" s="14" t="n"/>
      <c r="G95" s="24" t="n"/>
      <c r="H95" s="14" t="n"/>
      <c r="I95" s="24" t="n"/>
      <c r="J95" s="25" t="n"/>
      <c r="K95" s="14" t="n"/>
      <c r="L95" s="24" t="n"/>
      <c r="M95" s="26">
        <f>IF(OR(N(J95)=0,L95="Cancelled"),"",IF(AND(N(J95)&gt;5000,H95="Cash"),"Yes: ₹1","No"))</f>
        <v/>
      </c>
      <c r="N95" s="27">
        <f>IF(AND(B95="",D95="",N(J95)=0),"",IF(B95="","Enter the date",IF(AND(ROW()&gt;18,B94=""),"Use the next empty row: a skipped row leaves a gap in the voucher numbers",IF(D95="","Enter who was paid",IF(N(J95)=0,"Enter the amount",IF(E95="","Pick the head of account",IF(P95="?","Pick the head from the list",IF(H95="","Pick how it was paid",IF(L95="Cancelled","Cancelled: keep this number unused and write a fresh voucher",IF(AND(H95&lt;&gt;"Cash",I95=""),"Enter the cheque no., UTR or UPI reference",IF(AND(N($E$11)&gt;0,N(J95)&gt;N($E$11),K95=""),"Above your approval limit: get it approved before paying",IF(S95&gt;10000,"Cash paid to this person today is over ₹10,000: not deductible, s.36(4)",IF(T95&gt;35000,"Cash freight to this transporter today is over ₹35,000: not deductible, s.36(6)",IF(U95&gt;10000,"Asset paid in cash over ₹10,000 today: left out of its cost, s.39(2)",IF(AND(P95="L",H95="Cash",N(J95)&gt;=20000),"Loan of ₹20,000 or more repaid in cash: barred, s.188","OK")))))))))))))))</f>
        <v/>
      </c>
      <c r="P95">
        <f>IF(E95="","",IFERROR(VLOOKUP(E95,Lists!$A$2:$B$17,2,FALSE),"?"))</f>
        <v/>
      </c>
      <c r="Q95">
        <f>IF(L95="Cancelled",0,N(J95))</f>
        <v/>
      </c>
      <c r="R95">
        <f>IF(H95="Cash",Q95,0)</f>
        <v/>
      </c>
      <c r="S95">
        <f>IF(OR(P95&lt;&gt;"E",R95=0),0,SUMIFS($R$18:$R$317,$B$18:$B$317,B95,$D$18:$D$317,D95,$P$18:$P$317,"E"))</f>
        <v/>
      </c>
      <c r="T95">
        <f>IF(OR(P95&lt;&gt;"F",R95=0),0,SUMIFS($R$18:$R$317,$B$18:$B$317,B95,$D$18:$D$317,D95,$P$18:$P$317,"F"))</f>
        <v/>
      </c>
      <c r="U95">
        <f>IF(OR(P95&lt;&gt;"A",R95=0),0,SUMIFS($R$18:$R$317,$B$18:$B$317,B95,$D$18:$D$317,D95,$P$18:$P$317,"A"))</f>
        <v/>
      </c>
      <c r="V95">
        <f>IF(OR(N95="",N95="OK",L95="Cancelled"),0,1)</f>
        <v/>
      </c>
    </row>
    <row r="96">
      <c r="B96" s="22" t="n"/>
      <c r="C96" s="23">
        <f>IF(B96="","",$E$9&amp;TEXT(N($E$10)+78,"000"))</f>
        <v/>
      </c>
      <c r="D96" s="14" t="n"/>
      <c r="E96" s="14" t="n"/>
      <c r="F96" s="14" t="n"/>
      <c r="G96" s="24" t="n"/>
      <c r="H96" s="14" t="n"/>
      <c r="I96" s="24" t="n"/>
      <c r="J96" s="25" t="n"/>
      <c r="K96" s="14" t="n"/>
      <c r="L96" s="24" t="n"/>
      <c r="M96" s="26">
        <f>IF(OR(N(J96)=0,L96="Cancelled"),"",IF(AND(N(J96)&gt;5000,H96="Cash"),"Yes: ₹1","No"))</f>
        <v/>
      </c>
      <c r="N96" s="27">
        <f>IF(AND(B96="",D96="",N(J96)=0),"",IF(B96="","Enter the date",IF(AND(ROW()&gt;18,B95=""),"Use the next empty row: a skipped row leaves a gap in the voucher numbers",IF(D96="","Enter who was paid",IF(N(J96)=0,"Enter the amount",IF(E96="","Pick the head of account",IF(P96="?","Pick the head from the list",IF(H96="","Pick how it was paid",IF(L96="Cancelled","Cancelled: keep this number unused and write a fresh voucher",IF(AND(H96&lt;&gt;"Cash",I96=""),"Enter the cheque no., UTR or UPI reference",IF(AND(N($E$11)&gt;0,N(J96)&gt;N($E$11),K96=""),"Above your approval limit: get it approved before paying",IF(S96&gt;10000,"Cash paid to this person today is over ₹10,000: not deductible, s.36(4)",IF(T96&gt;35000,"Cash freight to this transporter today is over ₹35,000: not deductible, s.36(6)",IF(U96&gt;10000,"Asset paid in cash over ₹10,000 today: left out of its cost, s.39(2)",IF(AND(P96="L",H96="Cash",N(J96)&gt;=20000),"Loan of ₹20,000 or more repaid in cash: barred, s.188","OK")))))))))))))))</f>
        <v/>
      </c>
      <c r="P96">
        <f>IF(E96="","",IFERROR(VLOOKUP(E96,Lists!$A$2:$B$17,2,FALSE),"?"))</f>
        <v/>
      </c>
      <c r="Q96">
        <f>IF(L96="Cancelled",0,N(J96))</f>
        <v/>
      </c>
      <c r="R96">
        <f>IF(H96="Cash",Q96,0)</f>
        <v/>
      </c>
      <c r="S96">
        <f>IF(OR(P96&lt;&gt;"E",R96=0),0,SUMIFS($R$18:$R$317,$B$18:$B$317,B96,$D$18:$D$317,D96,$P$18:$P$317,"E"))</f>
        <v/>
      </c>
      <c r="T96">
        <f>IF(OR(P96&lt;&gt;"F",R96=0),0,SUMIFS($R$18:$R$317,$B$18:$B$317,B96,$D$18:$D$317,D96,$P$18:$P$317,"F"))</f>
        <v/>
      </c>
      <c r="U96">
        <f>IF(OR(P96&lt;&gt;"A",R96=0),0,SUMIFS($R$18:$R$317,$B$18:$B$317,B96,$D$18:$D$317,D96,$P$18:$P$317,"A"))</f>
        <v/>
      </c>
      <c r="V96">
        <f>IF(OR(N96="",N96="OK",L96="Cancelled"),0,1)</f>
        <v/>
      </c>
    </row>
    <row r="97">
      <c r="B97" s="22" t="n"/>
      <c r="C97" s="23">
        <f>IF(B97="","",$E$9&amp;TEXT(N($E$10)+79,"000"))</f>
        <v/>
      </c>
      <c r="D97" s="14" t="n"/>
      <c r="E97" s="14" t="n"/>
      <c r="F97" s="14" t="n"/>
      <c r="G97" s="24" t="n"/>
      <c r="H97" s="14" t="n"/>
      <c r="I97" s="24" t="n"/>
      <c r="J97" s="25" t="n"/>
      <c r="K97" s="14" t="n"/>
      <c r="L97" s="24" t="n"/>
      <c r="M97" s="26">
        <f>IF(OR(N(J97)=0,L97="Cancelled"),"",IF(AND(N(J97)&gt;5000,H97="Cash"),"Yes: ₹1","No"))</f>
        <v/>
      </c>
      <c r="N97" s="27">
        <f>IF(AND(B97="",D97="",N(J97)=0),"",IF(B97="","Enter the date",IF(AND(ROW()&gt;18,B96=""),"Use the next empty row: a skipped row leaves a gap in the voucher numbers",IF(D97="","Enter who was paid",IF(N(J97)=0,"Enter the amount",IF(E97="","Pick the head of account",IF(P97="?","Pick the head from the list",IF(H97="","Pick how it was paid",IF(L97="Cancelled","Cancelled: keep this number unused and write a fresh voucher",IF(AND(H97&lt;&gt;"Cash",I97=""),"Enter the cheque no., UTR or UPI reference",IF(AND(N($E$11)&gt;0,N(J97)&gt;N($E$11),K97=""),"Above your approval limit: get it approved before paying",IF(S97&gt;10000,"Cash paid to this person today is over ₹10,000: not deductible, s.36(4)",IF(T97&gt;35000,"Cash freight to this transporter today is over ₹35,000: not deductible, s.36(6)",IF(U97&gt;10000,"Asset paid in cash over ₹10,000 today: left out of its cost, s.39(2)",IF(AND(P97="L",H97="Cash",N(J97)&gt;=20000),"Loan of ₹20,000 or more repaid in cash: barred, s.188","OK")))))))))))))))</f>
        <v/>
      </c>
      <c r="P97">
        <f>IF(E97="","",IFERROR(VLOOKUP(E97,Lists!$A$2:$B$17,2,FALSE),"?"))</f>
        <v/>
      </c>
      <c r="Q97">
        <f>IF(L97="Cancelled",0,N(J97))</f>
        <v/>
      </c>
      <c r="R97">
        <f>IF(H97="Cash",Q97,0)</f>
        <v/>
      </c>
      <c r="S97">
        <f>IF(OR(P97&lt;&gt;"E",R97=0),0,SUMIFS($R$18:$R$317,$B$18:$B$317,B97,$D$18:$D$317,D97,$P$18:$P$317,"E"))</f>
        <v/>
      </c>
      <c r="T97">
        <f>IF(OR(P97&lt;&gt;"F",R97=0),0,SUMIFS($R$18:$R$317,$B$18:$B$317,B97,$D$18:$D$317,D97,$P$18:$P$317,"F"))</f>
        <v/>
      </c>
      <c r="U97">
        <f>IF(OR(P97&lt;&gt;"A",R97=0),0,SUMIFS($R$18:$R$317,$B$18:$B$317,B97,$D$18:$D$317,D97,$P$18:$P$317,"A"))</f>
        <v/>
      </c>
      <c r="V97">
        <f>IF(OR(N97="",N97="OK",L97="Cancelled"),0,1)</f>
        <v/>
      </c>
    </row>
    <row r="98">
      <c r="B98" s="22" t="n"/>
      <c r="C98" s="23">
        <f>IF(B98="","",$E$9&amp;TEXT(N($E$10)+80,"000"))</f>
        <v/>
      </c>
      <c r="D98" s="14" t="n"/>
      <c r="E98" s="14" t="n"/>
      <c r="F98" s="14" t="n"/>
      <c r="G98" s="24" t="n"/>
      <c r="H98" s="14" t="n"/>
      <c r="I98" s="24" t="n"/>
      <c r="J98" s="25" t="n"/>
      <c r="K98" s="14" t="n"/>
      <c r="L98" s="24" t="n"/>
      <c r="M98" s="26">
        <f>IF(OR(N(J98)=0,L98="Cancelled"),"",IF(AND(N(J98)&gt;5000,H98="Cash"),"Yes: ₹1","No"))</f>
        <v/>
      </c>
      <c r="N98" s="27">
        <f>IF(AND(B98="",D98="",N(J98)=0),"",IF(B98="","Enter the date",IF(AND(ROW()&gt;18,B97=""),"Use the next empty row: a skipped row leaves a gap in the voucher numbers",IF(D98="","Enter who was paid",IF(N(J98)=0,"Enter the amount",IF(E98="","Pick the head of account",IF(P98="?","Pick the head from the list",IF(H98="","Pick how it was paid",IF(L98="Cancelled","Cancelled: keep this number unused and write a fresh voucher",IF(AND(H98&lt;&gt;"Cash",I98=""),"Enter the cheque no., UTR or UPI reference",IF(AND(N($E$11)&gt;0,N(J98)&gt;N($E$11),K98=""),"Above your approval limit: get it approved before paying",IF(S98&gt;10000,"Cash paid to this person today is over ₹10,000: not deductible, s.36(4)",IF(T98&gt;35000,"Cash freight to this transporter today is over ₹35,000: not deductible, s.36(6)",IF(U98&gt;10000,"Asset paid in cash over ₹10,000 today: left out of its cost, s.39(2)",IF(AND(P98="L",H98="Cash",N(J98)&gt;=20000),"Loan of ₹20,000 or more repaid in cash: barred, s.188","OK")))))))))))))))</f>
        <v/>
      </c>
      <c r="P98">
        <f>IF(E98="","",IFERROR(VLOOKUP(E98,Lists!$A$2:$B$17,2,FALSE),"?"))</f>
        <v/>
      </c>
      <c r="Q98">
        <f>IF(L98="Cancelled",0,N(J98))</f>
        <v/>
      </c>
      <c r="R98">
        <f>IF(H98="Cash",Q98,0)</f>
        <v/>
      </c>
      <c r="S98">
        <f>IF(OR(P98&lt;&gt;"E",R98=0),0,SUMIFS($R$18:$R$317,$B$18:$B$317,B98,$D$18:$D$317,D98,$P$18:$P$317,"E"))</f>
        <v/>
      </c>
      <c r="T98">
        <f>IF(OR(P98&lt;&gt;"F",R98=0),0,SUMIFS($R$18:$R$317,$B$18:$B$317,B98,$D$18:$D$317,D98,$P$18:$P$317,"F"))</f>
        <v/>
      </c>
      <c r="U98">
        <f>IF(OR(P98&lt;&gt;"A",R98=0),0,SUMIFS($R$18:$R$317,$B$18:$B$317,B98,$D$18:$D$317,D98,$P$18:$P$317,"A"))</f>
        <v/>
      </c>
      <c r="V98">
        <f>IF(OR(N98="",N98="OK",L98="Cancelled"),0,1)</f>
        <v/>
      </c>
    </row>
    <row r="99">
      <c r="B99" s="22" t="n"/>
      <c r="C99" s="23">
        <f>IF(B99="","",$E$9&amp;TEXT(N($E$10)+81,"000"))</f>
        <v/>
      </c>
      <c r="D99" s="14" t="n"/>
      <c r="E99" s="14" t="n"/>
      <c r="F99" s="14" t="n"/>
      <c r="G99" s="24" t="n"/>
      <c r="H99" s="14" t="n"/>
      <c r="I99" s="24" t="n"/>
      <c r="J99" s="25" t="n"/>
      <c r="K99" s="14" t="n"/>
      <c r="L99" s="24" t="n"/>
      <c r="M99" s="26">
        <f>IF(OR(N(J99)=0,L99="Cancelled"),"",IF(AND(N(J99)&gt;5000,H99="Cash"),"Yes: ₹1","No"))</f>
        <v/>
      </c>
      <c r="N99" s="27">
        <f>IF(AND(B99="",D99="",N(J99)=0),"",IF(B99="","Enter the date",IF(AND(ROW()&gt;18,B98=""),"Use the next empty row: a skipped row leaves a gap in the voucher numbers",IF(D99="","Enter who was paid",IF(N(J99)=0,"Enter the amount",IF(E99="","Pick the head of account",IF(P99="?","Pick the head from the list",IF(H99="","Pick how it was paid",IF(L99="Cancelled","Cancelled: keep this number unused and write a fresh voucher",IF(AND(H99&lt;&gt;"Cash",I99=""),"Enter the cheque no., UTR or UPI reference",IF(AND(N($E$11)&gt;0,N(J99)&gt;N($E$11),K99=""),"Above your approval limit: get it approved before paying",IF(S99&gt;10000,"Cash paid to this person today is over ₹10,000: not deductible, s.36(4)",IF(T99&gt;35000,"Cash freight to this transporter today is over ₹35,000: not deductible, s.36(6)",IF(U99&gt;10000,"Asset paid in cash over ₹10,000 today: left out of its cost, s.39(2)",IF(AND(P99="L",H99="Cash",N(J99)&gt;=20000),"Loan of ₹20,000 or more repaid in cash: barred, s.188","OK")))))))))))))))</f>
        <v/>
      </c>
      <c r="P99">
        <f>IF(E99="","",IFERROR(VLOOKUP(E99,Lists!$A$2:$B$17,2,FALSE),"?"))</f>
        <v/>
      </c>
      <c r="Q99">
        <f>IF(L99="Cancelled",0,N(J99))</f>
        <v/>
      </c>
      <c r="R99">
        <f>IF(H99="Cash",Q99,0)</f>
        <v/>
      </c>
      <c r="S99">
        <f>IF(OR(P99&lt;&gt;"E",R99=0),0,SUMIFS($R$18:$R$317,$B$18:$B$317,B99,$D$18:$D$317,D99,$P$18:$P$317,"E"))</f>
        <v/>
      </c>
      <c r="T99">
        <f>IF(OR(P99&lt;&gt;"F",R99=0),0,SUMIFS($R$18:$R$317,$B$18:$B$317,B99,$D$18:$D$317,D99,$P$18:$P$317,"F"))</f>
        <v/>
      </c>
      <c r="U99">
        <f>IF(OR(P99&lt;&gt;"A",R99=0),0,SUMIFS($R$18:$R$317,$B$18:$B$317,B99,$D$18:$D$317,D99,$P$18:$P$317,"A"))</f>
        <v/>
      </c>
      <c r="V99">
        <f>IF(OR(N99="",N99="OK",L99="Cancelled"),0,1)</f>
        <v/>
      </c>
    </row>
    <row r="100">
      <c r="B100" s="22" t="n"/>
      <c r="C100" s="23">
        <f>IF(B100="","",$E$9&amp;TEXT(N($E$10)+82,"000"))</f>
        <v/>
      </c>
      <c r="D100" s="14" t="n"/>
      <c r="E100" s="14" t="n"/>
      <c r="F100" s="14" t="n"/>
      <c r="G100" s="24" t="n"/>
      <c r="H100" s="14" t="n"/>
      <c r="I100" s="24" t="n"/>
      <c r="J100" s="25" t="n"/>
      <c r="K100" s="14" t="n"/>
      <c r="L100" s="24" t="n"/>
      <c r="M100" s="26">
        <f>IF(OR(N(J100)=0,L100="Cancelled"),"",IF(AND(N(J100)&gt;5000,H100="Cash"),"Yes: ₹1","No"))</f>
        <v/>
      </c>
      <c r="N100" s="27">
        <f>IF(AND(B100="",D100="",N(J100)=0),"",IF(B100="","Enter the date",IF(AND(ROW()&gt;18,B99=""),"Use the next empty row: a skipped row leaves a gap in the voucher numbers",IF(D100="","Enter who was paid",IF(N(J100)=0,"Enter the amount",IF(E100="","Pick the head of account",IF(P100="?","Pick the head from the list",IF(H100="","Pick how it was paid",IF(L100="Cancelled","Cancelled: keep this number unused and write a fresh voucher",IF(AND(H100&lt;&gt;"Cash",I100=""),"Enter the cheque no., UTR or UPI reference",IF(AND(N($E$11)&gt;0,N(J100)&gt;N($E$11),K100=""),"Above your approval limit: get it approved before paying",IF(S100&gt;10000,"Cash paid to this person today is over ₹10,000: not deductible, s.36(4)",IF(T100&gt;35000,"Cash freight to this transporter today is over ₹35,000: not deductible, s.36(6)",IF(U100&gt;10000,"Asset paid in cash over ₹10,000 today: left out of its cost, s.39(2)",IF(AND(P100="L",H100="Cash",N(J100)&gt;=20000),"Loan of ₹20,000 or more repaid in cash: barred, s.188","OK")))))))))))))))</f>
        <v/>
      </c>
      <c r="P100">
        <f>IF(E100="","",IFERROR(VLOOKUP(E100,Lists!$A$2:$B$17,2,FALSE),"?"))</f>
        <v/>
      </c>
      <c r="Q100">
        <f>IF(L100="Cancelled",0,N(J100))</f>
        <v/>
      </c>
      <c r="R100">
        <f>IF(H100="Cash",Q100,0)</f>
        <v/>
      </c>
      <c r="S100">
        <f>IF(OR(P100&lt;&gt;"E",R100=0),0,SUMIFS($R$18:$R$317,$B$18:$B$317,B100,$D$18:$D$317,D100,$P$18:$P$317,"E"))</f>
        <v/>
      </c>
      <c r="T100">
        <f>IF(OR(P100&lt;&gt;"F",R100=0),0,SUMIFS($R$18:$R$317,$B$18:$B$317,B100,$D$18:$D$317,D100,$P$18:$P$317,"F"))</f>
        <v/>
      </c>
      <c r="U100">
        <f>IF(OR(P100&lt;&gt;"A",R100=0),0,SUMIFS($R$18:$R$317,$B$18:$B$317,B100,$D$18:$D$317,D100,$P$18:$P$317,"A"))</f>
        <v/>
      </c>
      <c r="V100">
        <f>IF(OR(N100="",N100="OK",L100="Cancelled"),0,1)</f>
        <v/>
      </c>
    </row>
    <row r="101">
      <c r="B101" s="22" t="n"/>
      <c r="C101" s="23">
        <f>IF(B101="","",$E$9&amp;TEXT(N($E$10)+83,"000"))</f>
        <v/>
      </c>
      <c r="D101" s="14" t="n"/>
      <c r="E101" s="14" t="n"/>
      <c r="F101" s="14" t="n"/>
      <c r="G101" s="24" t="n"/>
      <c r="H101" s="14" t="n"/>
      <c r="I101" s="24" t="n"/>
      <c r="J101" s="25" t="n"/>
      <c r="K101" s="14" t="n"/>
      <c r="L101" s="24" t="n"/>
      <c r="M101" s="26">
        <f>IF(OR(N(J101)=0,L101="Cancelled"),"",IF(AND(N(J101)&gt;5000,H101="Cash"),"Yes: ₹1","No"))</f>
        <v/>
      </c>
      <c r="N101" s="27">
        <f>IF(AND(B101="",D101="",N(J101)=0),"",IF(B101="","Enter the date",IF(AND(ROW()&gt;18,B100=""),"Use the next empty row: a skipped row leaves a gap in the voucher numbers",IF(D101="","Enter who was paid",IF(N(J101)=0,"Enter the amount",IF(E101="","Pick the head of account",IF(P101="?","Pick the head from the list",IF(H101="","Pick how it was paid",IF(L101="Cancelled","Cancelled: keep this number unused and write a fresh voucher",IF(AND(H101&lt;&gt;"Cash",I101=""),"Enter the cheque no., UTR or UPI reference",IF(AND(N($E$11)&gt;0,N(J101)&gt;N($E$11),K101=""),"Above your approval limit: get it approved before paying",IF(S101&gt;10000,"Cash paid to this person today is over ₹10,000: not deductible, s.36(4)",IF(T101&gt;35000,"Cash freight to this transporter today is over ₹35,000: not deductible, s.36(6)",IF(U101&gt;10000,"Asset paid in cash over ₹10,000 today: left out of its cost, s.39(2)",IF(AND(P101="L",H101="Cash",N(J101)&gt;=20000),"Loan of ₹20,000 or more repaid in cash: barred, s.188","OK")))))))))))))))</f>
        <v/>
      </c>
      <c r="P101">
        <f>IF(E101="","",IFERROR(VLOOKUP(E101,Lists!$A$2:$B$17,2,FALSE),"?"))</f>
        <v/>
      </c>
      <c r="Q101">
        <f>IF(L101="Cancelled",0,N(J101))</f>
        <v/>
      </c>
      <c r="R101">
        <f>IF(H101="Cash",Q101,0)</f>
        <v/>
      </c>
      <c r="S101">
        <f>IF(OR(P101&lt;&gt;"E",R101=0),0,SUMIFS($R$18:$R$317,$B$18:$B$317,B101,$D$18:$D$317,D101,$P$18:$P$317,"E"))</f>
        <v/>
      </c>
      <c r="T101">
        <f>IF(OR(P101&lt;&gt;"F",R101=0),0,SUMIFS($R$18:$R$317,$B$18:$B$317,B101,$D$18:$D$317,D101,$P$18:$P$317,"F"))</f>
        <v/>
      </c>
      <c r="U101">
        <f>IF(OR(P101&lt;&gt;"A",R101=0),0,SUMIFS($R$18:$R$317,$B$18:$B$317,B101,$D$18:$D$317,D101,$P$18:$P$317,"A"))</f>
        <v/>
      </c>
      <c r="V101">
        <f>IF(OR(N101="",N101="OK",L101="Cancelled"),0,1)</f>
        <v/>
      </c>
    </row>
    <row r="102">
      <c r="B102" s="22" t="n"/>
      <c r="C102" s="23">
        <f>IF(B102="","",$E$9&amp;TEXT(N($E$10)+84,"000"))</f>
        <v/>
      </c>
      <c r="D102" s="14" t="n"/>
      <c r="E102" s="14" t="n"/>
      <c r="F102" s="14" t="n"/>
      <c r="G102" s="24" t="n"/>
      <c r="H102" s="14" t="n"/>
      <c r="I102" s="24" t="n"/>
      <c r="J102" s="25" t="n"/>
      <c r="K102" s="14" t="n"/>
      <c r="L102" s="24" t="n"/>
      <c r="M102" s="26">
        <f>IF(OR(N(J102)=0,L102="Cancelled"),"",IF(AND(N(J102)&gt;5000,H102="Cash"),"Yes: ₹1","No"))</f>
        <v/>
      </c>
      <c r="N102" s="27">
        <f>IF(AND(B102="",D102="",N(J102)=0),"",IF(B102="","Enter the date",IF(AND(ROW()&gt;18,B101=""),"Use the next empty row: a skipped row leaves a gap in the voucher numbers",IF(D102="","Enter who was paid",IF(N(J102)=0,"Enter the amount",IF(E102="","Pick the head of account",IF(P102="?","Pick the head from the list",IF(H102="","Pick how it was paid",IF(L102="Cancelled","Cancelled: keep this number unused and write a fresh voucher",IF(AND(H102&lt;&gt;"Cash",I102=""),"Enter the cheque no., UTR or UPI reference",IF(AND(N($E$11)&gt;0,N(J102)&gt;N($E$11),K102=""),"Above your approval limit: get it approved before paying",IF(S102&gt;10000,"Cash paid to this person today is over ₹10,000: not deductible, s.36(4)",IF(T102&gt;35000,"Cash freight to this transporter today is over ₹35,000: not deductible, s.36(6)",IF(U102&gt;10000,"Asset paid in cash over ₹10,000 today: left out of its cost, s.39(2)",IF(AND(P102="L",H102="Cash",N(J102)&gt;=20000),"Loan of ₹20,000 or more repaid in cash: barred, s.188","OK")))))))))))))))</f>
        <v/>
      </c>
      <c r="P102">
        <f>IF(E102="","",IFERROR(VLOOKUP(E102,Lists!$A$2:$B$17,2,FALSE),"?"))</f>
        <v/>
      </c>
      <c r="Q102">
        <f>IF(L102="Cancelled",0,N(J102))</f>
        <v/>
      </c>
      <c r="R102">
        <f>IF(H102="Cash",Q102,0)</f>
        <v/>
      </c>
      <c r="S102">
        <f>IF(OR(P102&lt;&gt;"E",R102=0),0,SUMIFS($R$18:$R$317,$B$18:$B$317,B102,$D$18:$D$317,D102,$P$18:$P$317,"E"))</f>
        <v/>
      </c>
      <c r="T102">
        <f>IF(OR(P102&lt;&gt;"F",R102=0),0,SUMIFS($R$18:$R$317,$B$18:$B$317,B102,$D$18:$D$317,D102,$P$18:$P$317,"F"))</f>
        <v/>
      </c>
      <c r="U102">
        <f>IF(OR(P102&lt;&gt;"A",R102=0),0,SUMIFS($R$18:$R$317,$B$18:$B$317,B102,$D$18:$D$317,D102,$P$18:$P$317,"A"))</f>
        <v/>
      </c>
      <c r="V102">
        <f>IF(OR(N102="",N102="OK",L102="Cancelled"),0,1)</f>
        <v/>
      </c>
    </row>
    <row r="103">
      <c r="B103" s="22" t="n"/>
      <c r="C103" s="23">
        <f>IF(B103="","",$E$9&amp;TEXT(N($E$10)+85,"000"))</f>
        <v/>
      </c>
      <c r="D103" s="14" t="n"/>
      <c r="E103" s="14" t="n"/>
      <c r="F103" s="14" t="n"/>
      <c r="G103" s="24" t="n"/>
      <c r="H103" s="14" t="n"/>
      <c r="I103" s="24" t="n"/>
      <c r="J103" s="25" t="n"/>
      <c r="K103" s="14" t="n"/>
      <c r="L103" s="24" t="n"/>
      <c r="M103" s="26">
        <f>IF(OR(N(J103)=0,L103="Cancelled"),"",IF(AND(N(J103)&gt;5000,H103="Cash"),"Yes: ₹1","No"))</f>
        <v/>
      </c>
      <c r="N103" s="27">
        <f>IF(AND(B103="",D103="",N(J103)=0),"",IF(B103="","Enter the date",IF(AND(ROW()&gt;18,B102=""),"Use the next empty row: a skipped row leaves a gap in the voucher numbers",IF(D103="","Enter who was paid",IF(N(J103)=0,"Enter the amount",IF(E103="","Pick the head of account",IF(P103="?","Pick the head from the list",IF(H103="","Pick how it was paid",IF(L103="Cancelled","Cancelled: keep this number unused and write a fresh voucher",IF(AND(H103&lt;&gt;"Cash",I103=""),"Enter the cheque no., UTR or UPI reference",IF(AND(N($E$11)&gt;0,N(J103)&gt;N($E$11),K103=""),"Above your approval limit: get it approved before paying",IF(S103&gt;10000,"Cash paid to this person today is over ₹10,000: not deductible, s.36(4)",IF(T103&gt;35000,"Cash freight to this transporter today is over ₹35,000: not deductible, s.36(6)",IF(U103&gt;10000,"Asset paid in cash over ₹10,000 today: left out of its cost, s.39(2)",IF(AND(P103="L",H103="Cash",N(J103)&gt;=20000),"Loan of ₹20,000 or more repaid in cash: barred, s.188","OK")))))))))))))))</f>
        <v/>
      </c>
      <c r="P103">
        <f>IF(E103="","",IFERROR(VLOOKUP(E103,Lists!$A$2:$B$17,2,FALSE),"?"))</f>
        <v/>
      </c>
      <c r="Q103">
        <f>IF(L103="Cancelled",0,N(J103))</f>
        <v/>
      </c>
      <c r="R103">
        <f>IF(H103="Cash",Q103,0)</f>
        <v/>
      </c>
      <c r="S103">
        <f>IF(OR(P103&lt;&gt;"E",R103=0),0,SUMIFS($R$18:$R$317,$B$18:$B$317,B103,$D$18:$D$317,D103,$P$18:$P$317,"E"))</f>
        <v/>
      </c>
      <c r="T103">
        <f>IF(OR(P103&lt;&gt;"F",R103=0),0,SUMIFS($R$18:$R$317,$B$18:$B$317,B103,$D$18:$D$317,D103,$P$18:$P$317,"F"))</f>
        <v/>
      </c>
      <c r="U103">
        <f>IF(OR(P103&lt;&gt;"A",R103=0),0,SUMIFS($R$18:$R$317,$B$18:$B$317,B103,$D$18:$D$317,D103,$P$18:$P$317,"A"))</f>
        <v/>
      </c>
      <c r="V103">
        <f>IF(OR(N103="",N103="OK",L103="Cancelled"),0,1)</f>
        <v/>
      </c>
    </row>
    <row r="104">
      <c r="B104" s="22" t="n"/>
      <c r="C104" s="23">
        <f>IF(B104="","",$E$9&amp;TEXT(N($E$10)+86,"000"))</f>
        <v/>
      </c>
      <c r="D104" s="14" t="n"/>
      <c r="E104" s="14" t="n"/>
      <c r="F104" s="14" t="n"/>
      <c r="G104" s="24" t="n"/>
      <c r="H104" s="14" t="n"/>
      <c r="I104" s="24" t="n"/>
      <c r="J104" s="25" t="n"/>
      <c r="K104" s="14" t="n"/>
      <c r="L104" s="24" t="n"/>
      <c r="M104" s="26">
        <f>IF(OR(N(J104)=0,L104="Cancelled"),"",IF(AND(N(J104)&gt;5000,H104="Cash"),"Yes: ₹1","No"))</f>
        <v/>
      </c>
      <c r="N104" s="27">
        <f>IF(AND(B104="",D104="",N(J104)=0),"",IF(B104="","Enter the date",IF(AND(ROW()&gt;18,B103=""),"Use the next empty row: a skipped row leaves a gap in the voucher numbers",IF(D104="","Enter who was paid",IF(N(J104)=0,"Enter the amount",IF(E104="","Pick the head of account",IF(P104="?","Pick the head from the list",IF(H104="","Pick how it was paid",IF(L104="Cancelled","Cancelled: keep this number unused and write a fresh voucher",IF(AND(H104&lt;&gt;"Cash",I104=""),"Enter the cheque no., UTR or UPI reference",IF(AND(N($E$11)&gt;0,N(J104)&gt;N($E$11),K104=""),"Above your approval limit: get it approved before paying",IF(S104&gt;10000,"Cash paid to this person today is over ₹10,000: not deductible, s.36(4)",IF(T104&gt;35000,"Cash freight to this transporter today is over ₹35,000: not deductible, s.36(6)",IF(U104&gt;10000,"Asset paid in cash over ₹10,000 today: left out of its cost, s.39(2)",IF(AND(P104="L",H104="Cash",N(J104)&gt;=20000),"Loan of ₹20,000 or more repaid in cash: barred, s.188","OK")))))))))))))))</f>
        <v/>
      </c>
      <c r="P104">
        <f>IF(E104="","",IFERROR(VLOOKUP(E104,Lists!$A$2:$B$17,2,FALSE),"?"))</f>
        <v/>
      </c>
      <c r="Q104">
        <f>IF(L104="Cancelled",0,N(J104))</f>
        <v/>
      </c>
      <c r="R104">
        <f>IF(H104="Cash",Q104,0)</f>
        <v/>
      </c>
      <c r="S104">
        <f>IF(OR(P104&lt;&gt;"E",R104=0),0,SUMIFS($R$18:$R$317,$B$18:$B$317,B104,$D$18:$D$317,D104,$P$18:$P$317,"E"))</f>
        <v/>
      </c>
      <c r="T104">
        <f>IF(OR(P104&lt;&gt;"F",R104=0),0,SUMIFS($R$18:$R$317,$B$18:$B$317,B104,$D$18:$D$317,D104,$P$18:$P$317,"F"))</f>
        <v/>
      </c>
      <c r="U104">
        <f>IF(OR(P104&lt;&gt;"A",R104=0),0,SUMIFS($R$18:$R$317,$B$18:$B$317,B104,$D$18:$D$317,D104,$P$18:$P$317,"A"))</f>
        <v/>
      </c>
      <c r="V104">
        <f>IF(OR(N104="",N104="OK",L104="Cancelled"),0,1)</f>
        <v/>
      </c>
    </row>
    <row r="105">
      <c r="B105" s="22" t="n"/>
      <c r="C105" s="23">
        <f>IF(B105="","",$E$9&amp;TEXT(N($E$10)+87,"000"))</f>
        <v/>
      </c>
      <c r="D105" s="14" t="n"/>
      <c r="E105" s="14" t="n"/>
      <c r="F105" s="14" t="n"/>
      <c r="G105" s="24" t="n"/>
      <c r="H105" s="14" t="n"/>
      <c r="I105" s="24" t="n"/>
      <c r="J105" s="25" t="n"/>
      <c r="K105" s="14" t="n"/>
      <c r="L105" s="24" t="n"/>
      <c r="M105" s="26">
        <f>IF(OR(N(J105)=0,L105="Cancelled"),"",IF(AND(N(J105)&gt;5000,H105="Cash"),"Yes: ₹1","No"))</f>
        <v/>
      </c>
      <c r="N105" s="27">
        <f>IF(AND(B105="",D105="",N(J105)=0),"",IF(B105="","Enter the date",IF(AND(ROW()&gt;18,B104=""),"Use the next empty row: a skipped row leaves a gap in the voucher numbers",IF(D105="","Enter who was paid",IF(N(J105)=0,"Enter the amount",IF(E105="","Pick the head of account",IF(P105="?","Pick the head from the list",IF(H105="","Pick how it was paid",IF(L105="Cancelled","Cancelled: keep this number unused and write a fresh voucher",IF(AND(H105&lt;&gt;"Cash",I105=""),"Enter the cheque no., UTR or UPI reference",IF(AND(N($E$11)&gt;0,N(J105)&gt;N($E$11),K105=""),"Above your approval limit: get it approved before paying",IF(S105&gt;10000,"Cash paid to this person today is over ₹10,000: not deductible, s.36(4)",IF(T105&gt;35000,"Cash freight to this transporter today is over ₹35,000: not deductible, s.36(6)",IF(U105&gt;10000,"Asset paid in cash over ₹10,000 today: left out of its cost, s.39(2)",IF(AND(P105="L",H105="Cash",N(J105)&gt;=20000),"Loan of ₹20,000 or more repaid in cash: barred, s.188","OK")))))))))))))))</f>
        <v/>
      </c>
      <c r="P105">
        <f>IF(E105="","",IFERROR(VLOOKUP(E105,Lists!$A$2:$B$17,2,FALSE),"?"))</f>
        <v/>
      </c>
      <c r="Q105">
        <f>IF(L105="Cancelled",0,N(J105))</f>
        <v/>
      </c>
      <c r="R105">
        <f>IF(H105="Cash",Q105,0)</f>
        <v/>
      </c>
      <c r="S105">
        <f>IF(OR(P105&lt;&gt;"E",R105=0),0,SUMIFS($R$18:$R$317,$B$18:$B$317,B105,$D$18:$D$317,D105,$P$18:$P$317,"E"))</f>
        <v/>
      </c>
      <c r="T105">
        <f>IF(OR(P105&lt;&gt;"F",R105=0),0,SUMIFS($R$18:$R$317,$B$18:$B$317,B105,$D$18:$D$317,D105,$P$18:$P$317,"F"))</f>
        <v/>
      </c>
      <c r="U105">
        <f>IF(OR(P105&lt;&gt;"A",R105=0),0,SUMIFS($R$18:$R$317,$B$18:$B$317,B105,$D$18:$D$317,D105,$P$18:$P$317,"A"))</f>
        <v/>
      </c>
      <c r="V105">
        <f>IF(OR(N105="",N105="OK",L105="Cancelled"),0,1)</f>
        <v/>
      </c>
    </row>
    <row r="106">
      <c r="B106" s="22" t="n"/>
      <c r="C106" s="23">
        <f>IF(B106="","",$E$9&amp;TEXT(N($E$10)+88,"000"))</f>
        <v/>
      </c>
      <c r="D106" s="14" t="n"/>
      <c r="E106" s="14" t="n"/>
      <c r="F106" s="14" t="n"/>
      <c r="G106" s="24" t="n"/>
      <c r="H106" s="14" t="n"/>
      <c r="I106" s="24" t="n"/>
      <c r="J106" s="25" t="n"/>
      <c r="K106" s="14" t="n"/>
      <c r="L106" s="24" t="n"/>
      <c r="M106" s="26">
        <f>IF(OR(N(J106)=0,L106="Cancelled"),"",IF(AND(N(J106)&gt;5000,H106="Cash"),"Yes: ₹1","No"))</f>
        <v/>
      </c>
      <c r="N106" s="27">
        <f>IF(AND(B106="",D106="",N(J106)=0),"",IF(B106="","Enter the date",IF(AND(ROW()&gt;18,B105=""),"Use the next empty row: a skipped row leaves a gap in the voucher numbers",IF(D106="","Enter who was paid",IF(N(J106)=0,"Enter the amount",IF(E106="","Pick the head of account",IF(P106="?","Pick the head from the list",IF(H106="","Pick how it was paid",IF(L106="Cancelled","Cancelled: keep this number unused and write a fresh voucher",IF(AND(H106&lt;&gt;"Cash",I106=""),"Enter the cheque no., UTR or UPI reference",IF(AND(N($E$11)&gt;0,N(J106)&gt;N($E$11),K106=""),"Above your approval limit: get it approved before paying",IF(S106&gt;10000,"Cash paid to this person today is over ₹10,000: not deductible, s.36(4)",IF(T106&gt;35000,"Cash freight to this transporter today is over ₹35,000: not deductible, s.36(6)",IF(U106&gt;10000,"Asset paid in cash over ₹10,000 today: left out of its cost, s.39(2)",IF(AND(P106="L",H106="Cash",N(J106)&gt;=20000),"Loan of ₹20,000 or more repaid in cash: barred, s.188","OK")))))))))))))))</f>
        <v/>
      </c>
      <c r="P106">
        <f>IF(E106="","",IFERROR(VLOOKUP(E106,Lists!$A$2:$B$17,2,FALSE),"?"))</f>
        <v/>
      </c>
      <c r="Q106">
        <f>IF(L106="Cancelled",0,N(J106))</f>
        <v/>
      </c>
      <c r="R106">
        <f>IF(H106="Cash",Q106,0)</f>
        <v/>
      </c>
      <c r="S106">
        <f>IF(OR(P106&lt;&gt;"E",R106=0),0,SUMIFS($R$18:$R$317,$B$18:$B$317,B106,$D$18:$D$317,D106,$P$18:$P$317,"E"))</f>
        <v/>
      </c>
      <c r="T106">
        <f>IF(OR(P106&lt;&gt;"F",R106=0),0,SUMIFS($R$18:$R$317,$B$18:$B$317,B106,$D$18:$D$317,D106,$P$18:$P$317,"F"))</f>
        <v/>
      </c>
      <c r="U106">
        <f>IF(OR(P106&lt;&gt;"A",R106=0),0,SUMIFS($R$18:$R$317,$B$18:$B$317,B106,$D$18:$D$317,D106,$P$18:$P$317,"A"))</f>
        <v/>
      </c>
      <c r="V106">
        <f>IF(OR(N106="",N106="OK",L106="Cancelled"),0,1)</f>
        <v/>
      </c>
    </row>
    <row r="107">
      <c r="B107" s="22" t="n"/>
      <c r="C107" s="23">
        <f>IF(B107="","",$E$9&amp;TEXT(N($E$10)+89,"000"))</f>
        <v/>
      </c>
      <c r="D107" s="14" t="n"/>
      <c r="E107" s="14" t="n"/>
      <c r="F107" s="14" t="n"/>
      <c r="G107" s="24" t="n"/>
      <c r="H107" s="14" t="n"/>
      <c r="I107" s="24" t="n"/>
      <c r="J107" s="25" t="n"/>
      <c r="K107" s="14" t="n"/>
      <c r="L107" s="24" t="n"/>
      <c r="M107" s="26">
        <f>IF(OR(N(J107)=0,L107="Cancelled"),"",IF(AND(N(J107)&gt;5000,H107="Cash"),"Yes: ₹1","No"))</f>
        <v/>
      </c>
      <c r="N107" s="27">
        <f>IF(AND(B107="",D107="",N(J107)=0),"",IF(B107="","Enter the date",IF(AND(ROW()&gt;18,B106=""),"Use the next empty row: a skipped row leaves a gap in the voucher numbers",IF(D107="","Enter who was paid",IF(N(J107)=0,"Enter the amount",IF(E107="","Pick the head of account",IF(P107="?","Pick the head from the list",IF(H107="","Pick how it was paid",IF(L107="Cancelled","Cancelled: keep this number unused and write a fresh voucher",IF(AND(H107&lt;&gt;"Cash",I107=""),"Enter the cheque no., UTR or UPI reference",IF(AND(N($E$11)&gt;0,N(J107)&gt;N($E$11),K107=""),"Above your approval limit: get it approved before paying",IF(S107&gt;10000,"Cash paid to this person today is over ₹10,000: not deductible, s.36(4)",IF(T107&gt;35000,"Cash freight to this transporter today is over ₹35,000: not deductible, s.36(6)",IF(U107&gt;10000,"Asset paid in cash over ₹10,000 today: left out of its cost, s.39(2)",IF(AND(P107="L",H107="Cash",N(J107)&gt;=20000),"Loan of ₹20,000 or more repaid in cash: barred, s.188","OK")))))))))))))))</f>
        <v/>
      </c>
      <c r="P107">
        <f>IF(E107="","",IFERROR(VLOOKUP(E107,Lists!$A$2:$B$17,2,FALSE),"?"))</f>
        <v/>
      </c>
      <c r="Q107">
        <f>IF(L107="Cancelled",0,N(J107))</f>
        <v/>
      </c>
      <c r="R107">
        <f>IF(H107="Cash",Q107,0)</f>
        <v/>
      </c>
      <c r="S107">
        <f>IF(OR(P107&lt;&gt;"E",R107=0),0,SUMIFS($R$18:$R$317,$B$18:$B$317,B107,$D$18:$D$317,D107,$P$18:$P$317,"E"))</f>
        <v/>
      </c>
      <c r="T107">
        <f>IF(OR(P107&lt;&gt;"F",R107=0),0,SUMIFS($R$18:$R$317,$B$18:$B$317,B107,$D$18:$D$317,D107,$P$18:$P$317,"F"))</f>
        <v/>
      </c>
      <c r="U107">
        <f>IF(OR(P107&lt;&gt;"A",R107=0),0,SUMIFS($R$18:$R$317,$B$18:$B$317,B107,$D$18:$D$317,D107,$P$18:$P$317,"A"))</f>
        <v/>
      </c>
      <c r="V107">
        <f>IF(OR(N107="",N107="OK",L107="Cancelled"),0,1)</f>
        <v/>
      </c>
    </row>
    <row r="108">
      <c r="B108" s="22" t="n"/>
      <c r="C108" s="23">
        <f>IF(B108="","",$E$9&amp;TEXT(N($E$10)+90,"000"))</f>
        <v/>
      </c>
      <c r="D108" s="14" t="n"/>
      <c r="E108" s="14" t="n"/>
      <c r="F108" s="14" t="n"/>
      <c r="G108" s="24" t="n"/>
      <c r="H108" s="14" t="n"/>
      <c r="I108" s="24" t="n"/>
      <c r="J108" s="25" t="n"/>
      <c r="K108" s="14" t="n"/>
      <c r="L108" s="24" t="n"/>
      <c r="M108" s="26">
        <f>IF(OR(N(J108)=0,L108="Cancelled"),"",IF(AND(N(J108)&gt;5000,H108="Cash"),"Yes: ₹1","No"))</f>
        <v/>
      </c>
      <c r="N108" s="27">
        <f>IF(AND(B108="",D108="",N(J108)=0),"",IF(B108="","Enter the date",IF(AND(ROW()&gt;18,B107=""),"Use the next empty row: a skipped row leaves a gap in the voucher numbers",IF(D108="","Enter who was paid",IF(N(J108)=0,"Enter the amount",IF(E108="","Pick the head of account",IF(P108="?","Pick the head from the list",IF(H108="","Pick how it was paid",IF(L108="Cancelled","Cancelled: keep this number unused and write a fresh voucher",IF(AND(H108&lt;&gt;"Cash",I108=""),"Enter the cheque no., UTR or UPI reference",IF(AND(N($E$11)&gt;0,N(J108)&gt;N($E$11),K108=""),"Above your approval limit: get it approved before paying",IF(S108&gt;10000,"Cash paid to this person today is over ₹10,000: not deductible, s.36(4)",IF(T108&gt;35000,"Cash freight to this transporter today is over ₹35,000: not deductible, s.36(6)",IF(U108&gt;10000,"Asset paid in cash over ₹10,000 today: left out of its cost, s.39(2)",IF(AND(P108="L",H108="Cash",N(J108)&gt;=20000),"Loan of ₹20,000 or more repaid in cash: barred, s.188","OK")))))))))))))))</f>
        <v/>
      </c>
      <c r="P108">
        <f>IF(E108="","",IFERROR(VLOOKUP(E108,Lists!$A$2:$B$17,2,FALSE),"?"))</f>
        <v/>
      </c>
      <c r="Q108">
        <f>IF(L108="Cancelled",0,N(J108))</f>
        <v/>
      </c>
      <c r="R108">
        <f>IF(H108="Cash",Q108,0)</f>
        <v/>
      </c>
      <c r="S108">
        <f>IF(OR(P108&lt;&gt;"E",R108=0),0,SUMIFS($R$18:$R$317,$B$18:$B$317,B108,$D$18:$D$317,D108,$P$18:$P$317,"E"))</f>
        <v/>
      </c>
      <c r="T108">
        <f>IF(OR(P108&lt;&gt;"F",R108=0),0,SUMIFS($R$18:$R$317,$B$18:$B$317,B108,$D$18:$D$317,D108,$P$18:$P$317,"F"))</f>
        <v/>
      </c>
      <c r="U108">
        <f>IF(OR(P108&lt;&gt;"A",R108=0),0,SUMIFS($R$18:$R$317,$B$18:$B$317,B108,$D$18:$D$317,D108,$P$18:$P$317,"A"))</f>
        <v/>
      </c>
      <c r="V108">
        <f>IF(OR(N108="",N108="OK",L108="Cancelled"),0,1)</f>
        <v/>
      </c>
    </row>
    <row r="109">
      <c r="B109" s="22" t="n"/>
      <c r="C109" s="23">
        <f>IF(B109="","",$E$9&amp;TEXT(N($E$10)+91,"000"))</f>
        <v/>
      </c>
      <c r="D109" s="14" t="n"/>
      <c r="E109" s="14" t="n"/>
      <c r="F109" s="14" t="n"/>
      <c r="G109" s="24" t="n"/>
      <c r="H109" s="14" t="n"/>
      <c r="I109" s="24" t="n"/>
      <c r="J109" s="25" t="n"/>
      <c r="K109" s="14" t="n"/>
      <c r="L109" s="24" t="n"/>
      <c r="M109" s="26">
        <f>IF(OR(N(J109)=0,L109="Cancelled"),"",IF(AND(N(J109)&gt;5000,H109="Cash"),"Yes: ₹1","No"))</f>
        <v/>
      </c>
      <c r="N109" s="27">
        <f>IF(AND(B109="",D109="",N(J109)=0),"",IF(B109="","Enter the date",IF(AND(ROW()&gt;18,B108=""),"Use the next empty row: a skipped row leaves a gap in the voucher numbers",IF(D109="","Enter who was paid",IF(N(J109)=0,"Enter the amount",IF(E109="","Pick the head of account",IF(P109="?","Pick the head from the list",IF(H109="","Pick how it was paid",IF(L109="Cancelled","Cancelled: keep this number unused and write a fresh voucher",IF(AND(H109&lt;&gt;"Cash",I109=""),"Enter the cheque no., UTR or UPI reference",IF(AND(N($E$11)&gt;0,N(J109)&gt;N($E$11),K109=""),"Above your approval limit: get it approved before paying",IF(S109&gt;10000,"Cash paid to this person today is over ₹10,000: not deductible, s.36(4)",IF(T109&gt;35000,"Cash freight to this transporter today is over ₹35,000: not deductible, s.36(6)",IF(U109&gt;10000,"Asset paid in cash over ₹10,000 today: left out of its cost, s.39(2)",IF(AND(P109="L",H109="Cash",N(J109)&gt;=20000),"Loan of ₹20,000 or more repaid in cash: barred, s.188","OK")))))))))))))))</f>
        <v/>
      </c>
      <c r="P109">
        <f>IF(E109="","",IFERROR(VLOOKUP(E109,Lists!$A$2:$B$17,2,FALSE),"?"))</f>
        <v/>
      </c>
      <c r="Q109">
        <f>IF(L109="Cancelled",0,N(J109))</f>
        <v/>
      </c>
      <c r="R109">
        <f>IF(H109="Cash",Q109,0)</f>
        <v/>
      </c>
      <c r="S109">
        <f>IF(OR(P109&lt;&gt;"E",R109=0),0,SUMIFS($R$18:$R$317,$B$18:$B$317,B109,$D$18:$D$317,D109,$P$18:$P$317,"E"))</f>
        <v/>
      </c>
      <c r="T109">
        <f>IF(OR(P109&lt;&gt;"F",R109=0),0,SUMIFS($R$18:$R$317,$B$18:$B$317,B109,$D$18:$D$317,D109,$P$18:$P$317,"F"))</f>
        <v/>
      </c>
      <c r="U109">
        <f>IF(OR(P109&lt;&gt;"A",R109=0),0,SUMIFS($R$18:$R$317,$B$18:$B$317,B109,$D$18:$D$317,D109,$P$18:$P$317,"A"))</f>
        <v/>
      </c>
      <c r="V109">
        <f>IF(OR(N109="",N109="OK",L109="Cancelled"),0,1)</f>
        <v/>
      </c>
    </row>
    <row r="110">
      <c r="B110" s="22" t="n"/>
      <c r="C110" s="23">
        <f>IF(B110="","",$E$9&amp;TEXT(N($E$10)+92,"000"))</f>
        <v/>
      </c>
      <c r="D110" s="14" t="n"/>
      <c r="E110" s="14" t="n"/>
      <c r="F110" s="14" t="n"/>
      <c r="G110" s="24" t="n"/>
      <c r="H110" s="14" t="n"/>
      <c r="I110" s="24" t="n"/>
      <c r="J110" s="25" t="n"/>
      <c r="K110" s="14" t="n"/>
      <c r="L110" s="24" t="n"/>
      <c r="M110" s="26">
        <f>IF(OR(N(J110)=0,L110="Cancelled"),"",IF(AND(N(J110)&gt;5000,H110="Cash"),"Yes: ₹1","No"))</f>
        <v/>
      </c>
      <c r="N110" s="27">
        <f>IF(AND(B110="",D110="",N(J110)=0),"",IF(B110="","Enter the date",IF(AND(ROW()&gt;18,B109=""),"Use the next empty row: a skipped row leaves a gap in the voucher numbers",IF(D110="","Enter who was paid",IF(N(J110)=0,"Enter the amount",IF(E110="","Pick the head of account",IF(P110="?","Pick the head from the list",IF(H110="","Pick how it was paid",IF(L110="Cancelled","Cancelled: keep this number unused and write a fresh voucher",IF(AND(H110&lt;&gt;"Cash",I110=""),"Enter the cheque no., UTR or UPI reference",IF(AND(N($E$11)&gt;0,N(J110)&gt;N($E$11),K110=""),"Above your approval limit: get it approved before paying",IF(S110&gt;10000,"Cash paid to this person today is over ₹10,000: not deductible, s.36(4)",IF(T110&gt;35000,"Cash freight to this transporter today is over ₹35,000: not deductible, s.36(6)",IF(U110&gt;10000,"Asset paid in cash over ₹10,000 today: left out of its cost, s.39(2)",IF(AND(P110="L",H110="Cash",N(J110)&gt;=20000),"Loan of ₹20,000 or more repaid in cash: barred, s.188","OK")))))))))))))))</f>
        <v/>
      </c>
      <c r="P110">
        <f>IF(E110="","",IFERROR(VLOOKUP(E110,Lists!$A$2:$B$17,2,FALSE),"?"))</f>
        <v/>
      </c>
      <c r="Q110">
        <f>IF(L110="Cancelled",0,N(J110))</f>
        <v/>
      </c>
      <c r="R110">
        <f>IF(H110="Cash",Q110,0)</f>
        <v/>
      </c>
      <c r="S110">
        <f>IF(OR(P110&lt;&gt;"E",R110=0),0,SUMIFS($R$18:$R$317,$B$18:$B$317,B110,$D$18:$D$317,D110,$P$18:$P$317,"E"))</f>
        <v/>
      </c>
      <c r="T110">
        <f>IF(OR(P110&lt;&gt;"F",R110=0),0,SUMIFS($R$18:$R$317,$B$18:$B$317,B110,$D$18:$D$317,D110,$P$18:$P$317,"F"))</f>
        <v/>
      </c>
      <c r="U110">
        <f>IF(OR(P110&lt;&gt;"A",R110=0),0,SUMIFS($R$18:$R$317,$B$18:$B$317,B110,$D$18:$D$317,D110,$P$18:$P$317,"A"))</f>
        <v/>
      </c>
      <c r="V110">
        <f>IF(OR(N110="",N110="OK",L110="Cancelled"),0,1)</f>
        <v/>
      </c>
    </row>
    <row r="111">
      <c r="B111" s="22" t="n"/>
      <c r="C111" s="23">
        <f>IF(B111="","",$E$9&amp;TEXT(N($E$10)+93,"000"))</f>
        <v/>
      </c>
      <c r="D111" s="14" t="n"/>
      <c r="E111" s="14" t="n"/>
      <c r="F111" s="14" t="n"/>
      <c r="G111" s="24" t="n"/>
      <c r="H111" s="14" t="n"/>
      <c r="I111" s="24" t="n"/>
      <c r="J111" s="25" t="n"/>
      <c r="K111" s="14" t="n"/>
      <c r="L111" s="24" t="n"/>
      <c r="M111" s="26">
        <f>IF(OR(N(J111)=0,L111="Cancelled"),"",IF(AND(N(J111)&gt;5000,H111="Cash"),"Yes: ₹1","No"))</f>
        <v/>
      </c>
      <c r="N111" s="27">
        <f>IF(AND(B111="",D111="",N(J111)=0),"",IF(B111="","Enter the date",IF(AND(ROW()&gt;18,B110=""),"Use the next empty row: a skipped row leaves a gap in the voucher numbers",IF(D111="","Enter who was paid",IF(N(J111)=0,"Enter the amount",IF(E111="","Pick the head of account",IF(P111="?","Pick the head from the list",IF(H111="","Pick how it was paid",IF(L111="Cancelled","Cancelled: keep this number unused and write a fresh voucher",IF(AND(H111&lt;&gt;"Cash",I111=""),"Enter the cheque no., UTR or UPI reference",IF(AND(N($E$11)&gt;0,N(J111)&gt;N($E$11),K111=""),"Above your approval limit: get it approved before paying",IF(S111&gt;10000,"Cash paid to this person today is over ₹10,000: not deductible, s.36(4)",IF(T111&gt;35000,"Cash freight to this transporter today is over ₹35,000: not deductible, s.36(6)",IF(U111&gt;10000,"Asset paid in cash over ₹10,000 today: left out of its cost, s.39(2)",IF(AND(P111="L",H111="Cash",N(J111)&gt;=20000),"Loan of ₹20,000 or more repaid in cash: barred, s.188","OK")))))))))))))))</f>
        <v/>
      </c>
      <c r="P111">
        <f>IF(E111="","",IFERROR(VLOOKUP(E111,Lists!$A$2:$B$17,2,FALSE),"?"))</f>
        <v/>
      </c>
      <c r="Q111">
        <f>IF(L111="Cancelled",0,N(J111))</f>
        <v/>
      </c>
      <c r="R111">
        <f>IF(H111="Cash",Q111,0)</f>
        <v/>
      </c>
      <c r="S111">
        <f>IF(OR(P111&lt;&gt;"E",R111=0),0,SUMIFS($R$18:$R$317,$B$18:$B$317,B111,$D$18:$D$317,D111,$P$18:$P$317,"E"))</f>
        <v/>
      </c>
      <c r="T111">
        <f>IF(OR(P111&lt;&gt;"F",R111=0),0,SUMIFS($R$18:$R$317,$B$18:$B$317,B111,$D$18:$D$317,D111,$P$18:$P$317,"F"))</f>
        <v/>
      </c>
      <c r="U111">
        <f>IF(OR(P111&lt;&gt;"A",R111=0),0,SUMIFS($R$18:$R$317,$B$18:$B$317,B111,$D$18:$D$317,D111,$P$18:$P$317,"A"))</f>
        <v/>
      </c>
      <c r="V111">
        <f>IF(OR(N111="",N111="OK",L111="Cancelled"),0,1)</f>
        <v/>
      </c>
    </row>
    <row r="112">
      <c r="B112" s="22" t="n"/>
      <c r="C112" s="23">
        <f>IF(B112="","",$E$9&amp;TEXT(N($E$10)+94,"000"))</f>
        <v/>
      </c>
      <c r="D112" s="14" t="n"/>
      <c r="E112" s="14" t="n"/>
      <c r="F112" s="14" t="n"/>
      <c r="G112" s="24" t="n"/>
      <c r="H112" s="14" t="n"/>
      <c r="I112" s="24" t="n"/>
      <c r="J112" s="25" t="n"/>
      <c r="K112" s="14" t="n"/>
      <c r="L112" s="24" t="n"/>
      <c r="M112" s="26">
        <f>IF(OR(N(J112)=0,L112="Cancelled"),"",IF(AND(N(J112)&gt;5000,H112="Cash"),"Yes: ₹1","No"))</f>
        <v/>
      </c>
      <c r="N112" s="27">
        <f>IF(AND(B112="",D112="",N(J112)=0),"",IF(B112="","Enter the date",IF(AND(ROW()&gt;18,B111=""),"Use the next empty row: a skipped row leaves a gap in the voucher numbers",IF(D112="","Enter who was paid",IF(N(J112)=0,"Enter the amount",IF(E112="","Pick the head of account",IF(P112="?","Pick the head from the list",IF(H112="","Pick how it was paid",IF(L112="Cancelled","Cancelled: keep this number unused and write a fresh voucher",IF(AND(H112&lt;&gt;"Cash",I112=""),"Enter the cheque no., UTR or UPI reference",IF(AND(N($E$11)&gt;0,N(J112)&gt;N($E$11),K112=""),"Above your approval limit: get it approved before paying",IF(S112&gt;10000,"Cash paid to this person today is over ₹10,000: not deductible, s.36(4)",IF(T112&gt;35000,"Cash freight to this transporter today is over ₹35,000: not deductible, s.36(6)",IF(U112&gt;10000,"Asset paid in cash over ₹10,000 today: left out of its cost, s.39(2)",IF(AND(P112="L",H112="Cash",N(J112)&gt;=20000),"Loan of ₹20,000 or more repaid in cash: barred, s.188","OK")))))))))))))))</f>
        <v/>
      </c>
      <c r="P112">
        <f>IF(E112="","",IFERROR(VLOOKUP(E112,Lists!$A$2:$B$17,2,FALSE),"?"))</f>
        <v/>
      </c>
      <c r="Q112">
        <f>IF(L112="Cancelled",0,N(J112))</f>
        <v/>
      </c>
      <c r="R112">
        <f>IF(H112="Cash",Q112,0)</f>
        <v/>
      </c>
      <c r="S112">
        <f>IF(OR(P112&lt;&gt;"E",R112=0),0,SUMIFS($R$18:$R$317,$B$18:$B$317,B112,$D$18:$D$317,D112,$P$18:$P$317,"E"))</f>
        <v/>
      </c>
      <c r="T112">
        <f>IF(OR(P112&lt;&gt;"F",R112=0),0,SUMIFS($R$18:$R$317,$B$18:$B$317,B112,$D$18:$D$317,D112,$P$18:$P$317,"F"))</f>
        <v/>
      </c>
      <c r="U112">
        <f>IF(OR(P112&lt;&gt;"A",R112=0),0,SUMIFS($R$18:$R$317,$B$18:$B$317,B112,$D$18:$D$317,D112,$P$18:$P$317,"A"))</f>
        <v/>
      </c>
      <c r="V112">
        <f>IF(OR(N112="",N112="OK",L112="Cancelled"),0,1)</f>
        <v/>
      </c>
    </row>
    <row r="113">
      <c r="B113" s="22" t="n"/>
      <c r="C113" s="23">
        <f>IF(B113="","",$E$9&amp;TEXT(N($E$10)+95,"000"))</f>
        <v/>
      </c>
      <c r="D113" s="14" t="n"/>
      <c r="E113" s="14" t="n"/>
      <c r="F113" s="14" t="n"/>
      <c r="G113" s="24" t="n"/>
      <c r="H113" s="14" t="n"/>
      <c r="I113" s="24" t="n"/>
      <c r="J113" s="25" t="n"/>
      <c r="K113" s="14" t="n"/>
      <c r="L113" s="24" t="n"/>
      <c r="M113" s="26">
        <f>IF(OR(N(J113)=0,L113="Cancelled"),"",IF(AND(N(J113)&gt;5000,H113="Cash"),"Yes: ₹1","No"))</f>
        <v/>
      </c>
      <c r="N113" s="27">
        <f>IF(AND(B113="",D113="",N(J113)=0),"",IF(B113="","Enter the date",IF(AND(ROW()&gt;18,B112=""),"Use the next empty row: a skipped row leaves a gap in the voucher numbers",IF(D113="","Enter who was paid",IF(N(J113)=0,"Enter the amount",IF(E113="","Pick the head of account",IF(P113="?","Pick the head from the list",IF(H113="","Pick how it was paid",IF(L113="Cancelled","Cancelled: keep this number unused and write a fresh voucher",IF(AND(H113&lt;&gt;"Cash",I113=""),"Enter the cheque no., UTR or UPI reference",IF(AND(N($E$11)&gt;0,N(J113)&gt;N($E$11),K113=""),"Above your approval limit: get it approved before paying",IF(S113&gt;10000,"Cash paid to this person today is over ₹10,000: not deductible, s.36(4)",IF(T113&gt;35000,"Cash freight to this transporter today is over ₹35,000: not deductible, s.36(6)",IF(U113&gt;10000,"Asset paid in cash over ₹10,000 today: left out of its cost, s.39(2)",IF(AND(P113="L",H113="Cash",N(J113)&gt;=20000),"Loan of ₹20,000 or more repaid in cash: barred, s.188","OK")))))))))))))))</f>
        <v/>
      </c>
      <c r="P113">
        <f>IF(E113="","",IFERROR(VLOOKUP(E113,Lists!$A$2:$B$17,2,FALSE),"?"))</f>
        <v/>
      </c>
      <c r="Q113">
        <f>IF(L113="Cancelled",0,N(J113))</f>
        <v/>
      </c>
      <c r="R113">
        <f>IF(H113="Cash",Q113,0)</f>
        <v/>
      </c>
      <c r="S113">
        <f>IF(OR(P113&lt;&gt;"E",R113=0),0,SUMIFS($R$18:$R$317,$B$18:$B$317,B113,$D$18:$D$317,D113,$P$18:$P$317,"E"))</f>
        <v/>
      </c>
      <c r="T113">
        <f>IF(OR(P113&lt;&gt;"F",R113=0),0,SUMIFS($R$18:$R$317,$B$18:$B$317,B113,$D$18:$D$317,D113,$P$18:$P$317,"F"))</f>
        <v/>
      </c>
      <c r="U113">
        <f>IF(OR(P113&lt;&gt;"A",R113=0),0,SUMIFS($R$18:$R$317,$B$18:$B$317,B113,$D$18:$D$317,D113,$P$18:$P$317,"A"))</f>
        <v/>
      </c>
      <c r="V113">
        <f>IF(OR(N113="",N113="OK",L113="Cancelled"),0,1)</f>
        <v/>
      </c>
    </row>
    <row r="114">
      <c r="B114" s="22" t="n"/>
      <c r="C114" s="23">
        <f>IF(B114="","",$E$9&amp;TEXT(N($E$10)+96,"000"))</f>
        <v/>
      </c>
      <c r="D114" s="14" t="n"/>
      <c r="E114" s="14" t="n"/>
      <c r="F114" s="14" t="n"/>
      <c r="G114" s="24" t="n"/>
      <c r="H114" s="14" t="n"/>
      <c r="I114" s="24" t="n"/>
      <c r="J114" s="25" t="n"/>
      <c r="K114" s="14" t="n"/>
      <c r="L114" s="24" t="n"/>
      <c r="M114" s="26">
        <f>IF(OR(N(J114)=0,L114="Cancelled"),"",IF(AND(N(J114)&gt;5000,H114="Cash"),"Yes: ₹1","No"))</f>
        <v/>
      </c>
      <c r="N114" s="27">
        <f>IF(AND(B114="",D114="",N(J114)=0),"",IF(B114="","Enter the date",IF(AND(ROW()&gt;18,B113=""),"Use the next empty row: a skipped row leaves a gap in the voucher numbers",IF(D114="","Enter who was paid",IF(N(J114)=0,"Enter the amount",IF(E114="","Pick the head of account",IF(P114="?","Pick the head from the list",IF(H114="","Pick how it was paid",IF(L114="Cancelled","Cancelled: keep this number unused and write a fresh voucher",IF(AND(H114&lt;&gt;"Cash",I114=""),"Enter the cheque no., UTR or UPI reference",IF(AND(N($E$11)&gt;0,N(J114)&gt;N($E$11),K114=""),"Above your approval limit: get it approved before paying",IF(S114&gt;10000,"Cash paid to this person today is over ₹10,000: not deductible, s.36(4)",IF(T114&gt;35000,"Cash freight to this transporter today is over ₹35,000: not deductible, s.36(6)",IF(U114&gt;10000,"Asset paid in cash over ₹10,000 today: left out of its cost, s.39(2)",IF(AND(P114="L",H114="Cash",N(J114)&gt;=20000),"Loan of ₹20,000 or more repaid in cash: barred, s.188","OK")))))))))))))))</f>
        <v/>
      </c>
      <c r="P114">
        <f>IF(E114="","",IFERROR(VLOOKUP(E114,Lists!$A$2:$B$17,2,FALSE),"?"))</f>
        <v/>
      </c>
      <c r="Q114">
        <f>IF(L114="Cancelled",0,N(J114))</f>
        <v/>
      </c>
      <c r="R114">
        <f>IF(H114="Cash",Q114,0)</f>
        <v/>
      </c>
      <c r="S114">
        <f>IF(OR(P114&lt;&gt;"E",R114=0),0,SUMIFS($R$18:$R$317,$B$18:$B$317,B114,$D$18:$D$317,D114,$P$18:$P$317,"E"))</f>
        <v/>
      </c>
      <c r="T114">
        <f>IF(OR(P114&lt;&gt;"F",R114=0),0,SUMIFS($R$18:$R$317,$B$18:$B$317,B114,$D$18:$D$317,D114,$P$18:$P$317,"F"))</f>
        <v/>
      </c>
      <c r="U114">
        <f>IF(OR(P114&lt;&gt;"A",R114=0),0,SUMIFS($R$18:$R$317,$B$18:$B$317,B114,$D$18:$D$317,D114,$P$18:$P$317,"A"))</f>
        <v/>
      </c>
      <c r="V114">
        <f>IF(OR(N114="",N114="OK",L114="Cancelled"),0,1)</f>
        <v/>
      </c>
    </row>
    <row r="115">
      <c r="B115" s="22" t="n"/>
      <c r="C115" s="23">
        <f>IF(B115="","",$E$9&amp;TEXT(N($E$10)+97,"000"))</f>
        <v/>
      </c>
      <c r="D115" s="14" t="n"/>
      <c r="E115" s="14" t="n"/>
      <c r="F115" s="14" t="n"/>
      <c r="G115" s="24" t="n"/>
      <c r="H115" s="14" t="n"/>
      <c r="I115" s="24" t="n"/>
      <c r="J115" s="25" t="n"/>
      <c r="K115" s="14" t="n"/>
      <c r="L115" s="24" t="n"/>
      <c r="M115" s="26">
        <f>IF(OR(N(J115)=0,L115="Cancelled"),"",IF(AND(N(J115)&gt;5000,H115="Cash"),"Yes: ₹1","No"))</f>
        <v/>
      </c>
      <c r="N115" s="27">
        <f>IF(AND(B115="",D115="",N(J115)=0),"",IF(B115="","Enter the date",IF(AND(ROW()&gt;18,B114=""),"Use the next empty row: a skipped row leaves a gap in the voucher numbers",IF(D115="","Enter who was paid",IF(N(J115)=0,"Enter the amount",IF(E115="","Pick the head of account",IF(P115="?","Pick the head from the list",IF(H115="","Pick how it was paid",IF(L115="Cancelled","Cancelled: keep this number unused and write a fresh voucher",IF(AND(H115&lt;&gt;"Cash",I115=""),"Enter the cheque no., UTR or UPI reference",IF(AND(N($E$11)&gt;0,N(J115)&gt;N($E$11),K115=""),"Above your approval limit: get it approved before paying",IF(S115&gt;10000,"Cash paid to this person today is over ₹10,000: not deductible, s.36(4)",IF(T115&gt;35000,"Cash freight to this transporter today is over ₹35,000: not deductible, s.36(6)",IF(U115&gt;10000,"Asset paid in cash over ₹10,000 today: left out of its cost, s.39(2)",IF(AND(P115="L",H115="Cash",N(J115)&gt;=20000),"Loan of ₹20,000 or more repaid in cash: barred, s.188","OK")))))))))))))))</f>
        <v/>
      </c>
      <c r="P115">
        <f>IF(E115="","",IFERROR(VLOOKUP(E115,Lists!$A$2:$B$17,2,FALSE),"?"))</f>
        <v/>
      </c>
      <c r="Q115">
        <f>IF(L115="Cancelled",0,N(J115))</f>
        <v/>
      </c>
      <c r="R115">
        <f>IF(H115="Cash",Q115,0)</f>
        <v/>
      </c>
      <c r="S115">
        <f>IF(OR(P115&lt;&gt;"E",R115=0),0,SUMIFS($R$18:$R$317,$B$18:$B$317,B115,$D$18:$D$317,D115,$P$18:$P$317,"E"))</f>
        <v/>
      </c>
      <c r="T115">
        <f>IF(OR(P115&lt;&gt;"F",R115=0),0,SUMIFS($R$18:$R$317,$B$18:$B$317,B115,$D$18:$D$317,D115,$P$18:$P$317,"F"))</f>
        <v/>
      </c>
      <c r="U115">
        <f>IF(OR(P115&lt;&gt;"A",R115=0),0,SUMIFS($R$18:$R$317,$B$18:$B$317,B115,$D$18:$D$317,D115,$P$18:$P$317,"A"))</f>
        <v/>
      </c>
      <c r="V115">
        <f>IF(OR(N115="",N115="OK",L115="Cancelled"),0,1)</f>
        <v/>
      </c>
    </row>
    <row r="116">
      <c r="B116" s="22" t="n"/>
      <c r="C116" s="23">
        <f>IF(B116="","",$E$9&amp;TEXT(N($E$10)+98,"000"))</f>
        <v/>
      </c>
      <c r="D116" s="14" t="n"/>
      <c r="E116" s="14" t="n"/>
      <c r="F116" s="14" t="n"/>
      <c r="G116" s="24" t="n"/>
      <c r="H116" s="14" t="n"/>
      <c r="I116" s="24" t="n"/>
      <c r="J116" s="25" t="n"/>
      <c r="K116" s="14" t="n"/>
      <c r="L116" s="24" t="n"/>
      <c r="M116" s="26">
        <f>IF(OR(N(J116)=0,L116="Cancelled"),"",IF(AND(N(J116)&gt;5000,H116="Cash"),"Yes: ₹1","No"))</f>
        <v/>
      </c>
      <c r="N116" s="27">
        <f>IF(AND(B116="",D116="",N(J116)=0),"",IF(B116="","Enter the date",IF(AND(ROW()&gt;18,B115=""),"Use the next empty row: a skipped row leaves a gap in the voucher numbers",IF(D116="","Enter who was paid",IF(N(J116)=0,"Enter the amount",IF(E116="","Pick the head of account",IF(P116="?","Pick the head from the list",IF(H116="","Pick how it was paid",IF(L116="Cancelled","Cancelled: keep this number unused and write a fresh voucher",IF(AND(H116&lt;&gt;"Cash",I116=""),"Enter the cheque no., UTR or UPI reference",IF(AND(N($E$11)&gt;0,N(J116)&gt;N($E$11),K116=""),"Above your approval limit: get it approved before paying",IF(S116&gt;10000,"Cash paid to this person today is over ₹10,000: not deductible, s.36(4)",IF(T116&gt;35000,"Cash freight to this transporter today is over ₹35,000: not deductible, s.36(6)",IF(U116&gt;10000,"Asset paid in cash over ₹10,000 today: left out of its cost, s.39(2)",IF(AND(P116="L",H116="Cash",N(J116)&gt;=20000),"Loan of ₹20,000 or more repaid in cash: barred, s.188","OK")))))))))))))))</f>
        <v/>
      </c>
      <c r="P116">
        <f>IF(E116="","",IFERROR(VLOOKUP(E116,Lists!$A$2:$B$17,2,FALSE),"?"))</f>
        <v/>
      </c>
      <c r="Q116">
        <f>IF(L116="Cancelled",0,N(J116))</f>
        <v/>
      </c>
      <c r="R116">
        <f>IF(H116="Cash",Q116,0)</f>
        <v/>
      </c>
      <c r="S116">
        <f>IF(OR(P116&lt;&gt;"E",R116=0),0,SUMIFS($R$18:$R$317,$B$18:$B$317,B116,$D$18:$D$317,D116,$P$18:$P$317,"E"))</f>
        <v/>
      </c>
      <c r="T116">
        <f>IF(OR(P116&lt;&gt;"F",R116=0),0,SUMIFS($R$18:$R$317,$B$18:$B$317,B116,$D$18:$D$317,D116,$P$18:$P$317,"F"))</f>
        <v/>
      </c>
      <c r="U116">
        <f>IF(OR(P116&lt;&gt;"A",R116=0),0,SUMIFS($R$18:$R$317,$B$18:$B$317,B116,$D$18:$D$317,D116,$P$18:$P$317,"A"))</f>
        <v/>
      </c>
      <c r="V116">
        <f>IF(OR(N116="",N116="OK",L116="Cancelled"),0,1)</f>
        <v/>
      </c>
    </row>
    <row r="117">
      <c r="B117" s="22" t="n"/>
      <c r="C117" s="23">
        <f>IF(B117="","",$E$9&amp;TEXT(N($E$10)+99,"000"))</f>
        <v/>
      </c>
      <c r="D117" s="14" t="n"/>
      <c r="E117" s="14" t="n"/>
      <c r="F117" s="14" t="n"/>
      <c r="G117" s="24" t="n"/>
      <c r="H117" s="14" t="n"/>
      <c r="I117" s="24" t="n"/>
      <c r="J117" s="25" t="n"/>
      <c r="K117" s="14" t="n"/>
      <c r="L117" s="24" t="n"/>
      <c r="M117" s="26">
        <f>IF(OR(N(J117)=0,L117="Cancelled"),"",IF(AND(N(J117)&gt;5000,H117="Cash"),"Yes: ₹1","No"))</f>
        <v/>
      </c>
      <c r="N117" s="27">
        <f>IF(AND(B117="",D117="",N(J117)=0),"",IF(B117="","Enter the date",IF(AND(ROW()&gt;18,B116=""),"Use the next empty row: a skipped row leaves a gap in the voucher numbers",IF(D117="","Enter who was paid",IF(N(J117)=0,"Enter the amount",IF(E117="","Pick the head of account",IF(P117="?","Pick the head from the list",IF(H117="","Pick how it was paid",IF(L117="Cancelled","Cancelled: keep this number unused and write a fresh voucher",IF(AND(H117&lt;&gt;"Cash",I117=""),"Enter the cheque no., UTR or UPI reference",IF(AND(N($E$11)&gt;0,N(J117)&gt;N($E$11),K117=""),"Above your approval limit: get it approved before paying",IF(S117&gt;10000,"Cash paid to this person today is over ₹10,000: not deductible, s.36(4)",IF(T117&gt;35000,"Cash freight to this transporter today is over ₹35,000: not deductible, s.36(6)",IF(U117&gt;10000,"Asset paid in cash over ₹10,000 today: left out of its cost, s.39(2)",IF(AND(P117="L",H117="Cash",N(J117)&gt;=20000),"Loan of ₹20,000 or more repaid in cash: barred, s.188","OK")))))))))))))))</f>
        <v/>
      </c>
      <c r="P117">
        <f>IF(E117="","",IFERROR(VLOOKUP(E117,Lists!$A$2:$B$17,2,FALSE),"?"))</f>
        <v/>
      </c>
      <c r="Q117">
        <f>IF(L117="Cancelled",0,N(J117))</f>
        <v/>
      </c>
      <c r="R117">
        <f>IF(H117="Cash",Q117,0)</f>
        <v/>
      </c>
      <c r="S117">
        <f>IF(OR(P117&lt;&gt;"E",R117=0),0,SUMIFS($R$18:$R$317,$B$18:$B$317,B117,$D$18:$D$317,D117,$P$18:$P$317,"E"))</f>
        <v/>
      </c>
      <c r="T117">
        <f>IF(OR(P117&lt;&gt;"F",R117=0),0,SUMIFS($R$18:$R$317,$B$18:$B$317,B117,$D$18:$D$317,D117,$P$18:$P$317,"F"))</f>
        <v/>
      </c>
      <c r="U117">
        <f>IF(OR(P117&lt;&gt;"A",R117=0),0,SUMIFS($R$18:$R$317,$B$18:$B$317,B117,$D$18:$D$317,D117,$P$18:$P$317,"A"))</f>
        <v/>
      </c>
      <c r="V117">
        <f>IF(OR(N117="",N117="OK",L117="Cancelled"),0,1)</f>
        <v/>
      </c>
    </row>
    <row r="118">
      <c r="B118" s="22" t="n"/>
      <c r="C118" s="23">
        <f>IF(B118="","",$E$9&amp;TEXT(N($E$10)+100,"000"))</f>
        <v/>
      </c>
      <c r="D118" s="14" t="n"/>
      <c r="E118" s="14" t="n"/>
      <c r="F118" s="14" t="n"/>
      <c r="G118" s="24" t="n"/>
      <c r="H118" s="14" t="n"/>
      <c r="I118" s="24" t="n"/>
      <c r="J118" s="25" t="n"/>
      <c r="K118" s="14" t="n"/>
      <c r="L118" s="24" t="n"/>
      <c r="M118" s="26">
        <f>IF(OR(N(J118)=0,L118="Cancelled"),"",IF(AND(N(J118)&gt;5000,H118="Cash"),"Yes: ₹1","No"))</f>
        <v/>
      </c>
      <c r="N118" s="27">
        <f>IF(AND(B118="",D118="",N(J118)=0),"",IF(B118="","Enter the date",IF(AND(ROW()&gt;18,B117=""),"Use the next empty row: a skipped row leaves a gap in the voucher numbers",IF(D118="","Enter who was paid",IF(N(J118)=0,"Enter the amount",IF(E118="","Pick the head of account",IF(P118="?","Pick the head from the list",IF(H118="","Pick how it was paid",IF(L118="Cancelled","Cancelled: keep this number unused and write a fresh voucher",IF(AND(H118&lt;&gt;"Cash",I118=""),"Enter the cheque no., UTR or UPI reference",IF(AND(N($E$11)&gt;0,N(J118)&gt;N($E$11),K118=""),"Above your approval limit: get it approved before paying",IF(S118&gt;10000,"Cash paid to this person today is over ₹10,000: not deductible, s.36(4)",IF(T118&gt;35000,"Cash freight to this transporter today is over ₹35,000: not deductible, s.36(6)",IF(U118&gt;10000,"Asset paid in cash over ₹10,000 today: left out of its cost, s.39(2)",IF(AND(P118="L",H118="Cash",N(J118)&gt;=20000),"Loan of ₹20,000 or more repaid in cash: barred, s.188","OK")))))))))))))))</f>
        <v/>
      </c>
      <c r="P118">
        <f>IF(E118="","",IFERROR(VLOOKUP(E118,Lists!$A$2:$B$17,2,FALSE),"?"))</f>
        <v/>
      </c>
      <c r="Q118">
        <f>IF(L118="Cancelled",0,N(J118))</f>
        <v/>
      </c>
      <c r="R118">
        <f>IF(H118="Cash",Q118,0)</f>
        <v/>
      </c>
      <c r="S118">
        <f>IF(OR(P118&lt;&gt;"E",R118=0),0,SUMIFS($R$18:$R$317,$B$18:$B$317,B118,$D$18:$D$317,D118,$P$18:$P$317,"E"))</f>
        <v/>
      </c>
      <c r="T118">
        <f>IF(OR(P118&lt;&gt;"F",R118=0),0,SUMIFS($R$18:$R$317,$B$18:$B$317,B118,$D$18:$D$317,D118,$P$18:$P$317,"F"))</f>
        <v/>
      </c>
      <c r="U118">
        <f>IF(OR(P118&lt;&gt;"A",R118=0),0,SUMIFS($R$18:$R$317,$B$18:$B$317,B118,$D$18:$D$317,D118,$P$18:$P$317,"A"))</f>
        <v/>
      </c>
      <c r="V118">
        <f>IF(OR(N118="",N118="OK",L118="Cancelled"),0,1)</f>
        <v/>
      </c>
    </row>
    <row r="119">
      <c r="B119" s="22" t="n"/>
      <c r="C119" s="23">
        <f>IF(B119="","",$E$9&amp;TEXT(N($E$10)+101,"000"))</f>
        <v/>
      </c>
      <c r="D119" s="14" t="n"/>
      <c r="E119" s="14" t="n"/>
      <c r="F119" s="14" t="n"/>
      <c r="G119" s="24" t="n"/>
      <c r="H119" s="14" t="n"/>
      <c r="I119" s="24" t="n"/>
      <c r="J119" s="25" t="n"/>
      <c r="K119" s="14" t="n"/>
      <c r="L119" s="24" t="n"/>
      <c r="M119" s="26">
        <f>IF(OR(N(J119)=0,L119="Cancelled"),"",IF(AND(N(J119)&gt;5000,H119="Cash"),"Yes: ₹1","No"))</f>
        <v/>
      </c>
      <c r="N119" s="27">
        <f>IF(AND(B119="",D119="",N(J119)=0),"",IF(B119="","Enter the date",IF(AND(ROW()&gt;18,B118=""),"Use the next empty row: a skipped row leaves a gap in the voucher numbers",IF(D119="","Enter who was paid",IF(N(J119)=0,"Enter the amount",IF(E119="","Pick the head of account",IF(P119="?","Pick the head from the list",IF(H119="","Pick how it was paid",IF(L119="Cancelled","Cancelled: keep this number unused and write a fresh voucher",IF(AND(H119&lt;&gt;"Cash",I119=""),"Enter the cheque no., UTR or UPI reference",IF(AND(N($E$11)&gt;0,N(J119)&gt;N($E$11),K119=""),"Above your approval limit: get it approved before paying",IF(S119&gt;10000,"Cash paid to this person today is over ₹10,000: not deductible, s.36(4)",IF(T119&gt;35000,"Cash freight to this transporter today is over ₹35,000: not deductible, s.36(6)",IF(U119&gt;10000,"Asset paid in cash over ₹10,000 today: left out of its cost, s.39(2)",IF(AND(P119="L",H119="Cash",N(J119)&gt;=20000),"Loan of ₹20,000 or more repaid in cash: barred, s.188","OK")))))))))))))))</f>
        <v/>
      </c>
      <c r="P119">
        <f>IF(E119="","",IFERROR(VLOOKUP(E119,Lists!$A$2:$B$17,2,FALSE),"?"))</f>
        <v/>
      </c>
      <c r="Q119">
        <f>IF(L119="Cancelled",0,N(J119))</f>
        <v/>
      </c>
      <c r="R119">
        <f>IF(H119="Cash",Q119,0)</f>
        <v/>
      </c>
      <c r="S119">
        <f>IF(OR(P119&lt;&gt;"E",R119=0),0,SUMIFS($R$18:$R$317,$B$18:$B$317,B119,$D$18:$D$317,D119,$P$18:$P$317,"E"))</f>
        <v/>
      </c>
      <c r="T119">
        <f>IF(OR(P119&lt;&gt;"F",R119=0),0,SUMIFS($R$18:$R$317,$B$18:$B$317,B119,$D$18:$D$317,D119,$P$18:$P$317,"F"))</f>
        <v/>
      </c>
      <c r="U119">
        <f>IF(OR(P119&lt;&gt;"A",R119=0),0,SUMIFS($R$18:$R$317,$B$18:$B$317,B119,$D$18:$D$317,D119,$P$18:$P$317,"A"))</f>
        <v/>
      </c>
      <c r="V119">
        <f>IF(OR(N119="",N119="OK",L119="Cancelled"),0,1)</f>
        <v/>
      </c>
    </row>
    <row r="120">
      <c r="B120" s="22" t="n"/>
      <c r="C120" s="23">
        <f>IF(B120="","",$E$9&amp;TEXT(N($E$10)+102,"000"))</f>
        <v/>
      </c>
      <c r="D120" s="14" t="n"/>
      <c r="E120" s="14" t="n"/>
      <c r="F120" s="14" t="n"/>
      <c r="G120" s="24" t="n"/>
      <c r="H120" s="14" t="n"/>
      <c r="I120" s="24" t="n"/>
      <c r="J120" s="25" t="n"/>
      <c r="K120" s="14" t="n"/>
      <c r="L120" s="24" t="n"/>
      <c r="M120" s="26">
        <f>IF(OR(N(J120)=0,L120="Cancelled"),"",IF(AND(N(J120)&gt;5000,H120="Cash"),"Yes: ₹1","No"))</f>
        <v/>
      </c>
      <c r="N120" s="27">
        <f>IF(AND(B120="",D120="",N(J120)=0),"",IF(B120="","Enter the date",IF(AND(ROW()&gt;18,B119=""),"Use the next empty row: a skipped row leaves a gap in the voucher numbers",IF(D120="","Enter who was paid",IF(N(J120)=0,"Enter the amount",IF(E120="","Pick the head of account",IF(P120="?","Pick the head from the list",IF(H120="","Pick how it was paid",IF(L120="Cancelled","Cancelled: keep this number unused and write a fresh voucher",IF(AND(H120&lt;&gt;"Cash",I120=""),"Enter the cheque no., UTR or UPI reference",IF(AND(N($E$11)&gt;0,N(J120)&gt;N($E$11),K120=""),"Above your approval limit: get it approved before paying",IF(S120&gt;10000,"Cash paid to this person today is over ₹10,000: not deductible, s.36(4)",IF(T120&gt;35000,"Cash freight to this transporter today is over ₹35,000: not deductible, s.36(6)",IF(U120&gt;10000,"Asset paid in cash over ₹10,000 today: left out of its cost, s.39(2)",IF(AND(P120="L",H120="Cash",N(J120)&gt;=20000),"Loan of ₹20,000 or more repaid in cash: barred, s.188","OK")))))))))))))))</f>
        <v/>
      </c>
      <c r="P120">
        <f>IF(E120="","",IFERROR(VLOOKUP(E120,Lists!$A$2:$B$17,2,FALSE),"?"))</f>
        <v/>
      </c>
      <c r="Q120">
        <f>IF(L120="Cancelled",0,N(J120))</f>
        <v/>
      </c>
      <c r="R120">
        <f>IF(H120="Cash",Q120,0)</f>
        <v/>
      </c>
      <c r="S120">
        <f>IF(OR(P120&lt;&gt;"E",R120=0),0,SUMIFS($R$18:$R$317,$B$18:$B$317,B120,$D$18:$D$317,D120,$P$18:$P$317,"E"))</f>
        <v/>
      </c>
      <c r="T120">
        <f>IF(OR(P120&lt;&gt;"F",R120=0),0,SUMIFS($R$18:$R$317,$B$18:$B$317,B120,$D$18:$D$317,D120,$P$18:$P$317,"F"))</f>
        <v/>
      </c>
      <c r="U120">
        <f>IF(OR(P120&lt;&gt;"A",R120=0),0,SUMIFS($R$18:$R$317,$B$18:$B$317,B120,$D$18:$D$317,D120,$P$18:$P$317,"A"))</f>
        <v/>
      </c>
      <c r="V120">
        <f>IF(OR(N120="",N120="OK",L120="Cancelled"),0,1)</f>
        <v/>
      </c>
    </row>
    <row r="121">
      <c r="B121" s="22" t="n"/>
      <c r="C121" s="23">
        <f>IF(B121="","",$E$9&amp;TEXT(N($E$10)+103,"000"))</f>
        <v/>
      </c>
      <c r="D121" s="14" t="n"/>
      <c r="E121" s="14" t="n"/>
      <c r="F121" s="14" t="n"/>
      <c r="G121" s="24" t="n"/>
      <c r="H121" s="14" t="n"/>
      <c r="I121" s="24" t="n"/>
      <c r="J121" s="25" t="n"/>
      <c r="K121" s="14" t="n"/>
      <c r="L121" s="24" t="n"/>
      <c r="M121" s="26">
        <f>IF(OR(N(J121)=0,L121="Cancelled"),"",IF(AND(N(J121)&gt;5000,H121="Cash"),"Yes: ₹1","No"))</f>
        <v/>
      </c>
      <c r="N121" s="27">
        <f>IF(AND(B121="",D121="",N(J121)=0),"",IF(B121="","Enter the date",IF(AND(ROW()&gt;18,B120=""),"Use the next empty row: a skipped row leaves a gap in the voucher numbers",IF(D121="","Enter who was paid",IF(N(J121)=0,"Enter the amount",IF(E121="","Pick the head of account",IF(P121="?","Pick the head from the list",IF(H121="","Pick how it was paid",IF(L121="Cancelled","Cancelled: keep this number unused and write a fresh voucher",IF(AND(H121&lt;&gt;"Cash",I121=""),"Enter the cheque no., UTR or UPI reference",IF(AND(N($E$11)&gt;0,N(J121)&gt;N($E$11),K121=""),"Above your approval limit: get it approved before paying",IF(S121&gt;10000,"Cash paid to this person today is over ₹10,000: not deductible, s.36(4)",IF(T121&gt;35000,"Cash freight to this transporter today is over ₹35,000: not deductible, s.36(6)",IF(U121&gt;10000,"Asset paid in cash over ₹10,000 today: left out of its cost, s.39(2)",IF(AND(P121="L",H121="Cash",N(J121)&gt;=20000),"Loan of ₹20,000 or more repaid in cash: barred, s.188","OK")))))))))))))))</f>
        <v/>
      </c>
      <c r="P121">
        <f>IF(E121="","",IFERROR(VLOOKUP(E121,Lists!$A$2:$B$17,2,FALSE),"?"))</f>
        <v/>
      </c>
      <c r="Q121">
        <f>IF(L121="Cancelled",0,N(J121))</f>
        <v/>
      </c>
      <c r="R121">
        <f>IF(H121="Cash",Q121,0)</f>
        <v/>
      </c>
      <c r="S121">
        <f>IF(OR(P121&lt;&gt;"E",R121=0),0,SUMIFS($R$18:$R$317,$B$18:$B$317,B121,$D$18:$D$317,D121,$P$18:$P$317,"E"))</f>
        <v/>
      </c>
      <c r="T121">
        <f>IF(OR(P121&lt;&gt;"F",R121=0),0,SUMIFS($R$18:$R$317,$B$18:$B$317,B121,$D$18:$D$317,D121,$P$18:$P$317,"F"))</f>
        <v/>
      </c>
      <c r="U121">
        <f>IF(OR(P121&lt;&gt;"A",R121=0),0,SUMIFS($R$18:$R$317,$B$18:$B$317,B121,$D$18:$D$317,D121,$P$18:$P$317,"A"))</f>
        <v/>
      </c>
      <c r="V121">
        <f>IF(OR(N121="",N121="OK",L121="Cancelled"),0,1)</f>
        <v/>
      </c>
    </row>
    <row r="122">
      <c r="B122" s="22" t="n"/>
      <c r="C122" s="23">
        <f>IF(B122="","",$E$9&amp;TEXT(N($E$10)+104,"000"))</f>
        <v/>
      </c>
      <c r="D122" s="14" t="n"/>
      <c r="E122" s="14" t="n"/>
      <c r="F122" s="14" t="n"/>
      <c r="G122" s="24" t="n"/>
      <c r="H122" s="14" t="n"/>
      <c r="I122" s="24" t="n"/>
      <c r="J122" s="25" t="n"/>
      <c r="K122" s="14" t="n"/>
      <c r="L122" s="24" t="n"/>
      <c r="M122" s="26">
        <f>IF(OR(N(J122)=0,L122="Cancelled"),"",IF(AND(N(J122)&gt;5000,H122="Cash"),"Yes: ₹1","No"))</f>
        <v/>
      </c>
      <c r="N122" s="27">
        <f>IF(AND(B122="",D122="",N(J122)=0),"",IF(B122="","Enter the date",IF(AND(ROW()&gt;18,B121=""),"Use the next empty row: a skipped row leaves a gap in the voucher numbers",IF(D122="","Enter who was paid",IF(N(J122)=0,"Enter the amount",IF(E122="","Pick the head of account",IF(P122="?","Pick the head from the list",IF(H122="","Pick how it was paid",IF(L122="Cancelled","Cancelled: keep this number unused and write a fresh voucher",IF(AND(H122&lt;&gt;"Cash",I122=""),"Enter the cheque no., UTR or UPI reference",IF(AND(N($E$11)&gt;0,N(J122)&gt;N($E$11),K122=""),"Above your approval limit: get it approved before paying",IF(S122&gt;10000,"Cash paid to this person today is over ₹10,000: not deductible, s.36(4)",IF(T122&gt;35000,"Cash freight to this transporter today is over ₹35,000: not deductible, s.36(6)",IF(U122&gt;10000,"Asset paid in cash over ₹10,000 today: left out of its cost, s.39(2)",IF(AND(P122="L",H122="Cash",N(J122)&gt;=20000),"Loan of ₹20,000 or more repaid in cash: barred, s.188","OK")))))))))))))))</f>
        <v/>
      </c>
      <c r="P122">
        <f>IF(E122="","",IFERROR(VLOOKUP(E122,Lists!$A$2:$B$17,2,FALSE),"?"))</f>
        <v/>
      </c>
      <c r="Q122">
        <f>IF(L122="Cancelled",0,N(J122))</f>
        <v/>
      </c>
      <c r="R122">
        <f>IF(H122="Cash",Q122,0)</f>
        <v/>
      </c>
      <c r="S122">
        <f>IF(OR(P122&lt;&gt;"E",R122=0),0,SUMIFS($R$18:$R$317,$B$18:$B$317,B122,$D$18:$D$317,D122,$P$18:$P$317,"E"))</f>
        <v/>
      </c>
      <c r="T122">
        <f>IF(OR(P122&lt;&gt;"F",R122=0),0,SUMIFS($R$18:$R$317,$B$18:$B$317,B122,$D$18:$D$317,D122,$P$18:$P$317,"F"))</f>
        <v/>
      </c>
      <c r="U122">
        <f>IF(OR(P122&lt;&gt;"A",R122=0),0,SUMIFS($R$18:$R$317,$B$18:$B$317,B122,$D$18:$D$317,D122,$P$18:$P$317,"A"))</f>
        <v/>
      </c>
      <c r="V122">
        <f>IF(OR(N122="",N122="OK",L122="Cancelled"),0,1)</f>
        <v/>
      </c>
    </row>
    <row r="123">
      <c r="B123" s="22" t="n"/>
      <c r="C123" s="23">
        <f>IF(B123="","",$E$9&amp;TEXT(N($E$10)+105,"000"))</f>
        <v/>
      </c>
      <c r="D123" s="14" t="n"/>
      <c r="E123" s="14" t="n"/>
      <c r="F123" s="14" t="n"/>
      <c r="G123" s="24" t="n"/>
      <c r="H123" s="14" t="n"/>
      <c r="I123" s="24" t="n"/>
      <c r="J123" s="25" t="n"/>
      <c r="K123" s="14" t="n"/>
      <c r="L123" s="24" t="n"/>
      <c r="M123" s="26">
        <f>IF(OR(N(J123)=0,L123="Cancelled"),"",IF(AND(N(J123)&gt;5000,H123="Cash"),"Yes: ₹1","No"))</f>
        <v/>
      </c>
      <c r="N123" s="27">
        <f>IF(AND(B123="",D123="",N(J123)=0),"",IF(B123="","Enter the date",IF(AND(ROW()&gt;18,B122=""),"Use the next empty row: a skipped row leaves a gap in the voucher numbers",IF(D123="","Enter who was paid",IF(N(J123)=0,"Enter the amount",IF(E123="","Pick the head of account",IF(P123="?","Pick the head from the list",IF(H123="","Pick how it was paid",IF(L123="Cancelled","Cancelled: keep this number unused and write a fresh voucher",IF(AND(H123&lt;&gt;"Cash",I123=""),"Enter the cheque no., UTR or UPI reference",IF(AND(N($E$11)&gt;0,N(J123)&gt;N($E$11),K123=""),"Above your approval limit: get it approved before paying",IF(S123&gt;10000,"Cash paid to this person today is over ₹10,000: not deductible, s.36(4)",IF(T123&gt;35000,"Cash freight to this transporter today is over ₹35,000: not deductible, s.36(6)",IF(U123&gt;10000,"Asset paid in cash over ₹10,000 today: left out of its cost, s.39(2)",IF(AND(P123="L",H123="Cash",N(J123)&gt;=20000),"Loan of ₹20,000 or more repaid in cash: barred, s.188","OK")))))))))))))))</f>
        <v/>
      </c>
      <c r="P123">
        <f>IF(E123="","",IFERROR(VLOOKUP(E123,Lists!$A$2:$B$17,2,FALSE),"?"))</f>
        <v/>
      </c>
      <c r="Q123">
        <f>IF(L123="Cancelled",0,N(J123))</f>
        <v/>
      </c>
      <c r="R123">
        <f>IF(H123="Cash",Q123,0)</f>
        <v/>
      </c>
      <c r="S123">
        <f>IF(OR(P123&lt;&gt;"E",R123=0),0,SUMIFS($R$18:$R$317,$B$18:$B$317,B123,$D$18:$D$317,D123,$P$18:$P$317,"E"))</f>
        <v/>
      </c>
      <c r="T123">
        <f>IF(OR(P123&lt;&gt;"F",R123=0),0,SUMIFS($R$18:$R$317,$B$18:$B$317,B123,$D$18:$D$317,D123,$P$18:$P$317,"F"))</f>
        <v/>
      </c>
      <c r="U123">
        <f>IF(OR(P123&lt;&gt;"A",R123=0),0,SUMIFS($R$18:$R$317,$B$18:$B$317,B123,$D$18:$D$317,D123,$P$18:$P$317,"A"))</f>
        <v/>
      </c>
      <c r="V123">
        <f>IF(OR(N123="",N123="OK",L123="Cancelled"),0,1)</f>
        <v/>
      </c>
    </row>
    <row r="124">
      <c r="B124" s="22" t="n"/>
      <c r="C124" s="23">
        <f>IF(B124="","",$E$9&amp;TEXT(N($E$10)+106,"000"))</f>
        <v/>
      </c>
      <c r="D124" s="14" t="n"/>
      <c r="E124" s="14" t="n"/>
      <c r="F124" s="14" t="n"/>
      <c r="G124" s="24" t="n"/>
      <c r="H124" s="14" t="n"/>
      <c r="I124" s="24" t="n"/>
      <c r="J124" s="25" t="n"/>
      <c r="K124" s="14" t="n"/>
      <c r="L124" s="24" t="n"/>
      <c r="M124" s="26">
        <f>IF(OR(N(J124)=0,L124="Cancelled"),"",IF(AND(N(J124)&gt;5000,H124="Cash"),"Yes: ₹1","No"))</f>
        <v/>
      </c>
      <c r="N124" s="27">
        <f>IF(AND(B124="",D124="",N(J124)=0),"",IF(B124="","Enter the date",IF(AND(ROW()&gt;18,B123=""),"Use the next empty row: a skipped row leaves a gap in the voucher numbers",IF(D124="","Enter who was paid",IF(N(J124)=0,"Enter the amount",IF(E124="","Pick the head of account",IF(P124="?","Pick the head from the list",IF(H124="","Pick how it was paid",IF(L124="Cancelled","Cancelled: keep this number unused and write a fresh voucher",IF(AND(H124&lt;&gt;"Cash",I124=""),"Enter the cheque no., UTR or UPI reference",IF(AND(N($E$11)&gt;0,N(J124)&gt;N($E$11),K124=""),"Above your approval limit: get it approved before paying",IF(S124&gt;10000,"Cash paid to this person today is over ₹10,000: not deductible, s.36(4)",IF(T124&gt;35000,"Cash freight to this transporter today is over ₹35,000: not deductible, s.36(6)",IF(U124&gt;10000,"Asset paid in cash over ₹10,000 today: left out of its cost, s.39(2)",IF(AND(P124="L",H124="Cash",N(J124)&gt;=20000),"Loan of ₹20,000 or more repaid in cash: barred, s.188","OK")))))))))))))))</f>
        <v/>
      </c>
      <c r="P124">
        <f>IF(E124="","",IFERROR(VLOOKUP(E124,Lists!$A$2:$B$17,2,FALSE),"?"))</f>
        <v/>
      </c>
      <c r="Q124">
        <f>IF(L124="Cancelled",0,N(J124))</f>
        <v/>
      </c>
      <c r="R124">
        <f>IF(H124="Cash",Q124,0)</f>
        <v/>
      </c>
      <c r="S124">
        <f>IF(OR(P124&lt;&gt;"E",R124=0),0,SUMIFS($R$18:$R$317,$B$18:$B$317,B124,$D$18:$D$317,D124,$P$18:$P$317,"E"))</f>
        <v/>
      </c>
      <c r="T124">
        <f>IF(OR(P124&lt;&gt;"F",R124=0),0,SUMIFS($R$18:$R$317,$B$18:$B$317,B124,$D$18:$D$317,D124,$P$18:$P$317,"F"))</f>
        <v/>
      </c>
      <c r="U124">
        <f>IF(OR(P124&lt;&gt;"A",R124=0),0,SUMIFS($R$18:$R$317,$B$18:$B$317,B124,$D$18:$D$317,D124,$P$18:$P$317,"A"))</f>
        <v/>
      </c>
      <c r="V124">
        <f>IF(OR(N124="",N124="OK",L124="Cancelled"),0,1)</f>
        <v/>
      </c>
    </row>
    <row r="125">
      <c r="B125" s="22" t="n"/>
      <c r="C125" s="23">
        <f>IF(B125="","",$E$9&amp;TEXT(N($E$10)+107,"000"))</f>
        <v/>
      </c>
      <c r="D125" s="14" t="n"/>
      <c r="E125" s="14" t="n"/>
      <c r="F125" s="14" t="n"/>
      <c r="G125" s="24" t="n"/>
      <c r="H125" s="14" t="n"/>
      <c r="I125" s="24" t="n"/>
      <c r="J125" s="25" t="n"/>
      <c r="K125" s="14" t="n"/>
      <c r="L125" s="24" t="n"/>
      <c r="M125" s="26">
        <f>IF(OR(N(J125)=0,L125="Cancelled"),"",IF(AND(N(J125)&gt;5000,H125="Cash"),"Yes: ₹1","No"))</f>
        <v/>
      </c>
      <c r="N125" s="27">
        <f>IF(AND(B125="",D125="",N(J125)=0),"",IF(B125="","Enter the date",IF(AND(ROW()&gt;18,B124=""),"Use the next empty row: a skipped row leaves a gap in the voucher numbers",IF(D125="","Enter who was paid",IF(N(J125)=0,"Enter the amount",IF(E125="","Pick the head of account",IF(P125="?","Pick the head from the list",IF(H125="","Pick how it was paid",IF(L125="Cancelled","Cancelled: keep this number unused and write a fresh voucher",IF(AND(H125&lt;&gt;"Cash",I125=""),"Enter the cheque no., UTR or UPI reference",IF(AND(N($E$11)&gt;0,N(J125)&gt;N($E$11),K125=""),"Above your approval limit: get it approved before paying",IF(S125&gt;10000,"Cash paid to this person today is over ₹10,000: not deductible, s.36(4)",IF(T125&gt;35000,"Cash freight to this transporter today is over ₹35,000: not deductible, s.36(6)",IF(U125&gt;10000,"Asset paid in cash over ₹10,000 today: left out of its cost, s.39(2)",IF(AND(P125="L",H125="Cash",N(J125)&gt;=20000),"Loan of ₹20,000 or more repaid in cash: barred, s.188","OK")))))))))))))))</f>
        <v/>
      </c>
      <c r="P125">
        <f>IF(E125="","",IFERROR(VLOOKUP(E125,Lists!$A$2:$B$17,2,FALSE),"?"))</f>
        <v/>
      </c>
      <c r="Q125">
        <f>IF(L125="Cancelled",0,N(J125))</f>
        <v/>
      </c>
      <c r="R125">
        <f>IF(H125="Cash",Q125,0)</f>
        <v/>
      </c>
      <c r="S125">
        <f>IF(OR(P125&lt;&gt;"E",R125=0),0,SUMIFS($R$18:$R$317,$B$18:$B$317,B125,$D$18:$D$317,D125,$P$18:$P$317,"E"))</f>
        <v/>
      </c>
      <c r="T125">
        <f>IF(OR(P125&lt;&gt;"F",R125=0),0,SUMIFS($R$18:$R$317,$B$18:$B$317,B125,$D$18:$D$317,D125,$P$18:$P$317,"F"))</f>
        <v/>
      </c>
      <c r="U125">
        <f>IF(OR(P125&lt;&gt;"A",R125=0),0,SUMIFS($R$18:$R$317,$B$18:$B$317,B125,$D$18:$D$317,D125,$P$18:$P$317,"A"))</f>
        <v/>
      </c>
      <c r="V125">
        <f>IF(OR(N125="",N125="OK",L125="Cancelled"),0,1)</f>
        <v/>
      </c>
    </row>
    <row r="126">
      <c r="B126" s="22" t="n"/>
      <c r="C126" s="23">
        <f>IF(B126="","",$E$9&amp;TEXT(N($E$10)+108,"000"))</f>
        <v/>
      </c>
      <c r="D126" s="14" t="n"/>
      <c r="E126" s="14" t="n"/>
      <c r="F126" s="14" t="n"/>
      <c r="G126" s="24" t="n"/>
      <c r="H126" s="14" t="n"/>
      <c r="I126" s="24" t="n"/>
      <c r="J126" s="25" t="n"/>
      <c r="K126" s="14" t="n"/>
      <c r="L126" s="24" t="n"/>
      <c r="M126" s="26">
        <f>IF(OR(N(J126)=0,L126="Cancelled"),"",IF(AND(N(J126)&gt;5000,H126="Cash"),"Yes: ₹1","No"))</f>
        <v/>
      </c>
      <c r="N126" s="27">
        <f>IF(AND(B126="",D126="",N(J126)=0),"",IF(B126="","Enter the date",IF(AND(ROW()&gt;18,B125=""),"Use the next empty row: a skipped row leaves a gap in the voucher numbers",IF(D126="","Enter who was paid",IF(N(J126)=0,"Enter the amount",IF(E126="","Pick the head of account",IF(P126="?","Pick the head from the list",IF(H126="","Pick how it was paid",IF(L126="Cancelled","Cancelled: keep this number unused and write a fresh voucher",IF(AND(H126&lt;&gt;"Cash",I126=""),"Enter the cheque no., UTR or UPI reference",IF(AND(N($E$11)&gt;0,N(J126)&gt;N($E$11),K126=""),"Above your approval limit: get it approved before paying",IF(S126&gt;10000,"Cash paid to this person today is over ₹10,000: not deductible, s.36(4)",IF(T126&gt;35000,"Cash freight to this transporter today is over ₹35,000: not deductible, s.36(6)",IF(U126&gt;10000,"Asset paid in cash over ₹10,000 today: left out of its cost, s.39(2)",IF(AND(P126="L",H126="Cash",N(J126)&gt;=20000),"Loan of ₹20,000 or more repaid in cash: barred, s.188","OK")))))))))))))))</f>
        <v/>
      </c>
      <c r="P126">
        <f>IF(E126="","",IFERROR(VLOOKUP(E126,Lists!$A$2:$B$17,2,FALSE),"?"))</f>
        <v/>
      </c>
      <c r="Q126">
        <f>IF(L126="Cancelled",0,N(J126))</f>
        <v/>
      </c>
      <c r="R126">
        <f>IF(H126="Cash",Q126,0)</f>
        <v/>
      </c>
      <c r="S126">
        <f>IF(OR(P126&lt;&gt;"E",R126=0),0,SUMIFS($R$18:$R$317,$B$18:$B$317,B126,$D$18:$D$317,D126,$P$18:$P$317,"E"))</f>
        <v/>
      </c>
      <c r="T126">
        <f>IF(OR(P126&lt;&gt;"F",R126=0),0,SUMIFS($R$18:$R$317,$B$18:$B$317,B126,$D$18:$D$317,D126,$P$18:$P$317,"F"))</f>
        <v/>
      </c>
      <c r="U126">
        <f>IF(OR(P126&lt;&gt;"A",R126=0),0,SUMIFS($R$18:$R$317,$B$18:$B$317,B126,$D$18:$D$317,D126,$P$18:$P$317,"A"))</f>
        <v/>
      </c>
      <c r="V126">
        <f>IF(OR(N126="",N126="OK",L126="Cancelled"),0,1)</f>
        <v/>
      </c>
    </row>
    <row r="127">
      <c r="B127" s="22" t="n"/>
      <c r="C127" s="23">
        <f>IF(B127="","",$E$9&amp;TEXT(N($E$10)+109,"000"))</f>
        <v/>
      </c>
      <c r="D127" s="14" t="n"/>
      <c r="E127" s="14" t="n"/>
      <c r="F127" s="14" t="n"/>
      <c r="G127" s="24" t="n"/>
      <c r="H127" s="14" t="n"/>
      <c r="I127" s="24" t="n"/>
      <c r="J127" s="25" t="n"/>
      <c r="K127" s="14" t="n"/>
      <c r="L127" s="24" t="n"/>
      <c r="M127" s="26">
        <f>IF(OR(N(J127)=0,L127="Cancelled"),"",IF(AND(N(J127)&gt;5000,H127="Cash"),"Yes: ₹1","No"))</f>
        <v/>
      </c>
      <c r="N127" s="27">
        <f>IF(AND(B127="",D127="",N(J127)=0),"",IF(B127="","Enter the date",IF(AND(ROW()&gt;18,B126=""),"Use the next empty row: a skipped row leaves a gap in the voucher numbers",IF(D127="","Enter who was paid",IF(N(J127)=0,"Enter the amount",IF(E127="","Pick the head of account",IF(P127="?","Pick the head from the list",IF(H127="","Pick how it was paid",IF(L127="Cancelled","Cancelled: keep this number unused and write a fresh voucher",IF(AND(H127&lt;&gt;"Cash",I127=""),"Enter the cheque no., UTR or UPI reference",IF(AND(N($E$11)&gt;0,N(J127)&gt;N($E$11),K127=""),"Above your approval limit: get it approved before paying",IF(S127&gt;10000,"Cash paid to this person today is over ₹10,000: not deductible, s.36(4)",IF(T127&gt;35000,"Cash freight to this transporter today is over ₹35,000: not deductible, s.36(6)",IF(U127&gt;10000,"Asset paid in cash over ₹10,000 today: left out of its cost, s.39(2)",IF(AND(P127="L",H127="Cash",N(J127)&gt;=20000),"Loan of ₹20,000 or more repaid in cash: barred, s.188","OK")))))))))))))))</f>
        <v/>
      </c>
      <c r="P127">
        <f>IF(E127="","",IFERROR(VLOOKUP(E127,Lists!$A$2:$B$17,2,FALSE),"?"))</f>
        <v/>
      </c>
      <c r="Q127">
        <f>IF(L127="Cancelled",0,N(J127))</f>
        <v/>
      </c>
      <c r="R127">
        <f>IF(H127="Cash",Q127,0)</f>
        <v/>
      </c>
      <c r="S127">
        <f>IF(OR(P127&lt;&gt;"E",R127=0),0,SUMIFS($R$18:$R$317,$B$18:$B$317,B127,$D$18:$D$317,D127,$P$18:$P$317,"E"))</f>
        <v/>
      </c>
      <c r="T127">
        <f>IF(OR(P127&lt;&gt;"F",R127=0),0,SUMIFS($R$18:$R$317,$B$18:$B$317,B127,$D$18:$D$317,D127,$P$18:$P$317,"F"))</f>
        <v/>
      </c>
      <c r="U127">
        <f>IF(OR(P127&lt;&gt;"A",R127=0),0,SUMIFS($R$18:$R$317,$B$18:$B$317,B127,$D$18:$D$317,D127,$P$18:$P$317,"A"))</f>
        <v/>
      </c>
      <c r="V127">
        <f>IF(OR(N127="",N127="OK",L127="Cancelled"),0,1)</f>
        <v/>
      </c>
    </row>
    <row r="128">
      <c r="B128" s="22" t="n"/>
      <c r="C128" s="23">
        <f>IF(B128="","",$E$9&amp;TEXT(N($E$10)+110,"000"))</f>
        <v/>
      </c>
      <c r="D128" s="14" t="n"/>
      <c r="E128" s="14" t="n"/>
      <c r="F128" s="14" t="n"/>
      <c r="G128" s="24" t="n"/>
      <c r="H128" s="14" t="n"/>
      <c r="I128" s="24" t="n"/>
      <c r="J128" s="25" t="n"/>
      <c r="K128" s="14" t="n"/>
      <c r="L128" s="24" t="n"/>
      <c r="M128" s="26">
        <f>IF(OR(N(J128)=0,L128="Cancelled"),"",IF(AND(N(J128)&gt;5000,H128="Cash"),"Yes: ₹1","No"))</f>
        <v/>
      </c>
      <c r="N128" s="27">
        <f>IF(AND(B128="",D128="",N(J128)=0),"",IF(B128="","Enter the date",IF(AND(ROW()&gt;18,B127=""),"Use the next empty row: a skipped row leaves a gap in the voucher numbers",IF(D128="","Enter who was paid",IF(N(J128)=0,"Enter the amount",IF(E128="","Pick the head of account",IF(P128="?","Pick the head from the list",IF(H128="","Pick how it was paid",IF(L128="Cancelled","Cancelled: keep this number unused and write a fresh voucher",IF(AND(H128&lt;&gt;"Cash",I128=""),"Enter the cheque no., UTR or UPI reference",IF(AND(N($E$11)&gt;0,N(J128)&gt;N($E$11),K128=""),"Above your approval limit: get it approved before paying",IF(S128&gt;10000,"Cash paid to this person today is over ₹10,000: not deductible, s.36(4)",IF(T128&gt;35000,"Cash freight to this transporter today is over ₹35,000: not deductible, s.36(6)",IF(U128&gt;10000,"Asset paid in cash over ₹10,000 today: left out of its cost, s.39(2)",IF(AND(P128="L",H128="Cash",N(J128)&gt;=20000),"Loan of ₹20,000 or more repaid in cash: barred, s.188","OK")))))))))))))))</f>
        <v/>
      </c>
      <c r="P128">
        <f>IF(E128="","",IFERROR(VLOOKUP(E128,Lists!$A$2:$B$17,2,FALSE),"?"))</f>
        <v/>
      </c>
      <c r="Q128">
        <f>IF(L128="Cancelled",0,N(J128))</f>
        <v/>
      </c>
      <c r="R128">
        <f>IF(H128="Cash",Q128,0)</f>
        <v/>
      </c>
      <c r="S128">
        <f>IF(OR(P128&lt;&gt;"E",R128=0),0,SUMIFS($R$18:$R$317,$B$18:$B$317,B128,$D$18:$D$317,D128,$P$18:$P$317,"E"))</f>
        <v/>
      </c>
      <c r="T128">
        <f>IF(OR(P128&lt;&gt;"F",R128=0),0,SUMIFS($R$18:$R$317,$B$18:$B$317,B128,$D$18:$D$317,D128,$P$18:$P$317,"F"))</f>
        <v/>
      </c>
      <c r="U128">
        <f>IF(OR(P128&lt;&gt;"A",R128=0),0,SUMIFS($R$18:$R$317,$B$18:$B$317,B128,$D$18:$D$317,D128,$P$18:$P$317,"A"))</f>
        <v/>
      </c>
      <c r="V128">
        <f>IF(OR(N128="",N128="OK",L128="Cancelled"),0,1)</f>
        <v/>
      </c>
    </row>
    <row r="129">
      <c r="B129" s="22" t="n"/>
      <c r="C129" s="23">
        <f>IF(B129="","",$E$9&amp;TEXT(N($E$10)+111,"000"))</f>
        <v/>
      </c>
      <c r="D129" s="14" t="n"/>
      <c r="E129" s="14" t="n"/>
      <c r="F129" s="14" t="n"/>
      <c r="G129" s="24" t="n"/>
      <c r="H129" s="14" t="n"/>
      <c r="I129" s="24" t="n"/>
      <c r="J129" s="25" t="n"/>
      <c r="K129" s="14" t="n"/>
      <c r="L129" s="24" t="n"/>
      <c r="M129" s="26">
        <f>IF(OR(N(J129)=0,L129="Cancelled"),"",IF(AND(N(J129)&gt;5000,H129="Cash"),"Yes: ₹1","No"))</f>
        <v/>
      </c>
      <c r="N129" s="27">
        <f>IF(AND(B129="",D129="",N(J129)=0),"",IF(B129="","Enter the date",IF(AND(ROW()&gt;18,B128=""),"Use the next empty row: a skipped row leaves a gap in the voucher numbers",IF(D129="","Enter who was paid",IF(N(J129)=0,"Enter the amount",IF(E129="","Pick the head of account",IF(P129="?","Pick the head from the list",IF(H129="","Pick how it was paid",IF(L129="Cancelled","Cancelled: keep this number unused and write a fresh voucher",IF(AND(H129&lt;&gt;"Cash",I129=""),"Enter the cheque no., UTR or UPI reference",IF(AND(N($E$11)&gt;0,N(J129)&gt;N($E$11),K129=""),"Above your approval limit: get it approved before paying",IF(S129&gt;10000,"Cash paid to this person today is over ₹10,000: not deductible, s.36(4)",IF(T129&gt;35000,"Cash freight to this transporter today is over ₹35,000: not deductible, s.36(6)",IF(U129&gt;10000,"Asset paid in cash over ₹10,000 today: left out of its cost, s.39(2)",IF(AND(P129="L",H129="Cash",N(J129)&gt;=20000),"Loan of ₹20,000 or more repaid in cash: barred, s.188","OK")))))))))))))))</f>
        <v/>
      </c>
      <c r="P129">
        <f>IF(E129="","",IFERROR(VLOOKUP(E129,Lists!$A$2:$B$17,2,FALSE),"?"))</f>
        <v/>
      </c>
      <c r="Q129">
        <f>IF(L129="Cancelled",0,N(J129))</f>
        <v/>
      </c>
      <c r="R129">
        <f>IF(H129="Cash",Q129,0)</f>
        <v/>
      </c>
      <c r="S129">
        <f>IF(OR(P129&lt;&gt;"E",R129=0),0,SUMIFS($R$18:$R$317,$B$18:$B$317,B129,$D$18:$D$317,D129,$P$18:$P$317,"E"))</f>
        <v/>
      </c>
      <c r="T129">
        <f>IF(OR(P129&lt;&gt;"F",R129=0),0,SUMIFS($R$18:$R$317,$B$18:$B$317,B129,$D$18:$D$317,D129,$P$18:$P$317,"F"))</f>
        <v/>
      </c>
      <c r="U129">
        <f>IF(OR(P129&lt;&gt;"A",R129=0),0,SUMIFS($R$18:$R$317,$B$18:$B$317,B129,$D$18:$D$317,D129,$P$18:$P$317,"A"))</f>
        <v/>
      </c>
      <c r="V129">
        <f>IF(OR(N129="",N129="OK",L129="Cancelled"),0,1)</f>
        <v/>
      </c>
    </row>
    <row r="130">
      <c r="B130" s="22" t="n"/>
      <c r="C130" s="23">
        <f>IF(B130="","",$E$9&amp;TEXT(N($E$10)+112,"000"))</f>
        <v/>
      </c>
      <c r="D130" s="14" t="n"/>
      <c r="E130" s="14" t="n"/>
      <c r="F130" s="14" t="n"/>
      <c r="G130" s="24" t="n"/>
      <c r="H130" s="14" t="n"/>
      <c r="I130" s="24" t="n"/>
      <c r="J130" s="25" t="n"/>
      <c r="K130" s="14" t="n"/>
      <c r="L130" s="24" t="n"/>
      <c r="M130" s="26">
        <f>IF(OR(N(J130)=0,L130="Cancelled"),"",IF(AND(N(J130)&gt;5000,H130="Cash"),"Yes: ₹1","No"))</f>
        <v/>
      </c>
      <c r="N130" s="27">
        <f>IF(AND(B130="",D130="",N(J130)=0),"",IF(B130="","Enter the date",IF(AND(ROW()&gt;18,B129=""),"Use the next empty row: a skipped row leaves a gap in the voucher numbers",IF(D130="","Enter who was paid",IF(N(J130)=0,"Enter the amount",IF(E130="","Pick the head of account",IF(P130="?","Pick the head from the list",IF(H130="","Pick how it was paid",IF(L130="Cancelled","Cancelled: keep this number unused and write a fresh voucher",IF(AND(H130&lt;&gt;"Cash",I130=""),"Enter the cheque no., UTR or UPI reference",IF(AND(N($E$11)&gt;0,N(J130)&gt;N($E$11),K130=""),"Above your approval limit: get it approved before paying",IF(S130&gt;10000,"Cash paid to this person today is over ₹10,000: not deductible, s.36(4)",IF(T130&gt;35000,"Cash freight to this transporter today is over ₹35,000: not deductible, s.36(6)",IF(U130&gt;10000,"Asset paid in cash over ₹10,000 today: left out of its cost, s.39(2)",IF(AND(P130="L",H130="Cash",N(J130)&gt;=20000),"Loan of ₹20,000 or more repaid in cash: barred, s.188","OK")))))))))))))))</f>
        <v/>
      </c>
      <c r="P130">
        <f>IF(E130="","",IFERROR(VLOOKUP(E130,Lists!$A$2:$B$17,2,FALSE),"?"))</f>
        <v/>
      </c>
      <c r="Q130">
        <f>IF(L130="Cancelled",0,N(J130))</f>
        <v/>
      </c>
      <c r="R130">
        <f>IF(H130="Cash",Q130,0)</f>
        <v/>
      </c>
      <c r="S130">
        <f>IF(OR(P130&lt;&gt;"E",R130=0),0,SUMIFS($R$18:$R$317,$B$18:$B$317,B130,$D$18:$D$317,D130,$P$18:$P$317,"E"))</f>
        <v/>
      </c>
      <c r="T130">
        <f>IF(OR(P130&lt;&gt;"F",R130=0),0,SUMIFS($R$18:$R$317,$B$18:$B$317,B130,$D$18:$D$317,D130,$P$18:$P$317,"F"))</f>
        <v/>
      </c>
      <c r="U130">
        <f>IF(OR(P130&lt;&gt;"A",R130=0),0,SUMIFS($R$18:$R$317,$B$18:$B$317,B130,$D$18:$D$317,D130,$P$18:$P$317,"A"))</f>
        <v/>
      </c>
      <c r="V130">
        <f>IF(OR(N130="",N130="OK",L130="Cancelled"),0,1)</f>
        <v/>
      </c>
    </row>
    <row r="131">
      <c r="B131" s="22" t="n"/>
      <c r="C131" s="23">
        <f>IF(B131="","",$E$9&amp;TEXT(N($E$10)+113,"000"))</f>
        <v/>
      </c>
      <c r="D131" s="14" t="n"/>
      <c r="E131" s="14" t="n"/>
      <c r="F131" s="14" t="n"/>
      <c r="G131" s="24" t="n"/>
      <c r="H131" s="14" t="n"/>
      <c r="I131" s="24" t="n"/>
      <c r="J131" s="25" t="n"/>
      <c r="K131" s="14" t="n"/>
      <c r="L131" s="24" t="n"/>
      <c r="M131" s="26">
        <f>IF(OR(N(J131)=0,L131="Cancelled"),"",IF(AND(N(J131)&gt;5000,H131="Cash"),"Yes: ₹1","No"))</f>
        <v/>
      </c>
      <c r="N131" s="27">
        <f>IF(AND(B131="",D131="",N(J131)=0),"",IF(B131="","Enter the date",IF(AND(ROW()&gt;18,B130=""),"Use the next empty row: a skipped row leaves a gap in the voucher numbers",IF(D131="","Enter who was paid",IF(N(J131)=0,"Enter the amount",IF(E131="","Pick the head of account",IF(P131="?","Pick the head from the list",IF(H131="","Pick how it was paid",IF(L131="Cancelled","Cancelled: keep this number unused and write a fresh voucher",IF(AND(H131&lt;&gt;"Cash",I131=""),"Enter the cheque no., UTR or UPI reference",IF(AND(N($E$11)&gt;0,N(J131)&gt;N($E$11),K131=""),"Above your approval limit: get it approved before paying",IF(S131&gt;10000,"Cash paid to this person today is over ₹10,000: not deductible, s.36(4)",IF(T131&gt;35000,"Cash freight to this transporter today is over ₹35,000: not deductible, s.36(6)",IF(U131&gt;10000,"Asset paid in cash over ₹10,000 today: left out of its cost, s.39(2)",IF(AND(P131="L",H131="Cash",N(J131)&gt;=20000),"Loan of ₹20,000 or more repaid in cash: barred, s.188","OK")))))))))))))))</f>
        <v/>
      </c>
      <c r="P131">
        <f>IF(E131="","",IFERROR(VLOOKUP(E131,Lists!$A$2:$B$17,2,FALSE),"?"))</f>
        <v/>
      </c>
      <c r="Q131">
        <f>IF(L131="Cancelled",0,N(J131))</f>
        <v/>
      </c>
      <c r="R131">
        <f>IF(H131="Cash",Q131,0)</f>
        <v/>
      </c>
      <c r="S131">
        <f>IF(OR(P131&lt;&gt;"E",R131=0),0,SUMIFS($R$18:$R$317,$B$18:$B$317,B131,$D$18:$D$317,D131,$P$18:$P$317,"E"))</f>
        <v/>
      </c>
      <c r="T131">
        <f>IF(OR(P131&lt;&gt;"F",R131=0),0,SUMIFS($R$18:$R$317,$B$18:$B$317,B131,$D$18:$D$317,D131,$P$18:$P$317,"F"))</f>
        <v/>
      </c>
      <c r="U131">
        <f>IF(OR(P131&lt;&gt;"A",R131=0),0,SUMIFS($R$18:$R$317,$B$18:$B$317,B131,$D$18:$D$317,D131,$P$18:$P$317,"A"))</f>
        <v/>
      </c>
      <c r="V131">
        <f>IF(OR(N131="",N131="OK",L131="Cancelled"),0,1)</f>
        <v/>
      </c>
    </row>
    <row r="132">
      <c r="B132" s="22" t="n"/>
      <c r="C132" s="23">
        <f>IF(B132="","",$E$9&amp;TEXT(N($E$10)+114,"000"))</f>
        <v/>
      </c>
      <c r="D132" s="14" t="n"/>
      <c r="E132" s="14" t="n"/>
      <c r="F132" s="14" t="n"/>
      <c r="G132" s="24" t="n"/>
      <c r="H132" s="14" t="n"/>
      <c r="I132" s="24" t="n"/>
      <c r="J132" s="25" t="n"/>
      <c r="K132" s="14" t="n"/>
      <c r="L132" s="24" t="n"/>
      <c r="M132" s="26">
        <f>IF(OR(N(J132)=0,L132="Cancelled"),"",IF(AND(N(J132)&gt;5000,H132="Cash"),"Yes: ₹1","No"))</f>
        <v/>
      </c>
      <c r="N132" s="27">
        <f>IF(AND(B132="",D132="",N(J132)=0),"",IF(B132="","Enter the date",IF(AND(ROW()&gt;18,B131=""),"Use the next empty row: a skipped row leaves a gap in the voucher numbers",IF(D132="","Enter who was paid",IF(N(J132)=0,"Enter the amount",IF(E132="","Pick the head of account",IF(P132="?","Pick the head from the list",IF(H132="","Pick how it was paid",IF(L132="Cancelled","Cancelled: keep this number unused and write a fresh voucher",IF(AND(H132&lt;&gt;"Cash",I132=""),"Enter the cheque no., UTR or UPI reference",IF(AND(N($E$11)&gt;0,N(J132)&gt;N($E$11),K132=""),"Above your approval limit: get it approved before paying",IF(S132&gt;10000,"Cash paid to this person today is over ₹10,000: not deductible, s.36(4)",IF(T132&gt;35000,"Cash freight to this transporter today is over ₹35,000: not deductible, s.36(6)",IF(U132&gt;10000,"Asset paid in cash over ₹10,000 today: left out of its cost, s.39(2)",IF(AND(P132="L",H132="Cash",N(J132)&gt;=20000),"Loan of ₹20,000 or more repaid in cash: barred, s.188","OK")))))))))))))))</f>
        <v/>
      </c>
      <c r="P132">
        <f>IF(E132="","",IFERROR(VLOOKUP(E132,Lists!$A$2:$B$17,2,FALSE),"?"))</f>
        <v/>
      </c>
      <c r="Q132">
        <f>IF(L132="Cancelled",0,N(J132))</f>
        <v/>
      </c>
      <c r="R132">
        <f>IF(H132="Cash",Q132,0)</f>
        <v/>
      </c>
      <c r="S132">
        <f>IF(OR(P132&lt;&gt;"E",R132=0),0,SUMIFS($R$18:$R$317,$B$18:$B$317,B132,$D$18:$D$317,D132,$P$18:$P$317,"E"))</f>
        <v/>
      </c>
      <c r="T132">
        <f>IF(OR(P132&lt;&gt;"F",R132=0),0,SUMIFS($R$18:$R$317,$B$18:$B$317,B132,$D$18:$D$317,D132,$P$18:$P$317,"F"))</f>
        <v/>
      </c>
      <c r="U132">
        <f>IF(OR(P132&lt;&gt;"A",R132=0),0,SUMIFS($R$18:$R$317,$B$18:$B$317,B132,$D$18:$D$317,D132,$P$18:$P$317,"A"))</f>
        <v/>
      </c>
      <c r="V132">
        <f>IF(OR(N132="",N132="OK",L132="Cancelled"),0,1)</f>
        <v/>
      </c>
    </row>
    <row r="133">
      <c r="B133" s="22" t="n"/>
      <c r="C133" s="23">
        <f>IF(B133="","",$E$9&amp;TEXT(N($E$10)+115,"000"))</f>
        <v/>
      </c>
      <c r="D133" s="14" t="n"/>
      <c r="E133" s="14" t="n"/>
      <c r="F133" s="14" t="n"/>
      <c r="G133" s="24" t="n"/>
      <c r="H133" s="14" t="n"/>
      <c r="I133" s="24" t="n"/>
      <c r="J133" s="25" t="n"/>
      <c r="K133" s="14" t="n"/>
      <c r="L133" s="24" t="n"/>
      <c r="M133" s="26">
        <f>IF(OR(N(J133)=0,L133="Cancelled"),"",IF(AND(N(J133)&gt;5000,H133="Cash"),"Yes: ₹1","No"))</f>
        <v/>
      </c>
      <c r="N133" s="27">
        <f>IF(AND(B133="",D133="",N(J133)=0),"",IF(B133="","Enter the date",IF(AND(ROW()&gt;18,B132=""),"Use the next empty row: a skipped row leaves a gap in the voucher numbers",IF(D133="","Enter who was paid",IF(N(J133)=0,"Enter the amount",IF(E133="","Pick the head of account",IF(P133="?","Pick the head from the list",IF(H133="","Pick how it was paid",IF(L133="Cancelled","Cancelled: keep this number unused and write a fresh voucher",IF(AND(H133&lt;&gt;"Cash",I133=""),"Enter the cheque no., UTR or UPI reference",IF(AND(N($E$11)&gt;0,N(J133)&gt;N($E$11),K133=""),"Above your approval limit: get it approved before paying",IF(S133&gt;10000,"Cash paid to this person today is over ₹10,000: not deductible, s.36(4)",IF(T133&gt;35000,"Cash freight to this transporter today is over ₹35,000: not deductible, s.36(6)",IF(U133&gt;10000,"Asset paid in cash over ₹10,000 today: left out of its cost, s.39(2)",IF(AND(P133="L",H133="Cash",N(J133)&gt;=20000),"Loan of ₹20,000 or more repaid in cash: barred, s.188","OK")))))))))))))))</f>
        <v/>
      </c>
      <c r="P133">
        <f>IF(E133="","",IFERROR(VLOOKUP(E133,Lists!$A$2:$B$17,2,FALSE),"?"))</f>
        <v/>
      </c>
      <c r="Q133">
        <f>IF(L133="Cancelled",0,N(J133))</f>
        <v/>
      </c>
      <c r="R133">
        <f>IF(H133="Cash",Q133,0)</f>
        <v/>
      </c>
      <c r="S133">
        <f>IF(OR(P133&lt;&gt;"E",R133=0),0,SUMIFS($R$18:$R$317,$B$18:$B$317,B133,$D$18:$D$317,D133,$P$18:$P$317,"E"))</f>
        <v/>
      </c>
      <c r="T133">
        <f>IF(OR(P133&lt;&gt;"F",R133=0),0,SUMIFS($R$18:$R$317,$B$18:$B$317,B133,$D$18:$D$317,D133,$P$18:$P$317,"F"))</f>
        <v/>
      </c>
      <c r="U133">
        <f>IF(OR(P133&lt;&gt;"A",R133=0),0,SUMIFS($R$18:$R$317,$B$18:$B$317,B133,$D$18:$D$317,D133,$P$18:$P$317,"A"))</f>
        <v/>
      </c>
      <c r="V133">
        <f>IF(OR(N133="",N133="OK",L133="Cancelled"),0,1)</f>
        <v/>
      </c>
    </row>
    <row r="134">
      <c r="B134" s="22" t="n"/>
      <c r="C134" s="23">
        <f>IF(B134="","",$E$9&amp;TEXT(N($E$10)+116,"000"))</f>
        <v/>
      </c>
      <c r="D134" s="14" t="n"/>
      <c r="E134" s="14" t="n"/>
      <c r="F134" s="14" t="n"/>
      <c r="G134" s="24" t="n"/>
      <c r="H134" s="14" t="n"/>
      <c r="I134" s="24" t="n"/>
      <c r="J134" s="25" t="n"/>
      <c r="K134" s="14" t="n"/>
      <c r="L134" s="24" t="n"/>
      <c r="M134" s="26">
        <f>IF(OR(N(J134)=0,L134="Cancelled"),"",IF(AND(N(J134)&gt;5000,H134="Cash"),"Yes: ₹1","No"))</f>
        <v/>
      </c>
      <c r="N134" s="27">
        <f>IF(AND(B134="",D134="",N(J134)=0),"",IF(B134="","Enter the date",IF(AND(ROW()&gt;18,B133=""),"Use the next empty row: a skipped row leaves a gap in the voucher numbers",IF(D134="","Enter who was paid",IF(N(J134)=0,"Enter the amount",IF(E134="","Pick the head of account",IF(P134="?","Pick the head from the list",IF(H134="","Pick how it was paid",IF(L134="Cancelled","Cancelled: keep this number unused and write a fresh voucher",IF(AND(H134&lt;&gt;"Cash",I134=""),"Enter the cheque no., UTR or UPI reference",IF(AND(N($E$11)&gt;0,N(J134)&gt;N($E$11),K134=""),"Above your approval limit: get it approved before paying",IF(S134&gt;10000,"Cash paid to this person today is over ₹10,000: not deductible, s.36(4)",IF(T134&gt;35000,"Cash freight to this transporter today is over ₹35,000: not deductible, s.36(6)",IF(U134&gt;10000,"Asset paid in cash over ₹10,000 today: left out of its cost, s.39(2)",IF(AND(P134="L",H134="Cash",N(J134)&gt;=20000),"Loan of ₹20,000 or more repaid in cash: barred, s.188","OK")))))))))))))))</f>
        <v/>
      </c>
      <c r="P134">
        <f>IF(E134="","",IFERROR(VLOOKUP(E134,Lists!$A$2:$B$17,2,FALSE),"?"))</f>
        <v/>
      </c>
      <c r="Q134">
        <f>IF(L134="Cancelled",0,N(J134))</f>
        <v/>
      </c>
      <c r="R134">
        <f>IF(H134="Cash",Q134,0)</f>
        <v/>
      </c>
      <c r="S134">
        <f>IF(OR(P134&lt;&gt;"E",R134=0),0,SUMIFS($R$18:$R$317,$B$18:$B$317,B134,$D$18:$D$317,D134,$P$18:$P$317,"E"))</f>
        <v/>
      </c>
      <c r="T134">
        <f>IF(OR(P134&lt;&gt;"F",R134=0),0,SUMIFS($R$18:$R$317,$B$18:$B$317,B134,$D$18:$D$317,D134,$P$18:$P$317,"F"))</f>
        <v/>
      </c>
      <c r="U134">
        <f>IF(OR(P134&lt;&gt;"A",R134=0),0,SUMIFS($R$18:$R$317,$B$18:$B$317,B134,$D$18:$D$317,D134,$P$18:$P$317,"A"))</f>
        <v/>
      </c>
      <c r="V134">
        <f>IF(OR(N134="",N134="OK",L134="Cancelled"),0,1)</f>
        <v/>
      </c>
    </row>
    <row r="135">
      <c r="B135" s="22" t="n"/>
      <c r="C135" s="23">
        <f>IF(B135="","",$E$9&amp;TEXT(N($E$10)+117,"000"))</f>
        <v/>
      </c>
      <c r="D135" s="14" t="n"/>
      <c r="E135" s="14" t="n"/>
      <c r="F135" s="14" t="n"/>
      <c r="G135" s="24" t="n"/>
      <c r="H135" s="14" t="n"/>
      <c r="I135" s="24" t="n"/>
      <c r="J135" s="25" t="n"/>
      <c r="K135" s="14" t="n"/>
      <c r="L135" s="24" t="n"/>
      <c r="M135" s="26">
        <f>IF(OR(N(J135)=0,L135="Cancelled"),"",IF(AND(N(J135)&gt;5000,H135="Cash"),"Yes: ₹1","No"))</f>
        <v/>
      </c>
      <c r="N135" s="27">
        <f>IF(AND(B135="",D135="",N(J135)=0),"",IF(B135="","Enter the date",IF(AND(ROW()&gt;18,B134=""),"Use the next empty row: a skipped row leaves a gap in the voucher numbers",IF(D135="","Enter who was paid",IF(N(J135)=0,"Enter the amount",IF(E135="","Pick the head of account",IF(P135="?","Pick the head from the list",IF(H135="","Pick how it was paid",IF(L135="Cancelled","Cancelled: keep this number unused and write a fresh voucher",IF(AND(H135&lt;&gt;"Cash",I135=""),"Enter the cheque no., UTR or UPI reference",IF(AND(N($E$11)&gt;0,N(J135)&gt;N($E$11),K135=""),"Above your approval limit: get it approved before paying",IF(S135&gt;10000,"Cash paid to this person today is over ₹10,000: not deductible, s.36(4)",IF(T135&gt;35000,"Cash freight to this transporter today is over ₹35,000: not deductible, s.36(6)",IF(U135&gt;10000,"Asset paid in cash over ₹10,000 today: left out of its cost, s.39(2)",IF(AND(P135="L",H135="Cash",N(J135)&gt;=20000),"Loan of ₹20,000 or more repaid in cash: barred, s.188","OK")))))))))))))))</f>
        <v/>
      </c>
      <c r="P135">
        <f>IF(E135="","",IFERROR(VLOOKUP(E135,Lists!$A$2:$B$17,2,FALSE),"?"))</f>
        <v/>
      </c>
      <c r="Q135">
        <f>IF(L135="Cancelled",0,N(J135))</f>
        <v/>
      </c>
      <c r="R135">
        <f>IF(H135="Cash",Q135,0)</f>
        <v/>
      </c>
      <c r="S135">
        <f>IF(OR(P135&lt;&gt;"E",R135=0),0,SUMIFS($R$18:$R$317,$B$18:$B$317,B135,$D$18:$D$317,D135,$P$18:$P$317,"E"))</f>
        <v/>
      </c>
      <c r="T135">
        <f>IF(OR(P135&lt;&gt;"F",R135=0),0,SUMIFS($R$18:$R$317,$B$18:$B$317,B135,$D$18:$D$317,D135,$P$18:$P$317,"F"))</f>
        <v/>
      </c>
      <c r="U135">
        <f>IF(OR(P135&lt;&gt;"A",R135=0),0,SUMIFS($R$18:$R$317,$B$18:$B$317,B135,$D$18:$D$317,D135,$P$18:$P$317,"A"))</f>
        <v/>
      </c>
      <c r="V135">
        <f>IF(OR(N135="",N135="OK",L135="Cancelled"),0,1)</f>
        <v/>
      </c>
    </row>
    <row r="136">
      <c r="B136" s="22" t="n"/>
      <c r="C136" s="23">
        <f>IF(B136="","",$E$9&amp;TEXT(N($E$10)+118,"000"))</f>
        <v/>
      </c>
      <c r="D136" s="14" t="n"/>
      <c r="E136" s="14" t="n"/>
      <c r="F136" s="14" t="n"/>
      <c r="G136" s="24" t="n"/>
      <c r="H136" s="14" t="n"/>
      <c r="I136" s="24" t="n"/>
      <c r="J136" s="25" t="n"/>
      <c r="K136" s="14" t="n"/>
      <c r="L136" s="24" t="n"/>
      <c r="M136" s="26">
        <f>IF(OR(N(J136)=0,L136="Cancelled"),"",IF(AND(N(J136)&gt;5000,H136="Cash"),"Yes: ₹1","No"))</f>
        <v/>
      </c>
      <c r="N136" s="27">
        <f>IF(AND(B136="",D136="",N(J136)=0),"",IF(B136="","Enter the date",IF(AND(ROW()&gt;18,B135=""),"Use the next empty row: a skipped row leaves a gap in the voucher numbers",IF(D136="","Enter who was paid",IF(N(J136)=0,"Enter the amount",IF(E136="","Pick the head of account",IF(P136="?","Pick the head from the list",IF(H136="","Pick how it was paid",IF(L136="Cancelled","Cancelled: keep this number unused and write a fresh voucher",IF(AND(H136&lt;&gt;"Cash",I136=""),"Enter the cheque no., UTR or UPI reference",IF(AND(N($E$11)&gt;0,N(J136)&gt;N($E$11),K136=""),"Above your approval limit: get it approved before paying",IF(S136&gt;10000,"Cash paid to this person today is over ₹10,000: not deductible, s.36(4)",IF(T136&gt;35000,"Cash freight to this transporter today is over ₹35,000: not deductible, s.36(6)",IF(U136&gt;10000,"Asset paid in cash over ₹10,000 today: left out of its cost, s.39(2)",IF(AND(P136="L",H136="Cash",N(J136)&gt;=20000),"Loan of ₹20,000 or more repaid in cash: barred, s.188","OK")))))))))))))))</f>
        <v/>
      </c>
      <c r="P136">
        <f>IF(E136="","",IFERROR(VLOOKUP(E136,Lists!$A$2:$B$17,2,FALSE),"?"))</f>
        <v/>
      </c>
      <c r="Q136">
        <f>IF(L136="Cancelled",0,N(J136))</f>
        <v/>
      </c>
      <c r="R136">
        <f>IF(H136="Cash",Q136,0)</f>
        <v/>
      </c>
      <c r="S136">
        <f>IF(OR(P136&lt;&gt;"E",R136=0),0,SUMIFS($R$18:$R$317,$B$18:$B$317,B136,$D$18:$D$317,D136,$P$18:$P$317,"E"))</f>
        <v/>
      </c>
      <c r="T136">
        <f>IF(OR(P136&lt;&gt;"F",R136=0),0,SUMIFS($R$18:$R$317,$B$18:$B$317,B136,$D$18:$D$317,D136,$P$18:$P$317,"F"))</f>
        <v/>
      </c>
      <c r="U136">
        <f>IF(OR(P136&lt;&gt;"A",R136=0),0,SUMIFS($R$18:$R$317,$B$18:$B$317,B136,$D$18:$D$317,D136,$P$18:$P$317,"A"))</f>
        <v/>
      </c>
      <c r="V136">
        <f>IF(OR(N136="",N136="OK",L136="Cancelled"),0,1)</f>
        <v/>
      </c>
    </row>
    <row r="137">
      <c r="B137" s="22" t="n"/>
      <c r="C137" s="23">
        <f>IF(B137="","",$E$9&amp;TEXT(N($E$10)+119,"000"))</f>
        <v/>
      </c>
      <c r="D137" s="14" t="n"/>
      <c r="E137" s="14" t="n"/>
      <c r="F137" s="14" t="n"/>
      <c r="G137" s="24" t="n"/>
      <c r="H137" s="14" t="n"/>
      <c r="I137" s="24" t="n"/>
      <c r="J137" s="25" t="n"/>
      <c r="K137" s="14" t="n"/>
      <c r="L137" s="24" t="n"/>
      <c r="M137" s="26">
        <f>IF(OR(N(J137)=0,L137="Cancelled"),"",IF(AND(N(J137)&gt;5000,H137="Cash"),"Yes: ₹1","No"))</f>
        <v/>
      </c>
      <c r="N137" s="27">
        <f>IF(AND(B137="",D137="",N(J137)=0),"",IF(B137="","Enter the date",IF(AND(ROW()&gt;18,B136=""),"Use the next empty row: a skipped row leaves a gap in the voucher numbers",IF(D137="","Enter who was paid",IF(N(J137)=0,"Enter the amount",IF(E137="","Pick the head of account",IF(P137="?","Pick the head from the list",IF(H137="","Pick how it was paid",IF(L137="Cancelled","Cancelled: keep this number unused and write a fresh voucher",IF(AND(H137&lt;&gt;"Cash",I137=""),"Enter the cheque no., UTR or UPI reference",IF(AND(N($E$11)&gt;0,N(J137)&gt;N($E$11),K137=""),"Above your approval limit: get it approved before paying",IF(S137&gt;10000,"Cash paid to this person today is over ₹10,000: not deductible, s.36(4)",IF(T137&gt;35000,"Cash freight to this transporter today is over ₹35,000: not deductible, s.36(6)",IF(U137&gt;10000,"Asset paid in cash over ₹10,000 today: left out of its cost, s.39(2)",IF(AND(P137="L",H137="Cash",N(J137)&gt;=20000),"Loan of ₹20,000 or more repaid in cash: barred, s.188","OK")))))))))))))))</f>
        <v/>
      </c>
      <c r="P137">
        <f>IF(E137="","",IFERROR(VLOOKUP(E137,Lists!$A$2:$B$17,2,FALSE),"?"))</f>
        <v/>
      </c>
      <c r="Q137">
        <f>IF(L137="Cancelled",0,N(J137))</f>
        <v/>
      </c>
      <c r="R137">
        <f>IF(H137="Cash",Q137,0)</f>
        <v/>
      </c>
      <c r="S137">
        <f>IF(OR(P137&lt;&gt;"E",R137=0),0,SUMIFS($R$18:$R$317,$B$18:$B$317,B137,$D$18:$D$317,D137,$P$18:$P$317,"E"))</f>
        <v/>
      </c>
      <c r="T137">
        <f>IF(OR(P137&lt;&gt;"F",R137=0),0,SUMIFS($R$18:$R$317,$B$18:$B$317,B137,$D$18:$D$317,D137,$P$18:$P$317,"F"))</f>
        <v/>
      </c>
      <c r="U137">
        <f>IF(OR(P137&lt;&gt;"A",R137=0),0,SUMIFS($R$18:$R$317,$B$18:$B$317,B137,$D$18:$D$317,D137,$P$18:$P$317,"A"))</f>
        <v/>
      </c>
      <c r="V137">
        <f>IF(OR(N137="",N137="OK",L137="Cancelled"),0,1)</f>
        <v/>
      </c>
    </row>
    <row r="138">
      <c r="B138" s="22" t="n"/>
      <c r="C138" s="23">
        <f>IF(B138="","",$E$9&amp;TEXT(N($E$10)+120,"000"))</f>
        <v/>
      </c>
      <c r="D138" s="14" t="n"/>
      <c r="E138" s="14" t="n"/>
      <c r="F138" s="14" t="n"/>
      <c r="G138" s="24" t="n"/>
      <c r="H138" s="14" t="n"/>
      <c r="I138" s="24" t="n"/>
      <c r="J138" s="25" t="n"/>
      <c r="K138" s="14" t="n"/>
      <c r="L138" s="24" t="n"/>
      <c r="M138" s="26">
        <f>IF(OR(N(J138)=0,L138="Cancelled"),"",IF(AND(N(J138)&gt;5000,H138="Cash"),"Yes: ₹1","No"))</f>
        <v/>
      </c>
      <c r="N138" s="27">
        <f>IF(AND(B138="",D138="",N(J138)=0),"",IF(B138="","Enter the date",IF(AND(ROW()&gt;18,B137=""),"Use the next empty row: a skipped row leaves a gap in the voucher numbers",IF(D138="","Enter who was paid",IF(N(J138)=0,"Enter the amount",IF(E138="","Pick the head of account",IF(P138="?","Pick the head from the list",IF(H138="","Pick how it was paid",IF(L138="Cancelled","Cancelled: keep this number unused and write a fresh voucher",IF(AND(H138&lt;&gt;"Cash",I138=""),"Enter the cheque no., UTR or UPI reference",IF(AND(N($E$11)&gt;0,N(J138)&gt;N($E$11),K138=""),"Above your approval limit: get it approved before paying",IF(S138&gt;10000,"Cash paid to this person today is over ₹10,000: not deductible, s.36(4)",IF(T138&gt;35000,"Cash freight to this transporter today is over ₹35,000: not deductible, s.36(6)",IF(U138&gt;10000,"Asset paid in cash over ₹10,000 today: left out of its cost, s.39(2)",IF(AND(P138="L",H138="Cash",N(J138)&gt;=20000),"Loan of ₹20,000 or more repaid in cash: barred, s.188","OK")))))))))))))))</f>
        <v/>
      </c>
      <c r="P138">
        <f>IF(E138="","",IFERROR(VLOOKUP(E138,Lists!$A$2:$B$17,2,FALSE),"?"))</f>
        <v/>
      </c>
      <c r="Q138">
        <f>IF(L138="Cancelled",0,N(J138))</f>
        <v/>
      </c>
      <c r="R138">
        <f>IF(H138="Cash",Q138,0)</f>
        <v/>
      </c>
      <c r="S138">
        <f>IF(OR(P138&lt;&gt;"E",R138=0),0,SUMIFS($R$18:$R$317,$B$18:$B$317,B138,$D$18:$D$317,D138,$P$18:$P$317,"E"))</f>
        <v/>
      </c>
      <c r="T138">
        <f>IF(OR(P138&lt;&gt;"F",R138=0),0,SUMIFS($R$18:$R$317,$B$18:$B$317,B138,$D$18:$D$317,D138,$P$18:$P$317,"F"))</f>
        <v/>
      </c>
      <c r="U138">
        <f>IF(OR(P138&lt;&gt;"A",R138=0),0,SUMIFS($R$18:$R$317,$B$18:$B$317,B138,$D$18:$D$317,D138,$P$18:$P$317,"A"))</f>
        <v/>
      </c>
      <c r="V138">
        <f>IF(OR(N138="",N138="OK",L138="Cancelled"),0,1)</f>
        <v/>
      </c>
    </row>
    <row r="139">
      <c r="B139" s="22" t="n"/>
      <c r="C139" s="23">
        <f>IF(B139="","",$E$9&amp;TEXT(N($E$10)+121,"000"))</f>
        <v/>
      </c>
      <c r="D139" s="14" t="n"/>
      <c r="E139" s="14" t="n"/>
      <c r="F139" s="14" t="n"/>
      <c r="G139" s="24" t="n"/>
      <c r="H139" s="14" t="n"/>
      <c r="I139" s="24" t="n"/>
      <c r="J139" s="25" t="n"/>
      <c r="K139" s="14" t="n"/>
      <c r="L139" s="24" t="n"/>
      <c r="M139" s="26">
        <f>IF(OR(N(J139)=0,L139="Cancelled"),"",IF(AND(N(J139)&gt;5000,H139="Cash"),"Yes: ₹1","No"))</f>
        <v/>
      </c>
      <c r="N139" s="27">
        <f>IF(AND(B139="",D139="",N(J139)=0),"",IF(B139="","Enter the date",IF(AND(ROW()&gt;18,B138=""),"Use the next empty row: a skipped row leaves a gap in the voucher numbers",IF(D139="","Enter who was paid",IF(N(J139)=0,"Enter the amount",IF(E139="","Pick the head of account",IF(P139="?","Pick the head from the list",IF(H139="","Pick how it was paid",IF(L139="Cancelled","Cancelled: keep this number unused and write a fresh voucher",IF(AND(H139&lt;&gt;"Cash",I139=""),"Enter the cheque no., UTR or UPI reference",IF(AND(N($E$11)&gt;0,N(J139)&gt;N($E$11),K139=""),"Above your approval limit: get it approved before paying",IF(S139&gt;10000,"Cash paid to this person today is over ₹10,000: not deductible, s.36(4)",IF(T139&gt;35000,"Cash freight to this transporter today is over ₹35,000: not deductible, s.36(6)",IF(U139&gt;10000,"Asset paid in cash over ₹10,000 today: left out of its cost, s.39(2)",IF(AND(P139="L",H139="Cash",N(J139)&gt;=20000),"Loan of ₹20,000 or more repaid in cash: barred, s.188","OK")))))))))))))))</f>
        <v/>
      </c>
      <c r="P139">
        <f>IF(E139="","",IFERROR(VLOOKUP(E139,Lists!$A$2:$B$17,2,FALSE),"?"))</f>
        <v/>
      </c>
      <c r="Q139">
        <f>IF(L139="Cancelled",0,N(J139))</f>
        <v/>
      </c>
      <c r="R139">
        <f>IF(H139="Cash",Q139,0)</f>
        <v/>
      </c>
      <c r="S139">
        <f>IF(OR(P139&lt;&gt;"E",R139=0),0,SUMIFS($R$18:$R$317,$B$18:$B$317,B139,$D$18:$D$317,D139,$P$18:$P$317,"E"))</f>
        <v/>
      </c>
      <c r="T139">
        <f>IF(OR(P139&lt;&gt;"F",R139=0),0,SUMIFS($R$18:$R$317,$B$18:$B$317,B139,$D$18:$D$317,D139,$P$18:$P$317,"F"))</f>
        <v/>
      </c>
      <c r="U139">
        <f>IF(OR(P139&lt;&gt;"A",R139=0),0,SUMIFS($R$18:$R$317,$B$18:$B$317,B139,$D$18:$D$317,D139,$P$18:$P$317,"A"))</f>
        <v/>
      </c>
      <c r="V139">
        <f>IF(OR(N139="",N139="OK",L139="Cancelled"),0,1)</f>
        <v/>
      </c>
    </row>
    <row r="140">
      <c r="B140" s="22" t="n"/>
      <c r="C140" s="23">
        <f>IF(B140="","",$E$9&amp;TEXT(N($E$10)+122,"000"))</f>
        <v/>
      </c>
      <c r="D140" s="14" t="n"/>
      <c r="E140" s="14" t="n"/>
      <c r="F140" s="14" t="n"/>
      <c r="G140" s="24" t="n"/>
      <c r="H140" s="14" t="n"/>
      <c r="I140" s="24" t="n"/>
      <c r="J140" s="25" t="n"/>
      <c r="K140" s="14" t="n"/>
      <c r="L140" s="24" t="n"/>
      <c r="M140" s="26">
        <f>IF(OR(N(J140)=0,L140="Cancelled"),"",IF(AND(N(J140)&gt;5000,H140="Cash"),"Yes: ₹1","No"))</f>
        <v/>
      </c>
      <c r="N140" s="27">
        <f>IF(AND(B140="",D140="",N(J140)=0),"",IF(B140="","Enter the date",IF(AND(ROW()&gt;18,B139=""),"Use the next empty row: a skipped row leaves a gap in the voucher numbers",IF(D140="","Enter who was paid",IF(N(J140)=0,"Enter the amount",IF(E140="","Pick the head of account",IF(P140="?","Pick the head from the list",IF(H140="","Pick how it was paid",IF(L140="Cancelled","Cancelled: keep this number unused and write a fresh voucher",IF(AND(H140&lt;&gt;"Cash",I140=""),"Enter the cheque no., UTR or UPI reference",IF(AND(N($E$11)&gt;0,N(J140)&gt;N($E$11),K140=""),"Above your approval limit: get it approved before paying",IF(S140&gt;10000,"Cash paid to this person today is over ₹10,000: not deductible, s.36(4)",IF(T140&gt;35000,"Cash freight to this transporter today is over ₹35,000: not deductible, s.36(6)",IF(U140&gt;10000,"Asset paid in cash over ₹10,000 today: left out of its cost, s.39(2)",IF(AND(P140="L",H140="Cash",N(J140)&gt;=20000),"Loan of ₹20,000 or more repaid in cash: barred, s.188","OK")))))))))))))))</f>
        <v/>
      </c>
      <c r="P140">
        <f>IF(E140="","",IFERROR(VLOOKUP(E140,Lists!$A$2:$B$17,2,FALSE),"?"))</f>
        <v/>
      </c>
      <c r="Q140">
        <f>IF(L140="Cancelled",0,N(J140))</f>
        <v/>
      </c>
      <c r="R140">
        <f>IF(H140="Cash",Q140,0)</f>
        <v/>
      </c>
      <c r="S140">
        <f>IF(OR(P140&lt;&gt;"E",R140=0),0,SUMIFS($R$18:$R$317,$B$18:$B$317,B140,$D$18:$D$317,D140,$P$18:$P$317,"E"))</f>
        <v/>
      </c>
      <c r="T140">
        <f>IF(OR(P140&lt;&gt;"F",R140=0),0,SUMIFS($R$18:$R$317,$B$18:$B$317,B140,$D$18:$D$317,D140,$P$18:$P$317,"F"))</f>
        <v/>
      </c>
      <c r="U140">
        <f>IF(OR(P140&lt;&gt;"A",R140=0),0,SUMIFS($R$18:$R$317,$B$18:$B$317,B140,$D$18:$D$317,D140,$P$18:$P$317,"A"))</f>
        <v/>
      </c>
      <c r="V140">
        <f>IF(OR(N140="",N140="OK",L140="Cancelled"),0,1)</f>
        <v/>
      </c>
    </row>
    <row r="141">
      <c r="B141" s="22" t="n"/>
      <c r="C141" s="23">
        <f>IF(B141="","",$E$9&amp;TEXT(N($E$10)+123,"000"))</f>
        <v/>
      </c>
      <c r="D141" s="14" t="n"/>
      <c r="E141" s="14" t="n"/>
      <c r="F141" s="14" t="n"/>
      <c r="G141" s="24" t="n"/>
      <c r="H141" s="14" t="n"/>
      <c r="I141" s="24" t="n"/>
      <c r="J141" s="25" t="n"/>
      <c r="K141" s="14" t="n"/>
      <c r="L141" s="24" t="n"/>
      <c r="M141" s="26">
        <f>IF(OR(N(J141)=0,L141="Cancelled"),"",IF(AND(N(J141)&gt;5000,H141="Cash"),"Yes: ₹1","No"))</f>
        <v/>
      </c>
      <c r="N141" s="27">
        <f>IF(AND(B141="",D141="",N(J141)=0),"",IF(B141="","Enter the date",IF(AND(ROW()&gt;18,B140=""),"Use the next empty row: a skipped row leaves a gap in the voucher numbers",IF(D141="","Enter who was paid",IF(N(J141)=0,"Enter the amount",IF(E141="","Pick the head of account",IF(P141="?","Pick the head from the list",IF(H141="","Pick how it was paid",IF(L141="Cancelled","Cancelled: keep this number unused and write a fresh voucher",IF(AND(H141&lt;&gt;"Cash",I141=""),"Enter the cheque no., UTR or UPI reference",IF(AND(N($E$11)&gt;0,N(J141)&gt;N($E$11),K141=""),"Above your approval limit: get it approved before paying",IF(S141&gt;10000,"Cash paid to this person today is over ₹10,000: not deductible, s.36(4)",IF(T141&gt;35000,"Cash freight to this transporter today is over ₹35,000: not deductible, s.36(6)",IF(U141&gt;10000,"Asset paid in cash over ₹10,000 today: left out of its cost, s.39(2)",IF(AND(P141="L",H141="Cash",N(J141)&gt;=20000),"Loan of ₹20,000 or more repaid in cash: barred, s.188","OK")))))))))))))))</f>
        <v/>
      </c>
      <c r="P141">
        <f>IF(E141="","",IFERROR(VLOOKUP(E141,Lists!$A$2:$B$17,2,FALSE),"?"))</f>
        <v/>
      </c>
      <c r="Q141">
        <f>IF(L141="Cancelled",0,N(J141))</f>
        <v/>
      </c>
      <c r="R141">
        <f>IF(H141="Cash",Q141,0)</f>
        <v/>
      </c>
      <c r="S141">
        <f>IF(OR(P141&lt;&gt;"E",R141=0),0,SUMIFS($R$18:$R$317,$B$18:$B$317,B141,$D$18:$D$317,D141,$P$18:$P$317,"E"))</f>
        <v/>
      </c>
      <c r="T141">
        <f>IF(OR(P141&lt;&gt;"F",R141=0),0,SUMIFS($R$18:$R$317,$B$18:$B$317,B141,$D$18:$D$317,D141,$P$18:$P$317,"F"))</f>
        <v/>
      </c>
      <c r="U141">
        <f>IF(OR(P141&lt;&gt;"A",R141=0),0,SUMIFS($R$18:$R$317,$B$18:$B$317,B141,$D$18:$D$317,D141,$P$18:$P$317,"A"))</f>
        <v/>
      </c>
      <c r="V141">
        <f>IF(OR(N141="",N141="OK",L141="Cancelled"),0,1)</f>
        <v/>
      </c>
    </row>
    <row r="142">
      <c r="B142" s="22" t="n"/>
      <c r="C142" s="23">
        <f>IF(B142="","",$E$9&amp;TEXT(N($E$10)+124,"000"))</f>
        <v/>
      </c>
      <c r="D142" s="14" t="n"/>
      <c r="E142" s="14" t="n"/>
      <c r="F142" s="14" t="n"/>
      <c r="G142" s="24" t="n"/>
      <c r="H142" s="14" t="n"/>
      <c r="I142" s="24" t="n"/>
      <c r="J142" s="25" t="n"/>
      <c r="K142" s="14" t="n"/>
      <c r="L142" s="24" t="n"/>
      <c r="M142" s="26">
        <f>IF(OR(N(J142)=0,L142="Cancelled"),"",IF(AND(N(J142)&gt;5000,H142="Cash"),"Yes: ₹1","No"))</f>
        <v/>
      </c>
      <c r="N142" s="27">
        <f>IF(AND(B142="",D142="",N(J142)=0),"",IF(B142="","Enter the date",IF(AND(ROW()&gt;18,B141=""),"Use the next empty row: a skipped row leaves a gap in the voucher numbers",IF(D142="","Enter who was paid",IF(N(J142)=0,"Enter the amount",IF(E142="","Pick the head of account",IF(P142="?","Pick the head from the list",IF(H142="","Pick how it was paid",IF(L142="Cancelled","Cancelled: keep this number unused and write a fresh voucher",IF(AND(H142&lt;&gt;"Cash",I142=""),"Enter the cheque no., UTR or UPI reference",IF(AND(N($E$11)&gt;0,N(J142)&gt;N($E$11),K142=""),"Above your approval limit: get it approved before paying",IF(S142&gt;10000,"Cash paid to this person today is over ₹10,000: not deductible, s.36(4)",IF(T142&gt;35000,"Cash freight to this transporter today is over ₹35,000: not deductible, s.36(6)",IF(U142&gt;10000,"Asset paid in cash over ₹10,000 today: left out of its cost, s.39(2)",IF(AND(P142="L",H142="Cash",N(J142)&gt;=20000),"Loan of ₹20,000 or more repaid in cash: barred, s.188","OK")))))))))))))))</f>
        <v/>
      </c>
      <c r="P142">
        <f>IF(E142="","",IFERROR(VLOOKUP(E142,Lists!$A$2:$B$17,2,FALSE),"?"))</f>
        <v/>
      </c>
      <c r="Q142">
        <f>IF(L142="Cancelled",0,N(J142))</f>
        <v/>
      </c>
      <c r="R142">
        <f>IF(H142="Cash",Q142,0)</f>
        <v/>
      </c>
      <c r="S142">
        <f>IF(OR(P142&lt;&gt;"E",R142=0),0,SUMIFS($R$18:$R$317,$B$18:$B$317,B142,$D$18:$D$317,D142,$P$18:$P$317,"E"))</f>
        <v/>
      </c>
      <c r="T142">
        <f>IF(OR(P142&lt;&gt;"F",R142=0),0,SUMIFS($R$18:$R$317,$B$18:$B$317,B142,$D$18:$D$317,D142,$P$18:$P$317,"F"))</f>
        <v/>
      </c>
      <c r="U142">
        <f>IF(OR(P142&lt;&gt;"A",R142=0),0,SUMIFS($R$18:$R$317,$B$18:$B$317,B142,$D$18:$D$317,D142,$P$18:$P$317,"A"))</f>
        <v/>
      </c>
      <c r="V142">
        <f>IF(OR(N142="",N142="OK",L142="Cancelled"),0,1)</f>
        <v/>
      </c>
    </row>
    <row r="143">
      <c r="B143" s="22" t="n"/>
      <c r="C143" s="23">
        <f>IF(B143="","",$E$9&amp;TEXT(N($E$10)+125,"000"))</f>
        <v/>
      </c>
      <c r="D143" s="14" t="n"/>
      <c r="E143" s="14" t="n"/>
      <c r="F143" s="14" t="n"/>
      <c r="G143" s="24" t="n"/>
      <c r="H143" s="14" t="n"/>
      <c r="I143" s="24" t="n"/>
      <c r="J143" s="25" t="n"/>
      <c r="K143" s="14" t="n"/>
      <c r="L143" s="24" t="n"/>
      <c r="M143" s="26">
        <f>IF(OR(N(J143)=0,L143="Cancelled"),"",IF(AND(N(J143)&gt;5000,H143="Cash"),"Yes: ₹1","No"))</f>
        <v/>
      </c>
      <c r="N143" s="27">
        <f>IF(AND(B143="",D143="",N(J143)=0),"",IF(B143="","Enter the date",IF(AND(ROW()&gt;18,B142=""),"Use the next empty row: a skipped row leaves a gap in the voucher numbers",IF(D143="","Enter who was paid",IF(N(J143)=0,"Enter the amount",IF(E143="","Pick the head of account",IF(P143="?","Pick the head from the list",IF(H143="","Pick how it was paid",IF(L143="Cancelled","Cancelled: keep this number unused and write a fresh voucher",IF(AND(H143&lt;&gt;"Cash",I143=""),"Enter the cheque no., UTR or UPI reference",IF(AND(N($E$11)&gt;0,N(J143)&gt;N($E$11),K143=""),"Above your approval limit: get it approved before paying",IF(S143&gt;10000,"Cash paid to this person today is over ₹10,000: not deductible, s.36(4)",IF(T143&gt;35000,"Cash freight to this transporter today is over ₹35,000: not deductible, s.36(6)",IF(U143&gt;10000,"Asset paid in cash over ₹10,000 today: left out of its cost, s.39(2)",IF(AND(P143="L",H143="Cash",N(J143)&gt;=20000),"Loan of ₹20,000 or more repaid in cash: barred, s.188","OK")))))))))))))))</f>
        <v/>
      </c>
      <c r="P143">
        <f>IF(E143="","",IFERROR(VLOOKUP(E143,Lists!$A$2:$B$17,2,FALSE),"?"))</f>
        <v/>
      </c>
      <c r="Q143">
        <f>IF(L143="Cancelled",0,N(J143))</f>
        <v/>
      </c>
      <c r="R143">
        <f>IF(H143="Cash",Q143,0)</f>
        <v/>
      </c>
      <c r="S143">
        <f>IF(OR(P143&lt;&gt;"E",R143=0),0,SUMIFS($R$18:$R$317,$B$18:$B$317,B143,$D$18:$D$317,D143,$P$18:$P$317,"E"))</f>
        <v/>
      </c>
      <c r="T143">
        <f>IF(OR(P143&lt;&gt;"F",R143=0),0,SUMIFS($R$18:$R$317,$B$18:$B$317,B143,$D$18:$D$317,D143,$P$18:$P$317,"F"))</f>
        <v/>
      </c>
      <c r="U143">
        <f>IF(OR(P143&lt;&gt;"A",R143=0),0,SUMIFS($R$18:$R$317,$B$18:$B$317,B143,$D$18:$D$317,D143,$P$18:$P$317,"A"))</f>
        <v/>
      </c>
      <c r="V143">
        <f>IF(OR(N143="",N143="OK",L143="Cancelled"),0,1)</f>
        <v/>
      </c>
    </row>
    <row r="144">
      <c r="B144" s="22" t="n"/>
      <c r="C144" s="23">
        <f>IF(B144="","",$E$9&amp;TEXT(N($E$10)+126,"000"))</f>
        <v/>
      </c>
      <c r="D144" s="14" t="n"/>
      <c r="E144" s="14" t="n"/>
      <c r="F144" s="14" t="n"/>
      <c r="G144" s="24" t="n"/>
      <c r="H144" s="14" t="n"/>
      <c r="I144" s="24" t="n"/>
      <c r="J144" s="25" t="n"/>
      <c r="K144" s="14" t="n"/>
      <c r="L144" s="24" t="n"/>
      <c r="M144" s="26">
        <f>IF(OR(N(J144)=0,L144="Cancelled"),"",IF(AND(N(J144)&gt;5000,H144="Cash"),"Yes: ₹1","No"))</f>
        <v/>
      </c>
      <c r="N144" s="27">
        <f>IF(AND(B144="",D144="",N(J144)=0),"",IF(B144="","Enter the date",IF(AND(ROW()&gt;18,B143=""),"Use the next empty row: a skipped row leaves a gap in the voucher numbers",IF(D144="","Enter who was paid",IF(N(J144)=0,"Enter the amount",IF(E144="","Pick the head of account",IF(P144="?","Pick the head from the list",IF(H144="","Pick how it was paid",IF(L144="Cancelled","Cancelled: keep this number unused and write a fresh voucher",IF(AND(H144&lt;&gt;"Cash",I144=""),"Enter the cheque no., UTR or UPI reference",IF(AND(N($E$11)&gt;0,N(J144)&gt;N($E$11),K144=""),"Above your approval limit: get it approved before paying",IF(S144&gt;10000,"Cash paid to this person today is over ₹10,000: not deductible, s.36(4)",IF(T144&gt;35000,"Cash freight to this transporter today is over ₹35,000: not deductible, s.36(6)",IF(U144&gt;10000,"Asset paid in cash over ₹10,000 today: left out of its cost, s.39(2)",IF(AND(P144="L",H144="Cash",N(J144)&gt;=20000),"Loan of ₹20,000 or more repaid in cash: barred, s.188","OK")))))))))))))))</f>
        <v/>
      </c>
      <c r="P144">
        <f>IF(E144="","",IFERROR(VLOOKUP(E144,Lists!$A$2:$B$17,2,FALSE),"?"))</f>
        <v/>
      </c>
      <c r="Q144">
        <f>IF(L144="Cancelled",0,N(J144))</f>
        <v/>
      </c>
      <c r="R144">
        <f>IF(H144="Cash",Q144,0)</f>
        <v/>
      </c>
      <c r="S144">
        <f>IF(OR(P144&lt;&gt;"E",R144=0),0,SUMIFS($R$18:$R$317,$B$18:$B$317,B144,$D$18:$D$317,D144,$P$18:$P$317,"E"))</f>
        <v/>
      </c>
      <c r="T144">
        <f>IF(OR(P144&lt;&gt;"F",R144=0),0,SUMIFS($R$18:$R$317,$B$18:$B$317,B144,$D$18:$D$317,D144,$P$18:$P$317,"F"))</f>
        <v/>
      </c>
      <c r="U144">
        <f>IF(OR(P144&lt;&gt;"A",R144=0),0,SUMIFS($R$18:$R$317,$B$18:$B$317,B144,$D$18:$D$317,D144,$P$18:$P$317,"A"))</f>
        <v/>
      </c>
      <c r="V144">
        <f>IF(OR(N144="",N144="OK",L144="Cancelled"),0,1)</f>
        <v/>
      </c>
    </row>
    <row r="145">
      <c r="B145" s="22" t="n"/>
      <c r="C145" s="23">
        <f>IF(B145="","",$E$9&amp;TEXT(N($E$10)+127,"000"))</f>
        <v/>
      </c>
      <c r="D145" s="14" t="n"/>
      <c r="E145" s="14" t="n"/>
      <c r="F145" s="14" t="n"/>
      <c r="G145" s="24" t="n"/>
      <c r="H145" s="14" t="n"/>
      <c r="I145" s="24" t="n"/>
      <c r="J145" s="25" t="n"/>
      <c r="K145" s="14" t="n"/>
      <c r="L145" s="24" t="n"/>
      <c r="M145" s="26">
        <f>IF(OR(N(J145)=0,L145="Cancelled"),"",IF(AND(N(J145)&gt;5000,H145="Cash"),"Yes: ₹1","No"))</f>
        <v/>
      </c>
      <c r="N145" s="27">
        <f>IF(AND(B145="",D145="",N(J145)=0),"",IF(B145="","Enter the date",IF(AND(ROW()&gt;18,B144=""),"Use the next empty row: a skipped row leaves a gap in the voucher numbers",IF(D145="","Enter who was paid",IF(N(J145)=0,"Enter the amount",IF(E145="","Pick the head of account",IF(P145="?","Pick the head from the list",IF(H145="","Pick how it was paid",IF(L145="Cancelled","Cancelled: keep this number unused and write a fresh voucher",IF(AND(H145&lt;&gt;"Cash",I145=""),"Enter the cheque no., UTR or UPI reference",IF(AND(N($E$11)&gt;0,N(J145)&gt;N($E$11),K145=""),"Above your approval limit: get it approved before paying",IF(S145&gt;10000,"Cash paid to this person today is over ₹10,000: not deductible, s.36(4)",IF(T145&gt;35000,"Cash freight to this transporter today is over ₹35,000: not deductible, s.36(6)",IF(U145&gt;10000,"Asset paid in cash over ₹10,000 today: left out of its cost, s.39(2)",IF(AND(P145="L",H145="Cash",N(J145)&gt;=20000),"Loan of ₹20,000 or more repaid in cash: barred, s.188","OK")))))))))))))))</f>
        <v/>
      </c>
      <c r="P145">
        <f>IF(E145="","",IFERROR(VLOOKUP(E145,Lists!$A$2:$B$17,2,FALSE),"?"))</f>
        <v/>
      </c>
      <c r="Q145">
        <f>IF(L145="Cancelled",0,N(J145))</f>
        <v/>
      </c>
      <c r="R145">
        <f>IF(H145="Cash",Q145,0)</f>
        <v/>
      </c>
      <c r="S145">
        <f>IF(OR(P145&lt;&gt;"E",R145=0),0,SUMIFS($R$18:$R$317,$B$18:$B$317,B145,$D$18:$D$317,D145,$P$18:$P$317,"E"))</f>
        <v/>
      </c>
      <c r="T145">
        <f>IF(OR(P145&lt;&gt;"F",R145=0),0,SUMIFS($R$18:$R$317,$B$18:$B$317,B145,$D$18:$D$317,D145,$P$18:$P$317,"F"))</f>
        <v/>
      </c>
      <c r="U145">
        <f>IF(OR(P145&lt;&gt;"A",R145=0),0,SUMIFS($R$18:$R$317,$B$18:$B$317,B145,$D$18:$D$317,D145,$P$18:$P$317,"A"))</f>
        <v/>
      </c>
      <c r="V145">
        <f>IF(OR(N145="",N145="OK",L145="Cancelled"),0,1)</f>
        <v/>
      </c>
    </row>
    <row r="146">
      <c r="B146" s="22" t="n"/>
      <c r="C146" s="23">
        <f>IF(B146="","",$E$9&amp;TEXT(N($E$10)+128,"000"))</f>
        <v/>
      </c>
      <c r="D146" s="14" t="n"/>
      <c r="E146" s="14" t="n"/>
      <c r="F146" s="14" t="n"/>
      <c r="G146" s="24" t="n"/>
      <c r="H146" s="14" t="n"/>
      <c r="I146" s="24" t="n"/>
      <c r="J146" s="25" t="n"/>
      <c r="K146" s="14" t="n"/>
      <c r="L146" s="24" t="n"/>
      <c r="M146" s="26">
        <f>IF(OR(N(J146)=0,L146="Cancelled"),"",IF(AND(N(J146)&gt;5000,H146="Cash"),"Yes: ₹1","No"))</f>
        <v/>
      </c>
      <c r="N146" s="27">
        <f>IF(AND(B146="",D146="",N(J146)=0),"",IF(B146="","Enter the date",IF(AND(ROW()&gt;18,B145=""),"Use the next empty row: a skipped row leaves a gap in the voucher numbers",IF(D146="","Enter who was paid",IF(N(J146)=0,"Enter the amount",IF(E146="","Pick the head of account",IF(P146="?","Pick the head from the list",IF(H146="","Pick how it was paid",IF(L146="Cancelled","Cancelled: keep this number unused and write a fresh voucher",IF(AND(H146&lt;&gt;"Cash",I146=""),"Enter the cheque no., UTR or UPI reference",IF(AND(N($E$11)&gt;0,N(J146)&gt;N($E$11),K146=""),"Above your approval limit: get it approved before paying",IF(S146&gt;10000,"Cash paid to this person today is over ₹10,000: not deductible, s.36(4)",IF(T146&gt;35000,"Cash freight to this transporter today is over ₹35,000: not deductible, s.36(6)",IF(U146&gt;10000,"Asset paid in cash over ₹10,000 today: left out of its cost, s.39(2)",IF(AND(P146="L",H146="Cash",N(J146)&gt;=20000),"Loan of ₹20,000 or more repaid in cash: barred, s.188","OK")))))))))))))))</f>
        <v/>
      </c>
      <c r="P146">
        <f>IF(E146="","",IFERROR(VLOOKUP(E146,Lists!$A$2:$B$17,2,FALSE),"?"))</f>
        <v/>
      </c>
      <c r="Q146">
        <f>IF(L146="Cancelled",0,N(J146))</f>
        <v/>
      </c>
      <c r="R146">
        <f>IF(H146="Cash",Q146,0)</f>
        <v/>
      </c>
      <c r="S146">
        <f>IF(OR(P146&lt;&gt;"E",R146=0),0,SUMIFS($R$18:$R$317,$B$18:$B$317,B146,$D$18:$D$317,D146,$P$18:$P$317,"E"))</f>
        <v/>
      </c>
      <c r="T146">
        <f>IF(OR(P146&lt;&gt;"F",R146=0),0,SUMIFS($R$18:$R$317,$B$18:$B$317,B146,$D$18:$D$317,D146,$P$18:$P$317,"F"))</f>
        <v/>
      </c>
      <c r="U146">
        <f>IF(OR(P146&lt;&gt;"A",R146=0),0,SUMIFS($R$18:$R$317,$B$18:$B$317,B146,$D$18:$D$317,D146,$P$18:$P$317,"A"))</f>
        <v/>
      </c>
      <c r="V146">
        <f>IF(OR(N146="",N146="OK",L146="Cancelled"),0,1)</f>
        <v/>
      </c>
    </row>
    <row r="147">
      <c r="B147" s="22" t="n"/>
      <c r="C147" s="23">
        <f>IF(B147="","",$E$9&amp;TEXT(N($E$10)+129,"000"))</f>
        <v/>
      </c>
      <c r="D147" s="14" t="n"/>
      <c r="E147" s="14" t="n"/>
      <c r="F147" s="14" t="n"/>
      <c r="G147" s="24" t="n"/>
      <c r="H147" s="14" t="n"/>
      <c r="I147" s="24" t="n"/>
      <c r="J147" s="25" t="n"/>
      <c r="K147" s="14" t="n"/>
      <c r="L147" s="24" t="n"/>
      <c r="M147" s="26">
        <f>IF(OR(N(J147)=0,L147="Cancelled"),"",IF(AND(N(J147)&gt;5000,H147="Cash"),"Yes: ₹1","No"))</f>
        <v/>
      </c>
      <c r="N147" s="27">
        <f>IF(AND(B147="",D147="",N(J147)=0),"",IF(B147="","Enter the date",IF(AND(ROW()&gt;18,B146=""),"Use the next empty row: a skipped row leaves a gap in the voucher numbers",IF(D147="","Enter who was paid",IF(N(J147)=0,"Enter the amount",IF(E147="","Pick the head of account",IF(P147="?","Pick the head from the list",IF(H147="","Pick how it was paid",IF(L147="Cancelled","Cancelled: keep this number unused and write a fresh voucher",IF(AND(H147&lt;&gt;"Cash",I147=""),"Enter the cheque no., UTR or UPI reference",IF(AND(N($E$11)&gt;0,N(J147)&gt;N($E$11),K147=""),"Above your approval limit: get it approved before paying",IF(S147&gt;10000,"Cash paid to this person today is over ₹10,000: not deductible, s.36(4)",IF(T147&gt;35000,"Cash freight to this transporter today is over ₹35,000: not deductible, s.36(6)",IF(U147&gt;10000,"Asset paid in cash over ₹10,000 today: left out of its cost, s.39(2)",IF(AND(P147="L",H147="Cash",N(J147)&gt;=20000),"Loan of ₹20,000 or more repaid in cash: barred, s.188","OK")))))))))))))))</f>
        <v/>
      </c>
      <c r="P147">
        <f>IF(E147="","",IFERROR(VLOOKUP(E147,Lists!$A$2:$B$17,2,FALSE),"?"))</f>
        <v/>
      </c>
      <c r="Q147">
        <f>IF(L147="Cancelled",0,N(J147))</f>
        <v/>
      </c>
      <c r="R147">
        <f>IF(H147="Cash",Q147,0)</f>
        <v/>
      </c>
      <c r="S147">
        <f>IF(OR(P147&lt;&gt;"E",R147=0),0,SUMIFS($R$18:$R$317,$B$18:$B$317,B147,$D$18:$D$317,D147,$P$18:$P$317,"E"))</f>
        <v/>
      </c>
      <c r="T147">
        <f>IF(OR(P147&lt;&gt;"F",R147=0),0,SUMIFS($R$18:$R$317,$B$18:$B$317,B147,$D$18:$D$317,D147,$P$18:$P$317,"F"))</f>
        <v/>
      </c>
      <c r="U147">
        <f>IF(OR(P147&lt;&gt;"A",R147=0),0,SUMIFS($R$18:$R$317,$B$18:$B$317,B147,$D$18:$D$317,D147,$P$18:$P$317,"A"))</f>
        <v/>
      </c>
      <c r="V147">
        <f>IF(OR(N147="",N147="OK",L147="Cancelled"),0,1)</f>
        <v/>
      </c>
    </row>
    <row r="148">
      <c r="B148" s="22" t="n"/>
      <c r="C148" s="23">
        <f>IF(B148="","",$E$9&amp;TEXT(N($E$10)+130,"000"))</f>
        <v/>
      </c>
      <c r="D148" s="14" t="n"/>
      <c r="E148" s="14" t="n"/>
      <c r="F148" s="14" t="n"/>
      <c r="G148" s="24" t="n"/>
      <c r="H148" s="14" t="n"/>
      <c r="I148" s="24" t="n"/>
      <c r="J148" s="25" t="n"/>
      <c r="K148" s="14" t="n"/>
      <c r="L148" s="24" t="n"/>
      <c r="M148" s="26">
        <f>IF(OR(N(J148)=0,L148="Cancelled"),"",IF(AND(N(J148)&gt;5000,H148="Cash"),"Yes: ₹1","No"))</f>
        <v/>
      </c>
      <c r="N148" s="27">
        <f>IF(AND(B148="",D148="",N(J148)=0),"",IF(B148="","Enter the date",IF(AND(ROW()&gt;18,B147=""),"Use the next empty row: a skipped row leaves a gap in the voucher numbers",IF(D148="","Enter who was paid",IF(N(J148)=0,"Enter the amount",IF(E148="","Pick the head of account",IF(P148="?","Pick the head from the list",IF(H148="","Pick how it was paid",IF(L148="Cancelled","Cancelled: keep this number unused and write a fresh voucher",IF(AND(H148&lt;&gt;"Cash",I148=""),"Enter the cheque no., UTR or UPI reference",IF(AND(N($E$11)&gt;0,N(J148)&gt;N($E$11),K148=""),"Above your approval limit: get it approved before paying",IF(S148&gt;10000,"Cash paid to this person today is over ₹10,000: not deductible, s.36(4)",IF(T148&gt;35000,"Cash freight to this transporter today is over ₹35,000: not deductible, s.36(6)",IF(U148&gt;10000,"Asset paid in cash over ₹10,000 today: left out of its cost, s.39(2)",IF(AND(P148="L",H148="Cash",N(J148)&gt;=20000),"Loan of ₹20,000 or more repaid in cash: barred, s.188","OK")))))))))))))))</f>
        <v/>
      </c>
      <c r="P148">
        <f>IF(E148="","",IFERROR(VLOOKUP(E148,Lists!$A$2:$B$17,2,FALSE),"?"))</f>
        <v/>
      </c>
      <c r="Q148">
        <f>IF(L148="Cancelled",0,N(J148))</f>
        <v/>
      </c>
      <c r="R148">
        <f>IF(H148="Cash",Q148,0)</f>
        <v/>
      </c>
      <c r="S148">
        <f>IF(OR(P148&lt;&gt;"E",R148=0),0,SUMIFS($R$18:$R$317,$B$18:$B$317,B148,$D$18:$D$317,D148,$P$18:$P$317,"E"))</f>
        <v/>
      </c>
      <c r="T148">
        <f>IF(OR(P148&lt;&gt;"F",R148=0),0,SUMIFS($R$18:$R$317,$B$18:$B$317,B148,$D$18:$D$317,D148,$P$18:$P$317,"F"))</f>
        <v/>
      </c>
      <c r="U148">
        <f>IF(OR(P148&lt;&gt;"A",R148=0),0,SUMIFS($R$18:$R$317,$B$18:$B$317,B148,$D$18:$D$317,D148,$P$18:$P$317,"A"))</f>
        <v/>
      </c>
      <c r="V148">
        <f>IF(OR(N148="",N148="OK",L148="Cancelled"),0,1)</f>
        <v/>
      </c>
    </row>
    <row r="149">
      <c r="B149" s="22" t="n"/>
      <c r="C149" s="23">
        <f>IF(B149="","",$E$9&amp;TEXT(N($E$10)+131,"000"))</f>
        <v/>
      </c>
      <c r="D149" s="14" t="n"/>
      <c r="E149" s="14" t="n"/>
      <c r="F149" s="14" t="n"/>
      <c r="G149" s="24" t="n"/>
      <c r="H149" s="14" t="n"/>
      <c r="I149" s="24" t="n"/>
      <c r="J149" s="25" t="n"/>
      <c r="K149" s="14" t="n"/>
      <c r="L149" s="24" t="n"/>
      <c r="M149" s="26">
        <f>IF(OR(N(J149)=0,L149="Cancelled"),"",IF(AND(N(J149)&gt;5000,H149="Cash"),"Yes: ₹1","No"))</f>
        <v/>
      </c>
      <c r="N149" s="27">
        <f>IF(AND(B149="",D149="",N(J149)=0),"",IF(B149="","Enter the date",IF(AND(ROW()&gt;18,B148=""),"Use the next empty row: a skipped row leaves a gap in the voucher numbers",IF(D149="","Enter who was paid",IF(N(J149)=0,"Enter the amount",IF(E149="","Pick the head of account",IF(P149="?","Pick the head from the list",IF(H149="","Pick how it was paid",IF(L149="Cancelled","Cancelled: keep this number unused and write a fresh voucher",IF(AND(H149&lt;&gt;"Cash",I149=""),"Enter the cheque no., UTR or UPI reference",IF(AND(N($E$11)&gt;0,N(J149)&gt;N($E$11),K149=""),"Above your approval limit: get it approved before paying",IF(S149&gt;10000,"Cash paid to this person today is over ₹10,000: not deductible, s.36(4)",IF(T149&gt;35000,"Cash freight to this transporter today is over ₹35,000: not deductible, s.36(6)",IF(U149&gt;10000,"Asset paid in cash over ₹10,000 today: left out of its cost, s.39(2)",IF(AND(P149="L",H149="Cash",N(J149)&gt;=20000),"Loan of ₹20,000 or more repaid in cash: barred, s.188","OK")))))))))))))))</f>
        <v/>
      </c>
      <c r="P149">
        <f>IF(E149="","",IFERROR(VLOOKUP(E149,Lists!$A$2:$B$17,2,FALSE),"?"))</f>
        <v/>
      </c>
      <c r="Q149">
        <f>IF(L149="Cancelled",0,N(J149))</f>
        <v/>
      </c>
      <c r="R149">
        <f>IF(H149="Cash",Q149,0)</f>
        <v/>
      </c>
      <c r="S149">
        <f>IF(OR(P149&lt;&gt;"E",R149=0),0,SUMIFS($R$18:$R$317,$B$18:$B$317,B149,$D$18:$D$317,D149,$P$18:$P$317,"E"))</f>
        <v/>
      </c>
      <c r="T149">
        <f>IF(OR(P149&lt;&gt;"F",R149=0),0,SUMIFS($R$18:$R$317,$B$18:$B$317,B149,$D$18:$D$317,D149,$P$18:$P$317,"F"))</f>
        <v/>
      </c>
      <c r="U149">
        <f>IF(OR(P149&lt;&gt;"A",R149=0),0,SUMIFS($R$18:$R$317,$B$18:$B$317,B149,$D$18:$D$317,D149,$P$18:$P$317,"A"))</f>
        <v/>
      </c>
      <c r="V149">
        <f>IF(OR(N149="",N149="OK",L149="Cancelled"),0,1)</f>
        <v/>
      </c>
    </row>
    <row r="150">
      <c r="B150" s="22" t="n"/>
      <c r="C150" s="23">
        <f>IF(B150="","",$E$9&amp;TEXT(N($E$10)+132,"000"))</f>
        <v/>
      </c>
      <c r="D150" s="14" t="n"/>
      <c r="E150" s="14" t="n"/>
      <c r="F150" s="14" t="n"/>
      <c r="G150" s="24" t="n"/>
      <c r="H150" s="14" t="n"/>
      <c r="I150" s="24" t="n"/>
      <c r="J150" s="25" t="n"/>
      <c r="K150" s="14" t="n"/>
      <c r="L150" s="24" t="n"/>
      <c r="M150" s="26">
        <f>IF(OR(N(J150)=0,L150="Cancelled"),"",IF(AND(N(J150)&gt;5000,H150="Cash"),"Yes: ₹1","No"))</f>
        <v/>
      </c>
      <c r="N150" s="27">
        <f>IF(AND(B150="",D150="",N(J150)=0),"",IF(B150="","Enter the date",IF(AND(ROW()&gt;18,B149=""),"Use the next empty row: a skipped row leaves a gap in the voucher numbers",IF(D150="","Enter who was paid",IF(N(J150)=0,"Enter the amount",IF(E150="","Pick the head of account",IF(P150="?","Pick the head from the list",IF(H150="","Pick how it was paid",IF(L150="Cancelled","Cancelled: keep this number unused and write a fresh voucher",IF(AND(H150&lt;&gt;"Cash",I150=""),"Enter the cheque no., UTR or UPI reference",IF(AND(N($E$11)&gt;0,N(J150)&gt;N($E$11),K150=""),"Above your approval limit: get it approved before paying",IF(S150&gt;10000,"Cash paid to this person today is over ₹10,000: not deductible, s.36(4)",IF(T150&gt;35000,"Cash freight to this transporter today is over ₹35,000: not deductible, s.36(6)",IF(U150&gt;10000,"Asset paid in cash over ₹10,000 today: left out of its cost, s.39(2)",IF(AND(P150="L",H150="Cash",N(J150)&gt;=20000),"Loan of ₹20,000 or more repaid in cash: barred, s.188","OK")))))))))))))))</f>
        <v/>
      </c>
      <c r="P150">
        <f>IF(E150="","",IFERROR(VLOOKUP(E150,Lists!$A$2:$B$17,2,FALSE),"?"))</f>
        <v/>
      </c>
      <c r="Q150">
        <f>IF(L150="Cancelled",0,N(J150))</f>
        <v/>
      </c>
      <c r="R150">
        <f>IF(H150="Cash",Q150,0)</f>
        <v/>
      </c>
      <c r="S150">
        <f>IF(OR(P150&lt;&gt;"E",R150=0),0,SUMIFS($R$18:$R$317,$B$18:$B$317,B150,$D$18:$D$317,D150,$P$18:$P$317,"E"))</f>
        <v/>
      </c>
      <c r="T150">
        <f>IF(OR(P150&lt;&gt;"F",R150=0),0,SUMIFS($R$18:$R$317,$B$18:$B$317,B150,$D$18:$D$317,D150,$P$18:$P$317,"F"))</f>
        <v/>
      </c>
      <c r="U150">
        <f>IF(OR(P150&lt;&gt;"A",R150=0),0,SUMIFS($R$18:$R$317,$B$18:$B$317,B150,$D$18:$D$317,D150,$P$18:$P$317,"A"))</f>
        <v/>
      </c>
      <c r="V150">
        <f>IF(OR(N150="",N150="OK",L150="Cancelled"),0,1)</f>
        <v/>
      </c>
    </row>
    <row r="151">
      <c r="B151" s="22" t="n"/>
      <c r="C151" s="23">
        <f>IF(B151="","",$E$9&amp;TEXT(N($E$10)+133,"000"))</f>
        <v/>
      </c>
      <c r="D151" s="14" t="n"/>
      <c r="E151" s="14" t="n"/>
      <c r="F151" s="14" t="n"/>
      <c r="G151" s="24" t="n"/>
      <c r="H151" s="14" t="n"/>
      <c r="I151" s="24" t="n"/>
      <c r="J151" s="25" t="n"/>
      <c r="K151" s="14" t="n"/>
      <c r="L151" s="24" t="n"/>
      <c r="M151" s="26">
        <f>IF(OR(N(J151)=0,L151="Cancelled"),"",IF(AND(N(J151)&gt;5000,H151="Cash"),"Yes: ₹1","No"))</f>
        <v/>
      </c>
      <c r="N151" s="27">
        <f>IF(AND(B151="",D151="",N(J151)=0),"",IF(B151="","Enter the date",IF(AND(ROW()&gt;18,B150=""),"Use the next empty row: a skipped row leaves a gap in the voucher numbers",IF(D151="","Enter who was paid",IF(N(J151)=0,"Enter the amount",IF(E151="","Pick the head of account",IF(P151="?","Pick the head from the list",IF(H151="","Pick how it was paid",IF(L151="Cancelled","Cancelled: keep this number unused and write a fresh voucher",IF(AND(H151&lt;&gt;"Cash",I151=""),"Enter the cheque no., UTR or UPI reference",IF(AND(N($E$11)&gt;0,N(J151)&gt;N($E$11),K151=""),"Above your approval limit: get it approved before paying",IF(S151&gt;10000,"Cash paid to this person today is over ₹10,000: not deductible, s.36(4)",IF(T151&gt;35000,"Cash freight to this transporter today is over ₹35,000: not deductible, s.36(6)",IF(U151&gt;10000,"Asset paid in cash over ₹10,000 today: left out of its cost, s.39(2)",IF(AND(P151="L",H151="Cash",N(J151)&gt;=20000),"Loan of ₹20,000 or more repaid in cash: barred, s.188","OK")))))))))))))))</f>
        <v/>
      </c>
      <c r="P151">
        <f>IF(E151="","",IFERROR(VLOOKUP(E151,Lists!$A$2:$B$17,2,FALSE),"?"))</f>
        <v/>
      </c>
      <c r="Q151">
        <f>IF(L151="Cancelled",0,N(J151))</f>
        <v/>
      </c>
      <c r="R151">
        <f>IF(H151="Cash",Q151,0)</f>
        <v/>
      </c>
      <c r="S151">
        <f>IF(OR(P151&lt;&gt;"E",R151=0),0,SUMIFS($R$18:$R$317,$B$18:$B$317,B151,$D$18:$D$317,D151,$P$18:$P$317,"E"))</f>
        <v/>
      </c>
      <c r="T151">
        <f>IF(OR(P151&lt;&gt;"F",R151=0),0,SUMIFS($R$18:$R$317,$B$18:$B$317,B151,$D$18:$D$317,D151,$P$18:$P$317,"F"))</f>
        <v/>
      </c>
      <c r="U151">
        <f>IF(OR(P151&lt;&gt;"A",R151=0),0,SUMIFS($R$18:$R$317,$B$18:$B$317,B151,$D$18:$D$317,D151,$P$18:$P$317,"A"))</f>
        <v/>
      </c>
      <c r="V151">
        <f>IF(OR(N151="",N151="OK",L151="Cancelled"),0,1)</f>
        <v/>
      </c>
    </row>
    <row r="152">
      <c r="B152" s="22" t="n"/>
      <c r="C152" s="23">
        <f>IF(B152="","",$E$9&amp;TEXT(N($E$10)+134,"000"))</f>
        <v/>
      </c>
      <c r="D152" s="14" t="n"/>
      <c r="E152" s="14" t="n"/>
      <c r="F152" s="14" t="n"/>
      <c r="G152" s="24" t="n"/>
      <c r="H152" s="14" t="n"/>
      <c r="I152" s="24" t="n"/>
      <c r="J152" s="25" t="n"/>
      <c r="K152" s="14" t="n"/>
      <c r="L152" s="24" t="n"/>
      <c r="M152" s="26">
        <f>IF(OR(N(J152)=0,L152="Cancelled"),"",IF(AND(N(J152)&gt;5000,H152="Cash"),"Yes: ₹1","No"))</f>
        <v/>
      </c>
      <c r="N152" s="27">
        <f>IF(AND(B152="",D152="",N(J152)=0),"",IF(B152="","Enter the date",IF(AND(ROW()&gt;18,B151=""),"Use the next empty row: a skipped row leaves a gap in the voucher numbers",IF(D152="","Enter who was paid",IF(N(J152)=0,"Enter the amount",IF(E152="","Pick the head of account",IF(P152="?","Pick the head from the list",IF(H152="","Pick how it was paid",IF(L152="Cancelled","Cancelled: keep this number unused and write a fresh voucher",IF(AND(H152&lt;&gt;"Cash",I152=""),"Enter the cheque no., UTR or UPI reference",IF(AND(N($E$11)&gt;0,N(J152)&gt;N($E$11),K152=""),"Above your approval limit: get it approved before paying",IF(S152&gt;10000,"Cash paid to this person today is over ₹10,000: not deductible, s.36(4)",IF(T152&gt;35000,"Cash freight to this transporter today is over ₹35,000: not deductible, s.36(6)",IF(U152&gt;10000,"Asset paid in cash over ₹10,000 today: left out of its cost, s.39(2)",IF(AND(P152="L",H152="Cash",N(J152)&gt;=20000),"Loan of ₹20,000 or more repaid in cash: barred, s.188","OK")))))))))))))))</f>
        <v/>
      </c>
      <c r="P152">
        <f>IF(E152="","",IFERROR(VLOOKUP(E152,Lists!$A$2:$B$17,2,FALSE),"?"))</f>
        <v/>
      </c>
      <c r="Q152">
        <f>IF(L152="Cancelled",0,N(J152))</f>
        <v/>
      </c>
      <c r="R152">
        <f>IF(H152="Cash",Q152,0)</f>
        <v/>
      </c>
      <c r="S152">
        <f>IF(OR(P152&lt;&gt;"E",R152=0),0,SUMIFS($R$18:$R$317,$B$18:$B$317,B152,$D$18:$D$317,D152,$P$18:$P$317,"E"))</f>
        <v/>
      </c>
      <c r="T152">
        <f>IF(OR(P152&lt;&gt;"F",R152=0),0,SUMIFS($R$18:$R$317,$B$18:$B$317,B152,$D$18:$D$317,D152,$P$18:$P$317,"F"))</f>
        <v/>
      </c>
      <c r="U152">
        <f>IF(OR(P152&lt;&gt;"A",R152=0),0,SUMIFS($R$18:$R$317,$B$18:$B$317,B152,$D$18:$D$317,D152,$P$18:$P$317,"A"))</f>
        <v/>
      </c>
      <c r="V152">
        <f>IF(OR(N152="",N152="OK",L152="Cancelled"),0,1)</f>
        <v/>
      </c>
    </row>
    <row r="153">
      <c r="B153" s="22" t="n"/>
      <c r="C153" s="23">
        <f>IF(B153="","",$E$9&amp;TEXT(N($E$10)+135,"000"))</f>
        <v/>
      </c>
      <c r="D153" s="14" t="n"/>
      <c r="E153" s="14" t="n"/>
      <c r="F153" s="14" t="n"/>
      <c r="G153" s="24" t="n"/>
      <c r="H153" s="14" t="n"/>
      <c r="I153" s="24" t="n"/>
      <c r="J153" s="25" t="n"/>
      <c r="K153" s="14" t="n"/>
      <c r="L153" s="24" t="n"/>
      <c r="M153" s="26">
        <f>IF(OR(N(J153)=0,L153="Cancelled"),"",IF(AND(N(J153)&gt;5000,H153="Cash"),"Yes: ₹1","No"))</f>
        <v/>
      </c>
      <c r="N153" s="27">
        <f>IF(AND(B153="",D153="",N(J153)=0),"",IF(B153="","Enter the date",IF(AND(ROW()&gt;18,B152=""),"Use the next empty row: a skipped row leaves a gap in the voucher numbers",IF(D153="","Enter who was paid",IF(N(J153)=0,"Enter the amount",IF(E153="","Pick the head of account",IF(P153="?","Pick the head from the list",IF(H153="","Pick how it was paid",IF(L153="Cancelled","Cancelled: keep this number unused and write a fresh voucher",IF(AND(H153&lt;&gt;"Cash",I153=""),"Enter the cheque no., UTR or UPI reference",IF(AND(N($E$11)&gt;0,N(J153)&gt;N($E$11),K153=""),"Above your approval limit: get it approved before paying",IF(S153&gt;10000,"Cash paid to this person today is over ₹10,000: not deductible, s.36(4)",IF(T153&gt;35000,"Cash freight to this transporter today is over ₹35,000: not deductible, s.36(6)",IF(U153&gt;10000,"Asset paid in cash over ₹10,000 today: left out of its cost, s.39(2)",IF(AND(P153="L",H153="Cash",N(J153)&gt;=20000),"Loan of ₹20,000 or more repaid in cash: barred, s.188","OK")))))))))))))))</f>
        <v/>
      </c>
      <c r="P153">
        <f>IF(E153="","",IFERROR(VLOOKUP(E153,Lists!$A$2:$B$17,2,FALSE),"?"))</f>
        <v/>
      </c>
      <c r="Q153">
        <f>IF(L153="Cancelled",0,N(J153))</f>
        <v/>
      </c>
      <c r="R153">
        <f>IF(H153="Cash",Q153,0)</f>
        <v/>
      </c>
      <c r="S153">
        <f>IF(OR(P153&lt;&gt;"E",R153=0),0,SUMIFS($R$18:$R$317,$B$18:$B$317,B153,$D$18:$D$317,D153,$P$18:$P$317,"E"))</f>
        <v/>
      </c>
      <c r="T153">
        <f>IF(OR(P153&lt;&gt;"F",R153=0),0,SUMIFS($R$18:$R$317,$B$18:$B$317,B153,$D$18:$D$317,D153,$P$18:$P$317,"F"))</f>
        <v/>
      </c>
      <c r="U153">
        <f>IF(OR(P153&lt;&gt;"A",R153=0),0,SUMIFS($R$18:$R$317,$B$18:$B$317,B153,$D$18:$D$317,D153,$P$18:$P$317,"A"))</f>
        <v/>
      </c>
      <c r="V153">
        <f>IF(OR(N153="",N153="OK",L153="Cancelled"),0,1)</f>
        <v/>
      </c>
    </row>
    <row r="154">
      <c r="B154" s="22" t="n"/>
      <c r="C154" s="23">
        <f>IF(B154="","",$E$9&amp;TEXT(N($E$10)+136,"000"))</f>
        <v/>
      </c>
      <c r="D154" s="14" t="n"/>
      <c r="E154" s="14" t="n"/>
      <c r="F154" s="14" t="n"/>
      <c r="G154" s="24" t="n"/>
      <c r="H154" s="14" t="n"/>
      <c r="I154" s="24" t="n"/>
      <c r="J154" s="25" t="n"/>
      <c r="K154" s="14" t="n"/>
      <c r="L154" s="24" t="n"/>
      <c r="M154" s="26">
        <f>IF(OR(N(J154)=0,L154="Cancelled"),"",IF(AND(N(J154)&gt;5000,H154="Cash"),"Yes: ₹1","No"))</f>
        <v/>
      </c>
      <c r="N154" s="27">
        <f>IF(AND(B154="",D154="",N(J154)=0),"",IF(B154="","Enter the date",IF(AND(ROW()&gt;18,B153=""),"Use the next empty row: a skipped row leaves a gap in the voucher numbers",IF(D154="","Enter who was paid",IF(N(J154)=0,"Enter the amount",IF(E154="","Pick the head of account",IF(P154="?","Pick the head from the list",IF(H154="","Pick how it was paid",IF(L154="Cancelled","Cancelled: keep this number unused and write a fresh voucher",IF(AND(H154&lt;&gt;"Cash",I154=""),"Enter the cheque no., UTR or UPI reference",IF(AND(N($E$11)&gt;0,N(J154)&gt;N($E$11),K154=""),"Above your approval limit: get it approved before paying",IF(S154&gt;10000,"Cash paid to this person today is over ₹10,000: not deductible, s.36(4)",IF(T154&gt;35000,"Cash freight to this transporter today is over ₹35,000: not deductible, s.36(6)",IF(U154&gt;10000,"Asset paid in cash over ₹10,000 today: left out of its cost, s.39(2)",IF(AND(P154="L",H154="Cash",N(J154)&gt;=20000),"Loan of ₹20,000 or more repaid in cash: barred, s.188","OK")))))))))))))))</f>
        <v/>
      </c>
      <c r="P154">
        <f>IF(E154="","",IFERROR(VLOOKUP(E154,Lists!$A$2:$B$17,2,FALSE),"?"))</f>
        <v/>
      </c>
      <c r="Q154">
        <f>IF(L154="Cancelled",0,N(J154))</f>
        <v/>
      </c>
      <c r="R154">
        <f>IF(H154="Cash",Q154,0)</f>
        <v/>
      </c>
      <c r="S154">
        <f>IF(OR(P154&lt;&gt;"E",R154=0),0,SUMIFS($R$18:$R$317,$B$18:$B$317,B154,$D$18:$D$317,D154,$P$18:$P$317,"E"))</f>
        <v/>
      </c>
      <c r="T154">
        <f>IF(OR(P154&lt;&gt;"F",R154=0),0,SUMIFS($R$18:$R$317,$B$18:$B$317,B154,$D$18:$D$317,D154,$P$18:$P$317,"F"))</f>
        <v/>
      </c>
      <c r="U154">
        <f>IF(OR(P154&lt;&gt;"A",R154=0),0,SUMIFS($R$18:$R$317,$B$18:$B$317,B154,$D$18:$D$317,D154,$P$18:$P$317,"A"))</f>
        <v/>
      </c>
      <c r="V154">
        <f>IF(OR(N154="",N154="OK",L154="Cancelled"),0,1)</f>
        <v/>
      </c>
    </row>
    <row r="155">
      <c r="B155" s="22" t="n"/>
      <c r="C155" s="23">
        <f>IF(B155="","",$E$9&amp;TEXT(N($E$10)+137,"000"))</f>
        <v/>
      </c>
      <c r="D155" s="14" t="n"/>
      <c r="E155" s="14" t="n"/>
      <c r="F155" s="14" t="n"/>
      <c r="G155" s="24" t="n"/>
      <c r="H155" s="14" t="n"/>
      <c r="I155" s="24" t="n"/>
      <c r="J155" s="25" t="n"/>
      <c r="K155" s="14" t="n"/>
      <c r="L155" s="24" t="n"/>
      <c r="M155" s="26">
        <f>IF(OR(N(J155)=0,L155="Cancelled"),"",IF(AND(N(J155)&gt;5000,H155="Cash"),"Yes: ₹1","No"))</f>
        <v/>
      </c>
      <c r="N155" s="27">
        <f>IF(AND(B155="",D155="",N(J155)=0),"",IF(B155="","Enter the date",IF(AND(ROW()&gt;18,B154=""),"Use the next empty row: a skipped row leaves a gap in the voucher numbers",IF(D155="","Enter who was paid",IF(N(J155)=0,"Enter the amount",IF(E155="","Pick the head of account",IF(P155="?","Pick the head from the list",IF(H155="","Pick how it was paid",IF(L155="Cancelled","Cancelled: keep this number unused and write a fresh voucher",IF(AND(H155&lt;&gt;"Cash",I155=""),"Enter the cheque no., UTR or UPI reference",IF(AND(N($E$11)&gt;0,N(J155)&gt;N($E$11),K155=""),"Above your approval limit: get it approved before paying",IF(S155&gt;10000,"Cash paid to this person today is over ₹10,000: not deductible, s.36(4)",IF(T155&gt;35000,"Cash freight to this transporter today is over ₹35,000: not deductible, s.36(6)",IF(U155&gt;10000,"Asset paid in cash over ₹10,000 today: left out of its cost, s.39(2)",IF(AND(P155="L",H155="Cash",N(J155)&gt;=20000),"Loan of ₹20,000 or more repaid in cash: barred, s.188","OK")))))))))))))))</f>
        <v/>
      </c>
      <c r="P155">
        <f>IF(E155="","",IFERROR(VLOOKUP(E155,Lists!$A$2:$B$17,2,FALSE),"?"))</f>
        <v/>
      </c>
      <c r="Q155">
        <f>IF(L155="Cancelled",0,N(J155))</f>
        <v/>
      </c>
      <c r="R155">
        <f>IF(H155="Cash",Q155,0)</f>
        <v/>
      </c>
      <c r="S155">
        <f>IF(OR(P155&lt;&gt;"E",R155=0),0,SUMIFS($R$18:$R$317,$B$18:$B$317,B155,$D$18:$D$317,D155,$P$18:$P$317,"E"))</f>
        <v/>
      </c>
      <c r="T155">
        <f>IF(OR(P155&lt;&gt;"F",R155=0),0,SUMIFS($R$18:$R$317,$B$18:$B$317,B155,$D$18:$D$317,D155,$P$18:$P$317,"F"))</f>
        <v/>
      </c>
      <c r="U155">
        <f>IF(OR(P155&lt;&gt;"A",R155=0),0,SUMIFS($R$18:$R$317,$B$18:$B$317,B155,$D$18:$D$317,D155,$P$18:$P$317,"A"))</f>
        <v/>
      </c>
      <c r="V155">
        <f>IF(OR(N155="",N155="OK",L155="Cancelled"),0,1)</f>
        <v/>
      </c>
    </row>
    <row r="156">
      <c r="B156" s="22" t="n"/>
      <c r="C156" s="23">
        <f>IF(B156="","",$E$9&amp;TEXT(N($E$10)+138,"000"))</f>
        <v/>
      </c>
      <c r="D156" s="14" t="n"/>
      <c r="E156" s="14" t="n"/>
      <c r="F156" s="14" t="n"/>
      <c r="G156" s="24" t="n"/>
      <c r="H156" s="14" t="n"/>
      <c r="I156" s="24" t="n"/>
      <c r="J156" s="25" t="n"/>
      <c r="K156" s="14" t="n"/>
      <c r="L156" s="24" t="n"/>
      <c r="M156" s="26">
        <f>IF(OR(N(J156)=0,L156="Cancelled"),"",IF(AND(N(J156)&gt;5000,H156="Cash"),"Yes: ₹1","No"))</f>
        <v/>
      </c>
      <c r="N156" s="27">
        <f>IF(AND(B156="",D156="",N(J156)=0),"",IF(B156="","Enter the date",IF(AND(ROW()&gt;18,B155=""),"Use the next empty row: a skipped row leaves a gap in the voucher numbers",IF(D156="","Enter who was paid",IF(N(J156)=0,"Enter the amount",IF(E156="","Pick the head of account",IF(P156="?","Pick the head from the list",IF(H156="","Pick how it was paid",IF(L156="Cancelled","Cancelled: keep this number unused and write a fresh voucher",IF(AND(H156&lt;&gt;"Cash",I156=""),"Enter the cheque no., UTR or UPI reference",IF(AND(N($E$11)&gt;0,N(J156)&gt;N($E$11),K156=""),"Above your approval limit: get it approved before paying",IF(S156&gt;10000,"Cash paid to this person today is over ₹10,000: not deductible, s.36(4)",IF(T156&gt;35000,"Cash freight to this transporter today is over ₹35,000: not deductible, s.36(6)",IF(U156&gt;10000,"Asset paid in cash over ₹10,000 today: left out of its cost, s.39(2)",IF(AND(P156="L",H156="Cash",N(J156)&gt;=20000),"Loan of ₹20,000 or more repaid in cash: barred, s.188","OK")))))))))))))))</f>
        <v/>
      </c>
      <c r="P156">
        <f>IF(E156="","",IFERROR(VLOOKUP(E156,Lists!$A$2:$B$17,2,FALSE),"?"))</f>
        <v/>
      </c>
      <c r="Q156">
        <f>IF(L156="Cancelled",0,N(J156))</f>
        <v/>
      </c>
      <c r="R156">
        <f>IF(H156="Cash",Q156,0)</f>
        <v/>
      </c>
      <c r="S156">
        <f>IF(OR(P156&lt;&gt;"E",R156=0),0,SUMIFS($R$18:$R$317,$B$18:$B$317,B156,$D$18:$D$317,D156,$P$18:$P$317,"E"))</f>
        <v/>
      </c>
      <c r="T156">
        <f>IF(OR(P156&lt;&gt;"F",R156=0),0,SUMIFS($R$18:$R$317,$B$18:$B$317,B156,$D$18:$D$317,D156,$P$18:$P$317,"F"))</f>
        <v/>
      </c>
      <c r="U156">
        <f>IF(OR(P156&lt;&gt;"A",R156=0),0,SUMIFS($R$18:$R$317,$B$18:$B$317,B156,$D$18:$D$317,D156,$P$18:$P$317,"A"))</f>
        <v/>
      </c>
      <c r="V156">
        <f>IF(OR(N156="",N156="OK",L156="Cancelled"),0,1)</f>
        <v/>
      </c>
    </row>
    <row r="157">
      <c r="B157" s="22" t="n"/>
      <c r="C157" s="23">
        <f>IF(B157="","",$E$9&amp;TEXT(N($E$10)+139,"000"))</f>
        <v/>
      </c>
      <c r="D157" s="14" t="n"/>
      <c r="E157" s="14" t="n"/>
      <c r="F157" s="14" t="n"/>
      <c r="G157" s="24" t="n"/>
      <c r="H157" s="14" t="n"/>
      <c r="I157" s="24" t="n"/>
      <c r="J157" s="25" t="n"/>
      <c r="K157" s="14" t="n"/>
      <c r="L157" s="24" t="n"/>
      <c r="M157" s="26">
        <f>IF(OR(N(J157)=0,L157="Cancelled"),"",IF(AND(N(J157)&gt;5000,H157="Cash"),"Yes: ₹1","No"))</f>
        <v/>
      </c>
      <c r="N157" s="27">
        <f>IF(AND(B157="",D157="",N(J157)=0),"",IF(B157="","Enter the date",IF(AND(ROW()&gt;18,B156=""),"Use the next empty row: a skipped row leaves a gap in the voucher numbers",IF(D157="","Enter who was paid",IF(N(J157)=0,"Enter the amount",IF(E157="","Pick the head of account",IF(P157="?","Pick the head from the list",IF(H157="","Pick how it was paid",IF(L157="Cancelled","Cancelled: keep this number unused and write a fresh voucher",IF(AND(H157&lt;&gt;"Cash",I157=""),"Enter the cheque no., UTR or UPI reference",IF(AND(N($E$11)&gt;0,N(J157)&gt;N($E$11),K157=""),"Above your approval limit: get it approved before paying",IF(S157&gt;10000,"Cash paid to this person today is over ₹10,000: not deductible, s.36(4)",IF(T157&gt;35000,"Cash freight to this transporter today is over ₹35,000: not deductible, s.36(6)",IF(U157&gt;10000,"Asset paid in cash over ₹10,000 today: left out of its cost, s.39(2)",IF(AND(P157="L",H157="Cash",N(J157)&gt;=20000),"Loan of ₹20,000 or more repaid in cash: barred, s.188","OK")))))))))))))))</f>
        <v/>
      </c>
      <c r="P157">
        <f>IF(E157="","",IFERROR(VLOOKUP(E157,Lists!$A$2:$B$17,2,FALSE),"?"))</f>
        <v/>
      </c>
      <c r="Q157">
        <f>IF(L157="Cancelled",0,N(J157))</f>
        <v/>
      </c>
      <c r="R157">
        <f>IF(H157="Cash",Q157,0)</f>
        <v/>
      </c>
      <c r="S157">
        <f>IF(OR(P157&lt;&gt;"E",R157=0),0,SUMIFS($R$18:$R$317,$B$18:$B$317,B157,$D$18:$D$317,D157,$P$18:$P$317,"E"))</f>
        <v/>
      </c>
      <c r="T157">
        <f>IF(OR(P157&lt;&gt;"F",R157=0),0,SUMIFS($R$18:$R$317,$B$18:$B$317,B157,$D$18:$D$317,D157,$P$18:$P$317,"F"))</f>
        <v/>
      </c>
      <c r="U157">
        <f>IF(OR(P157&lt;&gt;"A",R157=0),0,SUMIFS($R$18:$R$317,$B$18:$B$317,B157,$D$18:$D$317,D157,$P$18:$P$317,"A"))</f>
        <v/>
      </c>
      <c r="V157">
        <f>IF(OR(N157="",N157="OK",L157="Cancelled"),0,1)</f>
        <v/>
      </c>
    </row>
    <row r="158">
      <c r="B158" s="22" t="n"/>
      <c r="C158" s="23">
        <f>IF(B158="","",$E$9&amp;TEXT(N($E$10)+140,"000"))</f>
        <v/>
      </c>
      <c r="D158" s="14" t="n"/>
      <c r="E158" s="14" t="n"/>
      <c r="F158" s="14" t="n"/>
      <c r="G158" s="24" t="n"/>
      <c r="H158" s="14" t="n"/>
      <c r="I158" s="24" t="n"/>
      <c r="J158" s="25" t="n"/>
      <c r="K158" s="14" t="n"/>
      <c r="L158" s="24" t="n"/>
      <c r="M158" s="26">
        <f>IF(OR(N(J158)=0,L158="Cancelled"),"",IF(AND(N(J158)&gt;5000,H158="Cash"),"Yes: ₹1","No"))</f>
        <v/>
      </c>
      <c r="N158" s="27">
        <f>IF(AND(B158="",D158="",N(J158)=0),"",IF(B158="","Enter the date",IF(AND(ROW()&gt;18,B157=""),"Use the next empty row: a skipped row leaves a gap in the voucher numbers",IF(D158="","Enter who was paid",IF(N(J158)=0,"Enter the amount",IF(E158="","Pick the head of account",IF(P158="?","Pick the head from the list",IF(H158="","Pick how it was paid",IF(L158="Cancelled","Cancelled: keep this number unused and write a fresh voucher",IF(AND(H158&lt;&gt;"Cash",I158=""),"Enter the cheque no., UTR or UPI reference",IF(AND(N($E$11)&gt;0,N(J158)&gt;N($E$11),K158=""),"Above your approval limit: get it approved before paying",IF(S158&gt;10000,"Cash paid to this person today is over ₹10,000: not deductible, s.36(4)",IF(T158&gt;35000,"Cash freight to this transporter today is over ₹35,000: not deductible, s.36(6)",IF(U158&gt;10000,"Asset paid in cash over ₹10,000 today: left out of its cost, s.39(2)",IF(AND(P158="L",H158="Cash",N(J158)&gt;=20000),"Loan of ₹20,000 or more repaid in cash: barred, s.188","OK")))))))))))))))</f>
        <v/>
      </c>
      <c r="P158">
        <f>IF(E158="","",IFERROR(VLOOKUP(E158,Lists!$A$2:$B$17,2,FALSE),"?"))</f>
        <v/>
      </c>
      <c r="Q158">
        <f>IF(L158="Cancelled",0,N(J158))</f>
        <v/>
      </c>
      <c r="R158">
        <f>IF(H158="Cash",Q158,0)</f>
        <v/>
      </c>
      <c r="S158">
        <f>IF(OR(P158&lt;&gt;"E",R158=0),0,SUMIFS($R$18:$R$317,$B$18:$B$317,B158,$D$18:$D$317,D158,$P$18:$P$317,"E"))</f>
        <v/>
      </c>
      <c r="T158">
        <f>IF(OR(P158&lt;&gt;"F",R158=0),0,SUMIFS($R$18:$R$317,$B$18:$B$317,B158,$D$18:$D$317,D158,$P$18:$P$317,"F"))</f>
        <v/>
      </c>
      <c r="U158">
        <f>IF(OR(P158&lt;&gt;"A",R158=0),0,SUMIFS($R$18:$R$317,$B$18:$B$317,B158,$D$18:$D$317,D158,$P$18:$P$317,"A"))</f>
        <v/>
      </c>
      <c r="V158">
        <f>IF(OR(N158="",N158="OK",L158="Cancelled"),0,1)</f>
        <v/>
      </c>
    </row>
    <row r="159">
      <c r="B159" s="22" t="n"/>
      <c r="C159" s="23">
        <f>IF(B159="","",$E$9&amp;TEXT(N($E$10)+141,"000"))</f>
        <v/>
      </c>
      <c r="D159" s="14" t="n"/>
      <c r="E159" s="14" t="n"/>
      <c r="F159" s="14" t="n"/>
      <c r="G159" s="24" t="n"/>
      <c r="H159" s="14" t="n"/>
      <c r="I159" s="24" t="n"/>
      <c r="J159" s="25" t="n"/>
      <c r="K159" s="14" t="n"/>
      <c r="L159" s="24" t="n"/>
      <c r="M159" s="26">
        <f>IF(OR(N(J159)=0,L159="Cancelled"),"",IF(AND(N(J159)&gt;5000,H159="Cash"),"Yes: ₹1","No"))</f>
        <v/>
      </c>
      <c r="N159" s="27">
        <f>IF(AND(B159="",D159="",N(J159)=0),"",IF(B159="","Enter the date",IF(AND(ROW()&gt;18,B158=""),"Use the next empty row: a skipped row leaves a gap in the voucher numbers",IF(D159="","Enter who was paid",IF(N(J159)=0,"Enter the amount",IF(E159="","Pick the head of account",IF(P159="?","Pick the head from the list",IF(H159="","Pick how it was paid",IF(L159="Cancelled","Cancelled: keep this number unused and write a fresh voucher",IF(AND(H159&lt;&gt;"Cash",I159=""),"Enter the cheque no., UTR or UPI reference",IF(AND(N($E$11)&gt;0,N(J159)&gt;N($E$11),K159=""),"Above your approval limit: get it approved before paying",IF(S159&gt;10000,"Cash paid to this person today is over ₹10,000: not deductible, s.36(4)",IF(T159&gt;35000,"Cash freight to this transporter today is over ₹35,000: not deductible, s.36(6)",IF(U159&gt;10000,"Asset paid in cash over ₹10,000 today: left out of its cost, s.39(2)",IF(AND(P159="L",H159="Cash",N(J159)&gt;=20000),"Loan of ₹20,000 or more repaid in cash: barred, s.188","OK")))))))))))))))</f>
        <v/>
      </c>
      <c r="P159">
        <f>IF(E159="","",IFERROR(VLOOKUP(E159,Lists!$A$2:$B$17,2,FALSE),"?"))</f>
        <v/>
      </c>
      <c r="Q159">
        <f>IF(L159="Cancelled",0,N(J159))</f>
        <v/>
      </c>
      <c r="R159">
        <f>IF(H159="Cash",Q159,0)</f>
        <v/>
      </c>
      <c r="S159">
        <f>IF(OR(P159&lt;&gt;"E",R159=0),0,SUMIFS($R$18:$R$317,$B$18:$B$317,B159,$D$18:$D$317,D159,$P$18:$P$317,"E"))</f>
        <v/>
      </c>
      <c r="T159">
        <f>IF(OR(P159&lt;&gt;"F",R159=0),0,SUMIFS($R$18:$R$317,$B$18:$B$317,B159,$D$18:$D$317,D159,$P$18:$P$317,"F"))</f>
        <v/>
      </c>
      <c r="U159">
        <f>IF(OR(P159&lt;&gt;"A",R159=0),0,SUMIFS($R$18:$R$317,$B$18:$B$317,B159,$D$18:$D$317,D159,$P$18:$P$317,"A"))</f>
        <v/>
      </c>
      <c r="V159">
        <f>IF(OR(N159="",N159="OK",L159="Cancelled"),0,1)</f>
        <v/>
      </c>
    </row>
    <row r="160">
      <c r="B160" s="22" t="n"/>
      <c r="C160" s="23">
        <f>IF(B160="","",$E$9&amp;TEXT(N($E$10)+142,"000"))</f>
        <v/>
      </c>
      <c r="D160" s="14" t="n"/>
      <c r="E160" s="14" t="n"/>
      <c r="F160" s="14" t="n"/>
      <c r="G160" s="24" t="n"/>
      <c r="H160" s="14" t="n"/>
      <c r="I160" s="24" t="n"/>
      <c r="J160" s="25" t="n"/>
      <c r="K160" s="14" t="n"/>
      <c r="L160" s="24" t="n"/>
      <c r="M160" s="26">
        <f>IF(OR(N(J160)=0,L160="Cancelled"),"",IF(AND(N(J160)&gt;5000,H160="Cash"),"Yes: ₹1","No"))</f>
        <v/>
      </c>
      <c r="N160" s="27">
        <f>IF(AND(B160="",D160="",N(J160)=0),"",IF(B160="","Enter the date",IF(AND(ROW()&gt;18,B159=""),"Use the next empty row: a skipped row leaves a gap in the voucher numbers",IF(D160="","Enter who was paid",IF(N(J160)=0,"Enter the amount",IF(E160="","Pick the head of account",IF(P160="?","Pick the head from the list",IF(H160="","Pick how it was paid",IF(L160="Cancelled","Cancelled: keep this number unused and write a fresh voucher",IF(AND(H160&lt;&gt;"Cash",I160=""),"Enter the cheque no., UTR or UPI reference",IF(AND(N($E$11)&gt;0,N(J160)&gt;N($E$11),K160=""),"Above your approval limit: get it approved before paying",IF(S160&gt;10000,"Cash paid to this person today is over ₹10,000: not deductible, s.36(4)",IF(T160&gt;35000,"Cash freight to this transporter today is over ₹35,000: not deductible, s.36(6)",IF(U160&gt;10000,"Asset paid in cash over ₹10,000 today: left out of its cost, s.39(2)",IF(AND(P160="L",H160="Cash",N(J160)&gt;=20000),"Loan of ₹20,000 or more repaid in cash: barred, s.188","OK")))))))))))))))</f>
        <v/>
      </c>
      <c r="P160">
        <f>IF(E160="","",IFERROR(VLOOKUP(E160,Lists!$A$2:$B$17,2,FALSE),"?"))</f>
        <v/>
      </c>
      <c r="Q160">
        <f>IF(L160="Cancelled",0,N(J160))</f>
        <v/>
      </c>
      <c r="R160">
        <f>IF(H160="Cash",Q160,0)</f>
        <v/>
      </c>
      <c r="S160">
        <f>IF(OR(P160&lt;&gt;"E",R160=0),0,SUMIFS($R$18:$R$317,$B$18:$B$317,B160,$D$18:$D$317,D160,$P$18:$P$317,"E"))</f>
        <v/>
      </c>
      <c r="T160">
        <f>IF(OR(P160&lt;&gt;"F",R160=0),0,SUMIFS($R$18:$R$317,$B$18:$B$317,B160,$D$18:$D$317,D160,$P$18:$P$317,"F"))</f>
        <v/>
      </c>
      <c r="U160">
        <f>IF(OR(P160&lt;&gt;"A",R160=0),0,SUMIFS($R$18:$R$317,$B$18:$B$317,B160,$D$18:$D$317,D160,$P$18:$P$317,"A"))</f>
        <v/>
      </c>
      <c r="V160">
        <f>IF(OR(N160="",N160="OK",L160="Cancelled"),0,1)</f>
        <v/>
      </c>
    </row>
    <row r="161">
      <c r="B161" s="22" t="n"/>
      <c r="C161" s="23">
        <f>IF(B161="","",$E$9&amp;TEXT(N($E$10)+143,"000"))</f>
        <v/>
      </c>
      <c r="D161" s="14" t="n"/>
      <c r="E161" s="14" t="n"/>
      <c r="F161" s="14" t="n"/>
      <c r="G161" s="24" t="n"/>
      <c r="H161" s="14" t="n"/>
      <c r="I161" s="24" t="n"/>
      <c r="J161" s="25" t="n"/>
      <c r="K161" s="14" t="n"/>
      <c r="L161" s="24" t="n"/>
      <c r="M161" s="26">
        <f>IF(OR(N(J161)=0,L161="Cancelled"),"",IF(AND(N(J161)&gt;5000,H161="Cash"),"Yes: ₹1","No"))</f>
        <v/>
      </c>
      <c r="N161" s="27">
        <f>IF(AND(B161="",D161="",N(J161)=0),"",IF(B161="","Enter the date",IF(AND(ROW()&gt;18,B160=""),"Use the next empty row: a skipped row leaves a gap in the voucher numbers",IF(D161="","Enter who was paid",IF(N(J161)=0,"Enter the amount",IF(E161="","Pick the head of account",IF(P161="?","Pick the head from the list",IF(H161="","Pick how it was paid",IF(L161="Cancelled","Cancelled: keep this number unused and write a fresh voucher",IF(AND(H161&lt;&gt;"Cash",I161=""),"Enter the cheque no., UTR or UPI reference",IF(AND(N($E$11)&gt;0,N(J161)&gt;N($E$11),K161=""),"Above your approval limit: get it approved before paying",IF(S161&gt;10000,"Cash paid to this person today is over ₹10,000: not deductible, s.36(4)",IF(T161&gt;35000,"Cash freight to this transporter today is over ₹35,000: not deductible, s.36(6)",IF(U161&gt;10000,"Asset paid in cash over ₹10,000 today: left out of its cost, s.39(2)",IF(AND(P161="L",H161="Cash",N(J161)&gt;=20000),"Loan of ₹20,000 or more repaid in cash: barred, s.188","OK")))))))))))))))</f>
        <v/>
      </c>
      <c r="P161">
        <f>IF(E161="","",IFERROR(VLOOKUP(E161,Lists!$A$2:$B$17,2,FALSE),"?"))</f>
        <v/>
      </c>
      <c r="Q161">
        <f>IF(L161="Cancelled",0,N(J161))</f>
        <v/>
      </c>
      <c r="R161">
        <f>IF(H161="Cash",Q161,0)</f>
        <v/>
      </c>
      <c r="S161">
        <f>IF(OR(P161&lt;&gt;"E",R161=0),0,SUMIFS($R$18:$R$317,$B$18:$B$317,B161,$D$18:$D$317,D161,$P$18:$P$317,"E"))</f>
        <v/>
      </c>
      <c r="T161">
        <f>IF(OR(P161&lt;&gt;"F",R161=0),0,SUMIFS($R$18:$R$317,$B$18:$B$317,B161,$D$18:$D$317,D161,$P$18:$P$317,"F"))</f>
        <v/>
      </c>
      <c r="U161">
        <f>IF(OR(P161&lt;&gt;"A",R161=0),0,SUMIFS($R$18:$R$317,$B$18:$B$317,B161,$D$18:$D$317,D161,$P$18:$P$317,"A"))</f>
        <v/>
      </c>
      <c r="V161">
        <f>IF(OR(N161="",N161="OK",L161="Cancelled"),0,1)</f>
        <v/>
      </c>
    </row>
    <row r="162">
      <c r="B162" s="22" t="n"/>
      <c r="C162" s="23">
        <f>IF(B162="","",$E$9&amp;TEXT(N($E$10)+144,"000"))</f>
        <v/>
      </c>
      <c r="D162" s="14" t="n"/>
      <c r="E162" s="14" t="n"/>
      <c r="F162" s="14" t="n"/>
      <c r="G162" s="24" t="n"/>
      <c r="H162" s="14" t="n"/>
      <c r="I162" s="24" t="n"/>
      <c r="J162" s="25" t="n"/>
      <c r="K162" s="14" t="n"/>
      <c r="L162" s="24" t="n"/>
      <c r="M162" s="26">
        <f>IF(OR(N(J162)=0,L162="Cancelled"),"",IF(AND(N(J162)&gt;5000,H162="Cash"),"Yes: ₹1","No"))</f>
        <v/>
      </c>
      <c r="N162" s="27">
        <f>IF(AND(B162="",D162="",N(J162)=0),"",IF(B162="","Enter the date",IF(AND(ROW()&gt;18,B161=""),"Use the next empty row: a skipped row leaves a gap in the voucher numbers",IF(D162="","Enter who was paid",IF(N(J162)=0,"Enter the amount",IF(E162="","Pick the head of account",IF(P162="?","Pick the head from the list",IF(H162="","Pick how it was paid",IF(L162="Cancelled","Cancelled: keep this number unused and write a fresh voucher",IF(AND(H162&lt;&gt;"Cash",I162=""),"Enter the cheque no., UTR or UPI reference",IF(AND(N($E$11)&gt;0,N(J162)&gt;N($E$11),K162=""),"Above your approval limit: get it approved before paying",IF(S162&gt;10000,"Cash paid to this person today is over ₹10,000: not deductible, s.36(4)",IF(T162&gt;35000,"Cash freight to this transporter today is over ₹35,000: not deductible, s.36(6)",IF(U162&gt;10000,"Asset paid in cash over ₹10,000 today: left out of its cost, s.39(2)",IF(AND(P162="L",H162="Cash",N(J162)&gt;=20000),"Loan of ₹20,000 or more repaid in cash: barred, s.188","OK")))))))))))))))</f>
        <v/>
      </c>
      <c r="P162">
        <f>IF(E162="","",IFERROR(VLOOKUP(E162,Lists!$A$2:$B$17,2,FALSE),"?"))</f>
        <v/>
      </c>
      <c r="Q162">
        <f>IF(L162="Cancelled",0,N(J162))</f>
        <v/>
      </c>
      <c r="R162">
        <f>IF(H162="Cash",Q162,0)</f>
        <v/>
      </c>
      <c r="S162">
        <f>IF(OR(P162&lt;&gt;"E",R162=0),0,SUMIFS($R$18:$R$317,$B$18:$B$317,B162,$D$18:$D$317,D162,$P$18:$P$317,"E"))</f>
        <v/>
      </c>
      <c r="T162">
        <f>IF(OR(P162&lt;&gt;"F",R162=0),0,SUMIFS($R$18:$R$317,$B$18:$B$317,B162,$D$18:$D$317,D162,$P$18:$P$317,"F"))</f>
        <v/>
      </c>
      <c r="U162">
        <f>IF(OR(P162&lt;&gt;"A",R162=0),0,SUMIFS($R$18:$R$317,$B$18:$B$317,B162,$D$18:$D$317,D162,$P$18:$P$317,"A"))</f>
        <v/>
      </c>
      <c r="V162">
        <f>IF(OR(N162="",N162="OK",L162="Cancelled"),0,1)</f>
        <v/>
      </c>
    </row>
    <row r="163">
      <c r="B163" s="22" t="n"/>
      <c r="C163" s="23">
        <f>IF(B163="","",$E$9&amp;TEXT(N($E$10)+145,"000"))</f>
        <v/>
      </c>
      <c r="D163" s="14" t="n"/>
      <c r="E163" s="14" t="n"/>
      <c r="F163" s="14" t="n"/>
      <c r="G163" s="24" t="n"/>
      <c r="H163" s="14" t="n"/>
      <c r="I163" s="24" t="n"/>
      <c r="J163" s="25" t="n"/>
      <c r="K163" s="14" t="n"/>
      <c r="L163" s="24" t="n"/>
      <c r="M163" s="26">
        <f>IF(OR(N(J163)=0,L163="Cancelled"),"",IF(AND(N(J163)&gt;5000,H163="Cash"),"Yes: ₹1","No"))</f>
        <v/>
      </c>
      <c r="N163" s="27">
        <f>IF(AND(B163="",D163="",N(J163)=0),"",IF(B163="","Enter the date",IF(AND(ROW()&gt;18,B162=""),"Use the next empty row: a skipped row leaves a gap in the voucher numbers",IF(D163="","Enter who was paid",IF(N(J163)=0,"Enter the amount",IF(E163="","Pick the head of account",IF(P163="?","Pick the head from the list",IF(H163="","Pick how it was paid",IF(L163="Cancelled","Cancelled: keep this number unused and write a fresh voucher",IF(AND(H163&lt;&gt;"Cash",I163=""),"Enter the cheque no., UTR or UPI reference",IF(AND(N($E$11)&gt;0,N(J163)&gt;N($E$11),K163=""),"Above your approval limit: get it approved before paying",IF(S163&gt;10000,"Cash paid to this person today is over ₹10,000: not deductible, s.36(4)",IF(T163&gt;35000,"Cash freight to this transporter today is over ₹35,000: not deductible, s.36(6)",IF(U163&gt;10000,"Asset paid in cash over ₹10,000 today: left out of its cost, s.39(2)",IF(AND(P163="L",H163="Cash",N(J163)&gt;=20000),"Loan of ₹20,000 or more repaid in cash: barred, s.188","OK")))))))))))))))</f>
        <v/>
      </c>
      <c r="P163">
        <f>IF(E163="","",IFERROR(VLOOKUP(E163,Lists!$A$2:$B$17,2,FALSE),"?"))</f>
        <v/>
      </c>
      <c r="Q163">
        <f>IF(L163="Cancelled",0,N(J163))</f>
        <v/>
      </c>
      <c r="R163">
        <f>IF(H163="Cash",Q163,0)</f>
        <v/>
      </c>
      <c r="S163">
        <f>IF(OR(P163&lt;&gt;"E",R163=0),0,SUMIFS($R$18:$R$317,$B$18:$B$317,B163,$D$18:$D$317,D163,$P$18:$P$317,"E"))</f>
        <v/>
      </c>
      <c r="T163">
        <f>IF(OR(P163&lt;&gt;"F",R163=0),0,SUMIFS($R$18:$R$317,$B$18:$B$317,B163,$D$18:$D$317,D163,$P$18:$P$317,"F"))</f>
        <v/>
      </c>
      <c r="U163">
        <f>IF(OR(P163&lt;&gt;"A",R163=0),0,SUMIFS($R$18:$R$317,$B$18:$B$317,B163,$D$18:$D$317,D163,$P$18:$P$317,"A"))</f>
        <v/>
      </c>
      <c r="V163">
        <f>IF(OR(N163="",N163="OK",L163="Cancelled"),0,1)</f>
        <v/>
      </c>
    </row>
    <row r="164">
      <c r="B164" s="22" t="n"/>
      <c r="C164" s="23">
        <f>IF(B164="","",$E$9&amp;TEXT(N($E$10)+146,"000"))</f>
        <v/>
      </c>
      <c r="D164" s="14" t="n"/>
      <c r="E164" s="14" t="n"/>
      <c r="F164" s="14" t="n"/>
      <c r="G164" s="24" t="n"/>
      <c r="H164" s="14" t="n"/>
      <c r="I164" s="24" t="n"/>
      <c r="J164" s="25" t="n"/>
      <c r="K164" s="14" t="n"/>
      <c r="L164" s="24" t="n"/>
      <c r="M164" s="26">
        <f>IF(OR(N(J164)=0,L164="Cancelled"),"",IF(AND(N(J164)&gt;5000,H164="Cash"),"Yes: ₹1","No"))</f>
        <v/>
      </c>
      <c r="N164" s="27">
        <f>IF(AND(B164="",D164="",N(J164)=0),"",IF(B164="","Enter the date",IF(AND(ROW()&gt;18,B163=""),"Use the next empty row: a skipped row leaves a gap in the voucher numbers",IF(D164="","Enter who was paid",IF(N(J164)=0,"Enter the amount",IF(E164="","Pick the head of account",IF(P164="?","Pick the head from the list",IF(H164="","Pick how it was paid",IF(L164="Cancelled","Cancelled: keep this number unused and write a fresh voucher",IF(AND(H164&lt;&gt;"Cash",I164=""),"Enter the cheque no., UTR or UPI reference",IF(AND(N($E$11)&gt;0,N(J164)&gt;N($E$11),K164=""),"Above your approval limit: get it approved before paying",IF(S164&gt;10000,"Cash paid to this person today is over ₹10,000: not deductible, s.36(4)",IF(T164&gt;35000,"Cash freight to this transporter today is over ₹35,000: not deductible, s.36(6)",IF(U164&gt;10000,"Asset paid in cash over ₹10,000 today: left out of its cost, s.39(2)",IF(AND(P164="L",H164="Cash",N(J164)&gt;=20000),"Loan of ₹20,000 or more repaid in cash: barred, s.188","OK")))))))))))))))</f>
        <v/>
      </c>
      <c r="P164">
        <f>IF(E164="","",IFERROR(VLOOKUP(E164,Lists!$A$2:$B$17,2,FALSE),"?"))</f>
        <v/>
      </c>
      <c r="Q164">
        <f>IF(L164="Cancelled",0,N(J164))</f>
        <v/>
      </c>
      <c r="R164">
        <f>IF(H164="Cash",Q164,0)</f>
        <v/>
      </c>
      <c r="S164">
        <f>IF(OR(P164&lt;&gt;"E",R164=0),0,SUMIFS($R$18:$R$317,$B$18:$B$317,B164,$D$18:$D$317,D164,$P$18:$P$317,"E"))</f>
        <v/>
      </c>
      <c r="T164">
        <f>IF(OR(P164&lt;&gt;"F",R164=0),0,SUMIFS($R$18:$R$317,$B$18:$B$317,B164,$D$18:$D$317,D164,$P$18:$P$317,"F"))</f>
        <v/>
      </c>
      <c r="U164">
        <f>IF(OR(P164&lt;&gt;"A",R164=0),0,SUMIFS($R$18:$R$317,$B$18:$B$317,B164,$D$18:$D$317,D164,$P$18:$P$317,"A"))</f>
        <v/>
      </c>
      <c r="V164">
        <f>IF(OR(N164="",N164="OK",L164="Cancelled"),0,1)</f>
        <v/>
      </c>
    </row>
    <row r="165">
      <c r="B165" s="22" t="n"/>
      <c r="C165" s="23">
        <f>IF(B165="","",$E$9&amp;TEXT(N($E$10)+147,"000"))</f>
        <v/>
      </c>
      <c r="D165" s="14" t="n"/>
      <c r="E165" s="14" t="n"/>
      <c r="F165" s="14" t="n"/>
      <c r="G165" s="24" t="n"/>
      <c r="H165" s="14" t="n"/>
      <c r="I165" s="24" t="n"/>
      <c r="J165" s="25" t="n"/>
      <c r="K165" s="14" t="n"/>
      <c r="L165" s="24" t="n"/>
      <c r="M165" s="26">
        <f>IF(OR(N(J165)=0,L165="Cancelled"),"",IF(AND(N(J165)&gt;5000,H165="Cash"),"Yes: ₹1","No"))</f>
        <v/>
      </c>
      <c r="N165" s="27">
        <f>IF(AND(B165="",D165="",N(J165)=0),"",IF(B165="","Enter the date",IF(AND(ROW()&gt;18,B164=""),"Use the next empty row: a skipped row leaves a gap in the voucher numbers",IF(D165="","Enter who was paid",IF(N(J165)=0,"Enter the amount",IF(E165="","Pick the head of account",IF(P165="?","Pick the head from the list",IF(H165="","Pick how it was paid",IF(L165="Cancelled","Cancelled: keep this number unused and write a fresh voucher",IF(AND(H165&lt;&gt;"Cash",I165=""),"Enter the cheque no., UTR or UPI reference",IF(AND(N($E$11)&gt;0,N(J165)&gt;N($E$11),K165=""),"Above your approval limit: get it approved before paying",IF(S165&gt;10000,"Cash paid to this person today is over ₹10,000: not deductible, s.36(4)",IF(T165&gt;35000,"Cash freight to this transporter today is over ₹35,000: not deductible, s.36(6)",IF(U165&gt;10000,"Asset paid in cash over ₹10,000 today: left out of its cost, s.39(2)",IF(AND(P165="L",H165="Cash",N(J165)&gt;=20000),"Loan of ₹20,000 or more repaid in cash: barred, s.188","OK")))))))))))))))</f>
        <v/>
      </c>
      <c r="P165">
        <f>IF(E165="","",IFERROR(VLOOKUP(E165,Lists!$A$2:$B$17,2,FALSE),"?"))</f>
        <v/>
      </c>
      <c r="Q165">
        <f>IF(L165="Cancelled",0,N(J165))</f>
        <v/>
      </c>
      <c r="R165">
        <f>IF(H165="Cash",Q165,0)</f>
        <v/>
      </c>
      <c r="S165">
        <f>IF(OR(P165&lt;&gt;"E",R165=0),0,SUMIFS($R$18:$R$317,$B$18:$B$317,B165,$D$18:$D$317,D165,$P$18:$P$317,"E"))</f>
        <v/>
      </c>
      <c r="T165">
        <f>IF(OR(P165&lt;&gt;"F",R165=0),0,SUMIFS($R$18:$R$317,$B$18:$B$317,B165,$D$18:$D$317,D165,$P$18:$P$317,"F"))</f>
        <v/>
      </c>
      <c r="U165">
        <f>IF(OR(P165&lt;&gt;"A",R165=0),0,SUMIFS($R$18:$R$317,$B$18:$B$317,B165,$D$18:$D$317,D165,$P$18:$P$317,"A"))</f>
        <v/>
      </c>
      <c r="V165">
        <f>IF(OR(N165="",N165="OK",L165="Cancelled"),0,1)</f>
        <v/>
      </c>
    </row>
    <row r="166">
      <c r="B166" s="22" t="n"/>
      <c r="C166" s="23">
        <f>IF(B166="","",$E$9&amp;TEXT(N($E$10)+148,"000"))</f>
        <v/>
      </c>
      <c r="D166" s="14" t="n"/>
      <c r="E166" s="14" t="n"/>
      <c r="F166" s="14" t="n"/>
      <c r="G166" s="24" t="n"/>
      <c r="H166" s="14" t="n"/>
      <c r="I166" s="24" t="n"/>
      <c r="J166" s="25" t="n"/>
      <c r="K166" s="14" t="n"/>
      <c r="L166" s="24" t="n"/>
      <c r="M166" s="26">
        <f>IF(OR(N(J166)=0,L166="Cancelled"),"",IF(AND(N(J166)&gt;5000,H166="Cash"),"Yes: ₹1","No"))</f>
        <v/>
      </c>
      <c r="N166" s="27">
        <f>IF(AND(B166="",D166="",N(J166)=0),"",IF(B166="","Enter the date",IF(AND(ROW()&gt;18,B165=""),"Use the next empty row: a skipped row leaves a gap in the voucher numbers",IF(D166="","Enter who was paid",IF(N(J166)=0,"Enter the amount",IF(E166="","Pick the head of account",IF(P166="?","Pick the head from the list",IF(H166="","Pick how it was paid",IF(L166="Cancelled","Cancelled: keep this number unused and write a fresh voucher",IF(AND(H166&lt;&gt;"Cash",I166=""),"Enter the cheque no., UTR or UPI reference",IF(AND(N($E$11)&gt;0,N(J166)&gt;N($E$11),K166=""),"Above your approval limit: get it approved before paying",IF(S166&gt;10000,"Cash paid to this person today is over ₹10,000: not deductible, s.36(4)",IF(T166&gt;35000,"Cash freight to this transporter today is over ₹35,000: not deductible, s.36(6)",IF(U166&gt;10000,"Asset paid in cash over ₹10,000 today: left out of its cost, s.39(2)",IF(AND(P166="L",H166="Cash",N(J166)&gt;=20000),"Loan of ₹20,000 or more repaid in cash: barred, s.188","OK")))))))))))))))</f>
        <v/>
      </c>
      <c r="P166">
        <f>IF(E166="","",IFERROR(VLOOKUP(E166,Lists!$A$2:$B$17,2,FALSE),"?"))</f>
        <v/>
      </c>
      <c r="Q166">
        <f>IF(L166="Cancelled",0,N(J166))</f>
        <v/>
      </c>
      <c r="R166">
        <f>IF(H166="Cash",Q166,0)</f>
        <v/>
      </c>
      <c r="S166">
        <f>IF(OR(P166&lt;&gt;"E",R166=0),0,SUMIFS($R$18:$R$317,$B$18:$B$317,B166,$D$18:$D$317,D166,$P$18:$P$317,"E"))</f>
        <v/>
      </c>
      <c r="T166">
        <f>IF(OR(P166&lt;&gt;"F",R166=0),0,SUMIFS($R$18:$R$317,$B$18:$B$317,B166,$D$18:$D$317,D166,$P$18:$P$317,"F"))</f>
        <v/>
      </c>
      <c r="U166">
        <f>IF(OR(P166&lt;&gt;"A",R166=0),0,SUMIFS($R$18:$R$317,$B$18:$B$317,B166,$D$18:$D$317,D166,$P$18:$P$317,"A"))</f>
        <v/>
      </c>
      <c r="V166">
        <f>IF(OR(N166="",N166="OK",L166="Cancelled"),0,1)</f>
        <v/>
      </c>
    </row>
    <row r="167">
      <c r="B167" s="22" t="n"/>
      <c r="C167" s="23">
        <f>IF(B167="","",$E$9&amp;TEXT(N($E$10)+149,"000"))</f>
        <v/>
      </c>
      <c r="D167" s="14" t="n"/>
      <c r="E167" s="14" t="n"/>
      <c r="F167" s="14" t="n"/>
      <c r="G167" s="24" t="n"/>
      <c r="H167" s="14" t="n"/>
      <c r="I167" s="24" t="n"/>
      <c r="J167" s="25" t="n"/>
      <c r="K167" s="14" t="n"/>
      <c r="L167" s="24" t="n"/>
      <c r="M167" s="26">
        <f>IF(OR(N(J167)=0,L167="Cancelled"),"",IF(AND(N(J167)&gt;5000,H167="Cash"),"Yes: ₹1","No"))</f>
        <v/>
      </c>
      <c r="N167" s="27">
        <f>IF(AND(B167="",D167="",N(J167)=0),"",IF(B167="","Enter the date",IF(AND(ROW()&gt;18,B166=""),"Use the next empty row: a skipped row leaves a gap in the voucher numbers",IF(D167="","Enter who was paid",IF(N(J167)=0,"Enter the amount",IF(E167="","Pick the head of account",IF(P167="?","Pick the head from the list",IF(H167="","Pick how it was paid",IF(L167="Cancelled","Cancelled: keep this number unused and write a fresh voucher",IF(AND(H167&lt;&gt;"Cash",I167=""),"Enter the cheque no., UTR or UPI reference",IF(AND(N($E$11)&gt;0,N(J167)&gt;N($E$11),K167=""),"Above your approval limit: get it approved before paying",IF(S167&gt;10000,"Cash paid to this person today is over ₹10,000: not deductible, s.36(4)",IF(T167&gt;35000,"Cash freight to this transporter today is over ₹35,000: not deductible, s.36(6)",IF(U167&gt;10000,"Asset paid in cash over ₹10,000 today: left out of its cost, s.39(2)",IF(AND(P167="L",H167="Cash",N(J167)&gt;=20000),"Loan of ₹20,000 or more repaid in cash: barred, s.188","OK")))))))))))))))</f>
        <v/>
      </c>
      <c r="P167">
        <f>IF(E167="","",IFERROR(VLOOKUP(E167,Lists!$A$2:$B$17,2,FALSE),"?"))</f>
        <v/>
      </c>
      <c r="Q167">
        <f>IF(L167="Cancelled",0,N(J167))</f>
        <v/>
      </c>
      <c r="R167">
        <f>IF(H167="Cash",Q167,0)</f>
        <v/>
      </c>
      <c r="S167">
        <f>IF(OR(P167&lt;&gt;"E",R167=0),0,SUMIFS($R$18:$R$317,$B$18:$B$317,B167,$D$18:$D$317,D167,$P$18:$P$317,"E"))</f>
        <v/>
      </c>
      <c r="T167">
        <f>IF(OR(P167&lt;&gt;"F",R167=0),0,SUMIFS($R$18:$R$317,$B$18:$B$317,B167,$D$18:$D$317,D167,$P$18:$P$317,"F"))</f>
        <v/>
      </c>
      <c r="U167">
        <f>IF(OR(P167&lt;&gt;"A",R167=0),0,SUMIFS($R$18:$R$317,$B$18:$B$317,B167,$D$18:$D$317,D167,$P$18:$P$317,"A"))</f>
        <v/>
      </c>
      <c r="V167">
        <f>IF(OR(N167="",N167="OK",L167="Cancelled"),0,1)</f>
        <v/>
      </c>
    </row>
    <row r="168">
      <c r="B168" s="22" t="n"/>
      <c r="C168" s="23">
        <f>IF(B168="","",$E$9&amp;TEXT(N($E$10)+150,"000"))</f>
        <v/>
      </c>
      <c r="D168" s="14" t="n"/>
      <c r="E168" s="14" t="n"/>
      <c r="F168" s="14" t="n"/>
      <c r="G168" s="24" t="n"/>
      <c r="H168" s="14" t="n"/>
      <c r="I168" s="24" t="n"/>
      <c r="J168" s="25" t="n"/>
      <c r="K168" s="14" t="n"/>
      <c r="L168" s="24" t="n"/>
      <c r="M168" s="26">
        <f>IF(OR(N(J168)=0,L168="Cancelled"),"",IF(AND(N(J168)&gt;5000,H168="Cash"),"Yes: ₹1","No"))</f>
        <v/>
      </c>
      <c r="N168" s="27">
        <f>IF(AND(B168="",D168="",N(J168)=0),"",IF(B168="","Enter the date",IF(AND(ROW()&gt;18,B167=""),"Use the next empty row: a skipped row leaves a gap in the voucher numbers",IF(D168="","Enter who was paid",IF(N(J168)=0,"Enter the amount",IF(E168="","Pick the head of account",IF(P168="?","Pick the head from the list",IF(H168="","Pick how it was paid",IF(L168="Cancelled","Cancelled: keep this number unused and write a fresh voucher",IF(AND(H168&lt;&gt;"Cash",I168=""),"Enter the cheque no., UTR or UPI reference",IF(AND(N($E$11)&gt;0,N(J168)&gt;N($E$11),K168=""),"Above your approval limit: get it approved before paying",IF(S168&gt;10000,"Cash paid to this person today is over ₹10,000: not deductible, s.36(4)",IF(T168&gt;35000,"Cash freight to this transporter today is over ₹35,000: not deductible, s.36(6)",IF(U168&gt;10000,"Asset paid in cash over ₹10,000 today: left out of its cost, s.39(2)",IF(AND(P168="L",H168="Cash",N(J168)&gt;=20000),"Loan of ₹20,000 or more repaid in cash: barred, s.188","OK")))))))))))))))</f>
        <v/>
      </c>
      <c r="P168">
        <f>IF(E168="","",IFERROR(VLOOKUP(E168,Lists!$A$2:$B$17,2,FALSE),"?"))</f>
        <v/>
      </c>
      <c r="Q168">
        <f>IF(L168="Cancelled",0,N(J168))</f>
        <v/>
      </c>
      <c r="R168">
        <f>IF(H168="Cash",Q168,0)</f>
        <v/>
      </c>
      <c r="S168">
        <f>IF(OR(P168&lt;&gt;"E",R168=0),0,SUMIFS($R$18:$R$317,$B$18:$B$317,B168,$D$18:$D$317,D168,$P$18:$P$317,"E"))</f>
        <v/>
      </c>
      <c r="T168">
        <f>IF(OR(P168&lt;&gt;"F",R168=0),0,SUMIFS($R$18:$R$317,$B$18:$B$317,B168,$D$18:$D$317,D168,$P$18:$P$317,"F"))</f>
        <v/>
      </c>
      <c r="U168">
        <f>IF(OR(P168&lt;&gt;"A",R168=0),0,SUMIFS($R$18:$R$317,$B$18:$B$317,B168,$D$18:$D$317,D168,$P$18:$P$317,"A"))</f>
        <v/>
      </c>
      <c r="V168">
        <f>IF(OR(N168="",N168="OK",L168="Cancelled"),0,1)</f>
        <v/>
      </c>
    </row>
    <row r="169">
      <c r="B169" s="22" t="n"/>
      <c r="C169" s="23">
        <f>IF(B169="","",$E$9&amp;TEXT(N($E$10)+151,"000"))</f>
        <v/>
      </c>
      <c r="D169" s="14" t="n"/>
      <c r="E169" s="14" t="n"/>
      <c r="F169" s="14" t="n"/>
      <c r="G169" s="24" t="n"/>
      <c r="H169" s="14" t="n"/>
      <c r="I169" s="24" t="n"/>
      <c r="J169" s="25" t="n"/>
      <c r="K169" s="14" t="n"/>
      <c r="L169" s="24" t="n"/>
      <c r="M169" s="26">
        <f>IF(OR(N(J169)=0,L169="Cancelled"),"",IF(AND(N(J169)&gt;5000,H169="Cash"),"Yes: ₹1","No"))</f>
        <v/>
      </c>
      <c r="N169" s="27">
        <f>IF(AND(B169="",D169="",N(J169)=0),"",IF(B169="","Enter the date",IF(AND(ROW()&gt;18,B168=""),"Use the next empty row: a skipped row leaves a gap in the voucher numbers",IF(D169="","Enter who was paid",IF(N(J169)=0,"Enter the amount",IF(E169="","Pick the head of account",IF(P169="?","Pick the head from the list",IF(H169="","Pick how it was paid",IF(L169="Cancelled","Cancelled: keep this number unused and write a fresh voucher",IF(AND(H169&lt;&gt;"Cash",I169=""),"Enter the cheque no., UTR or UPI reference",IF(AND(N($E$11)&gt;0,N(J169)&gt;N($E$11),K169=""),"Above your approval limit: get it approved before paying",IF(S169&gt;10000,"Cash paid to this person today is over ₹10,000: not deductible, s.36(4)",IF(T169&gt;35000,"Cash freight to this transporter today is over ₹35,000: not deductible, s.36(6)",IF(U169&gt;10000,"Asset paid in cash over ₹10,000 today: left out of its cost, s.39(2)",IF(AND(P169="L",H169="Cash",N(J169)&gt;=20000),"Loan of ₹20,000 or more repaid in cash: barred, s.188","OK")))))))))))))))</f>
        <v/>
      </c>
      <c r="P169">
        <f>IF(E169="","",IFERROR(VLOOKUP(E169,Lists!$A$2:$B$17,2,FALSE),"?"))</f>
        <v/>
      </c>
      <c r="Q169">
        <f>IF(L169="Cancelled",0,N(J169))</f>
        <v/>
      </c>
      <c r="R169">
        <f>IF(H169="Cash",Q169,0)</f>
        <v/>
      </c>
      <c r="S169">
        <f>IF(OR(P169&lt;&gt;"E",R169=0),0,SUMIFS($R$18:$R$317,$B$18:$B$317,B169,$D$18:$D$317,D169,$P$18:$P$317,"E"))</f>
        <v/>
      </c>
      <c r="T169">
        <f>IF(OR(P169&lt;&gt;"F",R169=0),0,SUMIFS($R$18:$R$317,$B$18:$B$317,B169,$D$18:$D$317,D169,$P$18:$P$317,"F"))</f>
        <v/>
      </c>
      <c r="U169">
        <f>IF(OR(P169&lt;&gt;"A",R169=0),0,SUMIFS($R$18:$R$317,$B$18:$B$317,B169,$D$18:$D$317,D169,$P$18:$P$317,"A"))</f>
        <v/>
      </c>
      <c r="V169">
        <f>IF(OR(N169="",N169="OK",L169="Cancelled"),0,1)</f>
        <v/>
      </c>
    </row>
    <row r="170">
      <c r="B170" s="22" t="n"/>
      <c r="C170" s="23">
        <f>IF(B170="","",$E$9&amp;TEXT(N($E$10)+152,"000"))</f>
        <v/>
      </c>
      <c r="D170" s="14" t="n"/>
      <c r="E170" s="14" t="n"/>
      <c r="F170" s="14" t="n"/>
      <c r="G170" s="24" t="n"/>
      <c r="H170" s="14" t="n"/>
      <c r="I170" s="24" t="n"/>
      <c r="J170" s="25" t="n"/>
      <c r="K170" s="14" t="n"/>
      <c r="L170" s="24" t="n"/>
      <c r="M170" s="26">
        <f>IF(OR(N(J170)=0,L170="Cancelled"),"",IF(AND(N(J170)&gt;5000,H170="Cash"),"Yes: ₹1","No"))</f>
        <v/>
      </c>
      <c r="N170" s="27">
        <f>IF(AND(B170="",D170="",N(J170)=0),"",IF(B170="","Enter the date",IF(AND(ROW()&gt;18,B169=""),"Use the next empty row: a skipped row leaves a gap in the voucher numbers",IF(D170="","Enter who was paid",IF(N(J170)=0,"Enter the amount",IF(E170="","Pick the head of account",IF(P170="?","Pick the head from the list",IF(H170="","Pick how it was paid",IF(L170="Cancelled","Cancelled: keep this number unused and write a fresh voucher",IF(AND(H170&lt;&gt;"Cash",I170=""),"Enter the cheque no., UTR or UPI reference",IF(AND(N($E$11)&gt;0,N(J170)&gt;N($E$11),K170=""),"Above your approval limit: get it approved before paying",IF(S170&gt;10000,"Cash paid to this person today is over ₹10,000: not deductible, s.36(4)",IF(T170&gt;35000,"Cash freight to this transporter today is over ₹35,000: not deductible, s.36(6)",IF(U170&gt;10000,"Asset paid in cash over ₹10,000 today: left out of its cost, s.39(2)",IF(AND(P170="L",H170="Cash",N(J170)&gt;=20000),"Loan of ₹20,000 or more repaid in cash: barred, s.188","OK")))))))))))))))</f>
        <v/>
      </c>
      <c r="P170">
        <f>IF(E170="","",IFERROR(VLOOKUP(E170,Lists!$A$2:$B$17,2,FALSE),"?"))</f>
        <v/>
      </c>
      <c r="Q170">
        <f>IF(L170="Cancelled",0,N(J170))</f>
        <v/>
      </c>
      <c r="R170">
        <f>IF(H170="Cash",Q170,0)</f>
        <v/>
      </c>
      <c r="S170">
        <f>IF(OR(P170&lt;&gt;"E",R170=0),0,SUMIFS($R$18:$R$317,$B$18:$B$317,B170,$D$18:$D$317,D170,$P$18:$P$317,"E"))</f>
        <v/>
      </c>
      <c r="T170">
        <f>IF(OR(P170&lt;&gt;"F",R170=0),0,SUMIFS($R$18:$R$317,$B$18:$B$317,B170,$D$18:$D$317,D170,$P$18:$P$317,"F"))</f>
        <v/>
      </c>
      <c r="U170">
        <f>IF(OR(P170&lt;&gt;"A",R170=0),0,SUMIFS($R$18:$R$317,$B$18:$B$317,B170,$D$18:$D$317,D170,$P$18:$P$317,"A"))</f>
        <v/>
      </c>
      <c r="V170">
        <f>IF(OR(N170="",N170="OK",L170="Cancelled"),0,1)</f>
        <v/>
      </c>
    </row>
    <row r="171">
      <c r="B171" s="22" t="n"/>
      <c r="C171" s="23">
        <f>IF(B171="","",$E$9&amp;TEXT(N($E$10)+153,"000"))</f>
        <v/>
      </c>
      <c r="D171" s="14" t="n"/>
      <c r="E171" s="14" t="n"/>
      <c r="F171" s="14" t="n"/>
      <c r="G171" s="24" t="n"/>
      <c r="H171" s="14" t="n"/>
      <c r="I171" s="24" t="n"/>
      <c r="J171" s="25" t="n"/>
      <c r="K171" s="14" t="n"/>
      <c r="L171" s="24" t="n"/>
      <c r="M171" s="26">
        <f>IF(OR(N(J171)=0,L171="Cancelled"),"",IF(AND(N(J171)&gt;5000,H171="Cash"),"Yes: ₹1","No"))</f>
        <v/>
      </c>
      <c r="N171" s="27">
        <f>IF(AND(B171="",D171="",N(J171)=0),"",IF(B171="","Enter the date",IF(AND(ROW()&gt;18,B170=""),"Use the next empty row: a skipped row leaves a gap in the voucher numbers",IF(D171="","Enter who was paid",IF(N(J171)=0,"Enter the amount",IF(E171="","Pick the head of account",IF(P171="?","Pick the head from the list",IF(H171="","Pick how it was paid",IF(L171="Cancelled","Cancelled: keep this number unused and write a fresh voucher",IF(AND(H171&lt;&gt;"Cash",I171=""),"Enter the cheque no., UTR or UPI reference",IF(AND(N($E$11)&gt;0,N(J171)&gt;N($E$11),K171=""),"Above your approval limit: get it approved before paying",IF(S171&gt;10000,"Cash paid to this person today is over ₹10,000: not deductible, s.36(4)",IF(T171&gt;35000,"Cash freight to this transporter today is over ₹35,000: not deductible, s.36(6)",IF(U171&gt;10000,"Asset paid in cash over ₹10,000 today: left out of its cost, s.39(2)",IF(AND(P171="L",H171="Cash",N(J171)&gt;=20000),"Loan of ₹20,000 or more repaid in cash: barred, s.188","OK")))))))))))))))</f>
        <v/>
      </c>
      <c r="P171">
        <f>IF(E171="","",IFERROR(VLOOKUP(E171,Lists!$A$2:$B$17,2,FALSE),"?"))</f>
        <v/>
      </c>
      <c r="Q171">
        <f>IF(L171="Cancelled",0,N(J171))</f>
        <v/>
      </c>
      <c r="R171">
        <f>IF(H171="Cash",Q171,0)</f>
        <v/>
      </c>
      <c r="S171">
        <f>IF(OR(P171&lt;&gt;"E",R171=0),0,SUMIFS($R$18:$R$317,$B$18:$B$317,B171,$D$18:$D$317,D171,$P$18:$P$317,"E"))</f>
        <v/>
      </c>
      <c r="T171">
        <f>IF(OR(P171&lt;&gt;"F",R171=0),0,SUMIFS($R$18:$R$317,$B$18:$B$317,B171,$D$18:$D$317,D171,$P$18:$P$317,"F"))</f>
        <v/>
      </c>
      <c r="U171">
        <f>IF(OR(P171&lt;&gt;"A",R171=0),0,SUMIFS($R$18:$R$317,$B$18:$B$317,B171,$D$18:$D$317,D171,$P$18:$P$317,"A"))</f>
        <v/>
      </c>
      <c r="V171">
        <f>IF(OR(N171="",N171="OK",L171="Cancelled"),0,1)</f>
        <v/>
      </c>
    </row>
    <row r="172">
      <c r="B172" s="22" t="n"/>
      <c r="C172" s="23">
        <f>IF(B172="","",$E$9&amp;TEXT(N($E$10)+154,"000"))</f>
        <v/>
      </c>
      <c r="D172" s="14" t="n"/>
      <c r="E172" s="14" t="n"/>
      <c r="F172" s="14" t="n"/>
      <c r="G172" s="24" t="n"/>
      <c r="H172" s="14" t="n"/>
      <c r="I172" s="24" t="n"/>
      <c r="J172" s="25" t="n"/>
      <c r="K172" s="14" t="n"/>
      <c r="L172" s="24" t="n"/>
      <c r="M172" s="26">
        <f>IF(OR(N(J172)=0,L172="Cancelled"),"",IF(AND(N(J172)&gt;5000,H172="Cash"),"Yes: ₹1","No"))</f>
        <v/>
      </c>
      <c r="N172" s="27">
        <f>IF(AND(B172="",D172="",N(J172)=0),"",IF(B172="","Enter the date",IF(AND(ROW()&gt;18,B171=""),"Use the next empty row: a skipped row leaves a gap in the voucher numbers",IF(D172="","Enter who was paid",IF(N(J172)=0,"Enter the amount",IF(E172="","Pick the head of account",IF(P172="?","Pick the head from the list",IF(H172="","Pick how it was paid",IF(L172="Cancelled","Cancelled: keep this number unused and write a fresh voucher",IF(AND(H172&lt;&gt;"Cash",I172=""),"Enter the cheque no., UTR or UPI reference",IF(AND(N($E$11)&gt;0,N(J172)&gt;N($E$11),K172=""),"Above your approval limit: get it approved before paying",IF(S172&gt;10000,"Cash paid to this person today is over ₹10,000: not deductible, s.36(4)",IF(T172&gt;35000,"Cash freight to this transporter today is over ₹35,000: not deductible, s.36(6)",IF(U172&gt;10000,"Asset paid in cash over ₹10,000 today: left out of its cost, s.39(2)",IF(AND(P172="L",H172="Cash",N(J172)&gt;=20000),"Loan of ₹20,000 or more repaid in cash: barred, s.188","OK")))))))))))))))</f>
        <v/>
      </c>
      <c r="P172">
        <f>IF(E172="","",IFERROR(VLOOKUP(E172,Lists!$A$2:$B$17,2,FALSE),"?"))</f>
        <v/>
      </c>
      <c r="Q172">
        <f>IF(L172="Cancelled",0,N(J172))</f>
        <v/>
      </c>
      <c r="R172">
        <f>IF(H172="Cash",Q172,0)</f>
        <v/>
      </c>
      <c r="S172">
        <f>IF(OR(P172&lt;&gt;"E",R172=0),0,SUMIFS($R$18:$R$317,$B$18:$B$317,B172,$D$18:$D$317,D172,$P$18:$P$317,"E"))</f>
        <v/>
      </c>
      <c r="T172">
        <f>IF(OR(P172&lt;&gt;"F",R172=0),0,SUMIFS($R$18:$R$317,$B$18:$B$317,B172,$D$18:$D$317,D172,$P$18:$P$317,"F"))</f>
        <v/>
      </c>
      <c r="U172">
        <f>IF(OR(P172&lt;&gt;"A",R172=0),0,SUMIFS($R$18:$R$317,$B$18:$B$317,B172,$D$18:$D$317,D172,$P$18:$P$317,"A"))</f>
        <v/>
      </c>
      <c r="V172">
        <f>IF(OR(N172="",N172="OK",L172="Cancelled"),0,1)</f>
        <v/>
      </c>
    </row>
    <row r="173">
      <c r="B173" s="22" t="n"/>
      <c r="C173" s="23">
        <f>IF(B173="","",$E$9&amp;TEXT(N($E$10)+155,"000"))</f>
        <v/>
      </c>
      <c r="D173" s="14" t="n"/>
      <c r="E173" s="14" t="n"/>
      <c r="F173" s="14" t="n"/>
      <c r="G173" s="24" t="n"/>
      <c r="H173" s="14" t="n"/>
      <c r="I173" s="24" t="n"/>
      <c r="J173" s="25" t="n"/>
      <c r="K173" s="14" t="n"/>
      <c r="L173" s="24" t="n"/>
      <c r="M173" s="26">
        <f>IF(OR(N(J173)=0,L173="Cancelled"),"",IF(AND(N(J173)&gt;5000,H173="Cash"),"Yes: ₹1","No"))</f>
        <v/>
      </c>
      <c r="N173" s="27">
        <f>IF(AND(B173="",D173="",N(J173)=0),"",IF(B173="","Enter the date",IF(AND(ROW()&gt;18,B172=""),"Use the next empty row: a skipped row leaves a gap in the voucher numbers",IF(D173="","Enter who was paid",IF(N(J173)=0,"Enter the amount",IF(E173="","Pick the head of account",IF(P173="?","Pick the head from the list",IF(H173="","Pick how it was paid",IF(L173="Cancelled","Cancelled: keep this number unused and write a fresh voucher",IF(AND(H173&lt;&gt;"Cash",I173=""),"Enter the cheque no., UTR or UPI reference",IF(AND(N($E$11)&gt;0,N(J173)&gt;N($E$11),K173=""),"Above your approval limit: get it approved before paying",IF(S173&gt;10000,"Cash paid to this person today is over ₹10,000: not deductible, s.36(4)",IF(T173&gt;35000,"Cash freight to this transporter today is over ₹35,000: not deductible, s.36(6)",IF(U173&gt;10000,"Asset paid in cash over ₹10,000 today: left out of its cost, s.39(2)",IF(AND(P173="L",H173="Cash",N(J173)&gt;=20000),"Loan of ₹20,000 or more repaid in cash: barred, s.188","OK")))))))))))))))</f>
        <v/>
      </c>
      <c r="P173">
        <f>IF(E173="","",IFERROR(VLOOKUP(E173,Lists!$A$2:$B$17,2,FALSE),"?"))</f>
        <v/>
      </c>
      <c r="Q173">
        <f>IF(L173="Cancelled",0,N(J173))</f>
        <v/>
      </c>
      <c r="R173">
        <f>IF(H173="Cash",Q173,0)</f>
        <v/>
      </c>
      <c r="S173">
        <f>IF(OR(P173&lt;&gt;"E",R173=0),0,SUMIFS($R$18:$R$317,$B$18:$B$317,B173,$D$18:$D$317,D173,$P$18:$P$317,"E"))</f>
        <v/>
      </c>
      <c r="T173">
        <f>IF(OR(P173&lt;&gt;"F",R173=0),0,SUMIFS($R$18:$R$317,$B$18:$B$317,B173,$D$18:$D$317,D173,$P$18:$P$317,"F"))</f>
        <v/>
      </c>
      <c r="U173">
        <f>IF(OR(P173&lt;&gt;"A",R173=0),0,SUMIFS($R$18:$R$317,$B$18:$B$317,B173,$D$18:$D$317,D173,$P$18:$P$317,"A"))</f>
        <v/>
      </c>
      <c r="V173">
        <f>IF(OR(N173="",N173="OK",L173="Cancelled"),0,1)</f>
        <v/>
      </c>
    </row>
    <row r="174">
      <c r="B174" s="22" t="n"/>
      <c r="C174" s="23">
        <f>IF(B174="","",$E$9&amp;TEXT(N($E$10)+156,"000"))</f>
        <v/>
      </c>
      <c r="D174" s="14" t="n"/>
      <c r="E174" s="14" t="n"/>
      <c r="F174" s="14" t="n"/>
      <c r="G174" s="24" t="n"/>
      <c r="H174" s="14" t="n"/>
      <c r="I174" s="24" t="n"/>
      <c r="J174" s="25" t="n"/>
      <c r="K174" s="14" t="n"/>
      <c r="L174" s="24" t="n"/>
      <c r="M174" s="26">
        <f>IF(OR(N(J174)=0,L174="Cancelled"),"",IF(AND(N(J174)&gt;5000,H174="Cash"),"Yes: ₹1","No"))</f>
        <v/>
      </c>
      <c r="N174" s="27">
        <f>IF(AND(B174="",D174="",N(J174)=0),"",IF(B174="","Enter the date",IF(AND(ROW()&gt;18,B173=""),"Use the next empty row: a skipped row leaves a gap in the voucher numbers",IF(D174="","Enter who was paid",IF(N(J174)=0,"Enter the amount",IF(E174="","Pick the head of account",IF(P174="?","Pick the head from the list",IF(H174="","Pick how it was paid",IF(L174="Cancelled","Cancelled: keep this number unused and write a fresh voucher",IF(AND(H174&lt;&gt;"Cash",I174=""),"Enter the cheque no., UTR or UPI reference",IF(AND(N($E$11)&gt;0,N(J174)&gt;N($E$11),K174=""),"Above your approval limit: get it approved before paying",IF(S174&gt;10000,"Cash paid to this person today is over ₹10,000: not deductible, s.36(4)",IF(T174&gt;35000,"Cash freight to this transporter today is over ₹35,000: not deductible, s.36(6)",IF(U174&gt;10000,"Asset paid in cash over ₹10,000 today: left out of its cost, s.39(2)",IF(AND(P174="L",H174="Cash",N(J174)&gt;=20000),"Loan of ₹20,000 or more repaid in cash: barred, s.188","OK")))))))))))))))</f>
        <v/>
      </c>
      <c r="P174">
        <f>IF(E174="","",IFERROR(VLOOKUP(E174,Lists!$A$2:$B$17,2,FALSE),"?"))</f>
        <v/>
      </c>
      <c r="Q174">
        <f>IF(L174="Cancelled",0,N(J174))</f>
        <v/>
      </c>
      <c r="R174">
        <f>IF(H174="Cash",Q174,0)</f>
        <v/>
      </c>
      <c r="S174">
        <f>IF(OR(P174&lt;&gt;"E",R174=0),0,SUMIFS($R$18:$R$317,$B$18:$B$317,B174,$D$18:$D$317,D174,$P$18:$P$317,"E"))</f>
        <v/>
      </c>
      <c r="T174">
        <f>IF(OR(P174&lt;&gt;"F",R174=0),0,SUMIFS($R$18:$R$317,$B$18:$B$317,B174,$D$18:$D$317,D174,$P$18:$P$317,"F"))</f>
        <v/>
      </c>
      <c r="U174">
        <f>IF(OR(P174&lt;&gt;"A",R174=0),0,SUMIFS($R$18:$R$317,$B$18:$B$317,B174,$D$18:$D$317,D174,$P$18:$P$317,"A"))</f>
        <v/>
      </c>
      <c r="V174">
        <f>IF(OR(N174="",N174="OK",L174="Cancelled"),0,1)</f>
        <v/>
      </c>
    </row>
    <row r="175">
      <c r="B175" s="22" t="n"/>
      <c r="C175" s="23">
        <f>IF(B175="","",$E$9&amp;TEXT(N($E$10)+157,"000"))</f>
        <v/>
      </c>
      <c r="D175" s="14" t="n"/>
      <c r="E175" s="14" t="n"/>
      <c r="F175" s="14" t="n"/>
      <c r="G175" s="24" t="n"/>
      <c r="H175" s="14" t="n"/>
      <c r="I175" s="24" t="n"/>
      <c r="J175" s="25" t="n"/>
      <c r="K175" s="14" t="n"/>
      <c r="L175" s="24" t="n"/>
      <c r="M175" s="26">
        <f>IF(OR(N(J175)=0,L175="Cancelled"),"",IF(AND(N(J175)&gt;5000,H175="Cash"),"Yes: ₹1","No"))</f>
        <v/>
      </c>
      <c r="N175" s="27">
        <f>IF(AND(B175="",D175="",N(J175)=0),"",IF(B175="","Enter the date",IF(AND(ROW()&gt;18,B174=""),"Use the next empty row: a skipped row leaves a gap in the voucher numbers",IF(D175="","Enter who was paid",IF(N(J175)=0,"Enter the amount",IF(E175="","Pick the head of account",IF(P175="?","Pick the head from the list",IF(H175="","Pick how it was paid",IF(L175="Cancelled","Cancelled: keep this number unused and write a fresh voucher",IF(AND(H175&lt;&gt;"Cash",I175=""),"Enter the cheque no., UTR or UPI reference",IF(AND(N($E$11)&gt;0,N(J175)&gt;N($E$11),K175=""),"Above your approval limit: get it approved before paying",IF(S175&gt;10000,"Cash paid to this person today is over ₹10,000: not deductible, s.36(4)",IF(T175&gt;35000,"Cash freight to this transporter today is over ₹35,000: not deductible, s.36(6)",IF(U175&gt;10000,"Asset paid in cash over ₹10,000 today: left out of its cost, s.39(2)",IF(AND(P175="L",H175="Cash",N(J175)&gt;=20000),"Loan of ₹20,000 or more repaid in cash: barred, s.188","OK")))))))))))))))</f>
        <v/>
      </c>
      <c r="P175">
        <f>IF(E175="","",IFERROR(VLOOKUP(E175,Lists!$A$2:$B$17,2,FALSE),"?"))</f>
        <v/>
      </c>
      <c r="Q175">
        <f>IF(L175="Cancelled",0,N(J175))</f>
        <v/>
      </c>
      <c r="R175">
        <f>IF(H175="Cash",Q175,0)</f>
        <v/>
      </c>
      <c r="S175">
        <f>IF(OR(P175&lt;&gt;"E",R175=0),0,SUMIFS($R$18:$R$317,$B$18:$B$317,B175,$D$18:$D$317,D175,$P$18:$P$317,"E"))</f>
        <v/>
      </c>
      <c r="T175">
        <f>IF(OR(P175&lt;&gt;"F",R175=0),0,SUMIFS($R$18:$R$317,$B$18:$B$317,B175,$D$18:$D$317,D175,$P$18:$P$317,"F"))</f>
        <v/>
      </c>
      <c r="U175">
        <f>IF(OR(P175&lt;&gt;"A",R175=0),0,SUMIFS($R$18:$R$317,$B$18:$B$317,B175,$D$18:$D$317,D175,$P$18:$P$317,"A"))</f>
        <v/>
      </c>
      <c r="V175">
        <f>IF(OR(N175="",N175="OK",L175="Cancelled"),0,1)</f>
        <v/>
      </c>
    </row>
    <row r="176">
      <c r="B176" s="22" t="n"/>
      <c r="C176" s="23">
        <f>IF(B176="","",$E$9&amp;TEXT(N($E$10)+158,"000"))</f>
        <v/>
      </c>
      <c r="D176" s="14" t="n"/>
      <c r="E176" s="14" t="n"/>
      <c r="F176" s="14" t="n"/>
      <c r="G176" s="24" t="n"/>
      <c r="H176" s="14" t="n"/>
      <c r="I176" s="24" t="n"/>
      <c r="J176" s="25" t="n"/>
      <c r="K176" s="14" t="n"/>
      <c r="L176" s="24" t="n"/>
      <c r="M176" s="26">
        <f>IF(OR(N(J176)=0,L176="Cancelled"),"",IF(AND(N(J176)&gt;5000,H176="Cash"),"Yes: ₹1","No"))</f>
        <v/>
      </c>
      <c r="N176" s="27">
        <f>IF(AND(B176="",D176="",N(J176)=0),"",IF(B176="","Enter the date",IF(AND(ROW()&gt;18,B175=""),"Use the next empty row: a skipped row leaves a gap in the voucher numbers",IF(D176="","Enter who was paid",IF(N(J176)=0,"Enter the amount",IF(E176="","Pick the head of account",IF(P176="?","Pick the head from the list",IF(H176="","Pick how it was paid",IF(L176="Cancelled","Cancelled: keep this number unused and write a fresh voucher",IF(AND(H176&lt;&gt;"Cash",I176=""),"Enter the cheque no., UTR or UPI reference",IF(AND(N($E$11)&gt;0,N(J176)&gt;N($E$11),K176=""),"Above your approval limit: get it approved before paying",IF(S176&gt;10000,"Cash paid to this person today is over ₹10,000: not deductible, s.36(4)",IF(T176&gt;35000,"Cash freight to this transporter today is over ₹35,000: not deductible, s.36(6)",IF(U176&gt;10000,"Asset paid in cash over ₹10,000 today: left out of its cost, s.39(2)",IF(AND(P176="L",H176="Cash",N(J176)&gt;=20000),"Loan of ₹20,000 or more repaid in cash: barred, s.188","OK")))))))))))))))</f>
        <v/>
      </c>
      <c r="P176">
        <f>IF(E176="","",IFERROR(VLOOKUP(E176,Lists!$A$2:$B$17,2,FALSE),"?"))</f>
        <v/>
      </c>
      <c r="Q176">
        <f>IF(L176="Cancelled",0,N(J176))</f>
        <v/>
      </c>
      <c r="R176">
        <f>IF(H176="Cash",Q176,0)</f>
        <v/>
      </c>
      <c r="S176">
        <f>IF(OR(P176&lt;&gt;"E",R176=0),0,SUMIFS($R$18:$R$317,$B$18:$B$317,B176,$D$18:$D$317,D176,$P$18:$P$317,"E"))</f>
        <v/>
      </c>
      <c r="T176">
        <f>IF(OR(P176&lt;&gt;"F",R176=0),0,SUMIFS($R$18:$R$317,$B$18:$B$317,B176,$D$18:$D$317,D176,$P$18:$P$317,"F"))</f>
        <v/>
      </c>
      <c r="U176">
        <f>IF(OR(P176&lt;&gt;"A",R176=0),0,SUMIFS($R$18:$R$317,$B$18:$B$317,B176,$D$18:$D$317,D176,$P$18:$P$317,"A"))</f>
        <v/>
      </c>
      <c r="V176">
        <f>IF(OR(N176="",N176="OK",L176="Cancelled"),0,1)</f>
        <v/>
      </c>
    </row>
    <row r="177">
      <c r="B177" s="22" t="n"/>
      <c r="C177" s="23">
        <f>IF(B177="","",$E$9&amp;TEXT(N($E$10)+159,"000"))</f>
        <v/>
      </c>
      <c r="D177" s="14" t="n"/>
      <c r="E177" s="14" t="n"/>
      <c r="F177" s="14" t="n"/>
      <c r="G177" s="24" t="n"/>
      <c r="H177" s="14" t="n"/>
      <c r="I177" s="24" t="n"/>
      <c r="J177" s="25" t="n"/>
      <c r="K177" s="14" t="n"/>
      <c r="L177" s="24" t="n"/>
      <c r="M177" s="26">
        <f>IF(OR(N(J177)=0,L177="Cancelled"),"",IF(AND(N(J177)&gt;5000,H177="Cash"),"Yes: ₹1","No"))</f>
        <v/>
      </c>
      <c r="N177" s="27">
        <f>IF(AND(B177="",D177="",N(J177)=0),"",IF(B177="","Enter the date",IF(AND(ROW()&gt;18,B176=""),"Use the next empty row: a skipped row leaves a gap in the voucher numbers",IF(D177="","Enter who was paid",IF(N(J177)=0,"Enter the amount",IF(E177="","Pick the head of account",IF(P177="?","Pick the head from the list",IF(H177="","Pick how it was paid",IF(L177="Cancelled","Cancelled: keep this number unused and write a fresh voucher",IF(AND(H177&lt;&gt;"Cash",I177=""),"Enter the cheque no., UTR or UPI reference",IF(AND(N($E$11)&gt;0,N(J177)&gt;N($E$11),K177=""),"Above your approval limit: get it approved before paying",IF(S177&gt;10000,"Cash paid to this person today is over ₹10,000: not deductible, s.36(4)",IF(T177&gt;35000,"Cash freight to this transporter today is over ₹35,000: not deductible, s.36(6)",IF(U177&gt;10000,"Asset paid in cash over ₹10,000 today: left out of its cost, s.39(2)",IF(AND(P177="L",H177="Cash",N(J177)&gt;=20000),"Loan of ₹20,000 or more repaid in cash: barred, s.188","OK")))))))))))))))</f>
        <v/>
      </c>
      <c r="P177">
        <f>IF(E177="","",IFERROR(VLOOKUP(E177,Lists!$A$2:$B$17,2,FALSE),"?"))</f>
        <v/>
      </c>
      <c r="Q177">
        <f>IF(L177="Cancelled",0,N(J177))</f>
        <v/>
      </c>
      <c r="R177">
        <f>IF(H177="Cash",Q177,0)</f>
        <v/>
      </c>
      <c r="S177">
        <f>IF(OR(P177&lt;&gt;"E",R177=0),0,SUMIFS($R$18:$R$317,$B$18:$B$317,B177,$D$18:$D$317,D177,$P$18:$P$317,"E"))</f>
        <v/>
      </c>
      <c r="T177">
        <f>IF(OR(P177&lt;&gt;"F",R177=0),0,SUMIFS($R$18:$R$317,$B$18:$B$317,B177,$D$18:$D$317,D177,$P$18:$P$317,"F"))</f>
        <v/>
      </c>
      <c r="U177">
        <f>IF(OR(P177&lt;&gt;"A",R177=0),0,SUMIFS($R$18:$R$317,$B$18:$B$317,B177,$D$18:$D$317,D177,$P$18:$P$317,"A"))</f>
        <v/>
      </c>
      <c r="V177">
        <f>IF(OR(N177="",N177="OK",L177="Cancelled"),0,1)</f>
        <v/>
      </c>
    </row>
    <row r="178">
      <c r="B178" s="22" t="n"/>
      <c r="C178" s="23">
        <f>IF(B178="","",$E$9&amp;TEXT(N($E$10)+160,"000"))</f>
        <v/>
      </c>
      <c r="D178" s="14" t="n"/>
      <c r="E178" s="14" t="n"/>
      <c r="F178" s="14" t="n"/>
      <c r="G178" s="24" t="n"/>
      <c r="H178" s="14" t="n"/>
      <c r="I178" s="24" t="n"/>
      <c r="J178" s="25" t="n"/>
      <c r="K178" s="14" t="n"/>
      <c r="L178" s="24" t="n"/>
      <c r="M178" s="26">
        <f>IF(OR(N(J178)=0,L178="Cancelled"),"",IF(AND(N(J178)&gt;5000,H178="Cash"),"Yes: ₹1","No"))</f>
        <v/>
      </c>
      <c r="N178" s="27">
        <f>IF(AND(B178="",D178="",N(J178)=0),"",IF(B178="","Enter the date",IF(AND(ROW()&gt;18,B177=""),"Use the next empty row: a skipped row leaves a gap in the voucher numbers",IF(D178="","Enter who was paid",IF(N(J178)=0,"Enter the amount",IF(E178="","Pick the head of account",IF(P178="?","Pick the head from the list",IF(H178="","Pick how it was paid",IF(L178="Cancelled","Cancelled: keep this number unused and write a fresh voucher",IF(AND(H178&lt;&gt;"Cash",I178=""),"Enter the cheque no., UTR or UPI reference",IF(AND(N($E$11)&gt;0,N(J178)&gt;N($E$11),K178=""),"Above your approval limit: get it approved before paying",IF(S178&gt;10000,"Cash paid to this person today is over ₹10,000: not deductible, s.36(4)",IF(T178&gt;35000,"Cash freight to this transporter today is over ₹35,000: not deductible, s.36(6)",IF(U178&gt;10000,"Asset paid in cash over ₹10,000 today: left out of its cost, s.39(2)",IF(AND(P178="L",H178="Cash",N(J178)&gt;=20000),"Loan of ₹20,000 or more repaid in cash: barred, s.188","OK")))))))))))))))</f>
        <v/>
      </c>
      <c r="P178">
        <f>IF(E178="","",IFERROR(VLOOKUP(E178,Lists!$A$2:$B$17,2,FALSE),"?"))</f>
        <v/>
      </c>
      <c r="Q178">
        <f>IF(L178="Cancelled",0,N(J178))</f>
        <v/>
      </c>
      <c r="R178">
        <f>IF(H178="Cash",Q178,0)</f>
        <v/>
      </c>
      <c r="S178">
        <f>IF(OR(P178&lt;&gt;"E",R178=0),0,SUMIFS($R$18:$R$317,$B$18:$B$317,B178,$D$18:$D$317,D178,$P$18:$P$317,"E"))</f>
        <v/>
      </c>
      <c r="T178">
        <f>IF(OR(P178&lt;&gt;"F",R178=0),0,SUMIFS($R$18:$R$317,$B$18:$B$317,B178,$D$18:$D$317,D178,$P$18:$P$317,"F"))</f>
        <v/>
      </c>
      <c r="U178">
        <f>IF(OR(P178&lt;&gt;"A",R178=0),0,SUMIFS($R$18:$R$317,$B$18:$B$317,B178,$D$18:$D$317,D178,$P$18:$P$317,"A"))</f>
        <v/>
      </c>
      <c r="V178">
        <f>IF(OR(N178="",N178="OK",L178="Cancelled"),0,1)</f>
        <v/>
      </c>
    </row>
    <row r="179">
      <c r="B179" s="22" t="n"/>
      <c r="C179" s="23">
        <f>IF(B179="","",$E$9&amp;TEXT(N($E$10)+161,"000"))</f>
        <v/>
      </c>
      <c r="D179" s="14" t="n"/>
      <c r="E179" s="14" t="n"/>
      <c r="F179" s="14" t="n"/>
      <c r="G179" s="24" t="n"/>
      <c r="H179" s="14" t="n"/>
      <c r="I179" s="24" t="n"/>
      <c r="J179" s="25" t="n"/>
      <c r="K179" s="14" t="n"/>
      <c r="L179" s="24" t="n"/>
      <c r="M179" s="26">
        <f>IF(OR(N(J179)=0,L179="Cancelled"),"",IF(AND(N(J179)&gt;5000,H179="Cash"),"Yes: ₹1","No"))</f>
        <v/>
      </c>
      <c r="N179" s="27">
        <f>IF(AND(B179="",D179="",N(J179)=0),"",IF(B179="","Enter the date",IF(AND(ROW()&gt;18,B178=""),"Use the next empty row: a skipped row leaves a gap in the voucher numbers",IF(D179="","Enter who was paid",IF(N(J179)=0,"Enter the amount",IF(E179="","Pick the head of account",IF(P179="?","Pick the head from the list",IF(H179="","Pick how it was paid",IF(L179="Cancelled","Cancelled: keep this number unused and write a fresh voucher",IF(AND(H179&lt;&gt;"Cash",I179=""),"Enter the cheque no., UTR or UPI reference",IF(AND(N($E$11)&gt;0,N(J179)&gt;N($E$11),K179=""),"Above your approval limit: get it approved before paying",IF(S179&gt;10000,"Cash paid to this person today is over ₹10,000: not deductible, s.36(4)",IF(T179&gt;35000,"Cash freight to this transporter today is over ₹35,000: not deductible, s.36(6)",IF(U179&gt;10000,"Asset paid in cash over ₹10,000 today: left out of its cost, s.39(2)",IF(AND(P179="L",H179="Cash",N(J179)&gt;=20000),"Loan of ₹20,000 or more repaid in cash: barred, s.188","OK")))))))))))))))</f>
        <v/>
      </c>
      <c r="P179">
        <f>IF(E179="","",IFERROR(VLOOKUP(E179,Lists!$A$2:$B$17,2,FALSE),"?"))</f>
        <v/>
      </c>
      <c r="Q179">
        <f>IF(L179="Cancelled",0,N(J179))</f>
        <v/>
      </c>
      <c r="R179">
        <f>IF(H179="Cash",Q179,0)</f>
        <v/>
      </c>
      <c r="S179">
        <f>IF(OR(P179&lt;&gt;"E",R179=0),0,SUMIFS($R$18:$R$317,$B$18:$B$317,B179,$D$18:$D$317,D179,$P$18:$P$317,"E"))</f>
        <v/>
      </c>
      <c r="T179">
        <f>IF(OR(P179&lt;&gt;"F",R179=0),0,SUMIFS($R$18:$R$317,$B$18:$B$317,B179,$D$18:$D$317,D179,$P$18:$P$317,"F"))</f>
        <v/>
      </c>
      <c r="U179">
        <f>IF(OR(P179&lt;&gt;"A",R179=0),0,SUMIFS($R$18:$R$317,$B$18:$B$317,B179,$D$18:$D$317,D179,$P$18:$P$317,"A"))</f>
        <v/>
      </c>
      <c r="V179">
        <f>IF(OR(N179="",N179="OK",L179="Cancelled"),0,1)</f>
        <v/>
      </c>
    </row>
    <row r="180">
      <c r="B180" s="22" t="n"/>
      <c r="C180" s="23">
        <f>IF(B180="","",$E$9&amp;TEXT(N($E$10)+162,"000"))</f>
        <v/>
      </c>
      <c r="D180" s="14" t="n"/>
      <c r="E180" s="14" t="n"/>
      <c r="F180" s="14" t="n"/>
      <c r="G180" s="24" t="n"/>
      <c r="H180" s="14" t="n"/>
      <c r="I180" s="24" t="n"/>
      <c r="J180" s="25" t="n"/>
      <c r="K180" s="14" t="n"/>
      <c r="L180" s="24" t="n"/>
      <c r="M180" s="26">
        <f>IF(OR(N(J180)=0,L180="Cancelled"),"",IF(AND(N(J180)&gt;5000,H180="Cash"),"Yes: ₹1","No"))</f>
        <v/>
      </c>
      <c r="N180" s="27">
        <f>IF(AND(B180="",D180="",N(J180)=0),"",IF(B180="","Enter the date",IF(AND(ROW()&gt;18,B179=""),"Use the next empty row: a skipped row leaves a gap in the voucher numbers",IF(D180="","Enter who was paid",IF(N(J180)=0,"Enter the amount",IF(E180="","Pick the head of account",IF(P180="?","Pick the head from the list",IF(H180="","Pick how it was paid",IF(L180="Cancelled","Cancelled: keep this number unused and write a fresh voucher",IF(AND(H180&lt;&gt;"Cash",I180=""),"Enter the cheque no., UTR or UPI reference",IF(AND(N($E$11)&gt;0,N(J180)&gt;N($E$11),K180=""),"Above your approval limit: get it approved before paying",IF(S180&gt;10000,"Cash paid to this person today is over ₹10,000: not deductible, s.36(4)",IF(T180&gt;35000,"Cash freight to this transporter today is over ₹35,000: not deductible, s.36(6)",IF(U180&gt;10000,"Asset paid in cash over ₹10,000 today: left out of its cost, s.39(2)",IF(AND(P180="L",H180="Cash",N(J180)&gt;=20000),"Loan of ₹20,000 or more repaid in cash: barred, s.188","OK")))))))))))))))</f>
        <v/>
      </c>
      <c r="P180">
        <f>IF(E180="","",IFERROR(VLOOKUP(E180,Lists!$A$2:$B$17,2,FALSE),"?"))</f>
        <v/>
      </c>
      <c r="Q180">
        <f>IF(L180="Cancelled",0,N(J180))</f>
        <v/>
      </c>
      <c r="R180">
        <f>IF(H180="Cash",Q180,0)</f>
        <v/>
      </c>
      <c r="S180">
        <f>IF(OR(P180&lt;&gt;"E",R180=0),0,SUMIFS($R$18:$R$317,$B$18:$B$317,B180,$D$18:$D$317,D180,$P$18:$P$317,"E"))</f>
        <v/>
      </c>
      <c r="T180">
        <f>IF(OR(P180&lt;&gt;"F",R180=0),0,SUMIFS($R$18:$R$317,$B$18:$B$317,B180,$D$18:$D$317,D180,$P$18:$P$317,"F"))</f>
        <v/>
      </c>
      <c r="U180">
        <f>IF(OR(P180&lt;&gt;"A",R180=0),0,SUMIFS($R$18:$R$317,$B$18:$B$317,B180,$D$18:$D$317,D180,$P$18:$P$317,"A"))</f>
        <v/>
      </c>
      <c r="V180">
        <f>IF(OR(N180="",N180="OK",L180="Cancelled"),0,1)</f>
        <v/>
      </c>
    </row>
    <row r="181">
      <c r="B181" s="22" t="n"/>
      <c r="C181" s="23">
        <f>IF(B181="","",$E$9&amp;TEXT(N($E$10)+163,"000"))</f>
        <v/>
      </c>
      <c r="D181" s="14" t="n"/>
      <c r="E181" s="14" t="n"/>
      <c r="F181" s="14" t="n"/>
      <c r="G181" s="24" t="n"/>
      <c r="H181" s="14" t="n"/>
      <c r="I181" s="24" t="n"/>
      <c r="J181" s="25" t="n"/>
      <c r="K181" s="14" t="n"/>
      <c r="L181" s="24" t="n"/>
      <c r="M181" s="26">
        <f>IF(OR(N(J181)=0,L181="Cancelled"),"",IF(AND(N(J181)&gt;5000,H181="Cash"),"Yes: ₹1","No"))</f>
        <v/>
      </c>
      <c r="N181" s="27">
        <f>IF(AND(B181="",D181="",N(J181)=0),"",IF(B181="","Enter the date",IF(AND(ROW()&gt;18,B180=""),"Use the next empty row: a skipped row leaves a gap in the voucher numbers",IF(D181="","Enter who was paid",IF(N(J181)=0,"Enter the amount",IF(E181="","Pick the head of account",IF(P181="?","Pick the head from the list",IF(H181="","Pick how it was paid",IF(L181="Cancelled","Cancelled: keep this number unused and write a fresh voucher",IF(AND(H181&lt;&gt;"Cash",I181=""),"Enter the cheque no., UTR or UPI reference",IF(AND(N($E$11)&gt;0,N(J181)&gt;N($E$11),K181=""),"Above your approval limit: get it approved before paying",IF(S181&gt;10000,"Cash paid to this person today is over ₹10,000: not deductible, s.36(4)",IF(T181&gt;35000,"Cash freight to this transporter today is over ₹35,000: not deductible, s.36(6)",IF(U181&gt;10000,"Asset paid in cash over ₹10,000 today: left out of its cost, s.39(2)",IF(AND(P181="L",H181="Cash",N(J181)&gt;=20000),"Loan of ₹20,000 or more repaid in cash: barred, s.188","OK")))))))))))))))</f>
        <v/>
      </c>
      <c r="P181">
        <f>IF(E181="","",IFERROR(VLOOKUP(E181,Lists!$A$2:$B$17,2,FALSE),"?"))</f>
        <v/>
      </c>
      <c r="Q181">
        <f>IF(L181="Cancelled",0,N(J181))</f>
        <v/>
      </c>
      <c r="R181">
        <f>IF(H181="Cash",Q181,0)</f>
        <v/>
      </c>
      <c r="S181">
        <f>IF(OR(P181&lt;&gt;"E",R181=0),0,SUMIFS($R$18:$R$317,$B$18:$B$317,B181,$D$18:$D$317,D181,$P$18:$P$317,"E"))</f>
        <v/>
      </c>
      <c r="T181">
        <f>IF(OR(P181&lt;&gt;"F",R181=0),0,SUMIFS($R$18:$R$317,$B$18:$B$317,B181,$D$18:$D$317,D181,$P$18:$P$317,"F"))</f>
        <v/>
      </c>
      <c r="U181">
        <f>IF(OR(P181&lt;&gt;"A",R181=0),0,SUMIFS($R$18:$R$317,$B$18:$B$317,B181,$D$18:$D$317,D181,$P$18:$P$317,"A"))</f>
        <v/>
      </c>
      <c r="V181">
        <f>IF(OR(N181="",N181="OK",L181="Cancelled"),0,1)</f>
        <v/>
      </c>
    </row>
    <row r="182">
      <c r="B182" s="22" t="n"/>
      <c r="C182" s="23">
        <f>IF(B182="","",$E$9&amp;TEXT(N($E$10)+164,"000"))</f>
        <v/>
      </c>
      <c r="D182" s="14" t="n"/>
      <c r="E182" s="14" t="n"/>
      <c r="F182" s="14" t="n"/>
      <c r="G182" s="24" t="n"/>
      <c r="H182" s="14" t="n"/>
      <c r="I182" s="24" t="n"/>
      <c r="J182" s="25" t="n"/>
      <c r="K182" s="14" t="n"/>
      <c r="L182" s="24" t="n"/>
      <c r="M182" s="26">
        <f>IF(OR(N(J182)=0,L182="Cancelled"),"",IF(AND(N(J182)&gt;5000,H182="Cash"),"Yes: ₹1","No"))</f>
        <v/>
      </c>
      <c r="N182" s="27">
        <f>IF(AND(B182="",D182="",N(J182)=0),"",IF(B182="","Enter the date",IF(AND(ROW()&gt;18,B181=""),"Use the next empty row: a skipped row leaves a gap in the voucher numbers",IF(D182="","Enter who was paid",IF(N(J182)=0,"Enter the amount",IF(E182="","Pick the head of account",IF(P182="?","Pick the head from the list",IF(H182="","Pick how it was paid",IF(L182="Cancelled","Cancelled: keep this number unused and write a fresh voucher",IF(AND(H182&lt;&gt;"Cash",I182=""),"Enter the cheque no., UTR or UPI reference",IF(AND(N($E$11)&gt;0,N(J182)&gt;N($E$11),K182=""),"Above your approval limit: get it approved before paying",IF(S182&gt;10000,"Cash paid to this person today is over ₹10,000: not deductible, s.36(4)",IF(T182&gt;35000,"Cash freight to this transporter today is over ₹35,000: not deductible, s.36(6)",IF(U182&gt;10000,"Asset paid in cash over ₹10,000 today: left out of its cost, s.39(2)",IF(AND(P182="L",H182="Cash",N(J182)&gt;=20000),"Loan of ₹20,000 or more repaid in cash: barred, s.188","OK")))))))))))))))</f>
        <v/>
      </c>
      <c r="P182">
        <f>IF(E182="","",IFERROR(VLOOKUP(E182,Lists!$A$2:$B$17,2,FALSE),"?"))</f>
        <v/>
      </c>
      <c r="Q182">
        <f>IF(L182="Cancelled",0,N(J182))</f>
        <v/>
      </c>
      <c r="R182">
        <f>IF(H182="Cash",Q182,0)</f>
        <v/>
      </c>
      <c r="S182">
        <f>IF(OR(P182&lt;&gt;"E",R182=0),0,SUMIFS($R$18:$R$317,$B$18:$B$317,B182,$D$18:$D$317,D182,$P$18:$P$317,"E"))</f>
        <v/>
      </c>
      <c r="T182">
        <f>IF(OR(P182&lt;&gt;"F",R182=0),0,SUMIFS($R$18:$R$317,$B$18:$B$317,B182,$D$18:$D$317,D182,$P$18:$P$317,"F"))</f>
        <v/>
      </c>
      <c r="U182">
        <f>IF(OR(P182&lt;&gt;"A",R182=0),0,SUMIFS($R$18:$R$317,$B$18:$B$317,B182,$D$18:$D$317,D182,$P$18:$P$317,"A"))</f>
        <v/>
      </c>
      <c r="V182">
        <f>IF(OR(N182="",N182="OK",L182="Cancelled"),0,1)</f>
        <v/>
      </c>
    </row>
    <row r="183">
      <c r="B183" s="22" t="n"/>
      <c r="C183" s="23">
        <f>IF(B183="","",$E$9&amp;TEXT(N($E$10)+165,"000"))</f>
        <v/>
      </c>
      <c r="D183" s="14" t="n"/>
      <c r="E183" s="14" t="n"/>
      <c r="F183" s="14" t="n"/>
      <c r="G183" s="24" t="n"/>
      <c r="H183" s="14" t="n"/>
      <c r="I183" s="24" t="n"/>
      <c r="J183" s="25" t="n"/>
      <c r="K183" s="14" t="n"/>
      <c r="L183" s="24" t="n"/>
      <c r="M183" s="26">
        <f>IF(OR(N(J183)=0,L183="Cancelled"),"",IF(AND(N(J183)&gt;5000,H183="Cash"),"Yes: ₹1","No"))</f>
        <v/>
      </c>
      <c r="N183" s="27">
        <f>IF(AND(B183="",D183="",N(J183)=0),"",IF(B183="","Enter the date",IF(AND(ROW()&gt;18,B182=""),"Use the next empty row: a skipped row leaves a gap in the voucher numbers",IF(D183="","Enter who was paid",IF(N(J183)=0,"Enter the amount",IF(E183="","Pick the head of account",IF(P183="?","Pick the head from the list",IF(H183="","Pick how it was paid",IF(L183="Cancelled","Cancelled: keep this number unused and write a fresh voucher",IF(AND(H183&lt;&gt;"Cash",I183=""),"Enter the cheque no., UTR or UPI reference",IF(AND(N($E$11)&gt;0,N(J183)&gt;N($E$11),K183=""),"Above your approval limit: get it approved before paying",IF(S183&gt;10000,"Cash paid to this person today is over ₹10,000: not deductible, s.36(4)",IF(T183&gt;35000,"Cash freight to this transporter today is over ₹35,000: not deductible, s.36(6)",IF(U183&gt;10000,"Asset paid in cash over ₹10,000 today: left out of its cost, s.39(2)",IF(AND(P183="L",H183="Cash",N(J183)&gt;=20000),"Loan of ₹20,000 or more repaid in cash: barred, s.188","OK")))))))))))))))</f>
        <v/>
      </c>
      <c r="P183">
        <f>IF(E183="","",IFERROR(VLOOKUP(E183,Lists!$A$2:$B$17,2,FALSE),"?"))</f>
        <v/>
      </c>
      <c r="Q183">
        <f>IF(L183="Cancelled",0,N(J183))</f>
        <v/>
      </c>
      <c r="R183">
        <f>IF(H183="Cash",Q183,0)</f>
        <v/>
      </c>
      <c r="S183">
        <f>IF(OR(P183&lt;&gt;"E",R183=0),0,SUMIFS($R$18:$R$317,$B$18:$B$317,B183,$D$18:$D$317,D183,$P$18:$P$317,"E"))</f>
        <v/>
      </c>
      <c r="T183">
        <f>IF(OR(P183&lt;&gt;"F",R183=0),0,SUMIFS($R$18:$R$317,$B$18:$B$317,B183,$D$18:$D$317,D183,$P$18:$P$317,"F"))</f>
        <v/>
      </c>
      <c r="U183">
        <f>IF(OR(P183&lt;&gt;"A",R183=0),0,SUMIFS($R$18:$R$317,$B$18:$B$317,B183,$D$18:$D$317,D183,$P$18:$P$317,"A"))</f>
        <v/>
      </c>
      <c r="V183">
        <f>IF(OR(N183="",N183="OK",L183="Cancelled"),0,1)</f>
        <v/>
      </c>
    </row>
    <row r="184">
      <c r="B184" s="22" t="n"/>
      <c r="C184" s="23">
        <f>IF(B184="","",$E$9&amp;TEXT(N($E$10)+166,"000"))</f>
        <v/>
      </c>
      <c r="D184" s="14" t="n"/>
      <c r="E184" s="14" t="n"/>
      <c r="F184" s="14" t="n"/>
      <c r="G184" s="24" t="n"/>
      <c r="H184" s="14" t="n"/>
      <c r="I184" s="24" t="n"/>
      <c r="J184" s="25" t="n"/>
      <c r="K184" s="14" t="n"/>
      <c r="L184" s="24" t="n"/>
      <c r="M184" s="26">
        <f>IF(OR(N(J184)=0,L184="Cancelled"),"",IF(AND(N(J184)&gt;5000,H184="Cash"),"Yes: ₹1","No"))</f>
        <v/>
      </c>
      <c r="N184" s="27">
        <f>IF(AND(B184="",D184="",N(J184)=0),"",IF(B184="","Enter the date",IF(AND(ROW()&gt;18,B183=""),"Use the next empty row: a skipped row leaves a gap in the voucher numbers",IF(D184="","Enter who was paid",IF(N(J184)=0,"Enter the amount",IF(E184="","Pick the head of account",IF(P184="?","Pick the head from the list",IF(H184="","Pick how it was paid",IF(L184="Cancelled","Cancelled: keep this number unused and write a fresh voucher",IF(AND(H184&lt;&gt;"Cash",I184=""),"Enter the cheque no., UTR or UPI reference",IF(AND(N($E$11)&gt;0,N(J184)&gt;N($E$11),K184=""),"Above your approval limit: get it approved before paying",IF(S184&gt;10000,"Cash paid to this person today is over ₹10,000: not deductible, s.36(4)",IF(T184&gt;35000,"Cash freight to this transporter today is over ₹35,000: not deductible, s.36(6)",IF(U184&gt;10000,"Asset paid in cash over ₹10,000 today: left out of its cost, s.39(2)",IF(AND(P184="L",H184="Cash",N(J184)&gt;=20000),"Loan of ₹20,000 or more repaid in cash: barred, s.188","OK")))))))))))))))</f>
        <v/>
      </c>
      <c r="P184">
        <f>IF(E184="","",IFERROR(VLOOKUP(E184,Lists!$A$2:$B$17,2,FALSE),"?"))</f>
        <v/>
      </c>
      <c r="Q184">
        <f>IF(L184="Cancelled",0,N(J184))</f>
        <v/>
      </c>
      <c r="R184">
        <f>IF(H184="Cash",Q184,0)</f>
        <v/>
      </c>
      <c r="S184">
        <f>IF(OR(P184&lt;&gt;"E",R184=0),0,SUMIFS($R$18:$R$317,$B$18:$B$317,B184,$D$18:$D$317,D184,$P$18:$P$317,"E"))</f>
        <v/>
      </c>
      <c r="T184">
        <f>IF(OR(P184&lt;&gt;"F",R184=0),0,SUMIFS($R$18:$R$317,$B$18:$B$317,B184,$D$18:$D$317,D184,$P$18:$P$317,"F"))</f>
        <v/>
      </c>
      <c r="U184">
        <f>IF(OR(P184&lt;&gt;"A",R184=0),0,SUMIFS($R$18:$R$317,$B$18:$B$317,B184,$D$18:$D$317,D184,$P$18:$P$317,"A"))</f>
        <v/>
      </c>
      <c r="V184">
        <f>IF(OR(N184="",N184="OK",L184="Cancelled"),0,1)</f>
        <v/>
      </c>
    </row>
    <row r="185">
      <c r="B185" s="22" t="n"/>
      <c r="C185" s="23">
        <f>IF(B185="","",$E$9&amp;TEXT(N($E$10)+167,"000"))</f>
        <v/>
      </c>
      <c r="D185" s="14" t="n"/>
      <c r="E185" s="14" t="n"/>
      <c r="F185" s="14" t="n"/>
      <c r="G185" s="24" t="n"/>
      <c r="H185" s="14" t="n"/>
      <c r="I185" s="24" t="n"/>
      <c r="J185" s="25" t="n"/>
      <c r="K185" s="14" t="n"/>
      <c r="L185" s="24" t="n"/>
      <c r="M185" s="26">
        <f>IF(OR(N(J185)=0,L185="Cancelled"),"",IF(AND(N(J185)&gt;5000,H185="Cash"),"Yes: ₹1","No"))</f>
        <v/>
      </c>
      <c r="N185" s="27">
        <f>IF(AND(B185="",D185="",N(J185)=0),"",IF(B185="","Enter the date",IF(AND(ROW()&gt;18,B184=""),"Use the next empty row: a skipped row leaves a gap in the voucher numbers",IF(D185="","Enter who was paid",IF(N(J185)=0,"Enter the amount",IF(E185="","Pick the head of account",IF(P185="?","Pick the head from the list",IF(H185="","Pick how it was paid",IF(L185="Cancelled","Cancelled: keep this number unused and write a fresh voucher",IF(AND(H185&lt;&gt;"Cash",I185=""),"Enter the cheque no., UTR or UPI reference",IF(AND(N($E$11)&gt;0,N(J185)&gt;N($E$11),K185=""),"Above your approval limit: get it approved before paying",IF(S185&gt;10000,"Cash paid to this person today is over ₹10,000: not deductible, s.36(4)",IF(T185&gt;35000,"Cash freight to this transporter today is over ₹35,000: not deductible, s.36(6)",IF(U185&gt;10000,"Asset paid in cash over ₹10,000 today: left out of its cost, s.39(2)",IF(AND(P185="L",H185="Cash",N(J185)&gt;=20000),"Loan of ₹20,000 or more repaid in cash: barred, s.188","OK")))))))))))))))</f>
        <v/>
      </c>
      <c r="P185">
        <f>IF(E185="","",IFERROR(VLOOKUP(E185,Lists!$A$2:$B$17,2,FALSE),"?"))</f>
        <v/>
      </c>
      <c r="Q185">
        <f>IF(L185="Cancelled",0,N(J185))</f>
        <v/>
      </c>
      <c r="R185">
        <f>IF(H185="Cash",Q185,0)</f>
        <v/>
      </c>
      <c r="S185">
        <f>IF(OR(P185&lt;&gt;"E",R185=0),0,SUMIFS($R$18:$R$317,$B$18:$B$317,B185,$D$18:$D$317,D185,$P$18:$P$317,"E"))</f>
        <v/>
      </c>
      <c r="T185">
        <f>IF(OR(P185&lt;&gt;"F",R185=0),0,SUMIFS($R$18:$R$317,$B$18:$B$317,B185,$D$18:$D$317,D185,$P$18:$P$317,"F"))</f>
        <v/>
      </c>
      <c r="U185">
        <f>IF(OR(P185&lt;&gt;"A",R185=0),0,SUMIFS($R$18:$R$317,$B$18:$B$317,B185,$D$18:$D$317,D185,$P$18:$P$317,"A"))</f>
        <v/>
      </c>
      <c r="V185">
        <f>IF(OR(N185="",N185="OK",L185="Cancelled"),0,1)</f>
        <v/>
      </c>
    </row>
    <row r="186">
      <c r="B186" s="22" t="n"/>
      <c r="C186" s="23">
        <f>IF(B186="","",$E$9&amp;TEXT(N($E$10)+168,"000"))</f>
        <v/>
      </c>
      <c r="D186" s="14" t="n"/>
      <c r="E186" s="14" t="n"/>
      <c r="F186" s="14" t="n"/>
      <c r="G186" s="24" t="n"/>
      <c r="H186" s="14" t="n"/>
      <c r="I186" s="24" t="n"/>
      <c r="J186" s="25" t="n"/>
      <c r="K186" s="14" t="n"/>
      <c r="L186" s="24" t="n"/>
      <c r="M186" s="26">
        <f>IF(OR(N(J186)=0,L186="Cancelled"),"",IF(AND(N(J186)&gt;5000,H186="Cash"),"Yes: ₹1","No"))</f>
        <v/>
      </c>
      <c r="N186" s="27">
        <f>IF(AND(B186="",D186="",N(J186)=0),"",IF(B186="","Enter the date",IF(AND(ROW()&gt;18,B185=""),"Use the next empty row: a skipped row leaves a gap in the voucher numbers",IF(D186="","Enter who was paid",IF(N(J186)=0,"Enter the amount",IF(E186="","Pick the head of account",IF(P186="?","Pick the head from the list",IF(H186="","Pick how it was paid",IF(L186="Cancelled","Cancelled: keep this number unused and write a fresh voucher",IF(AND(H186&lt;&gt;"Cash",I186=""),"Enter the cheque no., UTR or UPI reference",IF(AND(N($E$11)&gt;0,N(J186)&gt;N($E$11),K186=""),"Above your approval limit: get it approved before paying",IF(S186&gt;10000,"Cash paid to this person today is over ₹10,000: not deductible, s.36(4)",IF(T186&gt;35000,"Cash freight to this transporter today is over ₹35,000: not deductible, s.36(6)",IF(U186&gt;10000,"Asset paid in cash over ₹10,000 today: left out of its cost, s.39(2)",IF(AND(P186="L",H186="Cash",N(J186)&gt;=20000),"Loan of ₹20,000 or more repaid in cash: barred, s.188","OK")))))))))))))))</f>
        <v/>
      </c>
      <c r="P186">
        <f>IF(E186="","",IFERROR(VLOOKUP(E186,Lists!$A$2:$B$17,2,FALSE),"?"))</f>
        <v/>
      </c>
      <c r="Q186">
        <f>IF(L186="Cancelled",0,N(J186))</f>
        <v/>
      </c>
      <c r="R186">
        <f>IF(H186="Cash",Q186,0)</f>
        <v/>
      </c>
      <c r="S186">
        <f>IF(OR(P186&lt;&gt;"E",R186=0),0,SUMIFS($R$18:$R$317,$B$18:$B$317,B186,$D$18:$D$317,D186,$P$18:$P$317,"E"))</f>
        <v/>
      </c>
      <c r="T186">
        <f>IF(OR(P186&lt;&gt;"F",R186=0),0,SUMIFS($R$18:$R$317,$B$18:$B$317,B186,$D$18:$D$317,D186,$P$18:$P$317,"F"))</f>
        <v/>
      </c>
      <c r="U186">
        <f>IF(OR(P186&lt;&gt;"A",R186=0),0,SUMIFS($R$18:$R$317,$B$18:$B$317,B186,$D$18:$D$317,D186,$P$18:$P$317,"A"))</f>
        <v/>
      </c>
      <c r="V186">
        <f>IF(OR(N186="",N186="OK",L186="Cancelled"),0,1)</f>
        <v/>
      </c>
    </row>
    <row r="187">
      <c r="B187" s="22" t="n"/>
      <c r="C187" s="23">
        <f>IF(B187="","",$E$9&amp;TEXT(N($E$10)+169,"000"))</f>
        <v/>
      </c>
      <c r="D187" s="14" t="n"/>
      <c r="E187" s="14" t="n"/>
      <c r="F187" s="14" t="n"/>
      <c r="G187" s="24" t="n"/>
      <c r="H187" s="14" t="n"/>
      <c r="I187" s="24" t="n"/>
      <c r="J187" s="25" t="n"/>
      <c r="K187" s="14" t="n"/>
      <c r="L187" s="24" t="n"/>
      <c r="M187" s="26">
        <f>IF(OR(N(J187)=0,L187="Cancelled"),"",IF(AND(N(J187)&gt;5000,H187="Cash"),"Yes: ₹1","No"))</f>
        <v/>
      </c>
      <c r="N187" s="27">
        <f>IF(AND(B187="",D187="",N(J187)=0),"",IF(B187="","Enter the date",IF(AND(ROW()&gt;18,B186=""),"Use the next empty row: a skipped row leaves a gap in the voucher numbers",IF(D187="","Enter who was paid",IF(N(J187)=0,"Enter the amount",IF(E187="","Pick the head of account",IF(P187="?","Pick the head from the list",IF(H187="","Pick how it was paid",IF(L187="Cancelled","Cancelled: keep this number unused and write a fresh voucher",IF(AND(H187&lt;&gt;"Cash",I187=""),"Enter the cheque no., UTR or UPI reference",IF(AND(N($E$11)&gt;0,N(J187)&gt;N($E$11),K187=""),"Above your approval limit: get it approved before paying",IF(S187&gt;10000,"Cash paid to this person today is over ₹10,000: not deductible, s.36(4)",IF(T187&gt;35000,"Cash freight to this transporter today is over ₹35,000: not deductible, s.36(6)",IF(U187&gt;10000,"Asset paid in cash over ₹10,000 today: left out of its cost, s.39(2)",IF(AND(P187="L",H187="Cash",N(J187)&gt;=20000),"Loan of ₹20,000 or more repaid in cash: barred, s.188","OK")))))))))))))))</f>
        <v/>
      </c>
      <c r="P187">
        <f>IF(E187="","",IFERROR(VLOOKUP(E187,Lists!$A$2:$B$17,2,FALSE),"?"))</f>
        <v/>
      </c>
      <c r="Q187">
        <f>IF(L187="Cancelled",0,N(J187))</f>
        <v/>
      </c>
      <c r="R187">
        <f>IF(H187="Cash",Q187,0)</f>
        <v/>
      </c>
      <c r="S187">
        <f>IF(OR(P187&lt;&gt;"E",R187=0),0,SUMIFS($R$18:$R$317,$B$18:$B$317,B187,$D$18:$D$317,D187,$P$18:$P$317,"E"))</f>
        <v/>
      </c>
      <c r="T187">
        <f>IF(OR(P187&lt;&gt;"F",R187=0),0,SUMIFS($R$18:$R$317,$B$18:$B$317,B187,$D$18:$D$317,D187,$P$18:$P$317,"F"))</f>
        <v/>
      </c>
      <c r="U187">
        <f>IF(OR(P187&lt;&gt;"A",R187=0),0,SUMIFS($R$18:$R$317,$B$18:$B$317,B187,$D$18:$D$317,D187,$P$18:$P$317,"A"))</f>
        <v/>
      </c>
      <c r="V187">
        <f>IF(OR(N187="",N187="OK",L187="Cancelled"),0,1)</f>
        <v/>
      </c>
    </row>
    <row r="188">
      <c r="B188" s="22" t="n"/>
      <c r="C188" s="23">
        <f>IF(B188="","",$E$9&amp;TEXT(N($E$10)+170,"000"))</f>
        <v/>
      </c>
      <c r="D188" s="14" t="n"/>
      <c r="E188" s="14" t="n"/>
      <c r="F188" s="14" t="n"/>
      <c r="G188" s="24" t="n"/>
      <c r="H188" s="14" t="n"/>
      <c r="I188" s="24" t="n"/>
      <c r="J188" s="25" t="n"/>
      <c r="K188" s="14" t="n"/>
      <c r="L188" s="24" t="n"/>
      <c r="M188" s="26">
        <f>IF(OR(N(J188)=0,L188="Cancelled"),"",IF(AND(N(J188)&gt;5000,H188="Cash"),"Yes: ₹1","No"))</f>
        <v/>
      </c>
      <c r="N188" s="27">
        <f>IF(AND(B188="",D188="",N(J188)=0),"",IF(B188="","Enter the date",IF(AND(ROW()&gt;18,B187=""),"Use the next empty row: a skipped row leaves a gap in the voucher numbers",IF(D188="","Enter who was paid",IF(N(J188)=0,"Enter the amount",IF(E188="","Pick the head of account",IF(P188="?","Pick the head from the list",IF(H188="","Pick how it was paid",IF(L188="Cancelled","Cancelled: keep this number unused and write a fresh voucher",IF(AND(H188&lt;&gt;"Cash",I188=""),"Enter the cheque no., UTR or UPI reference",IF(AND(N($E$11)&gt;0,N(J188)&gt;N($E$11),K188=""),"Above your approval limit: get it approved before paying",IF(S188&gt;10000,"Cash paid to this person today is over ₹10,000: not deductible, s.36(4)",IF(T188&gt;35000,"Cash freight to this transporter today is over ₹35,000: not deductible, s.36(6)",IF(U188&gt;10000,"Asset paid in cash over ₹10,000 today: left out of its cost, s.39(2)",IF(AND(P188="L",H188="Cash",N(J188)&gt;=20000),"Loan of ₹20,000 or more repaid in cash: barred, s.188","OK")))))))))))))))</f>
        <v/>
      </c>
      <c r="P188">
        <f>IF(E188="","",IFERROR(VLOOKUP(E188,Lists!$A$2:$B$17,2,FALSE),"?"))</f>
        <v/>
      </c>
      <c r="Q188">
        <f>IF(L188="Cancelled",0,N(J188))</f>
        <v/>
      </c>
      <c r="R188">
        <f>IF(H188="Cash",Q188,0)</f>
        <v/>
      </c>
      <c r="S188">
        <f>IF(OR(P188&lt;&gt;"E",R188=0),0,SUMIFS($R$18:$R$317,$B$18:$B$317,B188,$D$18:$D$317,D188,$P$18:$P$317,"E"))</f>
        <v/>
      </c>
      <c r="T188">
        <f>IF(OR(P188&lt;&gt;"F",R188=0),0,SUMIFS($R$18:$R$317,$B$18:$B$317,B188,$D$18:$D$317,D188,$P$18:$P$317,"F"))</f>
        <v/>
      </c>
      <c r="U188">
        <f>IF(OR(P188&lt;&gt;"A",R188=0),0,SUMIFS($R$18:$R$317,$B$18:$B$317,B188,$D$18:$D$317,D188,$P$18:$P$317,"A"))</f>
        <v/>
      </c>
      <c r="V188">
        <f>IF(OR(N188="",N188="OK",L188="Cancelled"),0,1)</f>
        <v/>
      </c>
    </row>
    <row r="189">
      <c r="B189" s="22" t="n"/>
      <c r="C189" s="23">
        <f>IF(B189="","",$E$9&amp;TEXT(N($E$10)+171,"000"))</f>
        <v/>
      </c>
      <c r="D189" s="14" t="n"/>
      <c r="E189" s="14" t="n"/>
      <c r="F189" s="14" t="n"/>
      <c r="G189" s="24" t="n"/>
      <c r="H189" s="14" t="n"/>
      <c r="I189" s="24" t="n"/>
      <c r="J189" s="25" t="n"/>
      <c r="K189" s="14" t="n"/>
      <c r="L189" s="24" t="n"/>
      <c r="M189" s="26">
        <f>IF(OR(N(J189)=0,L189="Cancelled"),"",IF(AND(N(J189)&gt;5000,H189="Cash"),"Yes: ₹1","No"))</f>
        <v/>
      </c>
      <c r="N189" s="27">
        <f>IF(AND(B189="",D189="",N(J189)=0),"",IF(B189="","Enter the date",IF(AND(ROW()&gt;18,B188=""),"Use the next empty row: a skipped row leaves a gap in the voucher numbers",IF(D189="","Enter who was paid",IF(N(J189)=0,"Enter the amount",IF(E189="","Pick the head of account",IF(P189="?","Pick the head from the list",IF(H189="","Pick how it was paid",IF(L189="Cancelled","Cancelled: keep this number unused and write a fresh voucher",IF(AND(H189&lt;&gt;"Cash",I189=""),"Enter the cheque no., UTR or UPI reference",IF(AND(N($E$11)&gt;0,N(J189)&gt;N($E$11),K189=""),"Above your approval limit: get it approved before paying",IF(S189&gt;10000,"Cash paid to this person today is over ₹10,000: not deductible, s.36(4)",IF(T189&gt;35000,"Cash freight to this transporter today is over ₹35,000: not deductible, s.36(6)",IF(U189&gt;10000,"Asset paid in cash over ₹10,000 today: left out of its cost, s.39(2)",IF(AND(P189="L",H189="Cash",N(J189)&gt;=20000),"Loan of ₹20,000 or more repaid in cash: barred, s.188","OK")))))))))))))))</f>
        <v/>
      </c>
      <c r="P189">
        <f>IF(E189="","",IFERROR(VLOOKUP(E189,Lists!$A$2:$B$17,2,FALSE),"?"))</f>
        <v/>
      </c>
      <c r="Q189">
        <f>IF(L189="Cancelled",0,N(J189))</f>
        <v/>
      </c>
      <c r="R189">
        <f>IF(H189="Cash",Q189,0)</f>
        <v/>
      </c>
      <c r="S189">
        <f>IF(OR(P189&lt;&gt;"E",R189=0),0,SUMIFS($R$18:$R$317,$B$18:$B$317,B189,$D$18:$D$317,D189,$P$18:$P$317,"E"))</f>
        <v/>
      </c>
      <c r="T189">
        <f>IF(OR(P189&lt;&gt;"F",R189=0),0,SUMIFS($R$18:$R$317,$B$18:$B$317,B189,$D$18:$D$317,D189,$P$18:$P$317,"F"))</f>
        <v/>
      </c>
      <c r="U189">
        <f>IF(OR(P189&lt;&gt;"A",R189=0),0,SUMIFS($R$18:$R$317,$B$18:$B$317,B189,$D$18:$D$317,D189,$P$18:$P$317,"A"))</f>
        <v/>
      </c>
      <c r="V189">
        <f>IF(OR(N189="",N189="OK",L189="Cancelled"),0,1)</f>
        <v/>
      </c>
    </row>
    <row r="190">
      <c r="B190" s="22" t="n"/>
      <c r="C190" s="23">
        <f>IF(B190="","",$E$9&amp;TEXT(N($E$10)+172,"000"))</f>
        <v/>
      </c>
      <c r="D190" s="14" t="n"/>
      <c r="E190" s="14" t="n"/>
      <c r="F190" s="14" t="n"/>
      <c r="G190" s="24" t="n"/>
      <c r="H190" s="14" t="n"/>
      <c r="I190" s="24" t="n"/>
      <c r="J190" s="25" t="n"/>
      <c r="K190" s="14" t="n"/>
      <c r="L190" s="24" t="n"/>
      <c r="M190" s="26">
        <f>IF(OR(N(J190)=0,L190="Cancelled"),"",IF(AND(N(J190)&gt;5000,H190="Cash"),"Yes: ₹1","No"))</f>
        <v/>
      </c>
      <c r="N190" s="27">
        <f>IF(AND(B190="",D190="",N(J190)=0),"",IF(B190="","Enter the date",IF(AND(ROW()&gt;18,B189=""),"Use the next empty row: a skipped row leaves a gap in the voucher numbers",IF(D190="","Enter who was paid",IF(N(J190)=0,"Enter the amount",IF(E190="","Pick the head of account",IF(P190="?","Pick the head from the list",IF(H190="","Pick how it was paid",IF(L190="Cancelled","Cancelled: keep this number unused and write a fresh voucher",IF(AND(H190&lt;&gt;"Cash",I190=""),"Enter the cheque no., UTR or UPI reference",IF(AND(N($E$11)&gt;0,N(J190)&gt;N($E$11),K190=""),"Above your approval limit: get it approved before paying",IF(S190&gt;10000,"Cash paid to this person today is over ₹10,000: not deductible, s.36(4)",IF(T190&gt;35000,"Cash freight to this transporter today is over ₹35,000: not deductible, s.36(6)",IF(U190&gt;10000,"Asset paid in cash over ₹10,000 today: left out of its cost, s.39(2)",IF(AND(P190="L",H190="Cash",N(J190)&gt;=20000),"Loan of ₹20,000 or more repaid in cash: barred, s.188","OK")))))))))))))))</f>
        <v/>
      </c>
      <c r="P190">
        <f>IF(E190="","",IFERROR(VLOOKUP(E190,Lists!$A$2:$B$17,2,FALSE),"?"))</f>
        <v/>
      </c>
      <c r="Q190">
        <f>IF(L190="Cancelled",0,N(J190))</f>
        <v/>
      </c>
      <c r="R190">
        <f>IF(H190="Cash",Q190,0)</f>
        <v/>
      </c>
      <c r="S190">
        <f>IF(OR(P190&lt;&gt;"E",R190=0),0,SUMIFS($R$18:$R$317,$B$18:$B$317,B190,$D$18:$D$317,D190,$P$18:$P$317,"E"))</f>
        <v/>
      </c>
      <c r="T190">
        <f>IF(OR(P190&lt;&gt;"F",R190=0),0,SUMIFS($R$18:$R$317,$B$18:$B$317,B190,$D$18:$D$317,D190,$P$18:$P$317,"F"))</f>
        <v/>
      </c>
      <c r="U190">
        <f>IF(OR(P190&lt;&gt;"A",R190=0),0,SUMIFS($R$18:$R$317,$B$18:$B$317,B190,$D$18:$D$317,D190,$P$18:$P$317,"A"))</f>
        <v/>
      </c>
      <c r="V190">
        <f>IF(OR(N190="",N190="OK",L190="Cancelled"),0,1)</f>
        <v/>
      </c>
    </row>
    <row r="191">
      <c r="B191" s="22" t="n"/>
      <c r="C191" s="23">
        <f>IF(B191="","",$E$9&amp;TEXT(N($E$10)+173,"000"))</f>
        <v/>
      </c>
      <c r="D191" s="14" t="n"/>
      <c r="E191" s="14" t="n"/>
      <c r="F191" s="14" t="n"/>
      <c r="G191" s="24" t="n"/>
      <c r="H191" s="14" t="n"/>
      <c r="I191" s="24" t="n"/>
      <c r="J191" s="25" t="n"/>
      <c r="K191" s="14" t="n"/>
      <c r="L191" s="24" t="n"/>
      <c r="M191" s="26">
        <f>IF(OR(N(J191)=0,L191="Cancelled"),"",IF(AND(N(J191)&gt;5000,H191="Cash"),"Yes: ₹1","No"))</f>
        <v/>
      </c>
      <c r="N191" s="27">
        <f>IF(AND(B191="",D191="",N(J191)=0),"",IF(B191="","Enter the date",IF(AND(ROW()&gt;18,B190=""),"Use the next empty row: a skipped row leaves a gap in the voucher numbers",IF(D191="","Enter who was paid",IF(N(J191)=0,"Enter the amount",IF(E191="","Pick the head of account",IF(P191="?","Pick the head from the list",IF(H191="","Pick how it was paid",IF(L191="Cancelled","Cancelled: keep this number unused and write a fresh voucher",IF(AND(H191&lt;&gt;"Cash",I191=""),"Enter the cheque no., UTR or UPI reference",IF(AND(N($E$11)&gt;0,N(J191)&gt;N($E$11),K191=""),"Above your approval limit: get it approved before paying",IF(S191&gt;10000,"Cash paid to this person today is over ₹10,000: not deductible, s.36(4)",IF(T191&gt;35000,"Cash freight to this transporter today is over ₹35,000: not deductible, s.36(6)",IF(U191&gt;10000,"Asset paid in cash over ₹10,000 today: left out of its cost, s.39(2)",IF(AND(P191="L",H191="Cash",N(J191)&gt;=20000),"Loan of ₹20,000 or more repaid in cash: barred, s.188","OK")))))))))))))))</f>
        <v/>
      </c>
      <c r="P191">
        <f>IF(E191="","",IFERROR(VLOOKUP(E191,Lists!$A$2:$B$17,2,FALSE),"?"))</f>
        <v/>
      </c>
      <c r="Q191">
        <f>IF(L191="Cancelled",0,N(J191))</f>
        <v/>
      </c>
      <c r="R191">
        <f>IF(H191="Cash",Q191,0)</f>
        <v/>
      </c>
      <c r="S191">
        <f>IF(OR(P191&lt;&gt;"E",R191=0),0,SUMIFS($R$18:$R$317,$B$18:$B$317,B191,$D$18:$D$317,D191,$P$18:$P$317,"E"))</f>
        <v/>
      </c>
      <c r="T191">
        <f>IF(OR(P191&lt;&gt;"F",R191=0),0,SUMIFS($R$18:$R$317,$B$18:$B$317,B191,$D$18:$D$317,D191,$P$18:$P$317,"F"))</f>
        <v/>
      </c>
      <c r="U191">
        <f>IF(OR(P191&lt;&gt;"A",R191=0),0,SUMIFS($R$18:$R$317,$B$18:$B$317,B191,$D$18:$D$317,D191,$P$18:$P$317,"A"))</f>
        <v/>
      </c>
      <c r="V191">
        <f>IF(OR(N191="",N191="OK",L191="Cancelled"),0,1)</f>
        <v/>
      </c>
    </row>
    <row r="192">
      <c r="B192" s="22" t="n"/>
      <c r="C192" s="23">
        <f>IF(B192="","",$E$9&amp;TEXT(N($E$10)+174,"000"))</f>
        <v/>
      </c>
      <c r="D192" s="14" t="n"/>
      <c r="E192" s="14" t="n"/>
      <c r="F192" s="14" t="n"/>
      <c r="G192" s="24" t="n"/>
      <c r="H192" s="14" t="n"/>
      <c r="I192" s="24" t="n"/>
      <c r="J192" s="25" t="n"/>
      <c r="K192" s="14" t="n"/>
      <c r="L192" s="24" t="n"/>
      <c r="M192" s="26">
        <f>IF(OR(N(J192)=0,L192="Cancelled"),"",IF(AND(N(J192)&gt;5000,H192="Cash"),"Yes: ₹1","No"))</f>
        <v/>
      </c>
      <c r="N192" s="27">
        <f>IF(AND(B192="",D192="",N(J192)=0),"",IF(B192="","Enter the date",IF(AND(ROW()&gt;18,B191=""),"Use the next empty row: a skipped row leaves a gap in the voucher numbers",IF(D192="","Enter who was paid",IF(N(J192)=0,"Enter the amount",IF(E192="","Pick the head of account",IF(P192="?","Pick the head from the list",IF(H192="","Pick how it was paid",IF(L192="Cancelled","Cancelled: keep this number unused and write a fresh voucher",IF(AND(H192&lt;&gt;"Cash",I192=""),"Enter the cheque no., UTR or UPI reference",IF(AND(N($E$11)&gt;0,N(J192)&gt;N($E$11),K192=""),"Above your approval limit: get it approved before paying",IF(S192&gt;10000,"Cash paid to this person today is over ₹10,000: not deductible, s.36(4)",IF(T192&gt;35000,"Cash freight to this transporter today is over ₹35,000: not deductible, s.36(6)",IF(U192&gt;10000,"Asset paid in cash over ₹10,000 today: left out of its cost, s.39(2)",IF(AND(P192="L",H192="Cash",N(J192)&gt;=20000),"Loan of ₹20,000 or more repaid in cash: barred, s.188","OK")))))))))))))))</f>
        <v/>
      </c>
      <c r="P192">
        <f>IF(E192="","",IFERROR(VLOOKUP(E192,Lists!$A$2:$B$17,2,FALSE),"?"))</f>
        <v/>
      </c>
      <c r="Q192">
        <f>IF(L192="Cancelled",0,N(J192))</f>
        <v/>
      </c>
      <c r="R192">
        <f>IF(H192="Cash",Q192,0)</f>
        <v/>
      </c>
      <c r="S192">
        <f>IF(OR(P192&lt;&gt;"E",R192=0),0,SUMIFS($R$18:$R$317,$B$18:$B$317,B192,$D$18:$D$317,D192,$P$18:$P$317,"E"))</f>
        <v/>
      </c>
      <c r="T192">
        <f>IF(OR(P192&lt;&gt;"F",R192=0),0,SUMIFS($R$18:$R$317,$B$18:$B$317,B192,$D$18:$D$317,D192,$P$18:$P$317,"F"))</f>
        <v/>
      </c>
      <c r="U192">
        <f>IF(OR(P192&lt;&gt;"A",R192=0),0,SUMIFS($R$18:$R$317,$B$18:$B$317,B192,$D$18:$D$317,D192,$P$18:$P$317,"A"))</f>
        <v/>
      </c>
      <c r="V192">
        <f>IF(OR(N192="",N192="OK",L192="Cancelled"),0,1)</f>
        <v/>
      </c>
    </row>
    <row r="193">
      <c r="B193" s="22" t="n"/>
      <c r="C193" s="23">
        <f>IF(B193="","",$E$9&amp;TEXT(N($E$10)+175,"000"))</f>
        <v/>
      </c>
      <c r="D193" s="14" t="n"/>
      <c r="E193" s="14" t="n"/>
      <c r="F193" s="14" t="n"/>
      <c r="G193" s="24" t="n"/>
      <c r="H193" s="14" t="n"/>
      <c r="I193" s="24" t="n"/>
      <c r="J193" s="25" t="n"/>
      <c r="K193" s="14" t="n"/>
      <c r="L193" s="24" t="n"/>
      <c r="M193" s="26">
        <f>IF(OR(N(J193)=0,L193="Cancelled"),"",IF(AND(N(J193)&gt;5000,H193="Cash"),"Yes: ₹1","No"))</f>
        <v/>
      </c>
      <c r="N193" s="27">
        <f>IF(AND(B193="",D193="",N(J193)=0),"",IF(B193="","Enter the date",IF(AND(ROW()&gt;18,B192=""),"Use the next empty row: a skipped row leaves a gap in the voucher numbers",IF(D193="","Enter who was paid",IF(N(J193)=0,"Enter the amount",IF(E193="","Pick the head of account",IF(P193="?","Pick the head from the list",IF(H193="","Pick how it was paid",IF(L193="Cancelled","Cancelled: keep this number unused and write a fresh voucher",IF(AND(H193&lt;&gt;"Cash",I193=""),"Enter the cheque no., UTR or UPI reference",IF(AND(N($E$11)&gt;0,N(J193)&gt;N($E$11),K193=""),"Above your approval limit: get it approved before paying",IF(S193&gt;10000,"Cash paid to this person today is over ₹10,000: not deductible, s.36(4)",IF(T193&gt;35000,"Cash freight to this transporter today is over ₹35,000: not deductible, s.36(6)",IF(U193&gt;10000,"Asset paid in cash over ₹10,000 today: left out of its cost, s.39(2)",IF(AND(P193="L",H193="Cash",N(J193)&gt;=20000),"Loan of ₹20,000 or more repaid in cash: barred, s.188","OK")))))))))))))))</f>
        <v/>
      </c>
      <c r="P193">
        <f>IF(E193="","",IFERROR(VLOOKUP(E193,Lists!$A$2:$B$17,2,FALSE),"?"))</f>
        <v/>
      </c>
      <c r="Q193">
        <f>IF(L193="Cancelled",0,N(J193))</f>
        <v/>
      </c>
      <c r="R193">
        <f>IF(H193="Cash",Q193,0)</f>
        <v/>
      </c>
      <c r="S193">
        <f>IF(OR(P193&lt;&gt;"E",R193=0),0,SUMIFS($R$18:$R$317,$B$18:$B$317,B193,$D$18:$D$317,D193,$P$18:$P$317,"E"))</f>
        <v/>
      </c>
      <c r="T193">
        <f>IF(OR(P193&lt;&gt;"F",R193=0),0,SUMIFS($R$18:$R$317,$B$18:$B$317,B193,$D$18:$D$317,D193,$P$18:$P$317,"F"))</f>
        <v/>
      </c>
      <c r="U193">
        <f>IF(OR(P193&lt;&gt;"A",R193=0),0,SUMIFS($R$18:$R$317,$B$18:$B$317,B193,$D$18:$D$317,D193,$P$18:$P$317,"A"))</f>
        <v/>
      </c>
      <c r="V193">
        <f>IF(OR(N193="",N193="OK",L193="Cancelled"),0,1)</f>
        <v/>
      </c>
    </row>
    <row r="194">
      <c r="B194" s="22" t="n"/>
      <c r="C194" s="23">
        <f>IF(B194="","",$E$9&amp;TEXT(N($E$10)+176,"000"))</f>
        <v/>
      </c>
      <c r="D194" s="14" t="n"/>
      <c r="E194" s="14" t="n"/>
      <c r="F194" s="14" t="n"/>
      <c r="G194" s="24" t="n"/>
      <c r="H194" s="14" t="n"/>
      <c r="I194" s="24" t="n"/>
      <c r="J194" s="25" t="n"/>
      <c r="K194" s="14" t="n"/>
      <c r="L194" s="24" t="n"/>
      <c r="M194" s="26">
        <f>IF(OR(N(J194)=0,L194="Cancelled"),"",IF(AND(N(J194)&gt;5000,H194="Cash"),"Yes: ₹1","No"))</f>
        <v/>
      </c>
      <c r="N194" s="27">
        <f>IF(AND(B194="",D194="",N(J194)=0),"",IF(B194="","Enter the date",IF(AND(ROW()&gt;18,B193=""),"Use the next empty row: a skipped row leaves a gap in the voucher numbers",IF(D194="","Enter who was paid",IF(N(J194)=0,"Enter the amount",IF(E194="","Pick the head of account",IF(P194="?","Pick the head from the list",IF(H194="","Pick how it was paid",IF(L194="Cancelled","Cancelled: keep this number unused and write a fresh voucher",IF(AND(H194&lt;&gt;"Cash",I194=""),"Enter the cheque no., UTR or UPI reference",IF(AND(N($E$11)&gt;0,N(J194)&gt;N($E$11),K194=""),"Above your approval limit: get it approved before paying",IF(S194&gt;10000,"Cash paid to this person today is over ₹10,000: not deductible, s.36(4)",IF(T194&gt;35000,"Cash freight to this transporter today is over ₹35,000: not deductible, s.36(6)",IF(U194&gt;10000,"Asset paid in cash over ₹10,000 today: left out of its cost, s.39(2)",IF(AND(P194="L",H194="Cash",N(J194)&gt;=20000),"Loan of ₹20,000 or more repaid in cash: barred, s.188","OK")))))))))))))))</f>
        <v/>
      </c>
      <c r="P194">
        <f>IF(E194="","",IFERROR(VLOOKUP(E194,Lists!$A$2:$B$17,2,FALSE),"?"))</f>
        <v/>
      </c>
      <c r="Q194">
        <f>IF(L194="Cancelled",0,N(J194))</f>
        <v/>
      </c>
      <c r="R194">
        <f>IF(H194="Cash",Q194,0)</f>
        <v/>
      </c>
      <c r="S194">
        <f>IF(OR(P194&lt;&gt;"E",R194=0),0,SUMIFS($R$18:$R$317,$B$18:$B$317,B194,$D$18:$D$317,D194,$P$18:$P$317,"E"))</f>
        <v/>
      </c>
      <c r="T194">
        <f>IF(OR(P194&lt;&gt;"F",R194=0),0,SUMIFS($R$18:$R$317,$B$18:$B$317,B194,$D$18:$D$317,D194,$P$18:$P$317,"F"))</f>
        <v/>
      </c>
      <c r="U194">
        <f>IF(OR(P194&lt;&gt;"A",R194=0),0,SUMIFS($R$18:$R$317,$B$18:$B$317,B194,$D$18:$D$317,D194,$P$18:$P$317,"A"))</f>
        <v/>
      </c>
      <c r="V194">
        <f>IF(OR(N194="",N194="OK",L194="Cancelled"),0,1)</f>
        <v/>
      </c>
    </row>
    <row r="195">
      <c r="B195" s="22" t="n"/>
      <c r="C195" s="23">
        <f>IF(B195="","",$E$9&amp;TEXT(N($E$10)+177,"000"))</f>
        <v/>
      </c>
      <c r="D195" s="14" t="n"/>
      <c r="E195" s="14" t="n"/>
      <c r="F195" s="14" t="n"/>
      <c r="G195" s="24" t="n"/>
      <c r="H195" s="14" t="n"/>
      <c r="I195" s="24" t="n"/>
      <c r="J195" s="25" t="n"/>
      <c r="K195" s="14" t="n"/>
      <c r="L195" s="24" t="n"/>
      <c r="M195" s="26">
        <f>IF(OR(N(J195)=0,L195="Cancelled"),"",IF(AND(N(J195)&gt;5000,H195="Cash"),"Yes: ₹1","No"))</f>
        <v/>
      </c>
      <c r="N195" s="27">
        <f>IF(AND(B195="",D195="",N(J195)=0),"",IF(B195="","Enter the date",IF(AND(ROW()&gt;18,B194=""),"Use the next empty row: a skipped row leaves a gap in the voucher numbers",IF(D195="","Enter who was paid",IF(N(J195)=0,"Enter the amount",IF(E195="","Pick the head of account",IF(P195="?","Pick the head from the list",IF(H195="","Pick how it was paid",IF(L195="Cancelled","Cancelled: keep this number unused and write a fresh voucher",IF(AND(H195&lt;&gt;"Cash",I195=""),"Enter the cheque no., UTR or UPI reference",IF(AND(N($E$11)&gt;0,N(J195)&gt;N($E$11),K195=""),"Above your approval limit: get it approved before paying",IF(S195&gt;10000,"Cash paid to this person today is over ₹10,000: not deductible, s.36(4)",IF(T195&gt;35000,"Cash freight to this transporter today is over ₹35,000: not deductible, s.36(6)",IF(U195&gt;10000,"Asset paid in cash over ₹10,000 today: left out of its cost, s.39(2)",IF(AND(P195="L",H195="Cash",N(J195)&gt;=20000),"Loan of ₹20,000 or more repaid in cash: barred, s.188","OK")))))))))))))))</f>
        <v/>
      </c>
      <c r="P195">
        <f>IF(E195="","",IFERROR(VLOOKUP(E195,Lists!$A$2:$B$17,2,FALSE),"?"))</f>
        <v/>
      </c>
      <c r="Q195">
        <f>IF(L195="Cancelled",0,N(J195))</f>
        <v/>
      </c>
      <c r="R195">
        <f>IF(H195="Cash",Q195,0)</f>
        <v/>
      </c>
      <c r="S195">
        <f>IF(OR(P195&lt;&gt;"E",R195=0),0,SUMIFS($R$18:$R$317,$B$18:$B$317,B195,$D$18:$D$317,D195,$P$18:$P$317,"E"))</f>
        <v/>
      </c>
      <c r="T195">
        <f>IF(OR(P195&lt;&gt;"F",R195=0),0,SUMIFS($R$18:$R$317,$B$18:$B$317,B195,$D$18:$D$317,D195,$P$18:$P$317,"F"))</f>
        <v/>
      </c>
      <c r="U195">
        <f>IF(OR(P195&lt;&gt;"A",R195=0),0,SUMIFS($R$18:$R$317,$B$18:$B$317,B195,$D$18:$D$317,D195,$P$18:$P$317,"A"))</f>
        <v/>
      </c>
      <c r="V195">
        <f>IF(OR(N195="",N195="OK",L195="Cancelled"),0,1)</f>
        <v/>
      </c>
    </row>
    <row r="196">
      <c r="B196" s="22" t="n"/>
      <c r="C196" s="23">
        <f>IF(B196="","",$E$9&amp;TEXT(N($E$10)+178,"000"))</f>
        <v/>
      </c>
      <c r="D196" s="14" t="n"/>
      <c r="E196" s="14" t="n"/>
      <c r="F196" s="14" t="n"/>
      <c r="G196" s="24" t="n"/>
      <c r="H196" s="14" t="n"/>
      <c r="I196" s="24" t="n"/>
      <c r="J196" s="25" t="n"/>
      <c r="K196" s="14" t="n"/>
      <c r="L196" s="24" t="n"/>
      <c r="M196" s="26">
        <f>IF(OR(N(J196)=0,L196="Cancelled"),"",IF(AND(N(J196)&gt;5000,H196="Cash"),"Yes: ₹1","No"))</f>
        <v/>
      </c>
      <c r="N196" s="27">
        <f>IF(AND(B196="",D196="",N(J196)=0),"",IF(B196="","Enter the date",IF(AND(ROW()&gt;18,B195=""),"Use the next empty row: a skipped row leaves a gap in the voucher numbers",IF(D196="","Enter who was paid",IF(N(J196)=0,"Enter the amount",IF(E196="","Pick the head of account",IF(P196="?","Pick the head from the list",IF(H196="","Pick how it was paid",IF(L196="Cancelled","Cancelled: keep this number unused and write a fresh voucher",IF(AND(H196&lt;&gt;"Cash",I196=""),"Enter the cheque no., UTR or UPI reference",IF(AND(N($E$11)&gt;0,N(J196)&gt;N($E$11),K196=""),"Above your approval limit: get it approved before paying",IF(S196&gt;10000,"Cash paid to this person today is over ₹10,000: not deductible, s.36(4)",IF(T196&gt;35000,"Cash freight to this transporter today is over ₹35,000: not deductible, s.36(6)",IF(U196&gt;10000,"Asset paid in cash over ₹10,000 today: left out of its cost, s.39(2)",IF(AND(P196="L",H196="Cash",N(J196)&gt;=20000),"Loan of ₹20,000 or more repaid in cash: barred, s.188","OK")))))))))))))))</f>
        <v/>
      </c>
      <c r="P196">
        <f>IF(E196="","",IFERROR(VLOOKUP(E196,Lists!$A$2:$B$17,2,FALSE),"?"))</f>
        <v/>
      </c>
      <c r="Q196">
        <f>IF(L196="Cancelled",0,N(J196))</f>
        <v/>
      </c>
      <c r="R196">
        <f>IF(H196="Cash",Q196,0)</f>
        <v/>
      </c>
      <c r="S196">
        <f>IF(OR(P196&lt;&gt;"E",R196=0),0,SUMIFS($R$18:$R$317,$B$18:$B$317,B196,$D$18:$D$317,D196,$P$18:$P$317,"E"))</f>
        <v/>
      </c>
      <c r="T196">
        <f>IF(OR(P196&lt;&gt;"F",R196=0),0,SUMIFS($R$18:$R$317,$B$18:$B$317,B196,$D$18:$D$317,D196,$P$18:$P$317,"F"))</f>
        <v/>
      </c>
      <c r="U196">
        <f>IF(OR(P196&lt;&gt;"A",R196=0),0,SUMIFS($R$18:$R$317,$B$18:$B$317,B196,$D$18:$D$317,D196,$P$18:$P$317,"A"))</f>
        <v/>
      </c>
      <c r="V196">
        <f>IF(OR(N196="",N196="OK",L196="Cancelled"),0,1)</f>
        <v/>
      </c>
    </row>
    <row r="197">
      <c r="B197" s="22" t="n"/>
      <c r="C197" s="23">
        <f>IF(B197="","",$E$9&amp;TEXT(N($E$10)+179,"000"))</f>
        <v/>
      </c>
      <c r="D197" s="14" t="n"/>
      <c r="E197" s="14" t="n"/>
      <c r="F197" s="14" t="n"/>
      <c r="G197" s="24" t="n"/>
      <c r="H197" s="14" t="n"/>
      <c r="I197" s="24" t="n"/>
      <c r="J197" s="25" t="n"/>
      <c r="K197" s="14" t="n"/>
      <c r="L197" s="24" t="n"/>
      <c r="M197" s="26">
        <f>IF(OR(N(J197)=0,L197="Cancelled"),"",IF(AND(N(J197)&gt;5000,H197="Cash"),"Yes: ₹1","No"))</f>
        <v/>
      </c>
      <c r="N197" s="27">
        <f>IF(AND(B197="",D197="",N(J197)=0),"",IF(B197="","Enter the date",IF(AND(ROW()&gt;18,B196=""),"Use the next empty row: a skipped row leaves a gap in the voucher numbers",IF(D197="","Enter who was paid",IF(N(J197)=0,"Enter the amount",IF(E197="","Pick the head of account",IF(P197="?","Pick the head from the list",IF(H197="","Pick how it was paid",IF(L197="Cancelled","Cancelled: keep this number unused and write a fresh voucher",IF(AND(H197&lt;&gt;"Cash",I197=""),"Enter the cheque no., UTR or UPI reference",IF(AND(N($E$11)&gt;0,N(J197)&gt;N($E$11),K197=""),"Above your approval limit: get it approved before paying",IF(S197&gt;10000,"Cash paid to this person today is over ₹10,000: not deductible, s.36(4)",IF(T197&gt;35000,"Cash freight to this transporter today is over ₹35,000: not deductible, s.36(6)",IF(U197&gt;10000,"Asset paid in cash over ₹10,000 today: left out of its cost, s.39(2)",IF(AND(P197="L",H197="Cash",N(J197)&gt;=20000),"Loan of ₹20,000 or more repaid in cash: barred, s.188","OK")))))))))))))))</f>
        <v/>
      </c>
      <c r="P197">
        <f>IF(E197="","",IFERROR(VLOOKUP(E197,Lists!$A$2:$B$17,2,FALSE),"?"))</f>
        <v/>
      </c>
      <c r="Q197">
        <f>IF(L197="Cancelled",0,N(J197))</f>
        <v/>
      </c>
      <c r="R197">
        <f>IF(H197="Cash",Q197,0)</f>
        <v/>
      </c>
      <c r="S197">
        <f>IF(OR(P197&lt;&gt;"E",R197=0),0,SUMIFS($R$18:$R$317,$B$18:$B$317,B197,$D$18:$D$317,D197,$P$18:$P$317,"E"))</f>
        <v/>
      </c>
      <c r="T197">
        <f>IF(OR(P197&lt;&gt;"F",R197=0),0,SUMIFS($R$18:$R$317,$B$18:$B$317,B197,$D$18:$D$317,D197,$P$18:$P$317,"F"))</f>
        <v/>
      </c>
      <c r="U197">
        <f>IF(OR(P197&lt;&gt;"A",R197=0),0,SUMIFS($R$18:$R$317,$B$18:$B$317,B197,$D$18:$D$317,D197,$P$18:$P$317,"A"))</f>
        <v/>
      </c>
      <c r="V197">
        <f>IF(OR(N197="",N197="OK",L197="Cancelled"),0,1)</f>
        <v/>
      </c>
    </row>
    <row r="198">
      <c r="B198" s="22" t="n"/>
      <c r="C198" s="23">
        <f>IF(B198="","",$E$9&amp;TEXT(N($E$10)+180,"000"))</f>
        <v/>
      </c>
      <c r="D198" s="14" t="n"/>
      <c r="E198" s="14" t="n"/>
      <c r="F198" s="14" t="n"/>
      <c r="G198" s="24" t="n"/>
      <c r="H198" s="14" t="n"/>
      <c r="I198" s="24" t="n"/>
      <c r="J198" s="25" t="n"/>
      <c r="K198" s="14" t="n"/>
      <c r="L198" s="24" t="n"/>
      <c r="M198" s="26">
        <f>IF(OR(N(J198)=0,L198="Cancelled"),"",IF(AND(N(J198)&gt;5000,H198="Cash"),"Yes: ₹1","No"))</f>
        <v/>
      </c>
      <c r="N198" s="27">
        <f>IF(AND(B198="",D198="",N(J198)=0),"",IF(B198="","Enter the date",IF(AND(ROW()&gt;18,B197=""),"Use the next empty row: a skipped row leaves a gap in the voucher numbers",IF(D198="","Enter who was paid",IF(N(J198)=0,"Enter the amount",IF(E198="","Pick the head of account",IF(P198="?","Pick the head from the list",IF(H198="","Pick how it was paid",IF(L198="Cancelled","Cancelled: keep this number unused and write a fresh voucher",IF(AND(H198&lt;&gt;"Cash",I198=""),"Enter the cheque no., UTR or UPI reference",IF(AND(N($E$11)&gt;0,N(J198)&gt;N($E$11),K198=""),"Above your approval limit: get it approved before paying",IF(S198&gt;10000,"Cash paid to this person today is over ₹10,000: not deductible, s.36(4)",IF(T198&gt;35000,"Cash freight to this transporter today is over ₹35,000: not deductible, s.36(6)",IF(U198&gt;10000,"Asset paid in cash over ₹10,000 today: left out of its cost, s.39(2)",IF(AND(P198="L",H198="Cash",N(J198)&gt;=20000),"Loan of ₹20,000 or more repaid in cash: barred, s.188","OK")))))))))))))))</f>
        <v/>
      </c>
      <c r="P198">
        <f>IF(E198="","",IFERROR(VLOOKUP(E198,Lists!$A$2:$B$17,2,FALSE),"?"))</f>
        <v/>
      </c>
      <c r="Q198">
        <f>IF(L198="Cancelled",0,N(J198))</f>
        <v/>
      </c>
      <c r="R198">
        <f>IF(H198="Cash",Q198,0)</f>
        <v/>
      </c>
      <c r="S198">
        <f>IF(OR(P198&lt;&gt;"E",R198=0),0,SUMIFS($R$18:$R$317,$B$18:$B$317,B198,$D$18:$D$317,D198,$P$18:$P$317,"E"))</f>
        <v/>
      </c>
      <c r="T198">
        <f>IF(OR(P198&lt;&gt;"F",R198=0),0,SUMIFS($R$18:$R$317,$B$18:$B$317,B198,$D$18:$D$317,D198,$P$18:$P$317,"F"))</f>
        <v/>
      </c>
      <c r="U198">
        <f>IF(OR(P198&lt;&gt;"A",R198=0),0,SUMIFS($R$18:$R$317,$B$18:$B$317,B198,$D$18:$D$317,D198,$P$18:$P$317,"A"))</f>
        <v/>
      </c>
      <c r="V198">
        <f>IF(OR(N198="",N198="OK",L198="Cancelled"),0,1)</f>
        <v/>
      </c>
    </row>
    <row r="199">
      <c r="B199" s="22" t="n"/>
      <c r="C199" s="23">
        <f>IF(B199="","",$E$9&amp;TEXT(N($E$10)+181,"000"))</f>
        <v/>
      </c>
      <c r="D199" s="14" t="n"/>
      <c r="E199" s="14" t="n"/>
      <c r="F199" s="14" t="n"/>
      <c r="G199" s="24" t="n"/>
      <c r="H199" s="14" t="n"/>
      <c r="I199" s="24" t="n"/>
      <c r="J199" s="25" t="n"/>
      <c r="K199" s="14" t="n"/>
      <c r="L199" s="24" t="n"/>
      <c r="M199" s="26">
        <f>IF(OR(N(J199)=0,L199="Cancelled"),"",IF(AND(N(J199)&gt;5000,H199="Cash"),"Yes: ₹1","No"))</f>
        <v/>
      </c>
      <c r="N199" s="27">
        <f>IF(AND(B199="",D199="",N(J199)=0),"",IF(B199="","Enter the date",IF(AND(ROW()&gt;18,B198=""),"Use the next empty row: a skipped row leaves a gap in the voucher numbers",IF(D199="","Enter who was paid",IF(N(J199)=0,"Enter the amount",IF(E199="","Pick the head of account",IF(P199="?","Pick the head from the list",IF(H199="","Pick how it was paid",IF(L199="Cancelled","Cancelled: keep this number unused and write a fresh voucher",IF(AND(H199&lt;&gt;"Cash",I199=""),"Enter the cheque no., UTR or UPI reference",IF(AND(N($E$11)&gt;0,N(J199)&gt;N($E$11),K199=""),"Above your approval limit: get it approved before paying",IF(S199&gt;10000,"Cash paid to this person today is over ₹10,000: not deductible, s.36(4)",IF(T199&gt;35000,"Cash freight to this transporter today is over ₹35,000: not deductible, s.36(6)",IF(U199&gt;10000,"Asset paid in cash over ₹10,000 today: left out of its cost, s.39(2)",IF(AND(P199="L",H199="Cash",N(J199)&gt;=20000),"Loan of ₹20,000 or more repaid in cash: barred, s.188","OK")))))))))))))))</f>
        <v/>
      </c>
      <c r="P199">
        <f>IF(E199="","",IFERROR(VLOOKUP(E199,Lists!$A$2:$B$17,2,FALSE),"?"))</f>
        <v/>
      </c>
      <c r="Q199">
        <f>IF(L199="Cancelled",0,N(J199))</f>
        <v/>
      </c>
      <c r="R199">
        <f>IF(H199="Cash",Q199,0)</f>
        <v/>
      </c>
      <c r="S199">
        <f>IF(OR(P199&lt;&gt;"E",R199=0),0,SUMIFS($R$18:$R$317,$B$18:$B$317,B199,$D$18:$D$317,D199,$P$18:$P$317,"E"))</f>
        <v/>
      </c>
      <c r="T199">
        <f>IF(OR(P199&lt;&gt;"F",R199=0),0,SUMIFS($R$18:$R$317,$B$18:$B$317,B199,$D$18:$D$317,D199,$P$18:$P$317,"F"))</f>
        <v/>
      </c>
      <c r="U199">
        <f>IF(OR(P199&lt;&gt;"A",R199=0),0,SUMIFS($R$18:$R$317,$B$18:$B$317,B199,$D$18:$D$317,D199,$P$18:$P$317,"A"))</f>
        <v/>
      </c>
      <c r="V199">
        <f>IF(OR(N199="",N199="OK",L199="Cancelled"),0,1)</f>
        <v/>
      </c>
    </row>
    <row r="200">
      <c r="B200" s="22" t="n"/>
      <c r="C200" s="23">
        <f>IF(B200="","",$E$9&amp;TEXT(N($E$10)+182,"000"))</f>
        <v/>
      </c>
      <c r="D200" s="14" t="n"/>
      <c r="E200" s="14" t="n"/>
      <c r="F200" s="14" t="n"/>
      <c r="G200" s="24" t="n"/>
      <c r="H200" s="14" t="n"/>
      <c r="I200" s="24" t="n"/>
      <c r="J200" s="25" t="n"/>
      <c r="K200" s="14" t="n"/>
      <c r="L200" s="24" t="n"/>
      <c r="M200" s="26">
        <f>IF(OR(N(J200)=0,L200="Cancelled"),"",IF(AND(N(J200)&gt;5000,H200="Cash"),"Yes: ₹1","No"))</f>
        <v/>
      </c>
      <c r="N200" s="27">
        <f>IF(AND(B200="",D200="",N(J200)=0),"",IF(B200="","Enter the date",IF(AND(ROW()&gt;18,B199=""),"Use the next empty row: a skipped row leaves a gap in the voucher numbers",IF(D200="","Enter who was paid",IF(N(J200)=0,"Enter the amount",IF(E200="","Pick the head of account",IF(P200="?","Pick the head from the list",IF(H200="","Pick how it was paid",IF(L200="Cancelled","Cancelled: keep this number unused and write a fresh voucher",IF(AND(H200&lt;&gt;"Cash",I200=""),"Enter the cheque no., UTR or UPI reference",IF(AND(N($E$11)&gt;0,N(J200)&gt;N($E$11),K200=""),"Above your approval limit: get it approved before paying",IF(S200&gt;10000,"Cash paid to this person today is over ₹10,000: not deductible, s.36(4)",IF(T200&gt;35000,"Cash freight to this transporter today is over ₹35,000: not deductible, s.36(6)",IF(U200&gt;10000,"Asset paid in cash over ₹10,000 today: left out of its cost, s.39(2)",IF(AND(P200="L",H200="Cash",N(J200)&gt;=20000),"Loan of ₹20,000 or more repaid in cash: barred, s.188","OK")))))))))))))))</f>
        <v/>
      </c>
      <c r="P200">
        <f>IF(E200="","",IFERROR(VLOOKUP(E200,Lists!$A$2:$B$17,2,FALSE),"?"))</f>
        <v/>
      </c>
      <c r="Q200">
        <f>IF(L200="Cancelled",0,N(J200))</f>
        <v/>
      </c>
      <c r="R200">
        <f>IF(H200="Cash",Q200,0)</f>
        <v/>
      </c>
      <c r="S200">
        <f>IF(OR(P200&lt;&gt;"E",R200=0),0,SUMIFS($R$18:$R$317,$B$18:$B$317,B200,$D$18:$D$317,D200,$P$18:$P$317,"E"))</f>
        <v/>
      </c>
      <c r="T200">
        <f>IF(OR(P200&lt;&gt;"F",R200=0),0,SUMIFS($R$18:$R$317,$B$18:$B$317,B200,$D$18:$D$317,D200,$P$18:$P$317,"F"))</f>
        <v/>
      </c>
      <c r="U200">
        <f>IF(OR(P200&lt;&gt;"A",R200=0),0,SUMIFS($R$18:$R$317,$B$18:$B$317,B200,$D$18:$D$317,D200,$P$18:$P$317,"A"))</f>
        <v/>
      </c>
      <c r="V200">
        <f>IF(OR(N200="",N200="OK",L200="Cancelled"),0,1)</f>
        <v/>
      </c>
    </row>
    <row r="201">
      <c r="B201" s="22" t="n"/>
      <c r="C201" s="23">
        <f>IF(B201="","",$E$9&amp;TEXT(N($E$10)+183,"000"))</f>
        <v/>
      </c>
      <c r="D201" s="14" t="n"/>
      <c r="E201" s="14" t="n"/>
      <c r="F201" s="14" t="n"/>
      <c r="G201" s="24" t="n"/>
      <c r="H201" s="14" t="n"/>
      <c r="I201" s="24" t="n"/>
      <c r="J201" s="25" t="n"/>
      <c r="K201" s="14" t="n"/>
      <c r="L201" s="24" t="n"/>
      <c r="M201" s="26">
        <f>IF(OR(N(J201)=0,L201="Cancelled"),"",IF(AND(N(J201)&gt;5000,H201="Cash"),"Yes: ₹1","No"))</f>
        <v/>
      </c>
      <c r="N201" s="27">
        <f>IF(AND(B201="",D201="",N(J201)=0),"",IF(B201="","Enter the date",IF(AND(ROW()&gt;18,B200=""),"Use the next empty row: a skipped row leaves a gap in the voucher numbers",IF(D201="","Enter who was paid",IF(N(J201)=0,"Enter the amount",IF(E201="","Pick the head of account",IF(P201="?","Pick the head from the list",IF(H201="","Pick how it was paid",IF(L201="Cancelled","Cancelled: keep this number unused and write a fresh voucher",IF(AND(H201&lt;&gt;"Cash",I201=""),"Enter the cheque no., UTR or UPI reference",IF(AND(N($E$11)&gt;0,N(J201)&gt;N($E$11),K201=""),"Above your approval limit: get it approved before paying",IF(S201&gt;10000,"Cash paid to this person today is over ₹10,000: not deductible, s.36(4)",IF(T201&gt;35000,"Cash freight to this transporter today is over ₹35,000: not deductible, s.36(6)",IF(U201&gt;10000,"Asset paid in cash over ₹10,000 today: left out of its cost, s.39(2)",IF(AND(P201="L",H201="Cash",N(J201)&gt;=20000),"Loan of ₹20,000 or more repaid in cash: barred, s.188","OK")))))))))))))))</f>
        <v/>
      </c>
      <c r="P201">
        <f>IF(E201="","",IFERROR(VLOOKUP(E201,Lists!$A$2:$B$17,2,FALSE),"?"))</f>
        <v/>
      </c>
      <c r="Q201">
        <f>IF(L201="Cancelled",0,N(J201))</f>
        <v/>
      </c>
      <c r="R201">
        <f>IF(H201="Cash",Q201,0)</f>
        <v/>
      </c>
      <c r="S201">
        <f>IF(OR(P201&lt;&gt;"E",R201=0),0,SUMIFS($R$18:$R$317,$B$18:$B$317,B201,$D$18:$D$317,D201,$P$18:$P$317,"E"))</f>
        <v/>
      </c>
      <c r="T201">
        <f>IF(OR(P201&lt;&gt;"F",R201=0),0,SUMIFS($R$18:$R$317,$B$18:$B$317,B201,$D$18:$D$317,D201,$P$18:$P$317,"F"))</f>
        <v/>
      </c>
      <c r="U201">
        <f>IF(OR(P201&lt;&gt;"A",R201=0),0,SUMIFS($R$18:$R$317,$B$18:$B$317,B201,$D$18:$D$317,D201,$P$18:$P$317,"A"))</f>
        <v/>
      </c>
      <c r="V201">
        <f>IF(OR(N201="",N201="OK",L201="Cancelled"),0,1)</f>
        <v/>
      </c>
    </row>
    <row r="202">
      <c r="B202" s="22" t="n"/>
      <c r="C202" s="23">
        <f>IF(B202="","",$E$9&amp;TEXT(N($E$10)+184,"000"))</f>
        <v/>
      </c>
      <c r="D202" s="14" t="n"/>
      <c r="E202" s="14" t="n"/>
      <c r="F202" s="14" t="n"/>
      <c r="G202" s="24" t="n"/>
      <c r="H202" s="14" t="n"/>
      <c r="I202" s="24" t="n"/>
      <c r="J202" s="25" t="n"/>
      <c r="K202" s="14" t="n"/>
      <c r="L202" s="24" t="n"/>
      <c r="M202" s="26">
        <f>IF(OR(N(J202)=0,L202="Cancelled"),"",IF(AND(N(J202)&gt;5000,H202="Cash"),"Yes: ₹1","No"))</f>
        <v/>
      </c>
      <c r="N202" s="27">
        <f>IF(AND(B202="",D202="",N(J202)=0),"",IF(B202="","Enter the date",IF(AND(ROW()&gt;18,B201=""),"Use the next empty row: a skipped row leaves a gap in the voucher numbers",IF(D202="","Enter who was paid",IF(N(J202)=0,"Enter the amount",IF(E202="","Pick the head of account",IF(P202="?","Pick the head from the list",IF(H202="","Pick how it was paid",IF(L202="Cancelled","Cancelled: keep this number unused and write a fresh voucher",IF(AND(H202&lt;&gt;"Cash",I202=""),"Enter the cheque no., UTR or UPI reference",IF(AND(N($E$11)&gt;0,N(J202)&gt;N($E$11),K202=""),"Above your approval limit: get it approved before paying",IF(S202&gt;10000,"Cash paid to this person today is over ₹10,000: not deductible, s.36(4)",IF(T202&gt;35000,"Cash freight to this transporter today is over ₹35,000: not deductible, s.36(6)",IF(U202&gt;10000,"Asset paid in cash over ₹10,000 today: left out of its cost, s.39(2)",IF(AND(P202="L",H202="Cash",N(J202)&gt;=20000),"Loan of ₹20,000 or more repaid in cash: barred, s.188","OK")))))))))))))))</f>
        <v/>
      </c>
      <c r="P202">
        <f>IF(E202="","",IFERROR(VLOOKUP(E202,Lists!$A$2:$B$17,2,FALSE),"?"))</f>
        <v/>
      </c>
      <c r="Q202">
        <f>IF(L202="Cancelled",0,N(J202))</f>
        <v/>
      </c>
      <c r="R202">
        <f>IF(H202="Cash",Q202,0)</f>
        <v/>
      </c>
      <c r="S202">
        <f>IF(OR(P202&lt;&gt;"E",R202=0),0,SUMIFS($R$18:$R$317,$B$18:$B$317,B202,$D$18:$D$317,D202,$P$18:$P$317,"E"))</f>
        <v/>
      </c>
      <c r="T202">
        <f>IF(OR(P202&lt;&gt;"F",R202=0),0,SUMIFS($R$18:$R$317,$B$18:$B$317,B202,$D$18:$D$317,D202,$P$18:$P$317,"F"))</f>
        <v/>
      </c>
      <c r="U202">
        <f>IF(OR(P202&lt;&gt;"A",R202=0),0,SUMIFS($R$18:$R$317,$B$18:$B$317,B202,$D$18:$D$317,D202,$P$18:$P$317,"A"))</f>
        <v/>
      </c>
      <c r="V202">
        <f>IF(OR(N202="",N202="OK",L202="Cancelled"),0,1)</f>
        <v/>
      </c>
    </row>
    <row r="203">
      <c r="B203" s="22" t="n"/>
      <c r="C203" s="23">
        <f>IF(B203="","",$E$9&amp;TEXT(N($E$10)+185,"000"))</f>
        <v/>
      </c>
      <c r="D203" s="14" t="n"/>
      <c r="E203" s="14" t="n"/>
      <c r="F203" s="14" t="n"/>
      <c r="G203" s="24" t="n"/>
      <c r="H203" s="14" t="n"/>
      <c r="I203" s="24" t="n"/>
      <c r="J203" s="25" t="n"/>
      <c r="K203" s="14" t="n"/>
      <c r="L203" s="24" t="n"/>
      <c r="M203" s="26">
        <f>IF(OR(N(J203)=0,L203="Cancelled"),"",IF(AND(N(J203)&gt;5000,H203="Cash"),"Yes: ₹1","No"))</f>
        <v/>
      </c>
      <c r="N203" s="27">
        <f>IF(AND(B203="",D203="",N(J203)=0),"",IF(B203="","Enter the date",IF(AND(ROW()&gt;18,B202=""),"Use the next empty row: a skipped row leaves a gap in the voucher numbers",IF(D203="","Enter who was paid",IF(N(J203)=0,"Enter the amount",IF(E203="","Pick the head of account",IF(P203="?","Pick the head from the list",IF(H203="","Pick how it was paid",IF(L203="Cancelled","Cancelled: keep this number unused and write a fresh voucher",IF(AND(H203&lt;&gt;"Cash",I203=""),"Enter the cheque no., UTR or UPI reference",IF(AND(N($E$11)&gt;0,N(J203)&gt;N($E$11),K203=""),"Above your approval limit: get it approved before paying",IF(S203&gt;10000,"Cash paid to this person today is over ₹10,000: not deductible, s.36(4)",IF(T203&gt;35000,"Cash freight to this transporter today is over ₹35,000: not deductible, s.36(6)",IF(U203&gt;10000,"Asset paid in cash over ₹10,000 today: left out of its cost, s.39(2)",IF(AND(P203="L",H203="Cash",N(J203)&gt;=20000),"Loan of ₹20,000 or more repaid in cash: barred, s.188","OK")))))))))))))))</f>
        <v/>
      </c>
      <c r="P203">
        <f>IF(E203="","",IFERROR(VLOOKUP(E203,Lists!$A$2:$B$17,2,FALSE),"?"))</f>
        <v/>
      </c>
      <c r="Q203">
        <f>IF(L203="Cancelled",0,N(J203))</f>
        <v/>
      </c>
      <c r="R203">
        <f>IF(H203="Cash",Q203,0)</f>
        <v/>
      </c>
      <c r="S203">
        <f>IF(OR(P203&lt;&gt;"E",R203=0),0,SUMIFS($R$18:$R$317,$B$18:$B$317,B203,$D$18:$D$317,D203,$P$18:$P$317,"E"))</f>
        <v/>
      </c>
      <c r="T203">
        <f>IF(OR(P203&lt;&gt;"F",R203=0),0,SUMIFS($R$18:$R$317,$B$18:$B$317,B203,$D$18:$D$317,D203,$P$18:$P$317,"F"))</f>
        <v/>
      </c>
      <c r="U203">
        <f>IF(OR(P203&lt;&gt;"A",R203=0),0,SUMIFS($R$18:$R$317,$B$18:$B$317,B203,$D$18:$D$317,D203,$P$18:$P$317,"A"))</f>
        <v/>
      </c>
      <c r="V203">
        <f>IF(OR(N203="",N203="OK",L203="Cancelled"),0,1)</f>
        <v/>
      </c>
    </row>
    <row r="204">
      <c r="B204" s="22" t="n"/>
      <c r="C204" s="23">
        <f>IF(B204="","",$E$9&amp;TEXT(N($E$10)+186,"000"))</f>
        <v/>
      </c>
      <c r="D204" s="14" t="n"/>
      <c r="E204" s="14" t="n"/>
      <c r="F204" s="14" t="n"/>
      <c r="G204" s="24" t="n"/>
      <c r="H204" s="14" t="n"/>
      <c r="I204" s="24" t="n"/>
      <c r="J204" s="25" t="n"/>
      <c r="K204" s="14" t="n"/>
      <c r="L204" s="24" t="n"/>
      <c r="M204" s="26">
        <f>IF(OR(N(J204)=0,L204="Cancelled"),"",IF(AND(N(J204)&gt;5000,H204="Cash"),"Yes: ₹1","No"))</f>
        <v/>
      </c>
      <c r="N204" s="27">
        <f>IF(AND(B204="",D204="",N(J204)=0),"",IF(B204="","Enter the date",IF(AND(ROW()&gt;18,B203=""),"Use the next empty row: a skipped row leaves a gap in the voucher numbers",IF(D204="","Enter who was paid",IF(N(J204)=0,"Enter the amount",IF(E204="","Pick the head of account",IF(P204="?","Pick the head from the list",IF(H204="","Pick how it was paid",IF(L204="Cancelled","Cancelled: keep this number unused and write a fresh voucher",IF(AND(H204&lt;&gt;"Cash",I204=""),"Enter the cheque no., UTR or UPI reference",IF(AND(N($E$11)&gt;0,N(J204)&gt;N($E$11),K204=""),"Above your approval limit: get it approved before paying",IF(S204&gt;10000,"Cash paid to this person today is over ₹10,000: not deductible, s.36(4)",IF(T204&gt;35000,"Cash freight to this transporter today is over ₹35,000: not deductible, s.36(6)",IF(U204&gt;10000,"Asset paid in cash over ₹10,000 today: left out of its cost, s.39(2)",IF(AND(P204="L",H204="Cash",N(J204)&gt;=20000),"Loan of ₹20,000 or more repaid in cash: barred, s.188","OK")))))))))))))))</f>
        <v/>
      </c>
      <c r="P204">
        <f>IF(E204="","",IFERROR(VLOOKUP(E204,Lists!$A$2:$B$17,2,FALSE),"?"))</f>
        <v/>
      </c>
      <c r="Q204">
        <f>IF(L204="Cancelled",0,N(J204))</f>
        <v/>
      </c>
      <c r="R204">
        <f>IF(H204="Cash",Q204,0)</f>
        <v/>
      </c>
      <c r="S204">
        <f>IF(OR(P204&lt;&gt;"E",R204=0),0,SUMIFS($R$18:$R$317,$B$18:$B$317,B204,$D$18:$D$317,D204,$P$18:$P$317,"E"))</f>
        <v/>
      </c>
      <c r="T204">
        <f>IF(OR(P204&lt;&gt;"F",R204=0),0,SUMIFS($R$18:$R$317,$B$18:$B$317,B204,$D$18:$D$317,D204,$P$18:$P$317,"F"))</f>
        <v/>
      </c>
      <c r="U204">
        <f>IF(OR(P204&lt;&gt;"A",R204=0),0,SUMIFS($R$18:$R$317,$B$18:$B$317,B204,$D$18:$D$317,D204,$P$18:$P$317,"A"))</f>
        <v/>
      </c>
      <c r="V204">
        <f>IF(OR(N204="",N204="OK",L204="Cancelled"),0,1)</f>
        <v/>
      </c>
    </row>
    <row r="205">
      <c r="B205" s="22" t="n"/>
      <c r="C205" s="23">
        <f>IF(B205="","",$E$9&amp;TEXT(N($E$10)+187,"000"))</f>
        <v/>
      </c>
      <c r="D205" s="14" t="n"/>
      <c r="E205" s="14" t="n"/>
      <c r="F205" s="14" t="n"/>
      <c r="G205" s="24" t="n"/>
      <c r="H205" s="14" t="n"/>
      <c r="I205" s="24" t="n"/>
      <c r="J205" s="25" t="n"/>
      <c r="K205" s="14" t="n"/>
      <c r="L205" s="24" t="n"/>
      <c r="M205" s="26">
        <f>IF(OR(N(J205)=0,L205="Cancelled"),"",IF(AND(N(J205)&gt;5000,H205="Cash"),"Yes: ₹1","No"))</f>
        <v/>
      </c>
      <c r="N205" s="27">
        <f>IF(AND(B205="",D205="",N(J205)=0),"",IF(B205="","Enter the date",IF(AND(ROW()&gt;18,B204=""),"Use the next empty row: a skipped row leaves a gap in the voucher numbers",IF(D205="","Enter who was paid",IF(N(J205)=0,"Enter the amount",IF(E205="","Pick the head of account",IF(P205="?","Pick the head from the list",IF(H205="","Pick how it was paid",IF(L205="Cancelled","Cancelled: keep this number unused and write a fresh voucher",IF(AND(H205&lt;&gt;"Cash",I205=""),"Enter the cheque no., UTR or UPI reference",IF(AND(N($E$11)&gt;0,N(J205)&gt;N($E$11),K205=""),"Above your approval limit: get it approved before paying",IF(S205&gt;10000,"Cash paid to this person today is over ₹10,000: not deductible, s.36(4)",IF(T205&gt;35000,"Cash freight to this transporter today is over ₹35,000: not deductible, s.36(6)",IF(U205&gt;10000,"Asset paid in cash over ₹10,000 today: left out of its cost, s.39(2)",IF(AND(P205="L",H205="Cash",N(J205)&gt;=20000),"Loan of ₹20,000 or more repaid in cash: barred, s.188","OK")))))))))))))))</f>
        <v/>
      </c>
      <c r="P205">
        <f>IF(E205="","",IFERROR(VLOOKUP(E205,Lists!$A$2:$B$17,2,FALSE),"?"))</f>
        <v/>
      </c>
      <c r="Q205">
        <f>IF(L205="Cancelled",0,N(J205))</f>
        <v/>
      </c>
      <c r="R205">
        <f>IF(H205="Cash",Q205,0)</f>
        <v/>
      </c>
      <c r="S205">
        <f>IF(OR(P205&lt;&gt;"E",R205=0),0,SUMIFS($R$18:$R$317,$B$18:$B$317,B205,$D$18:$D$317,D205,$P$18:$P$317,"E"))</f>
        <v/>
      </c>
      <c r="T205">
        <f>IF(OR(P205&lt;&gt;"F",R205=0),0,SUMIFS($R$18:$R$317,$B$18:$B$317,B205,$D$18:$D$317,D205,$P$18:$P$317,"F"))</f>
        <v/>
      </c>
      <c r="U205">
        <f>IF(OR(P205&lt;&gt;"A",R205=0),0,SUMIFS($R$18:$R$317,$B$18:$B$317,B205,$D$18:$D$317,D205,$P$18:$P$317,"A"))</f>
        <v/>
      </c>
      <c r="V205">
        <f>IF(OR(N205="",N205="OK",L205="Cancelled"),0,1)</f>
        <v/>
      </c>
    </row>
    <row r="206">
      <c r="B206" s="22" t="n"/>
      <c r="C206" s="23">
        <f>IF(B206="","",$E$9&amp;TEXT(N($E$10)+188,"000"))</f>
        <v/>
      </c>
      <c r="D206" s="14" t="n"/>
      <c r="E206" s="14" t="n"/>
      <c r="F206" s="14" t="n"/>
      <c r="G206" s="24" t="n"/>
      <c r="H206" s="14" t="n"/>
      <c r="I206" s="24" t="n"/>
      <c r="J206" s="25" t="n"/>
      <c r="K206" s="14" t="n"/>
      <c r="L206" s="24" t="n"/>
      <c r="M206" s="26">
        <f>IF(OR(N(J206)=0,L206="Cancelled"),"",IF(AND(N(J206)&gt;5000,H206="Cash"),"Yes: ₹1","No"))</f>
        <v/>
      </c>
      <c r="N206" s="27">
        <f>IF(AND(B206="",D206="",N(J206)=0),"",IF(B206="","Enter the date",IF(AND(ROW()&gt;18,B205=""),"Use the next empty row: a skipped row leaves a gap in the voucher numbers",IF(D206="","Enter who was paid",IF(N(J206)=0,"Enter the amount",IF(E206="","Pick the head of account",IF(P206="?","Pick the head from the list",IF(H206="","Pick how it was paid",IF(L206="Cancelled","Cancelled: keep this number unused and write a fresh voucher",IF(AND(H206&lt;&gt;"Cash",I206=""),"Enter the cheque no., UTR or UPI reference",IF(AND(N($E$11)&gt;0,N(J206)&gt;N($E$11),K206=""),"Above your approval limit: get it approved before paying",IF(S206&gt;10000,"Cash paid to this person today is over ₹10,000: not deductible, s.36(4)",IF(T206&gt;35000,"Cash freight to this transporter today is over ₹35,000: not deductible, s.36(6)",IF(U206&gt;10000,"Asset paid in cash over ₹10,000 today: left out of its cost, s.39(2)",IF(AND(P206="L",H206="Cash",N(J206)&gt;=20000),"Loan of ₹20,000 or more repaid in cash: barred, s.188","OK")))))))))))))))</f>
        <v/>
      </c>
      <c r="P206">
        <f>IF(E206="","",IFERROR(VLOOKUP(E206,Lists!$A$2:$B$17,2,FALSE),"?"))</f>
        <v/>
      </c>
      <c r="Q206">
        <f>IF(L206="Cancelled",0,N(J206))</f>
        <v/>
      </c>
      <c r="R206">
        <f>IF(H206="Cash",Q206,0)</f>
        <v/>
      </c>
      <c r="S206">
        <f>IF(OR(P206&lt;&gt;"E",R206=0),0,SUMIFS($R$18:$R$317,$B$18:$B$317,B206,$D$18:$D$317,D206,$P$18:$P$317,"E"))</f>
        <v/>
      </c>
      <c r="T206">
        <f>IF(OR(P206&lt;&gt;"F",R206=0),0,SUMIFS($R$18:$R$317,$B$18:$B$317,B206,$D$18:$D$317,D206,$P$18:$P$317,"F"))</f>
        <v/>
      </c>
      <c r="U206">
        <f>IF(OR(P206&lt;&gt;"A",R206=0),0,SUMIFS($R$18:$R$317,$B$18:$B$317,B206,$D$18:$D$317,D206,$P$18:$P$317,"A"))</f>
        <v/>
      </c>
      <c r="V206">
        <f>IF(OR(N206="",N206="OK",L206="Cancelled"),0,1)</f>
        <v/>
      </c>
    </row>
    <row r="207">
      <c r="B207" s="22" t="n"/>
      <c r="C207" s="23">
        <f>IF(B207="","",$E$9&amp;TEXT(N($E$10)+189,"000"))</f>
        <v/>
      </c>
      <c r="D207" s="14" t="n"/>
      <c r="E207" s="14" t="n"/>
      <c r="F207" s="14" t="n"/>
      <c r="G207" s="24" t="n"/>
      <c r="H207" s="14" t="n"/>
      <c r="I207" s="24" t="n"/>
      <c r="J207" s="25" t="n"/>
      <c r="K207" s="14" t="n"/>
      <c r="L207" s="24" t="n"/>
      <c r="M207" s="26">
        <f>IF(OR(N(J207)=0,L207="Cancelled"),"",IF(AND(N(J207)&gt;5000,H207="Cash"),"Yes: ₹1","No"))</f>
        <v/>
      </c>
      <c r="N207" s="27">
        <f>IF(AND(B207="",D207="",N(J207)=0),"",IF(B207="","Enter the date",IF(AND(ROW()&gt;18,B206=""),"Use the next empty row: a skipped row leaves a gap in the voucher numbers",IF(D207="","Enter who was paid",IF(N(J207)=0,"Enter the amount",IF(E207="","Pick the head of account",IF(P207="?","Pick the head from the list",IF(H207="","Pick how it was paid",IF(L207="Cancelled","Cancelled: keep this number unused and write a fresh voucher",IF(AND(H207&lt;&gt;"Cash",I207=""),"Enter the cheque no., UTR or UPI reference",IF(AND(N($E$11)&gt;0,N(J207)&gt;N($E$11),K207=""),"Above your approval limit: get it approved before paying",IF(S207&gt;10000,"Cash paid to this person today is over ₹10,000: not deductible, s.36(4)",IF(T207&gt;35000,"Cash freight to this transporter today is over ₹35,000: not deductible, s.36(6)",IF(U207&gt;10000,"Asset paid in cash over ₹10,000 today: left out of its cost, s.39(2)",IF(AND(P207="L",H207="Cash",N(J207)&gt;=20000),"Loan of ₹20,000 or more repaid in cash: barred, s.188","OK")))))))))))))))</f>
        <v/>
      </c>
      <c r="P207">
        <f>IF(E207="","",IFERROR(VLOOKUP(E207,Lists!$A$2:$B$17,2,FALSE),"?"))</f>
        <v/>
      </c>
      <c r="Q207">
        <f>IF(L207="Cancelled",0,N(J207))</f>
        <v/>
      </c>
      <c r="R207">
        <f>IF(H207="Cash",Q207,0)</f>
        <v/>
      </c>
      <c r="S207">
        <f>IF(OR(P207&lt;&gt;"E",R207=0),0,SUMIFS($R$18:$R$317,$B$18:$B$317,B207,$D$18:$D$317,D207,$P$18:$P$317,"E"))</f>
        <v/>
      </c>
      <c r="T207">
        <f>IF(OR(P207&lt;&gt;"F",R207=0),0,SUMIFS($R$18:$R$317,$B$18:$B$317,B207,$D$18:$D$317,D207,$P$18:$P$317,"F"))</f>
        <v/>
      </c>
      <c r="U207">
        <f>IF(OR(P207&lt;&gt;"A",R207=0),0,SUMIFS($R$18:$R$317,$B$18:$B$317,B207,$D$18:$D$317,D207,$P$18:$P$317,"A"))</f>
        <v/>
      </c>
      <c r="V207">
        <f>IF(OR(N207="",N207="OK",L207="Cancelled"),0,1)</f>
        <v/>
      </c>
    </row>
    <row r="208">
      <c r="B208" s="22" t="n"/>
      <c r="C208" s="23">
        <f>IF(B208="","",$E$9&amp;TEXT(N($E$10)+190,"000"))</f>
        <v/>
      </c>
      <c r="D208" s="14" t="n"/>
      <c r="E208" s="14" t="n"/>
      <c r="F208" s="14" t="n"/>
      <c r="G208" s="24" t="n"/>
      <c r="H208" s="14" t="n"/>
      <c r="I208" s="24" t="n"/>
      <c r="J208" s="25" t="n"/>
      <c r="K208" s="14" t="n"/>
      <c r="L208" s="24" t="n"/>
      <c r="M208" s="26">
        <f>IF(OR(N(J208)=0,L208="Cancelled"),"",IF(AND(N(J208)&gt;5000,H208="Cash"),"Yes: ₹1","No"))</f>
        <v/>
      </c>
      <c r="N208" s="27">
        <f>IF(AND(B208="",D208="",N(J208)=0),"",IF(B208="","Enter the date",IF(AND(ROW()&gt;18,B207=""),"Use the next empty row: a skipped row leaves a gap in the voucher numbers",IF(D208="","Enter who was paid",IF(N(J208)=0,"Enter the amount",IF(E208="","Pick the head of account",IF(P208="?","Pick the head from the list",IF(H208="","Pick how it was paid",IF(L208="Cancelled","Cancelled: keep this number unused and write a fresh voucher",IF(AND(H208&lt;&gt;"Cash",I208=""),"Enter the cheque no., UTR or UPI reference",IF(AND(N($E$11)&gt;0,N(J208)&gt;N($E$11),K208=""),"Above your approval limit: get it approved before paying",IF(S208&gt;10000,"Cash paid to this person today is over ₹10,000: not deductible, s.36(4)",IF(T208&gt;35000,"Cash freight to this transporter today is over ₹35,000: not deductible, s.36(6)",IF(U208&gt;10000,"Asset paid in cash over ₹10,000 today: left out of its cost, s.39(2)",IF(AND(P208="L",H208="Cash",N(J208)&gt;=20000),"Loan of ₹20,000 or more repaid in cash: barred, s.188","OK")))))))))))))))</f>
        <v/>
      </c>
      <c r="P208">
        <f>IF(E208="","",IFERROR(VLOOKUP(E208,Lists!$A$2:$B$17,2,FALSE),"?"))</f>
        <v/>
      </c>
      <c r="Q208">
        <f>IF(L208="Cancelled",0,N(J208))</f>
        <v/>
      </c>
      <c r="R208">
        <f>IF(H208="Cash",Q208,0)</f>
        <v/>
      </c>
      <c r="S208">
        <f>IF(OR(P208&lt;&gt;"E",R208=0),0,SUMIFS($R$18:$R$317,$B$18:$B$317,B208,$D$18:$D$317,D208,$P$18:$P$317,"E"))</f>
        <v/>
      </c>
      <c r="T208">
        <f>IF(OR(P208&lt;&gt;"F",R208=0),0,SUMIFS($R$18:$R$317,$B$18:$B$317,B208,$D$18:$D$317,D208,$P$18:$P$317,"F"))</f>
        <v/>
      </c>
      <c r="U208">
        <f>IF(OR(P208&lt;&gt;"A",R208=0),0,SUMIFS($R$18:$R$317,$B$18:$B$317,B208,$D$18:$D$317,D208,$P$18:$P$317,"A"))</f>
        <v/>
      </c>
      <c r="V208">
        <f>IF(OR(N208="",N208="OK",L208="Cancelled"),0,1)</f>
        <v/>
      </c>
    </row>
    <row r="209">
      <c r="B209" s="22" t="n"/>
      <c r="C209" s="23">
        <f>IF(B209="","",$E$9&amp;TEXT(N($E$10)+191,"000"))</f>
        <v/>
      </c>
      <c r="D209" s="14" t="n"/>
      <c r="E209" s="14" t="n"/>
      <c r="F209" s="14" t="n"/>
      <c r="G209" s="24" t="n"/>
      <c r="H209" s="14" t="n"/>
      <c r="I209" s="24" t="n"/>
      <c r="J209" s="25" t="n"/>
      <c r="K209" s="14" t="n"/>
      <c r="L209" s="24" t="n"/>
      <c r="M209" s="26">
        <f>IF(OR(N(J209)=0,L209="Cancelled"),"",IF(AND(N(J209)&gt;5000,H209="Cash"),"Yes: ₹1","No"))</f>
        <v/>
      </c>
      <c r="N209" s="27">
        <f>IF(AND(B209="",D209="",N(J209)=0),"",IF(B209="","Enter the date",IF(AND(ROW()&gt;18,B208=""),"Use the next empty row: a skipped row leaves a gap in the voucher numbers",IF(D209="","Enter who was paid",IF(N(J209)=0,"Enter the amount",IF(E209="","Pick the head of account",IF(P209="?","Pick the head from the list",IF(H209="","Pick how it was paid",IF(L209="Cancelled","Cancelled: keep this number unused and write a fresh voucher",IF(AND(H209&lt;&gt;"Cash",I209=""),"Enter the cheque no., UTR or UPI reference",IF(AND(N($E$11)&gt;0,N(J209)&gt;N($E$11),K209=""),"Above your approval limit: get it approved before paying",IF(S209&gt;10000,"Cash paid to this person today is over ₹10,000: not deductible, s.36(4)",IF(T209&gt;35000,"Cash freight to this transporter today is over ₹35,000: not deductible, s.36(6)",IF(U209&gt;10000,"Asset paid in cash over ₹10,000 today: left out of its cost, s.39(2)",IF(AND(P209="L",H209="Cash",N(J209)&gt;=20000),"Loan of ₹20,000 or more repaid in cash: barred, s.188","OK")))))))))))))))</f>
        <v/>
      </c>
      <c r="P209">
        <f>IF(E209="","",IFERROR(VLOOKUP(E209,Lists!$A$2:$B$17,2,FALSE),"?"))</f>
        <v/>
      </c>
      <c r="Q209">
        <f>IF(L209="Cancelled",0,N(J209))</f>
        <v/>
      </c>
      <c r="R209">
        <f>IF(H209="Cash",Q209,0)</f>
        <v/>
      </c>
      <c r="S209">
        <f>IF(OR(P209&lt;&gt;"E",R209=0),0,SUMIFS($R$18:$R$317,$B$18:$B$317,B209,$D$18:$D$317,D209,$P$18:$P$317,"E"))</f>
        <v/>
      </c>
      <c r="T209">
        <f>IF(OR(P209&lt;&gt;"F",R209=0),0,SUMIFS($R$18:$R$317,$B$18:$B$317,B209,$D$18:$D$317,D209,$P$18:$P$317,"F"))</f>
        <v/>
      </c>
      <c r="U209">
        <f>IF(OR(P209&lt;&gt;"A",R209=0),0,SUMIFS($R$18:$R$317,$B$18:$B$317,B209,$D$18:$D$317,D209,$P$18:$P$317,"A"))</f>
        <v/>
      </c>
      <c r="V209">
        <f>IF(OR(N209="",N209="OK",L209="Cancelled"),0,1)</f>
        <v/>
      </c>
    </row>
    <row r="210">
      <c r="B210" s="22" t="n"/>
      <c r="C210" s="23">
        <f>IF(B210="","",$E$9&amp;TEXT(N($E$10)+192,"000"))</f>
        <v/>
      </c>
      <c r="D210" s="14" t="n"/>
      <c r="E210" s="14" t="n"/>
      <c r="F210" s="14" t="n"/>
      <c r="G210" s="24" t="n"/>
      <c r="H210" s="14" t="n"/>
      <c r="I210" s="24" t="n"/>
      <c r="J210" s="25" t="n"/>
      <c r="K210" s="14" t="n"/>
      <c r="L210" s="24" t="n"/>
      <c r="M210" s="26">
        <f>IF(OR(N(J210)=0,L210="Cancelled"),"",IF(AND(N(J210)&gt;5000,H210="Cash"),"Yes: ₹1","No"))</f>
        <v/>
      </c>
      <c r="N210" s="27">
        <f>IF(AND(B210="",D210="",N(J210)=0),"",IF(B210="","Enter the date",IF(AND(ROW()&gt;18,B209=""),"Use the next empty row: a skipped row leaves a gap in the voucher numbers",IF(D210="","Enter who was paid",IF(N(J210)=0,"Enter the amount",IF(E210="","Pick the head of account",IF(P210="?","Pick the head from the list",IF(H210="","Pick how it was paid",IF(L210="Cancelled","Cancelled: keep this number unused and write a fresh voucher",IF(AND(H210&lt;&gt;"Cash",I210=""),"Enter the cheque no., UTR or UPI reference",IF(AND(N($E$11)&gt;0,N(J210)&gt;N($E$11),K210=""),"Above your approval limit: get it approved before paying",IF(S210&gt;10000,"Cash paid to this person today is over ₹10,000: not deductible, s.36(4)",IF(T210&gt;35000,"Cash freight to this transporter today is over ₹35,000: not deductible, s.36(6)",IF(U210&gt;10000,"Asset paid in cash over ₹10,000 today: left out of its cost, s.39(2)",IF(AND(P210="L",H210="Cash",N(J210)&gt;=20000),"Loan of ₹20,000 or more repaid in cash: barred, s.188","OK")))))))))))))))</f>
        <v/>
      </c>
      <c r="P210">
        <f>IF(E210="","",IFERROR(VLOOKUP(E210,Lists!$A$2:$B$17,2,FALSE),"?"))</f>
        <v/>
      </c>
      <c r="Q210">
        <f>IF(L210="Cancelled",0,N(J210))</f>
        <v/>
      </c>
      <c r="R210">
        <f>IF(H210="Cash",Q210,0)</f>
        <v/>
      </c>
      <c r="S210">
        <f>IF(OR(P210&lt;&gt;"E",R210=0),0,SUMIFS($R$18:$R$317,$B$18:$B$317,B210,$D$18:$D$317,D210,$P$18:$P$317,"E"))</f>
        <v/>
      </c>
      <c r="T210">
        <f>IF(OR(P210&lt;&gt;"F",R210=0),0,SUMIFS($R$18:$R$317,$B$18:$B$317,B210,$D$18:$D$317,D210,$P$18:$P$317,"F"))</f>
        <v/>
      </c>
      <c r="U210">
        <f>IF(OR(P210&lt;&gt;"A",R210=0),0,SUMIFS($R$18:$R$317,$B$18:$B$317,B210,$D$18:$D$317,D210,$P$18:$P$317,"A"))</f>
        <v/>
      </c>
      <c r="V210">
        <f>IF(OR(N210="",N210="OK",L210="Cancelled"),0,1)</f>
        <v/>
      </c>
    </row>
    <row r="211">
      <c r="B211" s="22" t="n"/>
      <c r="C211" s="23">
        <f>IF(B211="","",$E$9&amp;TEXT(N($E$10)+193,"000"))</f>
        <v/>
      </c>
      <c r="D211" s="14" t="n"/>
      <c r="E211" s="14" t="n"/>
      <c r="F211" s="14" t="n"/>
      <c r="G211" s="24" t="n"/>
      <c r="H211" s="14" t="n"/>
      <c r="I211" s="24" t="n"/>
      <c r="J211" s="25" t="n"/>
      <c r="K211" s="14" t="n"/>
      <c r="L211" s="24" t="n"/>
      <c r="M211" s="26">
        <f>IF(OR(N(J211)=0,L211="Cancelled"),"",IF(AND(N(J211)&gt;5000,H211="Cash"),"Yes: ₹1","No"))</f>
        <v/>
      </c>
      <c r="N211" s="27">
        <f>IF(AND(B211="",D211="",N(J211)=0),"",IF(B211="","Enter the date",IF(AND(ROW()&gt;18,B210=""),"Use the next empty row: a skipped row leaves a gap in the voucher numbers",IF(D211="","Enter who was paid",IF(N(J211)=0,"Enter the amount",IF(E211="","Pick the head of account",IF(P211="?","Pick the head from the list",IF(H211="","Pick how it was paid",IF(L211="Cancelled","Cancelled: keep this number unused and write a fresh voucher",IF(AND(H211&lt;&gt;"Cash",I211=""),"Enter the cheque no., UTR or UPI reference",IF(AND(N($E$11)&gt;0,N(J211)&gt;N($E$11),K211=""),"Above your approval limit: get it approved before paying",IF(S211&gt;10000,"Cash paid to this person today is over ₹10,000: not deductible, s.36(4)",IF(T211&gt;35000,"Cash freight to this transporter today is over ₹35,000: not deductible, s.36(6)",IF(U211&gt;10000,"Asset paid in cash over ₹10,000 today: left out of its cost, s.39(2)",IF(AND(P211="L",H211="Cash",N(J211)&gt;=20000),"Loan of ₹20,000 or more repaid in cash: barred, s.188","OK")))))))))))))))</f>
        <v/>
      </c>
      <c r="P211">
        <f>IF(E211="","",IFERROR(VLOOKUP(E211,Lists!$A$2:$B$17,2,FALSE),"?"))</f>
        <v/>
      </c>
      <c r="Q211">
        <f>IF(L211="Cancelled",0,N(J211))</f>
        <v/>
      </c>
      <c r="R211">
        <f>IF(H211="Cash",Q211,0)</f>
        <v/>
      </c>
      <c r="S211">
        <f>IF(OR(P211&lt;&gt;"E",R211=0),0,SUMIFS($R$18:$R$317,$B$18:$B$317,B211,$D$18:$D$317,D211,$P$18:$P$317,"E"))</f>
        <v/>
      </c>
      <c r="T211">
        <f>IF(OR(P211&lt;&gt;"F",R211=0),0,SUMIFS($R$18:$R$317,$B$18:$B$317,B211,$D$18:$D$317,D211,$P$18:$P$317,"F"))</f>
        <v/>
      </c>
      <c r="U211">
        <f>IF(OR(P211&lt;&gt;"A",R211=0),0,SUMIFS($R$18:$R$317,$B$18:$B$317,B211,$D$18:$D$317,D211,$P$18:$P$317,"A"))</f>
        <v/>
      </c>
      <c r="V211">
        <f>IF(OR(N211="",N211="OK",L211="Cancelled"),0,1)</f>
        <v/>
      </c>
    </row>
    <row r="212">
      <c r="B212" s="22" t="n"/>
      <c r="C212" s="23">
        <f>IF(B212="","",$E$9&amp;TEXT(N($E$10)+194,"000"))</f>
        <v/>
      </c>
      <c r="D212" s="14" t="n"/>
      <c r="E212" s="14" t="n"/>
      <c r="F212" s="14" t="n"/>
      <c r="G212" s="24" t="n"/>
      <c r="H212" s="14" t="n"/>
      <c r="I212" s="24" t="n"/>
      <c r="J212" s="25" t="n"/>
      <c r="K212" s="14" t="n"/>
      <c r="L212" s="24" t="n"/>
      <c r="M212" s="26">
        <f>IF(OR(N(J212)=0,L212="Cancelled"),"",IF(AND(N(J212)&gt;5000,H212="Cash"),"Yes: ₹1","No"))</f>
        <v/>
      </c>
      <c r="N212" s="27">
        <f>IF(AND(B212="",D212="",N(J212)=0),"",IF(B212="","Enter the date",IF(AND(ROW()&gt;18,B211=""),"Use the next empty row: a skipped row leaves a gap in the voucher numbers",IF(D212="","Enter who was paid",IF(N(J212)=0,"Enter the amount",IF(E212="","Pick the head of account",IF(P212="?","Pick the head from the list",IF(H212="","Pick how it was paid",IF(L212="Cancelled","Cancelled: keep this number unused and write a fresh voucher",IF(AND(H212&lt;&gt;"Cash",I212=""),"Enter the cheque no., UTR or UPI reference",IF(AND(N($E$11)&gt;0,N(J212)&gt;N($E$11),K212=""),"Above your approval limit: get it approved before paying",IF(S212&gt;10000,"Cash paid to this person today is over ₹10,000: not deductible, s.36(4)",IF(T212&gt;35000,"Cash freight to this transporter today is over ₹35,000: not deductible, s.36(6)",IF(U212&gt;10000,"Asset paid in cash over ₹10,000 today: left out of its cost, s.39(2)",IF(AND(P212="L",H212="Cash",N(J212)&gt;=20000),"Loan of ₹20,000 or more repaid in cash: barred, s.188","OK")))))))))))))))</f>
        <v/>
      </c>
      <c r="P212">
        <f>IF(E212="","",IFERROR(VLOOKUP(E212,Lists!$A$2:$B$17,2,FALSE),"?"))</f>
        <v/>
      </c>
      <c r="Q212">
        <f>IF(L212="Cancelled",0,N(J212))</f>
        <v/>
      </c>
      <c r="R212">
        <f>IF(H212="Cash",Q212,0)</f>
        <v/>
      </c>
      <c r="S212">
        <f>IF(OR(P212&lt;&gt;"E",R212=0),0,SUMIFS($R$18:$R$317,$B$18:$B$317,B212,$D$18:$D$317,D212,$P$18:$P$317,"E"))</f>
        <v/>
      </c>
      <c r="T212">
        <f>IF(OR(P212&lt;&gt;"F",R212=0),0,SUMIFS($R$18:$R$317,$B$18:$B$317,B212,$D$18:$D$317,D212,$P$18:$P$317,"F"))</f>
        <v/>
      </c>
      <c r="U212">
        <f>IF(OR(P212&lt;&gt;"A",R212=0),0,SUMIFS($R$18:$R$317,$B$18:$B$317,B212,$D$18:$D$317,D212,$P$18:$P$317,"A"))</f>
        <v/>
      </c>
      <c r="V212">
        <f>IF(OR(N212="",N212="OK",L212="Cancelled"),0,1)</f>
        <v/>
      </c>
    </row>
    <row r="213">
      <c r="B213" s="22" t="n"/>
      <c r="C213" s="23">
        <f>IF(B213="","",$E$9&amp;TEXT(N($E$10)+195,"000"))</f>
        <v/>
      </c>
      <c r="D213" s="14" t="n"/>
      <c r="E213" s="14" t="n"/>
      <c r="F213" s="14" t="n"/>
      <c r="G213" s="24" t="n"/>
      <c r="H213" s="14" t="n"/>
      <c r="I213" s="24" t="n"/>
      <c r="J213" s="25" t="n"/>
      <c r="K213" s="14" t="n"/>
      <c r="L213" s="24" t="n"/>
      <c r="M213" s="26">
        <f>IF(OR(N(J213)=0,L213="Cancelled"),"",IF(AND(N(J213)&gt;5000,H213="Cash"),"Yes: ₹1","No"))</f>
        <v/>
      </c>
      <c r="N213" s="27">
        <f>IF(AND(B213="",D213="",N(J213)=0),"",IF(B213="","Enter the date",IF(AND(ROW()&gt;18,B212=""),"Use the next empty row: a skipped row leaves a gap in the voucher numbers",IF(D213="","Enter who was paid",IF(N(J213)=0,"Enter the amount",IF(E213="","Pick the head of account",IF(P213="?","Pick the head from the list",IF(H213="","Pick how it was paid",IF(L213="Cancelled","Cancelled: keep this number unused and write a fresh voucher",IF(AND(H213&lt;&gt;"Cash",I213=""),"Enter the cheque no., UTR or UPI reference",IF(AND(N($E$11)&gt;0,N(J213)&gt;N($E$11),K213=""),"Above your approval limit: get it approved before paying",IF(S213&gt;10000,"Cash paid to this person today is over ₹10,000: not deductible, s.36(4)",IF(T213&gt;35000,"Cash freight to this transporter today is over ₹35,000: not deductible, s.36(6)",IF(U213&gt;10000,"Asset paid in cash over ₹10,000 today: left out of its cost, s.39(2)",IF(AND(P213="L",H213="Cash",N(J213)&gt;=20000),"Loan of ₹20,000 or more repaid in cash: barred, s.188","OK")))))))))))))))</f>
        <v/>
      </c>
      <c r="P213">
        <f>IF(E213="","",IFERROR(VLOOKUP(E213,Lists!$A$2:$B$17,2,FALSE),"?"))</f>
        <v/>
      </c>
      <c r="Q213">
        <f>IF(L213="Cancelled",0,N(J213))</f>
        <v/>
      </c>
      <c r="R213">
        <f>IF(H213="Cash",Q213,0)</f>
        <v/>
      </c>
      <c r="S213">
        <f>IF(OR(P213&lt;&gt;"E",R213=0),0,SUMIFS($R$18:$R$317,$B$18:$B$317,B213,$D$18:$D$317,D213,$P$18:$P$317,"E"))</f>
        <v/>
      </c>
      <c r="T213">
        <f>IF(OR(P213&lt;&gt;"F",R213=0),0,SUMIFS($R$18:$R$317,$B$18:$B$317,B213,$D$18:$D$317,D213,$P$18:$P$317,"F"))</f>
        <v/>
      </c>
      <c r="U213">
        <f>IF(OR(P213&lt;&gt;"A",R213=0),0,SUMIFS($R$18:$R$317,$B$18:$B$317,B213,$D$18:$D$317,D213,$P$18:$P$317,"A"))</f>
        <v/>
      </c>
      <c r="V213">
        <f>IF(OR(N213="",N213="OK",L213="Cancelled"),0,1)</f>
        <v/>
      </c>
    </row>
    <row r="214">
      <c r="B214" s="22" t="n"/>
      <c r="C214" s="23">
        <f>IF(B214="","",$E$9&amp;TEXT(N($E$10)+196,"000"))</f>
        <v/>
      </c>
      <c r="D214" s="14" t="n"/>
      <c r="E214" s="14" t="n"/>
      <c r="F214" s="14" t="n"/>
      <c r="G214" s="24" t="n"/>
      <c r="H214" s="14" t="n"/>
      <c r="I214" s="24" t="n"/>
      <c r="J214" s="25" t="n"/>
      <c r="K214" s="14" t="n"/>
      <c r="L214" s="24" t="n"/>
      <c r="M214" s="26">
        <f>IF(OR(N(J214)=0,L214="Cancelled"),"",IF(AND(N(J214)&gt;5000,H214="Cash"),"Yes: ₹1","No"))</f>
        <v/>
      </c>
      <c r="N214" s="27">
        <f>IF(AND(B214="",D214="",N(J214)=0),"",IF(B214="","Enter the date",IF(AND(ROW()&gt;18,B213=""),"Use the next empty row: a skipped row leaves a gap in the voucher numbers",IF(D214="","Enter who was paid",IF(N(J214)=0,"Enter the amount",IF(E214="","Pick the head of account",IF(P214="?","Pick the head from the list",IF(H214="","Pick how it was paid",IF(L214="Cancelled","Cancelled: keep this number unused and write a fresh voucher",IF(AND(H214&lt;&gt;"Cash",I214=""),"Enter the cheque no., UTR or UPI reference",IF(AND(N($E$11)&gt;0,N(J214)&gt;N($E$11),K214=""),"Above your approval limit: get it approved before paying",IF(S214&gt;10000,"Cash paid to this person today is over ₹10,000: not deductible, s.36(4)",IF(T214&gt;35000,"Cash freight to this transporter today is over ₹35,000: not deductible, s.36(6)",IF(U214&gt;10000,"Asset paid in cash over ₹10,000 today: left out of its cost, s.39(2)",IF(AND(P214="L",H214="Cash",N(J214)&gt;=20000),"Loan of ₹20,000 or more repaid in cash: barred, s.188","OK")))))))))))))))</f>
        <v/>
      </c>
      <c r="P214">
        <f>IF(E214="","",IFERROR(VLOOKUP(E214,Lists!$A$2:$B$17,2,FALSE),"?"))</f>
        <v/>
      </c>
      <c r="Q214">
        <f>IF(L214="Cancelled",0,N(J214))</f>
        <v/>
      </c>
      <c r="R214">
        <f>IF(H214="Cash",Q214,0)</f>
        <v/>
      </c>
      <c r="S214">
        <f>IF(OR(P214&lt;&gt;"E",R214=0),0,SUMIFS($R$18:$R$317,$B$18:$B$317,B214,$D$18:$D$317,D214,$P$18:$P$317,"E"))</f>
        <v/>
      </c>
      <c r="T214">
        <f>IF(OR(P214&lt;&gt;"F",R214=0),0,SUMIFS($R$18:$R$317,$B$18:$B$317,B214,$D$18:$D$317,D214,$P$18:$P$317,"F"))</f>
        <v/>
      </c>
      <c r="U214">
        <f>IF(OR(P214&lt;&gt;"A",R214=0),0,SUMIFS($R$18:$R$317,$B$18:$B$317,B214,$D$18:$D$317,D214,$P$18:$P$317,"A"))</f>
        <v/>
      </c>
      <c r="V214">
        <f>IF(OR(N214="",N214="OK",L214="Cancelled"),0,1)</f>
        <v/>
      </c>
    </row>
    <row r="215">
      <c r="B215" s="22" t="n"/>
      <c r="C215" s="23">
        <f>IF(B215="","",$E$9&amp;TEXT(N($E$10)+197,"000"))</f>
        <v/>
      </c>
      <c r="D215" s="14" t="n"/>
      <c r="E215" s="14" t="n"/>
      <c r="F215" s="14" t="n"/>
      <c r="G215" s="24" t="n"/>
      <c r="H215" s="14" t="n"/>
      <c r="I215" s="24" t="n"/>
      <c r="J215" s="25" t="n"/>
      <c r="K215" s="14" t="n"/>
      <c r="L215" s="24" t="n"/>
      <c r="M215" s="26">
        <f>IF(OR(N(J215)=0,L215="Cancelled"),"",IF(AND(N(J215)&gt;5000,H215="Cash"),"Yes: ₹1","No"))</f>
        <v/>
      </c>
      <c r="N215" s="27">
        <f>IF(AND(B215="",D215="",N(J215)=0),"",IF(B215="","Enter the date",IF(AND(ROW()&gt;18,B214=""),"Use the next empty row: a skipped row leaves a gap in the voucher numbers",IF(D215="","Enter who was paid",IF(N(J215)=0,"Enter the amount",IF(E215="","Pick the head of account",IF(P215="?","Pick the head from the list",IF(H215="","Pick how it was paid",IF(L215="Cancelled","Cancelled: keep this number unused and write a fresh voucher",IF(AND(H215&lt;&gt;"Cash",I215=""),"Enter the cheque no., UTR or UPI reference",IF(AND(N($E$11)&gt;0,N(J215)&gt;N($E$11),K215=""),"Above your approval limit: get it approved before paying",IF(S215&gt;10000,"Cash paid to this person today is over ₹10,000: not deductible, s.36(4)",IF(T215&gt;35000,"Cash freight to this transporter today is over ₹35,000: not deductible, s.36(6)",IF(U215&gt;10000,"Asset paid in cash over ₹10,000 today: left out of its cost, s.39(2)",IF(AND(P215="L",H215="Cash",N(J215)&gt;=20000),"Loan of ₹20,000 or more repaid in cash: barred, s.188","OK")))))))))))))))</f>
        <v/>
      </c>
      <c r="P215">
        <f>IF(E215="","",IFERROR(VLOOKUP(E215,Lists!$A$2:$B$17,2,FALSE),"?"))</f>
        <v/>
      </c>
      <c r="Q215">
        <f>IF(L215="Cancelled",0,N(J215))</f>
        <v/>
      </c>
      <c r="R215">
        <f>IF(H215="Cash",Q215,0)</f>
        <v/>
      </c>
      <c r="S215">
        <f>IF(OR(P215&lt;&gt;"E",R215=0),0,SUMIFS($R$18:$R$317,$B$18:$B$317,B215,$D$18:$D$317,D215,$P$18:$P$317,"E"))</f>
        <v/>
      </c>
      <c r="T215">
        <f>IF(OR(P215&lt;&gt;"F",R215=0),0,SUMIFS($R$18:$R$317,$B$18:$B$317,B215,$D$18:$D$317,D215,$P$18:$P$317,"F"))</f>
        <v/>
      </c>
      <c r="U215">
        <f>IF(OR(P215&lt;&gt;"A",R215=0),0,SUMIFS($R$18:$R$317,$B$18:$B$317,B215,$D$18:$D$317,D215,$P$18:$P$317,"A"))</f>
        <v/>
      </c>
      <c r="V215">
        <f>IF(OR(N215="",N215="OK",L215="Cancelled"),0,1)</f>
        <v/>
      </c>
    </row>
    <row r="216">
      <c r="B216" s="22" t="n"/>
      <c r="C216" s="23">
        <f>IF(B216="","",$E$9&amp;TEXT(N($E$10)+198,"000"))</f>
        <v/>
      </c>
      <c r="D216" s="14" t="n"/>
      <c r="E216" s="14" t="n"/>
      <c r="F216" s="14" t="n"/>
      <c r="G216" s="24" t="n"/>
      <c r="H216" s="14" t="n"/>
      <c r="I216" s="24" t="n"/>
      <c r="J216" s="25" t="n"/>
      <c r="K216" s="14" t="n"/>
      <c r="L216" s="24" t="n"/>
      <c r="M216" s="26">
        <f>IF(OR(N(J216)=0,L216="Cancelled"),"",IF(AND(N(J216)&gt;5000,H216="Cash"),"Yes: ₹1","No"))</f>
        <v/>
      </c>
      <c r="N216" s="27">
        <f>IF(AND(B216="",D216="",N(J216)=0),"",IF(B216="","Enter the date",IF(AND(ROW()&gt;18,B215=""),"Use the next empty row: a skipped row leaves a gap in the voucher numbers",IF(D216="","Enter who was paid",IF(N(J216)=0,"Enter the amount",IF(E216="","Pick the head of account",IF(P216="?","Pick the head from the list",IF(H216="","Pick how it was paid",IF(L216="Cancelled","Cancelled: keep this number unused and write a fresh voucher",IF(AND(H216&lt;&gt;"Cash",I216=""),"Enter the cheque no., UTR or UPI reference",IF(AND(N($E$11)&gt;0,N(J216)&gt;N($E$11),K216=""),"Above your approval limit: get it approved before paying",IF(S216&gt;10000,"Cash paid to this person today is over ₹10,000: not deductible, s.36(4)",IF(T216&gt;35000,"Cash freight to this transporter today is over ₹35,000: not deductible, s.36(6)",IF(U216&gt;10000,"Asset paid in cash over ₹10,000 today: left out of its cost, s.39(2)",IF(AND(P216="L",H216="Cash",N(J216)&gt;=20000),"Loan of ₹20,000 or more repaid in cash: barred, s.188","OK")))))))))))))))</f>
        <v/>
      </c>
      <c r="P216">
        <f>IF(E216="","",IFERROR(VLOOKUP(E216,Lists!$A$2:$B$17,2,FALSE),"?"))</f>
        <v/>
      </c>
      <c r="Q216">
        <f>IF(L216="Cancelled",0,N(J216))</f>
        <v/>
      </c>
      <c r="R216">
        <f>IF(H216="Cash",Q216,0)</f>
        <v/>
      </c>
      <c r="S216">
        <f>IF(OR(P216&lt;&gt;"E",R216=0),0,SUMIFS($R$18:$R$317,$B$18:$B$317,B216,$D$18:$D$317,D216,$P$18:$P$317,"E"))</f>
        <v/>
      </c>
      <c r="T216">
        <f>IF(OR(P216&lt;&gt;"F",R216=0),0,SUMIFS($R$18:$R$317,$B$18:$B$317,B216,$D$18:$D$317,D216,$P$18:$P$317,"F"))</f>
        <v/>
      </c>
      <c r="U216">
        <f>IF(OR(P216&lt;&gt;"A",R216=0),0,SUMIFS($R$18:$R$317,$B$18:$B$317,B216,$D$18:$D$317,D216,$P$18:$P$317,"A"))</f>
        <v/>
      </c>
      <c r="V216">
        <f>IF(OR(N216="",N216="OK",L216="Cancelled"),0,1)</f>
        <v/>
      </c>
    </row>
    <row r="217">
      <c r="B217" s="22" t="n"/>
      <c r="C217" s="23">
        <f>IF(B217="","",$E$9&amp;TEXT(N($E$10)+199,"000"))</f>
        <v/>
      </c>
      <c r="D217" s="14" t="n"/>
      <c r="E217" s="14" t="n"/>
      <c r="F217" s="14" t="n"/>
      <c r="G217" s="24" t="n"/>
      <c r="H217" s="14" t="n"/>
      <c r="I217" s="24" t="n"/>
      <c r="J217" s="25" t="n"/>
      <c r="K217" s="14" t="n"/>
      <c r="L217" s="24" t="n"/>
      <c r="M217" s="26">
        <f>IF(OR(N(J217)=0,L217="Cancelled"),"",IF(AND(N(J217)&gt;5000,H217="Cash"),"Yes: ₹1","No"))</f>
        <v/>
      </c>
      <c r="N217" s="27">
        <f>IF(AND(B217="",D217="",N(J217)=0),"",IF(B217="","Enter the date",IF(AND(ROW()&gt;18,B216=""),"Use the next empty row: a skipped row leaves a gap in the voucher numbers",IF(D217="","Enter who was paid",IF(N(J217)=0,"Enter the amount",IF(E217="","Pick the head of account",IF(P217="?","Pick the head from the list",IF(H217="","Pick how it was paid",IF(L217="Cancelled","Cancelled: keep this number unused and write a fresh voucher",IF(AND(H217&lt;&gt;"Cash",I217=""),"Enter the cheque no., UTR or UPI reference",IF(AND(N($E$11)&gt;0,N(J217)&gt;N($E$11),K217=""),"Above your approval limit: get it approved before paying",IF(S217&gt;10000,"Cash paid to this person today is over ₹10,000: not deductible, s.36(4)",IF(T217&gt;35000,"Cash freight to this transporter today is over ₹35,000: not deductible, s.36(6)",IF(U217&gt;10000,"Asset paid in cash over ₹10,000 today: left out of its cost, s.39(2)",IF(AND(P217="L",H217="Cash",N(J217)&gt;=20000),"Loan of ₹20,000 or more repaid in cash: barred, s.188","OK")))))))))))))))</f>
        <v/>
      </c>
      <c r="P217">
        <f>IF(E217="","",IFERROR(VLOOKUP(E217,Lists!$A$2:$B$17,2,FALSE),"?"))</f>
        <v/>
      </c>
      <c r="Q217">
        <f>IF(L217="Cancelled",0,N(J217))</f>
        <v/>
      </c>
      <c r="R217">
        <f>IF(H217="Cash",Q217,0)</f>
        <v/>
      </c>
      <c r="S217">
        <f>IF(OR(P217&lt;&gt;"E",R217=0),0,SUMIFS($R$18:$R$317,$B$18:$B$317,B217,$D$18:$D$317,D217,$P$18:$P$317,"E"))</f>
        <v/>
      </c>
      <c r="T217">
        <f>IF(OR(P217&lt;&gt;"F",R217=0),0,SUMIFS($R$18:$R$317,$B$18:$B$317,B217,$D$18:$D$317,D217,$P$18:$P$317,"F"))</f>
        <v/>
      </c>
      <c r="U217">
        <f>IF(OR(P217&lt;&gt;"A",R217=0),0,SUMIFS($R$18:$R$317,$B$18:$B$317,B217,$D$18:$D$317,D217,$P$18:$P$317,"A"))</f>
        <v/>
      </c>
      <c r="V217">
        <f>IF(OR(N217="",N217="OK",L217="Cancelled"),0,1)</f>
        <v/>
      </c>
    </row>
    <row r="218">
      <c r="B218" s="22" t="n"/>
      <c r="C218" s="23">
        <f>IF(B218="","",$E$9&amp;TEXT(N($E$10)+200,"000"))</f>
        <v/>
      </c>
      <c r="D218" s="14" t="n"/>
      <c r="E218" s="14" t="n"/>
      <c r="F218" s="14" t="n"/>
      <c r="G218" s="24" t="n"/>
      <c r="H218" s="14" t="n"/>
      <c r="I218" s="24" t="n"/>
      <c r="J218" s="25" t="n"/>
      <c r="K218" s="14" t="n"/>
      <c r="L218" s="24" t="n"/>
      <c r="M218" s="26">
        <f>IF(OR(N(J218)=0,L218="Cancelled"),"",IF(AND(N(J218)&gt;5000,H218="Cash"),"Yes: ₹1","No"))</f>
        <v/>
      </c>
      <c r="N218" s="27">
        <f>IF(AND(B218="",D218="",N(J218)=0),"",IF(B218="","Enter the date",IF(AND(ROW()&gt;18,B217=""),"Use the next empty row: a skipped row leaves a gap in the voucher numbers",IF(D218="","Enter who was paid",IF(N(J218)=0,"Enter the amount",IF(E218="","Pick the head of account",IF(P218="?","Pick the head from the list",IF(H218="","Pick how it was paid",IF(L218="Cancelled","Cancelled: keep this number unused and write a fresh voucher",IF(AND(H218&lt;&gt;"Cash",I218=""),"Enter the cheque no., UTR or UPI reference",IF(AND(N($E$11)&gt;0,N(J218)&gt;N($E$11),K218=""),"Above your approval limit: get it approved before paying",IF(S218&gt;10000,"Cash paid to this person today is over ₹10,000: not deductible, s.36(4)",IF(T218&gt;35000,"Cash freight to this transporter today is over ₹35,000: not deductible, s.36(6)",IF(U218&gt;10000,"Asset paid in cash over ₹10,000 today: left out of its cost, s.39(2)",IF(AND(P218="L",H218="Cash",N(J218)&gt;=20000),"Loan of ₹20,000 or more repaid in cash: barred, s.188","OK")))))))))))))))</f>
        <v/>
      </c>
      <c r="P218">
        <f>IF(E218="","",IFERROR(VLOOKUP(E218,Lists!$A$2:$B$17,2,FALSE),"?"))</f>
        <v/>
      </c>
      <c r="Q218">
        <f>IF(L218="Cancelled",0,N(J218))</f>
        <v/>
      </c>
      <c r="R218">
        <f>IF(H218="Cash",Q218,0)</f>
        <v/>
      </c>
      <c r="S218">
        <f>IF(OR(P218&lt;&gt;"E",R218=0),0,SUMIFS($R$18:$R$317,$B$18:$B$317,B218,$D$18:$D$317,D218,$P$18:$P$317,"E"))</f>
        <v/>
      </c>
      <c r="T218">
        <f>IF(OR(P218&lt;&gt;"F",R218=0),0,SUMIFS($R$18:$R$317,$B$18:$B$317,B218,$D$18:$D$317,D218,$P$18:$P$317,"F"))</f>
        <v/>
      </c>
      <c r="U218">
        <f>IF(OR(P218&lt;&gt;"A",R218=0),0,SUMIFS($R$18:$R$317,$B$18:$B$317,B218,$D$18:$D$317,D218,$P$18:$P$317,"A"))</f>
        <v/>
      </c>
      <c r="V218">
        <f>IF(OR(N218="",N218="OK",L218="Cancelled"),0,1)</f>
        <v/>
      </c>
    </row>
    <row r="219">
      <c r="B219" s="22" t="n"/>
      <c r="C219" s="23">
        <f>IF(B219="","",$E$9&amp;TEXT(N($E$10)+201,"000"))</f>
        <v/>
      </c>
      <c r="D219" s="14" t="n"/>
      <c r="E219" s="14" t="n"/>
      <c r="F219" s="14" t="n"/>
      <c r="G219" s="24" t="n"/>
      <c r="H219" s="14" t="n"/>
      <c r="I219" s="24" t="n"/>
      <c r="J219" s="25" t="n"/>
      <c r="K219" s="14" t="n"/>
      <c r="L219" s="24" t="n"/>
      <c r="M219" s="26">
        <f>IF(OR(N(J219)=0,L219="Cancelled"),"",IF(AND(N(J219)&gt;5000,H219="Cash"),"Yes: ₹1","No"))</f>
        <v/>
      </c>
      <c r="N219" s="27">
        <f>IF(AND(B219="",D219="",N(J219)=0),"",IF(B219="","Enter the date",IF(AND(ROW()&gt;18,B218=""),"Use the next empty row: a skipped row leaves a gap in the voucher numbers",IF(D219="","Enter who was paid",IF(N(J219)=0,"Enter the amount",IF(E219="","Pick the head of account",IF(P219="?","Pick the head from the list",IF(H219="","Pick how it was paid",IF(L219="Cancelled","Cancelled: keep this number unused and write a fresh voucher",IF(AND(H219&lt;&gt;"Cash",I219=""),"Enter the cheque no., UTR or UPI reference",IF(AND(N($E$11)&gt;0,N(J219)&gt;N($E$11),K219=""),"Above your approval limit: get it approved before paying",IF(S219&gt;10000,"Cash paid to this person today is over ₹10,000: not deductible, s.36(4)",IF(T219&gt;35000,"Cash freight to this transporter today is over ₹35,000: not deductible, s.36(6)",IF(U219&gt;10000,"Asset paid in cash over ₹10,000 today: left out of its cost, s.39(2)",IF(AND(P219="L",H219="Cash",N(J219)&gt;=20000),"Loan of ₹20,000 or more repaid in cash: barred, s.188","OK")))))))))))))))</f>
        <v/>
      </c>
      <c r="P219">
        <f>IF(E219="","",IFERROR(VLOOKUP(E219,Lists!$A$2:$B$17,2,FALSE),"?"))</f>
        <v/>
      </c>
      <c r="Q219">
        <f>IF(L219="Cancelled",0,N(J219))</f>
        <v/>
      </c>
      <c r="R219">
        <f>IF(H219="Cash",Q219,0)</f>
        <v/>
      </c>
      <c r="S219">
        <f>IF(OR(P219&lt;&gt;"E",R219=0),0,SUMIFS($R$18:$R$317,$B$18:$B$317,B219,$D$18:$D$317,D219,$P$18:$P$317,"E"))</f>
        <v/>
      </c>
      <c r="T219">
        <f>IF(OR(P219&lt;&gt;"F",R219=0),0,SUMIFS($R$18:$R$317,$B$18:$B$317,B219,$D$18:$D$317,D219,$P$18:$P$317,"F"))</f>
        <v/>
      </c>
      <c r="U219">
        <f>IF(OR(P219&lt;&gt;"A",R219=0),0,SUMIFS($R$18:$R$317,$B$18:$B$317,B219,$D$18:$D$317,D219,$P$18:$P$317,"A"))</f>
        <v/>
      </c>
      <c r="V219">
        <f>IF(OR(N219="",N219="OK",L219="Cancelled"),0,1)</f>
        <v/>
      </c>
    </row>
    <row r="220">
      <c r="B220" s="22" t="n"/>
      <c r="C220" s="23">
        <f>IF(B220="","",$E$9&amp;TEXT(N($E$10)+202,"000"))</f>
        <v/>
      </c>
      <c r="D220" s="14" t="n"/>
      <c r="E220" s="14" t="n"/>
      <c r="F220" s="14" t="n"/>
      <c r="G220" s="24" t="n"/>
      <c r="H220" s="14" t="n"/>
      <c r="I220" s="24" t="n"/>
      <c r="J220" s="25" t="n"/>
      <c r="K220" s="14" t="n"/>
      <c r="L220" s="24" t="n"/>
      <c r="M220" s="26">
        <f>IF(OR(N(J220)=0,L220="Cancelled"),"",IF(AND(N(J220)&gt;5000,H220="Cash"),"Yes: ₹1","No"))</f>
        <v/>
      </c>
      <c r="N220" s="27">
        <f>IF(AND(B220="",D220="",N(J220)=0),"",IF(B220="","Enter the date",IF(AND(ROW()&gt;18,B219=""),"Use the next empty row: a skipped row leaves a gap in the voucher numbers",IF(D220="","Enter who was paid",IF(N(J220)=0,"Enter the amount",IF(E220="","Pick the head of account",IF(P220="?","Pick the head from the list",IF(H220="","Pick how it was paid",IF(L220="Cancelled","Cancelled: keep this number unused and write a fresh voucher",IF(AND(H220&lt;&gt;"Cash",I220=""),"Enter the cheque no., UTR or UPI reference",IF(AND(N($E$11)&gt;0,N(J220)&gt;N($E$11),K220=""),"Above your approval limit: get it approved before paying",IF(S220&gt;10000,"Cash paid to this person today is over ₹10,000: not deductible, s.36(4)",IF(T220&gt;35000,"Cash freight to this transporter today is over ₹35,000: not deductible, s.36(6)",IF(U220&gt;10000,"Asset paid in cash over ₹10,000 today: left out of its cost, s.39(2)",IF(AND(P220="L",H220="Cash",N(J220)&gt;=20000),"Loan of ₹20,000 or more repaid in cash: barred, s.188","OK")))))))))))))))</f>
        <v/>
      </c>
      <c r="P220">
        <f>IF(E220="","",IFERROR(VLOOKUP(E220,Lists!$A$2:$B$17,2,FALSE),"?"))</f>
        <v/>
      </c>
      <c r="Q220">
        <f>IF(L220="Cancelled",0,N(J220))</f>
        <v/>
      </c>
      <c r="R220">
        <f>IF(H220="Cash",Q220,0)</f>
        <v/>
      </c>
      <c r="S220">
        <f>IF(OR(P220&lt;&gt;"E",R220=0),0,SUMIFS($R$18:$R$317,$B$18:$B$317,B220,$D$18:$D$317,D220,$P$18:$P$317,"E"))</f>
        <v/>
      </c>
      <c r="T220">
        <f>IF(OR(P220&lt;&gt;"F",R220=0),0,SUMIFS($R$18:$R$317,$B$18:$B$317,B220,$D$18:$D$317,D220,$P$18:$P$317,"F"))</f>
        <v/>
      </c>
      <c r="U220">
        <f>IF(OR(P220&lt;&gt;"A",R220=0),0,SUMIFS($R$18:$R$317,$B$18:$B$317,B220,$D$18:$D$317,D220,$P$18:$P$317,"A"))</f>
        <v/>
      </c>
      <c r="V220">
        <f>IF(OR(N220="",N220="OK",L220="Cancelled"),0,1)</f>
        <v/>
      </c>
    </row>
    <row r="221">
      <c r="B221" s="22" t="n"/>
      <c r="C221" s="23">
        <f>IF(B221="","",$E$9&amp;TEXT(N($E$10)+203,"000"))</f>
        <v/>
      </c>
      <c r="D221" s="14" t="n"/>
      <c r="E221" s="14" t="n"/>
      <c r="F221" s="14" t="n"/>
      <c r="G221" s="24" t="n"/>
      <c r="H221" s="14" t="n"/>
      <c r="I221" s="24" t="n"/>
      <c r="J221" s="25" t="n"/>
      <c r="K221" s="14" t="n"/>
      <c r="L221" s="24" t="n"/>
      <c r="M221" s="26">
        <f>IF(OR(N(J221)=0,L221="Cancelled"),"",IF(AND(N(J221)&gt;5000,H221="Cash"),"Yes: ₹1","No"))</f>
        <v/>
      </c>
      <c r="N221" s="27">
        <f>IF(AND(B221="",D221="",N(J221)=0),"",IF(B221="","Enter the date",IF(AND(ROW()&gt;18,B220=""),"Use the next empty row: a skipped row leaves a gap in the voucher numbers",IF(D221="","Enter who was paid",IF(N(J221)=0,"Enter the amount",IF(E221="","Pick the head of account",IF(P221="?","Pick the head from the list",IF(H221="","Pick how it was paid",IF(L221="Cancelled","Cancelled: keep this number unused and write a fresh voucher",IF(AND(H221&lt;&gt;"Cash",I221=""),"Enter the cheque no., UTR or UPI reference",IF(AND(N($E$11)&gt;0,N(J221)&gt;N($E$11),K221=""),"Above your approval limit: get it approved before paying",IF(S221&gt;10000,"Cash paid to this person today is over ₹10,000: not deductible, s.36(4)",IF(T221&gt;35000,"Cash freight to this transporter today is over ₹35,000: not deductible, s.36(6)",IF(U221&gt;10000,"Asset paid in cash over ₹10,000 today: left out of its cost, s.39(2)",IF(AND(P221="L",H221="Cash",N(J221)&gt;=20000),"Loan of ₹20,000 or more repaid in cash: barred, s.188","OK")))))))))))))))</f>
        <v/>
      </c>
      <c r="P221">
        <f>IF(E221="","",IFERROR(VLOOKUP(E221,Lists!$A$2:$B$17,2,FALSE),"?"))</f>
        <v/>
      </c>
      <c r="Q221">
        <f>IF(L221="Cancelled",0,N(J221))</f>
        <v/>
      </c>
      <c r="R221">
        <f>IF(H221="Cash",Q221,0)</f>
        <v/>
      </c>
      <c r="S221">
        <f>IF(OR(P221&lt;&gt;"E",R221=0),0,SUMIFS($R$18:$R$317,$B$18:$B$317,B221,$D$18:$D$317,D221,$P$18:$P$317,"E"))</f>
        <v/>
      </c>
      <c r="T221">
        <f>IF(OR(P221&lt;&gt;"F",R221=0),0,SUMIFS($R$18:$R$317,$B$18:$B$317,B221,$D$18:$D$317,D221,$P$18:$P$317,"F"))</f>
        <v/>
      </c>
      <c r="U221">
        <f>IF(OR(P221&lt;&gt;"A",R221=0),0,SUMIFS($R$18:$R$317,$B$18:$B$317,B221,$D$18:$D$317,D221,$P$18:$P$317,"A"))</f>
        <v/>
      </c>
      <c r="V221">
        <f>IF(OR(N221="",N221="OK",L221="Cancelled"),0,1)</f>
        <v/>
      </c>
    </row>
    <row r="222">
      <c r="B222" s="22" t="n"/>
      <c r="C222" s="23">
        <f>IF(B222="","",$E$9&amp;TEXT(N($E$10)+204,"000"))</f>
        <v/>
      </c>
      <c r="D222" s="14" t="n"/>
      <c r="E222" s="14" t="n"/>
      <c r="F222" s="14" t="n"/>
      <c r="G222" s="24" t="n"/>
      <c r="H222" s="14" t="n"/>
      <c r="I222" s="24" t="n"/>
      <c r="J222" s="25" t="n"/>
      <c r="K222" s="14" t="n"/>
      <c r="L222" s="24" t="n"/>
      <c r="M222" s="26">
        <f>IF(OR(N(J222)=0,L222="Cancelled"),"",IF(AND(N(J222)&gt;5000,H222="Cash"),"Yes: ₹1","No"))</f>
        <v/>
      </c>
      <c r="N222" s="27">
        <f>IF(AND(B222="",D222="",N(J222)=0),"",IF(B222="","Enter the date",IF(AND(ROW()&gt;18,B221=""),"Use the next empty row: a skipped row leaves a gap in the voucher numbers",IF(D222="","Enter who was paid",IF(N(J222)=0,"Enter the amount",IF(E222="","Pick the head of account",IF(P222="?","Pick the head from the list",IF(H222="","Pick how it was paid",IF(L222="Cancelled","Cancelled: keep this number unused and write a fresh voucher",IF(AND(H222&lt;&gt;"Cash",I222=""),"Enter the cheque no., UTR or UPI reference",IF(AND(N($E$11)&gt;0,N(J222)&gt;N($E$11),K222=""),"Above your approval limit: get it approved before paying",IF(S222&gt;10000,"Cash paid to this person today is over ₹10,000: not deductible, s.36(4)",IF(T222&gt;35000,"Cash freight to this transporter today is over ₹35,000: not deductible, s.36(6)",IF(U222&gt;10000,"Asset paid in cash over ₹10,000 today: left out of its cost, s.39(2)",IF(AND(P222="L",H222="Cash",N(J222)&gt;=20000),"Loan of ₹20,000 or more repaid in cash: barred, s.188","OK")))))))))))))))</f>
        <v/>
      </c>
      <c r="P222">
        <f>IF(E222="","",IFERROR(VLOOKUP(E222,Lists!$A$2:$B$17,2,FALSE),"?"))</f>
        <v/>
      </c>
      <c r="Q222">
        <f>IF(L222="Cancelled",0,N(J222))</f>
        <v/>
      </c>
      <c r="R222">
        <f>IF(H222="Cash",Q222,0)</f>
        <v/>
      </c>
      <c r="S222">
        <f>IF(OR(P222&lt;&gt;"E",R222=0),0,SUMIFS($R$18:$R$317,$B$18:$B$317,B222,$D$18:$D$317,D222,$P$18:$P$317,"E"))</f>
        <v/>
      </c>
      <c r="T222">
        <f>IF(OR(P222&lt;&gt;"F",R222=0),0,SUMIFS($R$18:$R$317,$B$18:$B$317,B222,$D$18:$D$317,D222,$P$18:$P$317,"F"))</f>
        <v/>
      </c>
      <c r="U222">
        <f>IF(OR(P222&lt;&gt;"A",R222=0),0,SUMIFS($R$18:$R$317,$B$18:$B$317,B222,$D$18:$D$317,D222,$P$18:$P$317,"A"))</f>
        <v/>
      </c>
      <c r="V222">
        <f>IF(OR(N222="",N222="OK",L222="Cancelled"),0,1)</f>
        <v/>
      </c>
    </row>
    <row r="223">
      <c r="B223" s="22" t="n"/>
      <c r="C223" s="23">
        <f>IF(B223="","",$E$9&amp;TEXT(N($E$10)+205,"000"))</f>
        <v/>
      </c>
      <c r="D223" s="14" t="n"/>
      <c r="E223" s="14" t="n"/>
      <c r="F223" s="14" t="n"/>
      <c r="G223" s="24" t="n"/>
      <c r="H223" s="14" t="n"/>
      <c r="I223" s="24" t="n"/>
      <c r="J223" s="25" t="n"/>
      <c r="K223" s="14" t="n"/>
      <c r="L223" s="24" t="n"/>
      <c r="M223" s="26">
        <f>IF(OR(N(J223)=0,L223="Cancelled"),"",IF(AND(N(J223)&gt;5000,H223="Cash"),"Yes: ₹1","No"))</f>
        <v/>
      </c>
      <c r="N223" s="27">
        <f>IF(AND(B223="",D223="",N(J223)=0),"",IF(B223="","Enter the date",IF(AND(ROW()&gt;18,B222=""),"Use the next empty row: a skipped row leaves a gap in the voucher numbers",IF(D223="","Enter who was paid",IF(N(J223)=0,"Enter the amount",IF(E223="","Pick the head of account",IF(P223="?","Pick the head from the list",IF(H223="","Pick how it was paid",IF(L223="Cancelled","Cancelled: keep this number unused and write a fresh voucher",IF(AND(H223&lt;&gt;"Cash",I223=""),"Enter the cheque no., UTR or UPI reference",IF(AND(N($E$11)&gt;0,N(J223)&gt;N($E$11),K223=""),"Above your approval limit: get it approved before paying",IF(S223&gt;10000,"Cash paid to this person today is over ₹10,000: not deductible, s.36(4)",IF(T223&gt;35000,"Cash freight to this transporter today is over ₹35,000: not deductible, s.36(6)",IF(U223&gt;10000,"Asset paid in cash over ₹10,000 today: left out of its cost, s.39(2)",IF(AND(P223="L",H223="Cash",N(J223)&gt;=20000),"Loan of ₹20,000 or more repaid in cash: barred, s.188","OK")))))))))))))))</f>
        <v/>
      </c>
      <c r="P223">
        <f>IF(E223="","",IFERROR(VLOOKUP(E223,Lists!$A$2:$B$17,2,FALSE),"?"))</f>
        <v/>
      </c>
      <c r="Q223">
        <f>IF(L223="Cancelled",0,N(J223))</f>
        <v/>
      </c>
      <c r="R223">
        <f>IF(H223="Cash",Q223,0)</f>
        <v/>
      </c>
      <c r="S223">
        <f>IF(OR(P223&lt;&gt;"E",R223=0),0,SUMIFS($R$18:$R$317,$B$18:$B$317,B223,$D$18:$D$317,D223,$P$18:$P$317,"E"))</f>
        <v/>
      </c>
      <c r="T223">
        <f>IF(OR(P223&lt;&gt;"F",R223=0),0,SUMIFS($R$18:$R$317,$B$18:$B$317,B223,$D$18:$D$317,D223,$P$18:$P$317,"F"))</f>
        <v/>
      </c>
      <c r="U223">
        <f>IF(OR(P223&lt;&gt;"A",R223=0),0,SUMIFS($R$18:$R$317,$B$18:$B$317,B223,$D$18:$D$317,D223,$P$18:$P$317,"A"))</f>
        <v/>
      </c>
      <c r="V223">
        <f>IF(OR(N223="",N223="OK",L223="Cancelled"),0,1)</f>
        <v/>
      </c>
    </row>
    <row r="224">
      <c r="B224" s="22" t="n"/>
      <c r="C224" s="23">
        <f>IF(B224="","",$E$9&amp;TEXT(N($E$10)+206,"000"))</f>
        <v/>
      </c>
      <c r="D224" s="14" t="n"/>
      <c r="E224" s="14" t="n"/>
      <c r="F224" s="14" t="n"/>
      <c r="G224" s="24" t="n"/>
      <c r="H224" s="14" t="n"/>
      <c r="I224" s="24" t="n"/>
      <c r="J224" s="25" t="n"/>
      <c r="K224" s="14" t="n"/>
      <c r="L224" s="24" t="n"/>
      <c r="M224" s="26">
        <f>IF(OR(N(J224)=0,L224="Cancelled"),"",IF(AND(N(J224)&gt;5000,H224="Cash"),"Yes: ₹1","No"))</f>
        <v/>
      </c>
      <c r="N224" s="27">
        <f>IF(AND(B224="",D224="",N(J224)=0),"",IF(B224="","Enter the date",IF(AND(ROW()&gt;18,B223=""),"Use the next empty row: a skipped row leaves a gap in the voucher numbers",IF(D224="","Enter who was paid",IF(N(J224)=0,"Enter the amount",IF(E224="","Pick the head of account",IF(P224="?","Pick the head from the list",IF(H224="","Pick how it was paid",IF(L224="Cancelled","Cancelled: keep this number unused and write a fresh voucher",IF(AND(H224&lt;&gt;"Cash",I224=""),"Enter the cheque no., UTR or UPI reference",IF(AND(N($E$11)&gt;0,N(J224)&gt;N($E$11),K224=""),"Above your approval limit: get it approved before paying",IF(S224&gt;10000,"Cash paid to this person today is over ₹10,000: not deductible, s.36(4)",IF(T224&gt;35000,"Cash freight to this transporter today is over ₹35,000: not deductible, s.36(6)",IF(U224&gt;10000,"Asset paid in cash over ₹10,000 today: left out of its cost, s.39(2)",IF(AND(P224="L",H224="Cash",N(J224)&gt;=20000),"Loan of ₹20,000 or more repaid in cash: barred, s.188","OK")))))))))))))))</f>
        <v/>
      </c>
      <c r="P224">
        <f>IF(E224="","",IFERROR(VLOOKUP(E224,Lists!$A$2:$B$17,2,FALSE),"?"))</f>
        <v/>
      </c>
      <c r="Q224">
        <f>IF(L224="Cancelled",0,N(J224))</f>
        <v/>
      </c>
      <c r="R224">
        <f>IF(H224="Cash",Q224,0)</f>
        <v/>
      </c>
      <c r="S224">
        <f>IF(OR(P224&lt;&gt;"E",R224=0),0,SUMIFS($R$18:$R$317,$B$18:$B$317,B224,$D$18:$D$317,D224,$P$18:$P$317,"E"))</f>
        <v/>
      </c>
      <c r="T224">
        <f>IF(OR(P224&lt;&gt;"F",R224=0),0,SUMIFS($R$18:$R$317,$B$18:$B$317,B224,$D$18:$D$317,D224,$P$18:$P$317,"F"))</f>
        <v/>
      </c>
      <c r="U224">
        <f>IF(OR(P224&lt;&gt;"A",R224=0),0,SUMIFS($R$18:$R$317,$B$18:$B$317,B224,$D$18:$D$317,D224,$P$18:$P$317,"A"))</f>
        <v/>
      </c>
      <c r="V224">
        <f>IF(OR(N224="",N224="OK",L224="Cancelled"),0,1)</f>
        <v/>
      </c>
    </row>
    <row r="225">
      <c r="B225" s="22" t="n"/>
      <c r="C225" s="23">
        <f>IF(B225="","",$E$9&amp;TEXT(N($E$10)+207,"000"))</f>
        <v/>
      </c>
      <c r="D225" s="14" t="n"/>
      <c r="E225" s="14" t="n"/>
      <c r="F225" s="14" t="n"/>
      <c r="G225" s="24" t="n"/>
      <c r="H225" s="14" t="n"/>
      <c r="I225" s="24" t="n"/>
      <c r="J225" s="25" t="n"/>
      <c r="K225" s="14" t="n"/>
      <c r="L225" s="24" t="n"/>
      <c r="M225" s="26">
        <f>IF(OR(N(J225)=0,L225="Cancelled"),"",IF(AND(N(J225)&gt;5000,H225="Cash"),"Yes: ₹1","No"))</f>
        <v/>
      </c>
      <c r="N225" s="27">
        <f>IF(AND(B225="",D225="",N(J225)=0),"",IF(B225="","Enter the date",IF(AND(ROW()&gt;18,B224=""),"Use the next empty row: a skipped row leaves a gap in the voucher numbers",IF(D225="","Enter who was paid",IF(N(J225)=0,"Enter the amount",IF(E225="","Pick the head of account",IF(P225="?","Pick the head from the list",IF(H225="","Pick how it was paid",IF(L225="Cancelled","Cancelled: keep this number unused and write a fresh voucher",IF(AND(H225&lt;&gt;"Cash",I225=""),"Enter the cheque no., UTR or UPI reference",IF(AND(N($E$11)&gt;0,N(J225)&gt;N($E$11),K225=""),"Above your approval limit: get it approved before paying",IF(S225&gt;10000,"Cash paid to this person today is over ₹10,000: not deductible, s.36(4)",IF(T225&gt;35000,"Cash freight to this transporter today is over ₹35,000: not deductible, s.36(6)",IF(U225&gt;10000,"Asset paid in cash over ₹10,000 today: left out of its cost, s.39(2)",IF(AND(P225="L",H225="Cash",N(J225)&gt;=20000),"Loan of ₹20,000 or more repaid in cash: barred, s.188","OK")))))))))))))))</f>
        <v/>
      </c>
      <c r="P225">
        <f>IF(E225="","",IFERROR(VLOOKUP(E225,Lists!$A$2:$B$17,2,FALSE),"?"))</f>
        <v/>
      </c>
      <c r="Q225">
        <f>IF(L225="Cancelled",0,N(J225))</f>
        <v/>
      </c>
      <c r="R225">
        <f>IF(H225="Cash",Q225,0)</f>
        <v/>
      </c>
      <c r="S225">
        <f>IF(OR(P225&lt;&gt;"E",R225=0),0,SUMIFS($R$18:$R$317,$B$18:$B$317,B225,$D$18:$D$317,D225,$P$18:$P$317,"E"))</f>
        <v/>
      </c>
      <c r="T225">
        <f>IF(OR(P225&lt;&gt;"F",R225=0),0,SUMIFS($R$18:$R$317,$B$18:$B$317,B225,$D$18:$D$317,D225,$P$18:$P$317,"F"))</f>
        <v/>
      </c>
      <c r="U225">
        <f>IF(OR(P225&lt;&gt;"A",R225=0),0,SUMIFS($R$18:$R$317,$B$18:$B$317,B225,$D$18:$D$317,D225,$P$18:$P$317,"A"))</f>
        <v/>
      </c>
      <c r="V225">
        <f>IF(OR(N225="",N225="OK",L225="Cancelled"),0,1)</f>
        <v/>
      </c>
    </row>
    <row r="226">
      <c r="B226" s="22" t="n"/>
      <c r="C226" s="23">
        <f>IF(B226="","",$E$9&amp;TEXT(N($E$10)+208,"000"))</f>
        <v/>
      </c>
      <c r="D226" s="14" t="n"/>
      <c r="E226" s="14" t="n"/>
      <c r="F226" s="14" t="n"/>
      <c r="G226" s="24" t="n"/>
      <c r="H226" s="14" t="n"/>
      <c r="I226" s="24" t="n"/>
      <c r="J226" s="25" t="n"/>
      <c r="K226" s="14" t="n"/>
      <c r="L226" s="24" t="n"/>
      <c r="M226" s="26">
        <f>IF(OR(N(J226)=0,L226="Cancelled"),"",IF(AND(N(J226)&gt;5000,H226="Cash"),"Yes: ₹1","No"))</f>
        <v/>
      </c>
      <c r="N226" s="27">
        <f>IF(AND(B226="",D226="",N(J226)=0),"",IF(B226="","Enter the date",IF(AND(ROW()&gt;18,B225=""),"Use the next empty row: a skipped row leaves a gap in the voucher numbers",IF(D226="","Enter who was paid",IF(N(J226)=0,"Enter the amount",IF(E226="","Pick the head of account",IF(P226="?","Pick the head from the list",IF(H226="","Pick how it was paid",IF(L226="Cancelled","Cancelled: keep this number unused and write a fresh voucher",IF(AND(H226&lt;&gt;"Cash",I226=""),"Enter the cheque no., UTR or UPI reference",IF(AND(N($E$11)&gt;0,N(J226)&gt;N($E$11),K226=""),"Above your approval limit: get it approved before paying",IF(S226&gt;10000,"Cash paid to this person today is over ₹10,000: not deductible, s.36(4)",IF(T226&gt;35000,"Cash freight to this transporter today is over ₹35,000: not deductible, s.36(6)",IF(U226&gt;10000,"Asset paid in cash over ₹10,000 today: left out of its cost, s.39(2)",IF(AND(P226="L",H226="Cash",N(J226)&gt;=20000),"Loan of ₹20,000 or more repaid in cash: barred, s.188","OK")))))))))))))))</f>
        <v/>
      </c>
      <c r="P226">
        <f>IF(E226="","",IFERROR(VLOOKUP(E226,Lists!$A$2:$B$17,2,FALSE),"?"))</f>
        <v/>
      </c>
      <c r="Q226">
        <f>IF(L226="Cancelled",0,N(J226))</f>
        <v/>
      </c>
      <c r="R226">
        <f>IF(H226="Cash",Q226,0)</f>
        <v/>
      </c>
      <c r="S226">
        <f>IF(OR(P226&lt;&gt;"E",R226=0),0,SUMIFS($R$18:$R$317,$B$18:$B$317,B226,$D$18:$D$317,D226,$P$18:$P$317,"E"))</f>
        <v/>
      </c>
      <c r="T226">
        <f>IF(OR(P226&lt;&gt;"F",R226=0),0,SUMIFS($R$18:$R$317,$B$18:$B$317,B226,$D$18:$D$317,D226,$P$18:$P$317,"F"))</f>
        <v/>
      </c>
      <c r="U226">
        <f>IF(OR(P226&lt;&gt;"A",R226=0),0,SUMIFS($R$18:$R$317,$B$18:$B$317,B226,$D$18:$D$317,D226,$P$18:$P$317,"A"))</f>
        <v/>
      </c>
      <c r="V226">
        <f>IF(OR(N226="",N226="OK",L226="Cancelled"),0,1)</f>
        <v/>
      </c>
    </row>
    <row r="227">
      <c r="B227" s="22" t="n"/>
      <c r="C227" s="23">
        <f>IF(B227="","",$E$9&amp;TEXT(N($E$10)+209,"000"))</f>
        <v/>
      </c>
      <c r="D227" s="14" t="n"/>
      <c r="E227" s="14" t="n"/>
      <c r="F227" s="14" t="n"/>
      <c r="G227" s="24" t="n"/>
      <c r="H227" s="14" t="n"/>
      <c r="I227" s="24" t="n"/>
      <c r="J227" s="25" t="n"/>
      <c r="K227" s="14" t="n"/>
      <c r="L227" s="24" t="n"/>
      <c r="M227" s="26">
        <f>IF(OR(N(J227)=0,L227="Cancelled"),"",IF(AND(N(J227)&gt;5000,H227="Cash"),"Yes: ₹1","No"))</f>
        <v/>
      </c>
      <c r="N227" s="27">
        <f>IF(AND(B227="",D227="",N(J227)=0),"",IF(B227="","Enter the date",IF(AND(ROW()&gt;18,B226=""),"Use the next empty row: a skipped row leaves a gap in the voucher numbers",IF(D227="","Enter who was paid",IF(N(J227)=0,"Enter the amount",IF(E227="","Pick the head of account",IF(P227="?","Pick the head from the list",IF(H227="","Pick how it was paid",IF(L227="Cancelled","Cancelled: keep this number unused and write a fresh voucher",IF(AND(H227&lt;&gt;"Cash",I227=""),"Enter the cheque no., UTR or UPI reference",IF(AND(N($E$11)&gt;0,N(J227)&gt;N($E$11),K227=""),"Above your approval limit: get it approved before paying",IF(S227&gt;10000,"Cash paid to this person today is over ₹10,000: not deductible, s.36(4)",IF(T227&gt;35000,"Cash freight to this transporter today is over ₹35,000: not deductible, s.36(6)",IF(U227&gt;10000,"Asset paid in cash over ₹10,000 today: left out of its cost, s.39(2)",IF(AND(P227="L",H227="Cash",N(J227)&gt;=20000),"Loan of ₹20,000 or more repaid in cash: barred, s.188","OK")))))))))))))))</f>
        <v/>
      </c>
      <c r="P227">
        <f>IF(E227="","",IFERROR(VLOOKUP(E227,Lists!$A$2:$B$17,2,FALSE),"?"))</f>
        <v/>
      </c>
      <c r="Q227">
        <f>IF(L227="Cancelled",0,N(J227))</f>
        <v/>
      </c>
      <c r="R227">
        <f>IF(H227="Cash",Q227,0)</f>
        <v/>
      </c>
      <c r="S227">
        <f>IF(OR(P227&lt;&gt;"E",R227=0),0,SUMIFS($R$18:$R$317,$B$18:$B$317,B227,$D$18:$D$317,D227,$P$18:$P$317,"E"))</f>
        <v/>
      </c>
      <c r="T227">
        <f>IF(OR(P227&lt;&gt;"F",R227=0),0,SUMIFS($R$18:$R$317,$B$18:$B$317,B227,$D$18:$D$317,D227,$P$18:$P$317,"F"))</f>
        <v/>
      </c>
      <c r="U227">
        <f>IF(OR(P227&lt;&gt;"A",R227=0),0,SUMIFS($R$18:$R$317,$B$18:$B$317,B227,$D$18:$D$317,D227,$P$18:$P$317,"A"))</f>
        <v/>
      </c>
      <c r="V227">
        <f>IF(OR(N227="",N227="OK",L227="Cancelled"),0,1)</f>
        <v/>
      </c>
    </row>
    <row r="228">
      <c r="B228" s="22" t="n"/>
      <c r="C228" s="23">
        <f>IF(B228="","",$E$9&amp;TEXT(N($E$10)+210,"000"))</f>
        <v/>
      </c>
      <c r="D228" s="14" t="n"/>
      <c r="E228" s="14" t="n"/>
      <c r="F228" s="14" t="n"/>
      <c r="G228" s="24" t="n"/>
      <c r="H228" s="14" t="n"/>
      <c r="I228" s="24" t="n"/>
      <c r="J228" s="25" t="n"/>
      <c r="K228" s="14" t="n"/>
      <c r="L228" s="24" t="n"/>
      <c r="M228" s="26">
        <f>IF(OR(N(J228)=0,L228="Cancelled"),"",IF(AND(N(J228)&gt;5000,H228="Cash"),"Yes: ₹1","No"))</f>
        <v/>
      </c>
      <c r="N228" s="27">
        <f>IF(AND(B228="",D228="",N(J228)=0),"",IF(B228="","Enter the date",IF(AND(ROW()&gt;18,B227=""),"Use the next empty row: a skipped row leaves a gap in the voucher numbers",IF(D228="","Enter who was paid",IF(N(J228)=0,"Enter the amount",IF(E228="","Pick the head of account",IF(P228="?","Pick the head from the list",IF(H228="","Pick how it was paid",IF(L228="Cancelled","Cancelled: keep this number unused and write a fresh voucher",IF(AND(H228&lt;&gt;"Cash",I228=""),"Enter the cheque no., UTR or UPI reference",IF(AND(N($E$11)&gt;0,N(J228)&gt;N($E$11),K228=""),"Above your approval limit: get it approved before paying",IF(S228&gt;10000,"Cash paid to this person today is over ₹10,000: not deductible, s.36(4)",IF(T228&gt;35000,"Cash freight to this transporter today is over ₹35,000: not deductible, s.36(6)",IF(U228&gt;10000,"Asset paid in cash over ₹10,000 today: left out of its cost, s.39(2)",IF(AND(P228="L",H228="Cash",N(J228)&gt;=20000),"Loan of ₹20,000 or more repaid in cash: barred, s.188","OK")))))))))))))))</f>
        <v/>
      </c>
      <c r="P228">
        <f>IF(E228="","",IFERROR(VLOOKUP(E228,Lists!$A$2:$B$17,2,FALSE),"?"))</f>
        <v/>
      </c>
      <c r="Q228">
        <f>IF(L228="Cancelled",0,N(J228))</f>
        <v/>
      </c>
      <c r="R228">
        <f>IF(H228="Cash",Q228,0)</f>
        <v/>
      </c>
      <c r="S228">
        <f>IF(OR(P228&lt;&gt;"E",R228=0),0,SUMIFS($R$18:$R$317,$B$18:$B$317,B228,$D$18:$D$317,D228,$P$18:$P$317,"E"))</f>
        <v/>
      </c>
      <c r="T228">
        <f>IF(OR(P228&lt;&gt;"F",R228=0),0,SUMIFS($R$18:$R$317,$B$18:$B$317,B228,$D$18:$D$317,D228,$P$18:$P$317,"F"))</f>
        <v/>
      </c>
      <c r="U228">
        <f>IF(OR(P228&lt;&gt;"A",R228=0),0,SUMIFS($R$18:$R$317,$B$18:$B$317,B228,$D$18:$D$317,D228,$P$18:$P$317,"A"))</f>
        <v/>
      </c>
      <c r="V228">
        <f>IF(OR(N228="",N228="OK",L228="Cancelled"),0,1)</f>
        <v/>
      </c>
    </row>
    <row r="229">
      <c r="B229" s="22" t="n"/>
      <c r="C229" s="23">
        <f>IF(B229="","",$E$9&amp;TEXT(N($E$10)+211,"000"))</f>
        <v/>
      </c>
      <c r="D229" s="14" t="n"/>
      <c r="E229" s="14" t="n"/>
      <c r="F229" s="14" t="n"/>
      <c r="G229" s="24" t="n"/>
      <c r="H229" s="14" t="n"/>
      <c r="I229" s="24" t="n"/>
      <c r="J229" s="25" t="n"/>
      <c r="K229" s="14" t="n"/>
      <c r="L229" s="24" t="n"/>
      <c r="M229" s="26">
        <f>IF(OR(N(J229)=0,L229="Cancelled"),"",IF(AND(N(J229)&gt;5000,H229="Cash"),"Yes: ₹1","No"))</f>
        <v/>
      </c>
      <c r="N229" s="27">
        <f>IF(AND(B229="",D229="",N(J229)=0),"",IF(B229="","Enter the date",IF(AND(ROW()&gt;18,B228=""),"Use the next empty row: a skipped row leaves a gap in the voucher numbers",IF(D229="","Enter who was paid",IF(N(J229)=0,"Enter the amount",IF(E229="","Pick the head of account",IF(P229="?","Pick the head from the list",IF(H229="","Pick how it was paid",IF(L229="Cancelled","Cancelled: keep this number unused and write a fresh voucher",IF(AND(H229&lt;&gt;"Cash",I229=""),"Enter the cheque no., UTR or UPI reference",IF(AND(N($E$11)&gt;0,N(J229)&gt;N($E$11),K229=""),"Above your approval limit: get it approved before paying",IF(S229&gt;10000,"Cash paid to this person today is over ₹10,000: not deductible, s.36(4)",IF(T229&gt;35000,"Cash freight to this transporter today is over ₹35,000: not deductible, s.36(6)",IF(U229&gt;10000,"Asset paid in cash over ₹10,000 today: left out of its cost, s.39(2)",IF(AND(P229="L",H229="Cash",N(J229)&gt;=20000),"Loan of ₹20,000 or more repaid in cash: barred, s.188","OK")))))))))))))))</f>
        <v/>
      </c>
      <c r="P229">
        <f>IF(E229="","",IFERROR(VLOOKUP(E229,Lists!$A$2:$B$17,2,FALSE),"?"))</f>
        <v/>
      </c>
      <c r="Q229">
        <f>IF(L229="Cancelled",0,N(J229))</f>
        <v/>
      </c>
      <c r="R229">
        <f>IF(H229="Cash",Q229,0)</f>
        <v/>
      </c>
      <c r="S229">
        <f>IF(OR(P229&lt;&gt;"E",R229=0),0,SUMIFS($R$18:$R$317,$B$18:$B$317,B229,$D$18:$D$317,D229,$P$18:$P$317,"E"))</f>
        <v/>
      </c>
      <c r="T229">
        <f>IF(OR(P229&lt;&gt;"F",R229=0),0,SUMIFS($R$18:$R$317,$B$18:$B$317,B229,$D$18:$D$317,D229,$P$18:$P$317,"F"))</f>
        <v/>
      </c>
      <c r="U229">
        <f>IF(OR(P229&lt;&gt;"A",R229=0),0,SUMIFS($R$18:$R$317,$B$18:$B$317,B229,$D$18:$D$317,D229,$P$18:$P$317,"A"))</f>
        <v/>
      </c>
      <c r="V229">
        <f>IF(OR(N229="",N229="OK",L229="Cancelled"),0,1)</f>
        <v/>
      </c>
    </row>
    <row r="230">
      <c r="B230" s="22" t="n"/>
      <c r="C230" s="23">
        <f>IF(B230="","",$E$9&amp;TEXT(N($E$10)+212,"000"))</f>
        <v/>
      </c>
      <c r="D230" s="14" t="n"/>
      <c r="E230" s="14" t="n"/>
      <c r="F230" s="14" t="n"/>
      <c r="G230" s="24" t="n"/>
      <c r="H230" s="14" t="n"/>
      <c r="I230" s="24" t="n"/>
      <c r="J230" s="25" t="n"/>
      <c r="K230" s="14" t="n"/>
      <c r="L230" s="24" t="n"/>
      <c r="M230" s="26">
        <f>IF(OR(N(J230)=0,L230="Cancelled"),"",IF(AND(N(J230)&gt;5000,H230="Cash"),"Yes: ₹1","No"))</f>
        <v/>
      </c>
      <c r="N230" s="27">
        <f>IF(AND(B230="",D230="",N(J230)=0),"",IF(B230="","Enter the date",IF(AND(ROW()&gt;18,B229=""),"Use the next empty row: a skipped row leaves a gap in the voucher numbers",IF(D230="","Enter who was paid",IF(N(J230)=0,"Enter the amount",IF(E230="","Pick the head of account",IF(P230="?","Pick the head from the list",IF(H230="","Pick how it was paid",IF(L230="Cancelled","Cancelled: keep this number unused and write a fresh voucher",IF(AND(H230&lt;&gt;"Cash",I230=""),"Enter the cheque no., UTR or UPI reference",IF(AND(N($E$11)&gt;0,N(J230)&gt;N($E$11),K230=""),"Above your approval limit: get it approved before paying",IF(S230&gt;10000,"Cash paid to this person today is over ₹10,000: not deductible, s.36(4)",IF(T230&gt;35000,"Cash freight to this transporter today is over ₹35,000: not deductible, s.36(6)",IF(U230&gt;10000,"Asset paid in cash over ₹10,000 today: left out of its cost, s.39(2)",IF(AND(P230="L",H230="Cash",N(J230)&gt;=20000),"Loan of ₹20,000 or more repaid in cash: barred, s.188","OK")))))))))))))))</f>
        <v/>
      </c>
      <c r="P230">
        <f>IF(E230="","",IFERROR(VLOOKUP(E230,Lists!$A$2:$B$17,2,FALSE),"?"))</f>
        <v/>
      </c>
      <c r="Q230">
        <f>IF(L230="Cancelled",0,N(J230))</f>
        <v/>
      </c>
      <c r="R230">
        <f>IF(H230="Cash",Q230,0)</f>
        <v/>
      </c>
      <c r="S230">
        <f>IF(OR(P230&lt;&gt;"E",R230=0),0,SUMIFS($R$18:$R$317,$B$18:$B$317,B230,$D$18:$D$317,D230,$P$18:$P$317,"E"))</f>
        <v/>
      </c>
      <c r="T230">
        <f>IF(OR(P230&lt;&gt;"F",R230=0),0,SUMIFS($R$18:$R$317,$B$18:$B$317,B230,$D$18:$D$317,D230,$P$18:$P$317,"F"))</f>
        <v/>
      </c>
      <c r="U230">
        <f>IF(OR(P230&lt;&gt;"A",R230=0),0,SUMIFS($R$18:$R$317,$B$18:$B$317,B230,$D$18:$D$317,D230,$P$18:$P$317,"A"))</f>
        <v/>
      </c>
      <c r="V230">
        <f>IF(OR(N230="",N230="OK",L230="Cancelled"),0,1)</f>
        <v/>
      </c>
    </row>
    <row r="231">
      <c r="B231" s="22" t="n"/>
      <c r="C231" s="23">
        <f>IF(B231="","",$E$9&amp;TEXT(N($E$10)+213,"000"))</f>
        <v/>
      </c>
      <c r="D231" s="14" t="n"/>
      <c r="E231" s="14" t="n"/>
      <c r="F231" s="14" t="n"/>
      <c r="G231" s="24" t="n"/>
      <c r="H231" s="14" t="n"/>
      <c r="I231" s="24" t="n"/>
      <c r="J231" s="25" t="n"/>
      <c r="K231" s="14" t="n"/>
      <c r="L231" s="24" t="n"/>
      <c r="M231" s="26">
        <f>IF(OR(N(J231)=0,L231="Cancelled"),"",IF(AND(N(J231)&gt;5000,H231="Cash"),"Yes: ₹1","No"))</f>
        <v/>
      </c>
      <c r="N231" s="27">
        <f>IF(AND(B231="",D231="",N(J231)=0),"",IF(B231="","Enter the date",IF(AND(ROW()&gt;18,B230=""),"Use the next empty row: a skipped row leaves a gap in the voucher numbers",IF(D231="","Enter who was paid",IF(N(J231)=0,"Enter the amount",IF(E231="","Pick the head of account",IF(P231="?","Pick the head from the list",IF(H231="","Pick how it was paid",IF(L231="Cancelled","Cancelled: keep this number unused and write a fresh voucher",IF(AND(H231&lt;&gt;"Cash",I231=""),"Enter the cheque no., UTR or UPI reference",IF(AND(N($E$11)&gt;0,N(J231)&gt;N($E$11),K231=""),"Above your approval limit: get it approved before paying",IF(S231&gt;10000,"Cash paid to this person today is over ₹10,000: not deductible, s.36(4)",IF(T231&gt;35000,"Cash freight to this transporter today is over ₹35,000: not deductible, s.36(6)",IF(U231&gt;10000,"Asset paid in cash over ₹10,000 today: left out of its cost, s.39(2)",IF(AND(P231="L",H231="Cash",N(J231)&gt;=20000),"Loan of ₹20,000 or more repaid in cash: barred, s.188","OK")))))))))))))))</f>
        <v/>
      </c>
      <c r="P231">
        <f>IF(E231="","",IFERROR(VLOOKUP(E231,Lists!$A$2:$B$17,2,FALSE),"?"))</f>
        <v/>
      </c>
      <c r="Q231">
        <f>IF(L231="Cancelled",0,N(J231))</f>
        <v/>
      </c>
      <c r="R231">
        <f>IF(H231="Cash",Q231,0)</f>
        <v/>
      </c>
      <c r="S231">
        <f>IF(OR(P231&lt;&gt;"E",R231=0),0,SUMIFS($R$18:$R$317,$B$18:$B$317,B231,$D$18:$D$317,D231,$P$18:$P$317,"E"))</f>
        <v/>
      </c>
      <c r="T231">
        <f>IF(OR(P231&lt;&gt;"F",R231=0),0,SUMIFS($R$18:$R$317,$B$18:$B$317,B231,$D$18:$D$317,D231,$P$18:$P$317,"F"))</f>
        <v/>
      </c>
      <c r="U231">
        <f>IF(OR(P231&lt;&gt;"A",R231=0),0,SUMIFS($R$18:$R$317,$B$18:$B$317,B231,$D$18:$D$317,D231,$P$18:$P$317,"A"))</f>
        <v/>
      </c>
      <c r="V231">
        <f>IF(OR(N231="",N231="OK",L231="Cancelled"),0,1)</f>
        <v/>
      </c>
    </row>
    <row r="232">
      <c r="B232" s="22" t="n"/>
      <c r="C232" s="23">
        <f>IF(B232="","",$E$9&amp;TEXT(N($E$10)+214,"000"))</f>
        <v/>
      </c>
      <c r="D232" s="14" t="n"/>
      <c r="E232" s="14" t="n"/>
      <c r="F232" s="14" t="n"/>
      <c r="G232" s="24" t="n"/>
      <c r="H232" s="14" t="n"/>
      <c r="I232" s="24" t="n"/>
      <c r="J232" s="25" t="n"/>
      <c r="K232" s="14" t="n"/>
      <c r="L232" s="24" t="n"/>
      <c r="M232" s="26">
        <f>IF(OR(N(J232)=0,L232="Cancelled"),"",IF(AND(N(J232)&gt;5000,H232="Cash"),"Yes: ₹1","No"))</f>
        <v/>
      </c>
      <c r="N232" s="27">
        <f>IF(AND(B232="",D232="",N(J232)=0),"",IF(B232="","Enter the date",IF(AND(ROW()&gt;18,B231=""),"Use the next empty row: a skipped row leaves a gap in the voucher numbers",IF(D232="","Enter who was paid",IF(N(J232)=0,"Enter the amount",IF(E232="","Pick the head of account",IF(P232="?","Pick the head from the list",IF(H232="","Pick how it was paid",IF(L232="Cancelled","Cancelled: keep this number unused and write a fresh voucher",IF(AND(H232&lt;&gt;"Cash",I232=""),"Enter the cheque no., UTR or UPI reference",IF(AND(N($E$11)&gt;0,N(J232)&gt;N($E$11),K232=""),"Above your approval limit: get it approved before paying",IF(S232&gt;10000,"Cash paid to this person today is over ₹10,000: not deductible, s.36(4)",IF(T232&gt;35000,"Cash freight to this transporter today is over ₹35,000: not deductible, s.36(6)",IF(U232&gt;10000,"Asset paid in cash over ₹10,000 today: left out of its cost, s.39(2)",IF(AND(P232="L",H232="Cash",N(J232)&gt;=20000),"Loan of ₹20,000 or more repaid in cash: barred, s.188","OK")))))))))))))))</f>
        <v/>
      </c>
      <c r="P232">
        <f>IF(E232="","",IFERROR(VLOOKUP(E232,Lists!$A$2:$B$17,2,FALSE),"?"))</f>
        <v/>
      </c>
      <c r="Q232">
        <f>IF(L232="Cancelled",0,N(J232))</f>
        <v/>
      </c>
      <c r="R232">
        <f>IF(H232="Cash",Q232,0)</f>
        <v/>
      </c>
      <c r="S232">
        <f>IF(OR(P232&lt;&gt;"E",R232=0),0,SUMIFS($R$18:$R$317,$B$18:$B$317,B232,$D$18:$D$317,D232,$P$18:$P$317,"E"))</f>
        <v/>
      </c>
      <c r="T232">
        <f>IF(OR(P232&lt;&gt;"F",R232=0),0,SUMIFS($R$18:$R$317,$B$18:$B$317,B232,$D$18:$D$317,D232,$P$18:$P$317,"F"))</f>
        <v/>
      </c>
      <c r="U232">
        <f>IF(OR(P232&lt;&gt;"A",R232=0),0,SUMIFS($R$18:$R$317,$B$18:$B$317,B232,$D$18:$D$317,D232,$P$18:$P$317,"A"))</f>
        <v/>
      </c>
      <c r="V232">
        <f>IF(OR(N232="",N232="OK",L232="Cancelled"),0,1)</f>
        <v/>
      </c>
    </row>
    <row r="233">
      <c r="B233" s="22" t="n"/>
      <c r="C233" s="23">
        <f>IF(B233="","",$E$9&amp;TEXT(N($E$10)+215,"000"))</f>
        <v/>
      </c>
      <c r="D233" s="14" t="n"/>
      <c r="E233" s="14" t="n"/>
      <c r="F233" s="14" t="n"/>
      <c r="G233" s="24" t="n"/>
      <c r="H233" s="14" t="n"/>
      <c r="I233" s="24" t="n"/>
      <c r="J233" s="25" t="n"/>
      <c r="K233" s="14" t="n"/>
      <c r="L233" s="24" t="n"/>
      <c r="M233" s="26">
        <f>IF(OR(N(J233)=0,L233="Cancelled"),"",IF(AND(N(J233)&gt;5000,H233="Cash"),"Yes: ₹1","No"))</f>
        <v/>
      </c>
      <c r="N233" s="27">
        <f>IF(AND(B233="",D233="",N(J233)=0),"",IF(B233="","Enter the date",IF(AND(ROW()&gt;18,B232=""),"Use the next empty row: a skipped row leaves a gap in the voucher numbers",IF(D233="","Enter who was paid",IF(N(J233)=0,"Enter the amount",IF(E233="","Pick the head of account",IF(P233="?","Pick the head from the list",IF(H233="","Pick how it was paid",IF(L233="Cancelled","Cancelled: keep this number unused and write a fresh voucher",IF(AND(H233&lt;&gt;"Cash",I233=""),"Enter the cheque no., UTR or UPI reference",IF(AND(N($E$11)&gt;0,N(J233)&gt;N($E$11),K233=""),"Above your approval limit: get it approved before paying",IF(S233&gt;10000,"Cash paid to this person today is over ₹10,000: not deductible, s.36(4)",IF(T233&gt;35000,"Cash freight to this transporter today is over ₹35,000: not deductible, s.36(6)",IF(U233&gt;10000,"Asset paid in cash over ₹10,000 today: left out of its cost, s.39(2)",IF(AND(P233="L",H233="Cash",N(J233)&gt;=20000),"Loan of ₹20,000 or more repaid in cash: barred, s.188","OK")))))))))))))))</f>
        <v/>
      </c>
      <c r="P233">
        <f>IF(E233="","",IFERROR(VLOOKUP(E233,Lists!$A$2:$B$17,2,FALSE),"?"))</f>
        <v/>
      </c>
      <c r="Q233">
        <f>IF(L233="Cancelled",0,N(J233))</f>
        <v/>
      </c>
      <c r="R233">
        <f>IF(H233="Cash",Q233,0)</f>
        <v/>
      </c>
      <c r="S233">
        <f>IF(OR(P233&lt;&gt;"E",R233=0),0,SUMIFS($R$18:$R$317,$B$18:$B$317,B233,$D$18:$D$317,D233,$P$18:$P$317,"E"))</f>
        <v/>
      </c>
      <c r="T233">
        <f>IF(OR(P233&lt;&gt;"F",R233=0),0,SUMIFS($R$18:$R$317,$B$18:$B$317,B233,$D$18:$D$317,D233,$P$18:$P$317,"F"))</f>
        <v/>
      </c>
      <c r="U233">
        <f>IF(OR(P233&lt;&gt;"A",R233=0),0,SUMIFS($R$18:$R$317,$B$18:$B$317,B233,$D$18:$D$317,D233,$P$18:$P$317,"A"))</f>
        <v/>
      </c>
      <c r="V233">
        <f>IF(OR(N233="",N233="OK",L233="Cancelled"),0,1)</f>
        <v/>
      </c>
    </row>
    <row r="234">
      <c r="B234" s="22" t="n"/>
      <c r="C234" s="23">
        <f>IF(B234="","",$E$9&amp;TEXT(N($E$10)+216,"000"))</f>
        <v/>
      </c>
      <c r="D234" s="14" t="n"/>
      <c r="E234" s="14" t="n"/>
      <c r="F234" s="14" t="n"/>
      <c r="G234" s="24" t="n"/>
      <c r="H234" s="14" t="n"/>
      <c r="I234" s="24" t="n"/>
      <c r="J234" s="25" t="n"/>
      <c r="K234" s="14" t="n"/>
      <c r="L234" s="24" t="n"/>
      <c r="M234" s="26">
        <f>IF(OR(N(J234)=0,L234="Cancelled"),"",IF(AND(N(J234)&gt;5000,H234="Cash"),"Yes: ₹1","No"))</f>
        <v/>
      </c>
      <c r="N234" s="27">
        <f>IF(AND(B234="",D234="",N(J234)=0),"",IF(B234="","Enter the date",IF(AND(ROW()&gt;18,B233=""),"Use the next empty row: a skipped row leaves a gap in the voucher numbers",IF(D234="","Enter who was paid",IF(N(J234)=0,"Enter the amount",IF(E234="","Pick the head of account",IF(P234="?","Pick the head from the list",IF(H234="","Pick how it was paid",IF(L234="Cancelled","Cancelled: keep this number unused and write a fresh voucher",IF(AND(H234&lt;&gt;"Cash",I234=""),"Enter the cheque no., UTR or UPI reference",IF(AND(N($E$11)&gt;0,N(J234)&gt;N($E$11),K234=""),"Above your approval limit: get it approved before paying",IF(S234&gt;10000,"Cash paid to this person today is over ₹10,000: not deductible, s.36(4)",IF(T234&gt;35000,"Cash freight to this transporter today is over ₹35,000: not deductible, s.36(6)",IF(U234&gt;10000,"Asset paid in cash over ₹10,000 today: left out of its cost, s.39(2)",IF(AND(P234="L",H234="Cash",N(J234)&gt;=20000),"Loan of ₹20,000 or more repaid in cash: barred, s.188","OK")))))))))))))))</f>
        <v/>
      </c>
      <c r="P234">
        <f>IF(E234="","",IFERROR(VLOOKUP(E234,Lists!$A$2:$B$17,2,FALSE),"?"))</f>
        <v/>
      </c>
      <c r="Q234">
        <f>IF(L234="Cancelled",0,N(J234))</f>
        <v/>
      </c>
      <c r="R234">
        <f>IF(H234="Cash",Q234,0)</f>
        <v/>
      </c>
      <c r="S234">
        <f>IF(OR(P234&lt;&gt;"E",R234=0),0,SUMIFS($R$18:$R$317,$B$18:$B$317,B234,$D$18:$D$317,D234,$P$18:$P$317,"E"))</f>
        <v/>
      </c>
      <c r="T234">
        <f>IF(OR(P234&lt;&gt;"F",R234=0),0,SUMIFS($R$18:$R$317,$B$18:$B$317,B234,$D$18:$D$317,D234,$P$18:$P$317,"F"))</f>
        <v/>
      </c>
      <c r="U234">
        <f>IF(OR(P234&lt;&gt;"A",R234=0),0,SUMIFS($R$18:$R$317,$B$18:$B$317,B234,$D$18:$D$317,D234,$P$18:$P$317,"A"))</f>
        <v/>
      </c>
      <c r="V234">
        <f>IF(OR(N234="",N234="OK",L234="Cancelled"),0,1)</f>
        <v/>
      </c>
    </row>
    <row r="235">
      <c r="B235" s="22" t="n"/>
      <c r="C235" s="23">
        <f>IF(B235="","",$E$9&amp;TEXT(N($E$10)+217,"000"))</f>
        <v/>
      </c>
      <c r="D235" s="14" t="n"/>
      <c r="E235" s="14" t="n"/>
      <c r="F235" s="14" t="n"/>
      <c r="G235" s="24" t="n"/>
      <c r="H235" s="14" t="n"/>
      <c r="I235" s="24" t="n"/>
      <c r="J235" s="25" t="n"/>
      <c r="K235" s="14" t="n"/>
      <c r="L235" s="24" t="n"/>
      <c r="M235" s="26">
        <f>IF(OR(N(J235)=0,L235="Cancelled"),"",IF(AND(N(J235)&gt;5000,H235="Cash"),"Yes: ₹1","No"))</f>
        <v/>
      </c>
      <c r="N235" s="27">
        <f>IF(AND(B235="",D235="",N(J235)=0),"",IF(B235="","Enter the date",IF(AND(ROW()&gt;18,B234=""),"Use the next empty row: a skipped row leaves a gap in the voucher numbers",IF(D235="","Enter who was paid",IF(N(J235)=0,"Enter the amount",IF(E235="","Pick the head of account",IF(P235="?","Pick the head from the list",IF(H235="","Pick how it was paid",IF(L235="Cancelled","Cancelled: keep this number unused and write a fresh voucher",IF(AND(H235&lt;&gt;"Cash",I235=""),"Enter the cheque no., UTR or UPI reference",IF(AND(N($E$11)&gt;0,N(J235)&gt;N($E$11),K235=""),"Above your approval limit: get it approved before paying",IF(S235&gt;10000,"Cash paid to this person today is over ₹10,000: not deductible, s.36(4)",IF(T235&gt;35000,"Cash freight to this transporter today is over ₹35,000: not deductible, s.36(6)",IF(U235&gt;10000,"Asset paid in cash over ₹10,000 today: left out of its cost, s.39(2)",IF(AND(P235="L",H235="Cash",N(J235)&gt;=20000),"Loan of ₹20,000 or more repaid in cash: barred, s.188","OK")))))))))))))))</f>
        <v/>
      </c>
      <c r="P235">
        <f>IF(E235="","",IFERROR(VLOOKUP(E235,Lists!$A$2:$B$17,2,FALSE),"?"))</f>
        <v/>
      </c>
      <c r="Q235">
        <f>IF(L235="Cancelled",0,N(J235))</f>
        <v/>
      </c>
      <c r="R235">
        <f>IF(H235="Cash",Q235,0)</f>
        <v/>
      </c>
      <c r="S235">
        <f>IF(OR(P235&lt;&gt;"E",R235=0),0,SUMIFS($R$18:$R$317,$B$18:$B$317,B235,$D$18:$D$317,D235,$P$18:$P$317,"E"))</f>
        <v/>
      </c>
      <c r="T235">
        <f>IF(OR(P235&lt;&gt;"F",R235=0),0,SUMIFS($R$18:$R$317,$B$18:$B$317,B235,$D$18:$D$317,D235,$P$18:$P$317,"F"))</f>
        <v/>
      </c>
      <c r="U235">
        <f>IF(OR(P235&lt;&gt;"A",R235=0),0,SUMIFS($R$18:$R$317,$B$18:$B$317,B235,$D$18:$D$317,D235,$P$18:$P$317,"A"))</f>
        <v/>
      </c>
      <c r="V235">
        <f>IF(OR(N235="",N235="OK",L235="Cancelled"),0,1)</f>
        <v/>
      </c>
    </row>
    <row r="236">
      <c r="B236" s="22" t="n"/>
      <c r="C236" s="23">
        <f>IF(B236="","",$E$9&amp;TEXT(N($E$10)+218,"000"))</f>
        <v/>
      </c>
      <c r="D236" s="14" t="n"/>
      <c r="E236" s="14" t="n"/>
      <c r="F236" s="14" t="n"/>
      <c r="G236" s="24" t="n"/>
      <c r="H236" s="14" t="n"/>
      <c r="I236" s="24" t="n"/>
      <c r="J236" s="25" t="n"/>
      <c r="K236" s="14" t="n"/>
      <c r="L236" s="24" t="n"/>
      <c r="M236" s="26">
        <f>IF(OR(N(J236)=0,L236="Cancelled"),"",IF(AND(N(J236)&gt;5000,H236="Cash"),"Yes: ₹1","No"))</f>
        <v/>
      </c>
      <c r="N236" s="27">
        <f>IF(AND(B236="",D236="",N(J236)=0),"",IF(B236="","Enter the date",IF(AND(ROW()&gt;18,B235=""),"Use the next empty row: a skipped row leaves a gap in the voucher numbers",IF(D236="","Enter who was paid",IF(N(J236)=0,"Enter the amount",IF(E236="","Pick the head of account",IF(P236="?","Pick the head from the list",IF(H236="","Pick how it was paid",IF(L236="Cancelled","Cancelled: keep this number unused and write a fresh voucher",IF(AND(H236&lt;&gt;"Cash",I236=""),"Enter the cheque no., UTR or UPI reference",IF(AND(N($E$11)&gt;0,N(J236)&gt;N($E$11),K236=""),"Above your approval limit: get it approved before paying",IF(S236&gt;10000,"Cash paid to this person today is over ₹10,000: not deductible, s.36(4)",IF(T236&gt;35000,"Cash freight to this transporter today is over ₹35,000: not deductible, s.36(6)",IF(U236&gt;10000,"Asset paid in cash over ₹10,000 today: left out of its cost, s.39(2)",IF(AND(P236="L",H236="Cash",N(J236)&gt;=20000),"Loan of ₹20,000 or more repaid in cash: barred, s.188","OK")))))))))))))))</f>
        <v/>
      </c>
      <c r="P236">
        <f>IF(E236="","",IFERROR(VLOOKUP(E236,Lists!$A$2:$B$17,2,FALSE),"?"))</f>
        <v/>
      </c>
      <c r="Q236">
        <f>IF(L236="Cancelled",0,N(J236))</f>
        <v/>
      </c>
      <c r="R236">
        <f>IF(H236="Cash",Q236,0)</f>
        <v/>
      </c>
      <c r="S236">
        <f>IF(OR(P236&lt;&gt;"E",R236=0),0,SUMIFS($R$18:$R$317,$B$18:$B$317,B236,$D$18:$D$317,D236,$P$18:$P$317,"E"))</f>
        <v/>
      </c>
      <c r="T236">
        <f>IF(OR(P236&lt;&gt;"F",R236=0),0,SUMIFS($R$18:$R$317,$B$18:$B$317,B236,$D$18:$D$317,D236,$P$18:$P$317,"F"))</f>
        <v/>
      </c>
      <c r="U236">
        <f>IF(OR(P236&lt;&gt;"A",R236=0),0,SUMIFS($R$18:$R$317,$B$18:$B$317,B236,$D$18:$D$317,D236,$P$18:$P$317,"A"))</f>
        <v/>
      </c>
      <c r="V236">
        <f>IF(OR(N236="",N236="OK",L236="Cancelled"),0,1)</f>
        <v/>
      </c>
    </row>
    <row r="237">
      <c r="B237" s="22" t="n"/>
      <c r="C237" s="23">
        <f>IF(B237="","",$E$9&amp;TEXT(N($E$10)+219,"000"))</f>
        <v/>
      </c>
      <c r="D237" s="14" t="n"/>
      <c r="E237" s="14" t="n"/>
      <c r="F237" s="14" t="n"/>
      <c r="G237" s="24" t="n"/>
      <c r="H237" s="14" t="n"/>
      <c r="I237" s="24" t="n"/>
      <c r="J237" s="25" t="n"/>
      <c r="K237" s="14" t="n"/>
      <c r="L237" s="24" t="n"/>
      <c r="M237" s="26">
        <f>IF(OR(N(J237)=0,L237="Cancelled"),"",IF(AND(N(J237)&gt;5000,H237="Cash"),"Yes: ₹1","No"))</f>
        <v/>
      </c>
      <c r="N237" s="27">
        <f>IF(AND(B237="",D237="",N(J237)=0),"",IF(B237="","Enter the date",IF(AND(ROW()&gt;18,B236=""),"Use the next empty row: a skipped row leaves a gap in the voucher numbers",IF(D237="","Enter who was paid",IF(N(J237)=0,"Enter the amount",IF(E237="","Pick the head of account",IF(P237="?","Pick the head from the list",IF(H237="","Pick how it was paid",IF(L237="Cancelled","Cancelled: keep this number unused and write a fresh voucher",IF(AND(H237&lt;&gt;"Cash",I237=""),"Enter the cheque no., UTR or UPI reference",IF(AND(N($E$11)&gt;0,N(J237)&gt;N($E$11),K237=""),"Above your approval limit: get it approved before paying",IF(S237&gt;10000,"Cash paid to this person today is over ₹10,000: not deductible, s.36(4)",IF(T237&gt;35000,"Cash freight to this transporter today is over ₹35,000: not deductible, s.36(6)",IF(U237&gt;10000,"Asset paid in cash over ₹10,000 today: left out of its cost, s.39(2)",IF(AND(P237="L",H237="Cash",N(J237)&gt;=20000),"Loan of ₹20,000 or more repaid in cash: barred, s.188","OK")))))))))))))))</f>
        <v/>
      </c>
      <c r="P237">
        <f>IF(E237="","",IFERROR(VLOOKUP(E237,Lists!$A$2:$B$17,2,FALSE),"?"))</f>
        <v/>
      </c>
      <c r="Q237">
        <f>IF(L237="Cancelled",0,N(J237))</f>
        <v/>
      </c>
      <c r="R237">
        <f>IF(H237="Cash",Q237,0)</f>
        <v/>
      </c>
      <c r="S237">
        <f>IF(OR(P237&lt;&gt;"E",R237=0),0,SUMIFS($R$18:$R$317,$B$18:$B$317,B237,$D$18:$D$317,D237,$P$18:$P$317,"E"))</f>
        <v/>
      </c>
      <c r="T237">
        <f>IF(OR(P237&lt;&gt;"F",R237=0),0,SUMIFS($R$18:$R$317,$B$18:$B$317,B237,$D$18:$D$317,D237,$P$18:$P$317,"F"))</f>
        <v/>
      </c>
      <c r="U237">
        <f>IF(OR(P237&lt;&gt;"A",R237=0),0,SUMIFS($R$18:$R$317,$B$18:$B$317,B237,$D$18:$D$317,D237,$P$18:$P$317,"A"))</f>
        <v/>
      </c>
      <c r="V237">
        <f>IF(OR(N237="",N237="OK",L237="Cancelled"),0,1)</f>
        <v/>
      </c>
    </row>
    <row r="238">
      <c r="B238" s="22" t="n"/>
      <c r="C238" s="23">
        <f>IF(B238="","",$E$9&amp;TEXT(N($E$10)+220,"000"))</f>
        <v/>
      </c>
      <c r="D238" s="14" t="n"/>
      <c r="E238" s="14" t="n"/>
      <c r="F238" s="14" t="n"/>
      <c r="G238" s="24" t="n"/>
      <c r="H238" s="14" t="n"/>
      <c r="I238" s="24" t="n"/>
      <c r="J238" s="25" t="n"/>
      <c r="K238" s="14" t="n"/>
      <c r="L238" s="24" t="n"/>
      <c r="M238" s="26">
        <f>IF(OR(N(J238)=0,L238="Cancelled"),"",IF(AND(N(J238)&gt;5000,H238="Cash"),"Yes: ₹1","No"))</f>
        <v/>
      </c>
      <c r="N238" s="27">
        <f>IF(AND(B238="",D238="",N(J238)=0),"",IF(B238="","Enter the date",IF(AND(ROW()&gt;18,B237=""),"Use the next empty row: a skipped row leaves a gap in the voucher numbers",IF(D238="","Enter who was paid",IF(N(J238)=0,"Enter the amount",IF(E238="","Pick the head of account",IF(P238="?","Pick the head from the list",IF(H238="","Pick how it was paid",IF(L238="Cancelled","Cancelled: keep this number unused and write a fresh voucher",IF(AND(H238&lt;&gt;"Cash",I238=""),"Enter the cheque no., UTR or UPI reference",IF(AND(N($E$11)&gt;0,N(J238)&gt;N($E$11),K238=""),"Above your approval limit: get it approved before paying",IF(S238&gt;10000,"Cash paid to this person today is over ₹10,000: not deductible, s.36(4)",IF(T238&gt;35000,"Cash freight to this transporter today is over ₹35,000: not deductible, s.36(6)",IF(U238&gt;10000,"Asset paid in cash over ₹10,000 today: left out of its cost, s.39(2)",IF(AND(P238="L",H238="Cash",N(J238)&gt;=20000),"Loan of ₹20,000 or more repaid in cash: barred, s.188","OK")))))))))))))))</f>
        <v/>
      </c>
      <c r="P238">
        <f>IF(E238="","",IFERROR(VLOOKUP(E238,Lists!$A$2:$B$17,2,FALSE),"?"))</f>
        <v/>
      </c>
      <c r="Q238">
        <f>IF(L238="Cancelled",0,N(J238))</f>
        <v/>
      </c>
      <c r="R238">
        <f>IF(H238="Cash",Q238,0)</f>
        <v/>
      </c>
      <c r="S238">
        <f>IF(OR(P238&lt;&gt;"E",R238=0),0,SUMIFS($R$18:$R$317,$B$18:$B$317,B238,$D$18:$D$317,D238,$P$18:$P$317,"E"))</f>
        <v/>
      </c>
      <c r="T238">
        <f>IF(OR(P238&lt;&gt;"F",R238=0),0,SUMIFS($R$18:$R$317,$B$18:$B$317,B238,$D$18:$D$317,D238,$P$18:$P$317,"F"))</f>
        <v/>
      </c>
      <c r="U238">
        <f>IF(OR(P238&lt;&gt;"A",R238=0),0,SUMIFS($R$18:$R$317,$B$18:$B$317,B238,$D$18:$D$317,D238,$P$18:$P$317,"A"))</f>
        <v/>
      </c>
      <c r="V238">
        <f>IF(OR(N238="",N238="OK",L238="Cancelled"),0,1)</f>
        <v/>
      </c>
    </row>
    <row r="239">
      <c r="B239" s="22" t="n"/>
      <c r="C239" s="23">
        <f>IF(B239="","",$E$9&amp;TEXT(N($E$10)+221,"000"))</f>
        <v/>
      </c>
      <c r="D239" s="14" t="n"/>
      <c r="E239" s="14" t="n"/>
      <c r="F239" s="14" t="n"/>
      <c r="G239" s="24" t="n"/>
      <c r="H239" s="14" t="n"/>
      <c r="I239" s="24" t="n"/>
      <c r="J239" s="25" t="n"/>
      <c r="K239" s="14" t="n"/>
      <c r="L239" s="24" t="n"/>
      <c r="M239" s="26">
        <f>IF(OR(N(J239)=0,L239="Cancelled"),"",IF(AND(N(J239)&gt;5000,H239="Cash"),"Yes: ₹1","No"))</f>
        <v/>
      </c>
      <c r="N239" s="27">
        <f>IF(AND(B239="",D239="",N(J239)=0),"",IF(B239="","Enter the date",IF(AND(ROW()&gt;18,B238=""),"Use the next empty row: a skipped row leaves a gap in the voucher numbers",IF(D239="","Enter who was paid",IF(N(J239)=0,"Enter the amount",IF(E239="","Pick the head of account",IF(P239="?","Pick the head from the list",IF(H239="","Pick how it was paid",IF(L239="Cancelled","Cancelled: keep this number unused and write a fresh voucher",IF(AND(H239&lt;&gt;"Cash",I239=""),"Enter the cheque no., UTR or UPI reference",IF(AND(N($E$11)&gt;0,N(J239)&gt;N($E$11),K239=""),"Above your approval limit: get it approved before paying",IF(S239&gt;10000,"Cash paid to this person today is over ₹10,000: not deductible, s.36(4)",IF(T239&gt;35000,"Cash freight to this transporter today is over ₹35,000: not deductible, s.36(6)",IF(U239&gt;10000,"Asset paid in cash over ₹10,000 today: left out of its cost, s.39(2)",IF(AND(P239="L",H239="Cash",N(J239)&gt;=20000),"Loan of ₹20,000 or more repaid in cash: barred, s.188","OK")))))))))))))))</f>
        <v/>
      </c>
      <c r="P239">
        <f>IF(E239="","",IFERROR(VLOOKUP(E239,Lists!$A$2:$B$17,2,FALSE),"?"))</f>
        <v/>
      </c>
      <c r="Q239">
        <f>IF(L239="Cancelled",0,N(J239))</f>
        <v/>
      </c>
      <c r="R239">
        <f>IF(H239="Cash",Q239,0)</f>
        <v/>
      </c>
      <c r="S239">
        <f>IF(OR(P239&lt;&gt;"E",R239=0),0,SUMIFS($R$18:$R$317,$B$18:$B$317,B239,$D$18:$D$317,D239,$P$18:$P$317,"E"))</f>
        <v/>
      </c>
      <c r="T239">
        <f>IF(OR(P239&lt;&gt;"F",R239=0),0,SUMIFS($R$18:$R$317,$B$18:$B$317,B239,$D$18:$D$317,D239,$P$18:$P$317,"F"))</f>
        <v/>
      </c>
      <c r="U239">
        <f>IF(OR(P239&lt;&gt;"A",R239=0),0,SUMIFS($R$18:$R$317,$B$18:$B$317,B239,$D$18:$D$317,D239,$P$18:$P$317,"A"))</f>
        <v/>
      </c>
      <c r="V239">
        <f>IF(OR(N239="",N239="OK",L239="Cancelled"),0,1)</f>
        <v/>
      </c>
    </row>
    <row r="240">
      <c r="B240" s="22" t="n"/>
      <c r="C240" s="23">
        <f>IF(B240="","",$E$9&amp;TEXT(N($E$10)+222,"000"))</f>
        <v/>
      </c>
      <c r="D240" s="14" t="n"/>
      <c r="E240" s="14" t="n"/>
      <c r="F240" s="14" t="n"/>
      <c r="G240" s="24" t="n"/>
      <c r="H240" s="14" t="n"/>
      <c r="I240" s="24" t="n"/>
      <c r="J240" s="25" t="n"/>
      <c r="K240" s="14" t="n"/>
      <c r="L240" s="24" t="n"/>
      <c r="M240" s="26">
        <f>IF(OR(N(J240)=0,L240="Cancelled"),"",IF(AND(N(J240)&gt;5000,H240="Cash"),"Yes: ₹1","No"))</f>
        <v/>
      </c>
      <c r="N240" s="27">
        <f>IF(AND(B240="",D240="",N(J240)=0),"",IF(B240="","Enter the date",IF(AND(ROW()&gt;18,B239=""),"Use the next empty row: a skipped row leaves a gap in the voucher numbers",IF(D240="","Enter who was paid",IF(N(J240)=0,"Enter the amount",IF(E240="","Pick the head of account",IF(P240="?","Pick the head from the list",IF(H240="","Pick how it was paid",IF(L240="Cancelled","Cancelled: keep this number unused and write a fresh voucher",IF(AND(H240&lt;&gt;"Cash",I240=""),"Enter the cheque no., UTR or UPI reference",IF(AND(N($E$11)&gt;0,N(J240)&gt;N($E$11),K240=""),"Above your approval limit: get it approved before paying",IF(S240&gt;10000,"Cash paid to this person today is over ₹10,000: not deductible, s.36(4)",IF(T240&gt;35000,"Cash freight to this transporter today is over ₹35,000: not deductible, s.36(6)",IF(U240&gt;10000,"Asset paid in cash over ₹10,000 today: left out of its cost, s.39(2)",IF(AND(P240="L",H240="Cash",N(J240)&gt;=20000),"Loan of ₹20,000 or more repaid in cash: barred, s.188","OK")))))))))))))))</f>
        <v/>
      </c>
      <c r="P240">
        <f>IF(E240="","",IFERROR(VLOOKUP(E240,Lists!$A$2:$B$17,2,FALSE),"?"))</f>
        <v/>
      </c>
      <c r="Q240">
        <f>IF(L240="Cancelled",0,N(J240))</f>
        <v/>
      </c>
      <c r="R240">
        <f>IF(H240="Cash",Q240,0)</f>
        <v/>
      </c>
      <c r="S240">
        <f>IF(OR(P240&lt;&gt;"E",R240=0),0,SUMIFS($R$18:$R$317,$B$18:$B$317,B240,$D$18:$D$317,D240,$P$18:$P$317,"E"))</f>
        <v/>
      </c>
      <c r="T240">
        <f>IF(OR(P240&lt;&gt;"F",R240=0),0,SUMIFS($R$18:$R$317,$B$18:$B$317,B240,$D$18:$D$317,D240,$P$18:$P$317,"F"))</f>
        <v/>
      </c>
      <c r="U240">
        <f>IF(OR(P240&lt;&gt;"A",R240=0),0,SUMIFS($R$18:$R$317,$B$18:$B$317,B240,$D$18:$D$317,D240,$P$18:$P$317,"A"))</f>
        <v/>
      </c>
      <c r="V240">
        <f>IF(OR(N240="",N240="OK",L240="Cancelled"),0,1)</f>
        <v/>
      </c>
    </row>
    <row r="241">
      <c r="B241" s="22" t="n"/>
      <c r="C241" s="23">
        <f>IF(B241="","",$E$9&amp;TEXT(N($E$10)+223,"000"))</f>
        <v/>
      </c>
      <c r="D241" s="14" t="n"/>
      <c r="E241" s="14" t="n"/>
      <c r="F241" s="14" t="n"/>
      <c r="G241" s="24" t="n"/>
      <c r="H241" s="14" t="n"/>
      <c r="I241" s="24" t="n"/>
      <c r="J241" s="25" t="n"/>
      <c r="K241" s="14" t="n"/>
      <c r="L241" s="24" t="n"/>
      <c r="M241" s="26">
        <f>IF(OR(N(J241)=0,L241="Cancelled"),"",IF(AND(N(J241)&gt;5000,H241="Cash"),"Yes: ₹1","No"))</f>
        <v/>
      </c>
      <c r="N241" s="27">
        <f>IF(AND(B241="",D241="",N(J241)=0),"",IF(B241="","Enter the date",IF(AND(ROW()&gt;18,B240=""),"Use the next empty row: a skipped row leaves a gap in the voucher numbers",IF(D241="","Enter who was paid",IF(N(J241)=0,"Enter the amount",IF(E241="","Pick the head of account",IF(P241="?","Pick the head from the list",IF(H241="","Pick how it was paid",IF(L241="Cancelled","Cancelled: keep this number unused and write a fresh voucher",IF(AND(H241&lt;&gt;"Cash",I241=""),"Enter the cheque no., UTR or UPI reference",IF(AND(N($E$11)&gt;0,N(J241)&gt;N($E$11),K241=""),"Above your approval limit: get it approved before paying",IF(S241&gt;10000,"Cash paid to this person today is over ₹10,000: not deductible, s.36(4)",IF(T241&gt;35000,"Cash freight to this transporter today is over ₹35,000: not deductible, s.36(6)",IF(U241&gt;10000,"Asset paid in cash over ₹10,000 today: left out of its cost, s.39(2)",IF(AND(P241="L",H241="Cash",N(J241)&gt;=20000),"Loan of ₹20,000 or more repaid in cash: barred, s.188","OK")))))))))))))))</f>
        <v/>
      </c>
      <c r="P241">
        <f>IF(E241="","",IFERROR(VLOOKUP(E241,Lists!$A$2:$B$17,2,FALSE),"?"))</f>
        <v/>
      </c>
      <c r="Q241">
        <f>IF(L241="Cancelled",0,N(J241))</f>
        <v/>
      </c>
      <c r="R241">
        <f>IF(H241="Cash",Q241,0)</f>
        <v/>
      </c>
      <c r="S241">
        <f>IF(OR(P241&lt;&gt;"E",R241=0),0,SUMIFS($R$18:$R$317,$B$18:$B$317,B241,$D$18:$D$317,D241,$P$18:$P$317,"E"))</f>
        <v/>
      </c>
      <c r="T241">
        <f>IF(OR(P241&lt;&gt;"F",R241=0),0,SUMIFS($R$18:$R$317,$B$18:$B$317,B241,$D$18:$D$317,D241,$P$18:$P$317,"F"))</f>
        <v/>
      </c>
      <c r="U241">
        <f>IF(OR(P241&lt;&gt;"A",R241=0),0,SUMIFS($R$18:$R$317,$B$18:$B$317,B241,$D$18:$D$317,D241,$P$18:$P$317,"A"))</f>
        <v/>
      </c>
      <c r="V241">
        <f>IF(OR(N241="",N241="OK",L241="Cancelled"),0,1)</f>
        <v/>
      </c>
    </row>
    <row r="242">
      <c r="B242" s="22" t="n"/>
      <c r="C242" s="23">
        <f>IF(B242="","",$E$9&amp;TEXT(N($E$10)+224,"000"))</f>
        <v/>
      </c>
      <c r="D242" s="14" t="n"/>
      <c r="E242" s="14" t="n"/>
      <c r="F242" s="14" t="n"/>
      <c r="G242" s="24" t="n"/>
      <c r="H242" s="14" t="n"/>
      <c r="I242" s="24" t="n"/>
      <c r="J242" s="25" t="n"/>
      <c r="K242" s="14" t="n"/>
      <c r="L242" s="24" t="n"/>
      <c r="M242" s="26">
        <f>IF(OR(N(J242)=0,L242="Cancelled"),"",IF(AND(N(J242)&gt;5000,H242="Cash"),"Yes: ₹1","No"))</f>
        <v/>
      </c>
      <c r="N242" s="27">
        <f>IF(AND(B242="",D242="",N(J242)=0),"",IF(B242="","Enter the date",IF(AND(ROW()&gt;18,B241=""),"Use the next empty row: a skipped row leaves a gap in the voucher numbers",IF(D242="","Enter who was paid",IF(N(J242)=0,"Enter the amount",IF(E242="","Pick the head of account",IF(P242="?","Pick the head from the list",IF(H242="","Pick how it was paid",IF(L242="Cancelled","Cancelled: keep this number unused and write a fresh voucher",IF(AND(H242&lt;&gt;"Cash",I242=""),"Enter the cheque no., UTR or UPI reference",IF(AND(N($E$11)&gt;0,N(J242)&gt;N($E$11),K242=""),"Above your approval limit: get it approved before paying",IF(S242&gt;10000,"Cash paid to this person today is over ₹10,000: not deductible, s.36(4)",IF(T242&gt;35000,"Cash freight to this transporter today is over ₹35,000: not deductible, s.36(6)",IF(U242&gt;10000,"Asset paid in cash over ₹10,000 today: left out of its cost, s.39(2)",IF(AND(P242="L",H242="Cash",N(J242)&gt;=20000),"Loan of ₹20,000 or more repaid in cash: barred, s.188","OK")))))))))))))))</f>
        <v/>
      </c>
      <c r="P242">
        <f>IF(E242="","",IFERROR(VLOOKUP(E242,Lists!$A$2:$B$17,2,FALSE),"?"))</f>
        <v/>
      </c>
      <c r="Q242">
        <f>IF(L242="Cancelled",0,N(J242))</f>
        <v/>
      </c>
      <c r="R242">
        <f>IF(H242="Cash",Q242,0)</f>
        <v/>
      </c>
      <c r="S242">
        <f>IF(OR(P242&lt;&gt;"E",R242=0),0,SUMIFS($R$18:$R$317,$B$18:$B$317,B242,$D$18:$D$317,D242,$P$18:$P$317,"E"))</f>
        <v/>
      </c>
      <c r="T242">
        <f>IF(OR(P242&lt;&gt;"F",R242=0),0,SUMIFS($R$18:$R$317,$B$18:$B$317,B242,$D$18:$D$317,D242,$P$18:$P$317,"F"))</f>
        <v/>
      </c>
      <c r="U242">
        <f>IF(OR(P242&lt;&gt;"A",R242=0),0,SUMIFS($R$18:$R$317,$B$18:$B$317,B242,$D$18:$D$317,D242,$P$18:$P$317,"A"))</f>
        <v/>
      </c>
      <c r="V242">
        <f>IF(OR(N242="",N242="OK",L242="Cancelled"),0,1)</f>
        <v/>
      </c>
    </row>
    <row r="243">
      <c r="B243" s="22" t="n"/>
      <c r="C243" s="23">
        <f>IF(B243="","",$E$9&amp;TEXT(N($E$10)+225,"000"))</f>
        <v/>
      </c>
      <c r="D243" s="14" t="n"/>
      <c r="E243" s="14" t="n"/>
      <c r="F243" s="14" t="n"/>
      <c r="G243" s="24" t="n"/>
      <c r="H243" s="14" t="n"/>
      <c r="I243" s="24" t="n"/>
      <c r="J243" s="25" t="n"/>
      <c r="K243" s="14" t="n"/>
      <c r="L243" s="24" t="n"/>
      <c r="M243" s="26">
        <f>IF(OR(N(J243)=0,L243="Cancelled"),"",IF(AND(N(J243)&gt;5000,H243="Cash"),"Yes: ₹1","No"))</f>
        <v/>
      </c>
      <c r="N243" s="27">
        <f>IF(AND(B243="",D243="",N(J243)=0),"",IF(B243="","Enter the date",IF(AND(ROW()&gt;18,B242=""),"Use the next empty row: a skipped row leaves a gap in the voucher numbers",IF(D243="","Enter who was paid",IF(N(J243)=0,"Enter the amount",IF(E243="","Pick the head of account",IF(P243="?","Pick the head from the list",IF(H243="","Pick how it was paid",IF(L243="Cancelled","Cancelled: keep this number unused and write a fresh voucher",IF(AND(H243&lt;&gt;"Cash",I243=""),"Enter the cheque no., UTR or UPI reference",IF(AND(N($E$11)&gt;0,N(J243)&gt;N($E$11),K243=""),"Above your approval limit: get it approved before paying",IF(S243&gt;10000,"Cash paid to this person today is over ₹10,000: not deductible, s.36(4)",IF(T243&gt;35000,"Cash freight to this transporter today is over ₹35,000: not deductible, s.36(6)",IF(U243&gt;10000,"Asset paid in cash over ₹10,000 today: left out of its cost, s.39(2)",IF(AND(P243="L",H243="Cash",N(J243)&gt;=20000),"Loan of ₹20,000 or more repaid in cash: barred, s.188","OK")))))))))))))))</f>
        <v/>
      </c>
      <c r="P243">
        <f>IF(E243="","",IFERROR(VLOOKUP(E243,Lists!$A$2:$B$17,2,FALSE),"?"))</f>
        <v/>
      </c>
      <c r="Q243">
        <f>IF(L243="Cancelled",0,N(J243))</f>
        <v/>
      </c>
      <c r="R243">
        <f>IF(H243="Cash",Q243,0)</f>
        <v/>
      </c>
      <c r="S243">
        <f>IF(OR(P243&lt;&gt;"E",R243=0),0,SUMIFS($R$18:$R$317,$B$18:$B$317,B243,$D$18:$D$317,D243,$P$18:$P$317,"E"))</f>
        <v/>
      </c>
      <c r="T243">
        <f>IF(OR(P243&lt;&gt;"F",R243=0),0,SUMIFS($R$18:$R$317,$B$18:$B$317,B243,$D$18:$D$317,D243,$P$18:$P$317,"F"))</f>
        <v/>
      </c>
      <c r="U243">
        <f>IF(OR(P243&lt;&gt;"A",R243=0),0,SUMIFS($R$18:$R$317,$B$18:$B$317,B243,$D$18:$D$317,D243,$P$18:$P$317,"A"))</f>
        <v/>
      </c>
      <c r="V243">
        <f>IF(OR(N243="",N243="OK",L243="Cancelled"),0,1)</f>
        <v/>
      </c>
    </row>
    <row r="244">
      <c r="B244" s="22" t="n"/>
      <c r="C244" s="23">
        <f>IF(B244="","",$E$9&amp;TEXT(N($E$10)+226,"000"))</f>
        <v/>
      </c>
      <c r="D244" s="14" t="n"/>
      <c r="E244" s="14" t="n"/>
      <c r="F244" s="14" t="n"/>
      <c r="G244" s="24" t="n"/>
      <c r="H244" s="14" t="n"/>
      <c r="I244" s="24" t="n"/>
      <c r="J244" s="25" t="n"/>
      <c r="K244" s="14" t="n"/>
      <c r="L244" s="24" t="n"/>
      <c r="M244" s="26">
        <f>IF(OR(N(J244)=0,L244="Cancelled"),"",IF(AND(N(J244)&gt;5000,H244="Cash"),"Yes: ₹1","No"))</f>
        <v/>
      </c>
      <c r="N244" s="27">
        <f>IF(AND(B244="",D244="",N(J244)=0),"",IF(B244="","Enter the date",IF(AND(ROW()&gt;18,B243=""),"Use the next empty row: a skipped row leaves a gap in the voucher numbers",IF(D244="","Enter who was paid",IF(N(J244)=0,"Enter the amount",IF(E244="","Pick the head of account",IF(P244="?","Pick the head from the list",IF(H244="","Pick how it was paid",IF(L244="Cancelled","Cancelled: keep this number unused and write a fresh voucher",IF(AND(H244&lt;&gt;"Cash",I244=""),"Enter the cheque no., UTR or UPI reference",IF(AND(N($E$11)&gt;0,N(J244)&gt;N($E$11),K244=""),"Above your approval limit: get it approved before paying",IF(S244&gt;10000,"Cash paid to this person today is over ₹10,000: not deductible, s.36(4)",IF(T244&gt;35000,"Cash freight to this transporter today is over ₹35,000: not deductible, s.36(6)",IF(U244&gt;10000,"Asset paid in cash over ₹10,000 today: left out of its cost, s.39(2)",IF(AND(P244="L",H244="Cash",N(J244)&gt;=20000),"Loan of ₹20,000 or more repaid in cash: barred, s.188","OK")))))))))))))))</f>
        <v/>
      </c>
      <c r="P244">
        <f>IF(E244="","",IFERROR(VLOOKUP(E244,Lists!$A$2:$B$17,2,FALSE),"?"))</f>
        <v/>
      </c>
      <c r="Q244">
        <f>IF(L244="Cancelled",0,N(J244))</f>
        <v/>
      </c>
      <c r="R244">
        <f>IF(H244="Cash",Q244,0)</f>
        <v/>
      </c>
      <c r="S244">
        <f>IF(OR(P244&lt;&gt;"E",R244=0),0,SUMIFS($R$18:$R$317,$B$18:$B$317,B244,$D$18:$D$317,D244,$P$18:$P$317,"E"))</f>
        <v/>
      </c>
      <c r="T244">
        <f>IF(OR(P244&lt;&gt;"F",R244=0),0,SUMIFS($R$18:$R$317,$B$18:$B$317,B244,$D$18:$D$317,D244,$P$18:$P$317,"F"))</f>
        <v/>
      </c>
      <c r="U244">
        <f>IF(OR(P244&lt;&gt;"A",R244=0),0,SUMIFS($R$18:$R$317,$B$18:$B$317,B244,$D$18:$D$317,D244,$P$18:$P$317,"A"))</f>
        <v/>
      </c>
      <c r="V244">
        <f>IF(OR(N244="",N244="OK",L244="Cancelled"),0,1)</f>
        <v/>
      </c>
    </row>
    <row r="245">
      <c r="B245" s="22" t="n"/>
      <c r="C245" s="23">
        <f>IF(B245="","",$E$9&amp;TEXT(N($E$10)+227,"000"))</f>
        <v/>
      </c>
      <c r="D245" s="14" t="n"/>
      <c r="E245" s="14" t="n"/>
      <c r="F245" s="14" t="n"/>
      <c r="G245" s="24" t="n"/>
      <c r="H245" s="14" t="n"/>
      <c r="I245" s="24" t="n"/>
      <c r="J245" s="25" t="n"/>
      <c r="K245" s="14" t="n"/>
      <c r="L245" s="24" t="n"/>
      <c r="M245" s="26">
        <f>IF(OR(N(J245)=0,L245="Cancelled"),"",IF(AND(N(J245)&gt;5000,H245="Cash"),"Yes: ₹1","No"))</f>
        <v/>
      </c>
      <c r="N245" s="27">
        <f>IF(AND(B245="",D245="",N(J245)=0),"",IF(B245="","Enter the date",IF(AND(ROW()&gt;18,B244=""),"Use the next empty row: a skipped row leaves a gap in the voucher numbers",IF(D245="","Enter who was paid",IF(N(J245)=0,"Enter the amount",IF(E245="","Pick the head of account",IF(P245="?","Pick the head from the list",IF(H245="","Pick how it was paid",IF(L245="Cancelled","Cancelled: keep this number unused and write a fresh voucher",IF(AND(H245&lt;&gt;"Cash",I245=""),"Enter the cheque no., UTR or UPI reference",IF(AND(N($E$11)&gt;0,N(J245)&gt;N($E$11),K245=""),"Above your approval limit: get it approved before paying",IF(S245&gt;10000,"Cash paid to this person today is over ₹10,000: not deductible, s.36(4)",IF(T245&gt;35000,"Cash freight to this transporter today is over ₹35,000: not deductible, s.36(6)",IF(U245&gt;10000,"Asset paid in cash over ₹10,000 today: left out of its cost, s.39(2)",IF(AND(P245="L",H245="Cash",N(J245)&gt;=20000),"Loan of ₹20,000 or more repaid in cash: barred, s.188","OK")))))))))))))))</f>
        <v/>
      </c>
      <c r="P245">
        <f>IF(E245="","",IFERROR(VLOOKUP(E245,Lists!$A$2:$B$17,2,FALSE),"?"))</f>
        <v/>
      </c>
      <c r="Q245">
        <f>IF(L245="Cancelled",0,N(J245))</f>
        <v/>
      </c>
      <c r="R245">
        <f>IF(H245="Cash",Q245,0)</f>
        <v/>
      </c>
      <c r="S245">
        <f>IF(OR(P245&lt;&gt;"E",R245=0),0,SUMIFS($R$18:$R$317,$B$18:$B$317,B245,$D$18:$D$317,D245,$P$18:$P$317,"E"))</f>
        <v/>
      </c>
      <c r="T245">
        <f>IF(OR(P245&lt;&gt;"F",R245=0),0,SUMIFS($R$18:$R$317,$B$18:$B$317,B245,$D$18:$D$317,D245,$P$18:$P$317,"F"))</f>
        <v/>
      </c>
      <c r="U245">
        <f>IF(OR(P245&lt;&gt;"A",R245=0),0,SUMIFS($R$18:$R$317,$B$18:$B$317,B245,$D$18:$D$317,D245,$P$18:$P$317,"A"))</f>
        <v/>
      </c>
      <c r="V245">
        <f>IF(OR(N245="",N245="OK",L245="Cancelled"),0,1)</f>
        <v/>
      </c>
    </row>
    <row r="246">
      <c r="B246" s="22" t="n"/>
      <c r="C246" s="23">
        <f>IF(B246="","",$E$9&amp;TEXT(N($E$10)+228,"000"))</f>
        <v/>
      </c>
      <c r="D246" s="14" t="n"/>
      <c r="E246" s="14" t="n"/>
      <c r="F246" s="14" t="n"/>
      <c r="G246" s="24" t="n"/>
      <c r="H246" s="14" t="n"/>
      <c r="I246" s="24" t="n"/>
      <c r="J246" s="25" t="n"/>
      <c r="K246" s="14" t="n"/>
      <c r="L246" s="24" t="n"/>
      <c r="M246" s="26">
        <f>IF(OR(N(J246)=0,L246="Cancelled"),"",IF(AND(N(J246)&gt;5000,H246="Cash"),"Yes: ₹1","No"))</f>
        <v/>
      </c>
      <c r="N246" s="27">
        <f>IF(AND(B246="",D246="",N(J246)=0),"",IF(B246="","Enter the date",IF(AND(ROW()&gt;18,B245=""),"Use the next empty row: a skipped row leaves a gap in the voucher numbers",IF(D246="","Enter who was paid",IF(N(J246)=0,"Enter the amount",IF(E246="","Pick the head of account",IF(P246="?","Pick the head from the list",IF(H246="","Pick how it was paid",IF(L246="Cancelled","Cancelled: keep this number unused and write a fresh voucher",IF(AND(H246&lt;&gt;"Cash",I246=""),"Enter the cheque no., UTR or UPI reference",IF(AND(N($E$11)&gt;0,N(J246)&gt;N($E$11),K246=""),"Above your approval limit: get it approved before paying",IF(S246&gt;10000,"Cash paid to this person today is over ₹10,000: not deductible, s.36(4)",IF(T246&gt;35000,"Cash freight to this transporter today is over ₹35,000: not deductible, s.36(6)",IF(U246&gt;10000,"Asset paid in cash over ₹10,000 today: left out of its cost, s.39(2)",IF(AND(P246="L",H246="Cash",N(J246)&gt;=20000),"Loan of ₹20,000 or more repaid in cash: barred, s.188","OK")))))))))))))))</f>
        <v/>
      </c>
      <c r="P246">
        <f>IF(E246="","",IFERROR(VLOOKUP(E246,Lists!$A$2:$B$17,2,FALSE),"?"))</f>
        <v/>
      </c>
      <c r="Q246">
        <f>IF(L246="Cancelled",0,N(J246))</f>
        <v/>
      </c>
      <c r="R246">
        <f>IF(H246="Cash",Q246,0)</f>
        <v/>
      </c>
      <c r="S246">
        <f>IF(OR(P246&lt;&gt;"E",R246=0),0,SUMIFS($R$18:$R$317,$B$18:$B$317,B246,$D$18:$D$317,D246,$P$18:$P$317,"E"))</f>
        <v/>
      </c>
      <c r="T246">
        <f>IF(OR(P246&lt;&gt;"F",R246=0),0,SUMIFS($R$18:$R$317,$B$18:$B$317,B246,$D$18:$D$317,D246,$P$18:$P$317,"F"))</f>
        <v/>
      </c>
      <c r="U246">
        <f>IF(OR(P246&lt;&gt;"A",R246=0),0,SUMIFS($R$18:$R$317,$B$18:$B$317,B246,$D$18:$D$317,D246,$P$18:$P$317,"A"))</f>
        <v/>
      </c>
      <c r="V246">
        <f>IF(OR(N246="",N246="OK",L246="Cancelled"),0,1)</f>
        <v/>
      </c>
    </row>
    <row r="247">
      <c r="B247" s="22" t="n"/>
      <c r="C247" s="23">
        <f>IF(B247="","",$E$9&amp;TEXT(N($E$10)+229,"000"))</f>
        <v/>
      </c>
      <c r="D247" s="14" t="n"/>
      <c r="E247" s="14" t="n"/>
      <c r="F247" s="14" t="n"/>
      <c r="G247" s="24" t="n"/>
      <c r="H247" s="14" t="n"/>
      <c r="I247" s="24" t="n"/>
      <c r="J247" s="25" t="n"/>
      <c r="K247" s="14" t="n"/>
      <c r="L247" s="24" t="n"/>
      <c r="M247" s="26">
        <f>IF(OR(N(J247)=0,L247="Cancelled"),"",IF(AND(N(J247)&gt;5000,H247="Cash"),"Yes: ₹1","No"))</f>
        <v/>
      </c>
      <c r="N247" s="27">
        <f>IF(AND(B247="",D247="",N(J247)=0),"",IF(B247="","Enter the date",IF(AND(ROW()&gt;18,B246=""),"Use the next empty row: a skipped row leaves a gap in the voucher numbers",IF(D247="","Enter who was paid",IF(N(J247)=0,"Enter the amount",IF(E247="","Pick the head of account",IF(P247="?","Pick the head from the list",IF(H247="","Pick how it was paid",IF(L247="Cancelled","Cancelled: keep this number unused and write a fresh voucher",IF(AND(H247&lt;&gt;"Cash",I247=""),"Enter the cheque no., UTR or UPI reference",IF(AND(N($E$11)&gt;0,N(J247)&gt;N($E$11),K247=""),"Above your approval limit: get it approved before paying",IF(S247&gt;10000,"Cash paid to this person today is over ₹10,000: not deductible, s.36(4)",IF(T247&gt;35000,"Cash freight to this transporter today is over ₹35,000: not deductible, s.36(6)",IF(U247&gt;10000,"Asset paid in cash over ₹10,000 today: left out of its cost, s.39(2)",IF(AND(P247="L",H247="Cash",N(J247)&gt;=20000),"Loan of ₹20,000 or more repaid in cash: barred, s.188","OK")))))))))))))))</f>
        <v/>
      </c>
      <c r="P247">
        <f>IF(E247="","",IFERROR(VLOOKUP(E247,Lists!$A$2:$B$17,2,FALSE),"?"))</f>
        <v/>
      </c>
      <c r="Q247">
        <f>IF(L247="Cancelled",0,N(J247))</f>
        <v/>
      </c>
      <c r="R247">
        <f>IF(H247="Cash",Q247,0)</f>
        <v/>
      </c>
      <c r="S247">
        <f>IF(OR(P247&lt;&gt;"E",R247=0),0,SUMIFS($R$18:$R$317,$B$18:$B$317,B247,$D$18:$D$317,D247,$P$18:$P$317,"E"))</f>
        <v/>
      </c>
      <c r="T247">
        <f>IF(OR(P247&lt;&gt;"F",R247=0),0,SUMIFS($R$18:$R$317,$B$18:$B$317,B247,$D$18:$D$317,D247,$P$18:$P$317,"F"))</f>
        <v/>
      </c>
      <c r="U247">
        <f>IF(OR(P247&lt;&gt;"A",R247=0),0,SUMIFS($R$18:$R$317,$B$18:$B$317,B247,$D$18:$D$317,D247,$P$18:$P$317,"A"))</f>
        <v/>
      </c>
      <c r="V247">
        <f>IF(OR(N247="",N247="OK",L247="Cancelled"),0,1)</f>
        <v/>
      </c>
    </row>
    <row r="248">
      <c r="B248" s="22" t="n"/>
      <c r="C248" s="23">
        <f>IF(B248="","",$E$9&amp;TEXT(N($E$10)+230,"000"))</f>
        <v/>
      </c>
      <c r="D248" s="14" t="n"/>
      <c r="E248" s="14" t="n"/>
      <c r="F248" s="14" t="n"/>
      <c r="G248" s="24" t="n"/>
      <c r="H248" s="14" t="n"/>
      <c r="I248" s="24" t="n"/>
      <c r="J248" s="25" t="n"/>
      <c r="K248" s="14" t="n"/>
      <c r="L248" s="24" t="n"/>
      <c r="M248" s="26">
        <f>IF(OR(N(J248)=0,L248="Cancelled"),"",IF(AND(N(J248)&gt;5000,H248="Cash"),"Yes: ₹1","No"))</f>
        <v/>
      </c>
      <c r="N248" s="27">
        <f>IF(AND(B248="",D248="",N(J248)=0),"",IF(B248="","Enter the date",IF(AND(ROW()&gt;18,B247=""),"Use the next empty row: a skipped row leaves a gap in the voucher numbers",IF(D248="","Enter who was paid",IF(N(J248)=0,"Enter the amount",IF(E248="","Pick the head of account",IF(P248="?","Pick the head from the list",IF(H248="","Pick how it was paid",IF(L248="Cancelled","Cancelled: keep this number unused and write a fresh voucher",IF(AND(H248&lt;&gt;"Cash",I248=""),"Enter the cheque no., UTR or UPI reference",IF(AND(N($E$11)&gt;0,N(J248)&gt;N($E$11),K248=""),"Above your approval limit: get it approved before paying",IF(S248&gt;10000,"Cash paid to this person today is over ₹10,000: not deductible, s.36(4)",IF(T248&gt;35000,"Cash freight to this transporter today is over ₹35,000: not deductible, s.36(6)",IF(U248&gt;10000,"Asset paid in cash over ₹10,000 today: left out of its cost, s.39(2)",IF(AND(P248="L",H248="Cash",N(J248)&gt;=20000),"Loan of ₹20,000 or more repaid in cash: barred, s.188","OK")))))))))))))))</f>
        <v/>
      </c>
      <c r="P248">
        <f>IF(E248="","",IFERROR(VLOOKUP(E248,Lists!$A$2:$B$17,2,FALSE),"?"))</f>
        <v/>
      </c>
      <c r="Q248">
        <f>IF(L248="Cancelled",0,N(J248))</f>
        <v/>
      </c>
      <c r="R248">
        <f>IF(H248="Cash",Q248,0)</f>
        <v/>
      </c>
      <c r="S248">
        <f>IF(OR(P248&lt;&gt;"E",R248=0),0,SUMIFS($R$18:$R$317,$B$18:$B$317,B248,$D$18:$D$317,D248,$P$18:$P$317,"E"))</f>
        <v/>
      </c>
      <c r="T248">
        <f>IF(OR(P248&lt;&gt;"F",R248=0),0,SUMIFS($R$18:$R$317,$B$18:$B$317,B248,$D$18:$D$317,D248,$P$18:$P$317,"F"))</f>
        <v/>
      </c>
      <c r="U248">
        <f>IF(OR(P248&lt;&gt;"A",R248=0),0,SUMIFS($R$18:$R$317,$B$18:$B$317,B248,$D$18:$D$317,D248,$P$18:$P$317,"A"))</f>
        <v/>
      </c>
      <c r="V248">
        <f>IF(OR(N248="",N248="OK",L248="Cancelled"),0,1)</f>
        <v/>
      </c>
    </row>
    <row r="249">
      <c r="B249" s="22" t="n"/>
      <c r="C249" s="23">
        <f>IF(B249="","",$E$9&amp;TEXT(N($E$10)+231,"000"))</f>
        <v/>
      </c>
      <c r="D249" s="14" t="n"/>
      <c r="E249" s="14" t="n"/>
      <c r="F249" s="14" t="n"/>
      <c r="G249" s="24" t="n"/>
      <c r="H249" s="14" t="n"/>
      <c r="I249" s="24" t="n"/>
      <c r="J249" s="25" t="n"/>
      <c r="K249" s="14" t="n"/>
      <c r="L249" s="24" t="n"/>
      <c r="M249" s="26">
        <f>IF(OR(N(J249)=0,L249="Cancelled"),"",IF(AND(N(J249)&gt;5000,H249="Cash"),"Yes: ₹1","No"))</f>
        <v/>
      </c>
      <c r="N249" s="27">
        <f>IF(AND(B249="",D249="",N(J249)=0),"",IF(B249="","Enter the date",IF(AND(ROW()&gt;18,B248=""),"Use the next empty row: a skipped row leaves a gap in the voucher numbers",IF(D249="","Enter who was paid",IF(N(J249)=0,"Enter the amount",IF(E249="","Pick the head of account",IF(P249="?","Pick the head from the list",IF(H249="","Pick how it was paid",IF(L249="Cancelled","Cancelled: keep this number unused and write a fresh voucher",IF(AND(H249&lt;&gt;"Cash",I249=""),"Enter the cheque no., UTR or UPI reference",IF(AND(N($E$11)&gt;0,N(J249)&gt;N($E$11),K249=""),"Above your approval limit: get it approved before paying",IF(S249&gt;10000,"Cash paid to this person today is over ₹10,000: not deductible, s.36(4)",IF(T249&gt;35000,"Cash freight to this transporter today is over ₹35,000: not deductible, s.36(6)",IF(U249&gt;10000,"Asset paid in cash over ₹10,000 today: left out of its cost, s.39(2)",IF(AND(P249="L",H249="Cash",N(J249)&gt;=20000),"Loan of ₹20,000 or more repaid in cash: barred, s.188","OK")))))))))))))))</f>
        <v/>
      </c>
      <c r="P249">
        <f>IF(E249="","",IFERROR(VLOOKUP(E249,Lists!$A$2:$B$17,2,FALSE),"?"))</f>
        <v/>
      </c>
      <c r="Q249">
        <f>IF(L249="Cancelled",0,N(J249))</f>
        <v/>
      </c>
      <c r="R249">
        <f>IF(H249="Cash",Q249,0)</f>
        <v/>
      </c>
      <c r="S249">
        <f>IF(OR(P249&lt;&gt;"E",R249=0),0,SUMIFS($R$18:$R$317,$B$18:$B$317,B249,$D$18:$D$317,D249,$P$18:$P$317,"E"))</f>
        <v/>
      </c>
      <c r="T249">
        <f>IF(OR(P249&lt;&gt;"F",R249=0),0,SUMIFS($R$18:$R$317,$B$18:$B$317,B249,$D$18:$D$317,D249,$P$18:$P$317,"F"))</f>
        <v/>
      </c>
      <c r="U249">
        <f>IF(OR(P249&lt;&gt;"A",R249=0),0,SUMIFS($R$18:$R$317,$B$18:$B$317,B249,$D$18:$D$317,D249,$P$18:$P$317,"A"))</f>
        <v/>
      </c>
      <c r="V249">
        <f>IF(OR(N249="",N249="OK",L249="Cancelled"),0,1)</f>
        <v/>
      </c>
    </row>
    <row r="250">
      <c r="B250" s="22" t="n"/>
      <c r="C250" s="23">
        <f>IF(B250="","",$E$9&amp;TEXT(N($E$10)+232,"000"))</f>
        <v/>
      </c>
      <c r="D250" s="14" t="n"/>
      <c r="E250" s="14" t="n"/>
      <c r="F250" s="14" t="n"/>
      <c r="G250" s="24" t="n"/>
      <c r="H250" s="14" t="n"/>
      <c r="I250" s="24" t="n"/>
      <c r="J250" s="25" t="n"/>
      <c r="K250" s="14" t="n"/>
      <c r="L250" s="24" t="n"/>
      <c r="M250" s="26">
        <f>IF(OR(N(J250)=0,L250="Cancelled"),"",IF(AND(N(J250)&gt;5000,H250="Cash"),"Yes: ₹1","No"))</f>
        <v/>
      </c>
      <c r="N250" s="27">
        <f>IF(AND(B250="",D250="",N(J250)=0),"",IF(B250="","Enter the date",IF(AND(ROW()&gt;18,B249=""),"Use the next empty row: a skipped row leaves a gap in the voucher numbers",IF(D250="","Enter who was paid",IF(N(J250)=0,"Enter the amount",IF(E250="","Pick the head of account",IF(P250="?","Pick the head from the list",IF(H250="","Pick how it was paid",IF(L250="Cancelled","Cancelled: keep this number unused and write a fresh voucher",IF(AND(H250&lt;&gt;"Cash",I250=""),"Enter the cheque no., UTR or UPI reference",IF(AND(N($E$11)&gt;0,N(J250)&gt;N($E$11),K250=""),"Above your approval limit: get it approved before paying",IF(S250&gt;10000,"Cash paid to this person today is over ₹10,000: not deductible, s.36(4)",IF(T250&gt;35000,"Cash freight to this transporter today is over ₹35,000: not deductible, s.36(6)",IF(U250&gt;10000,"Asset paid in cash over ₹10,000 today: left out of its cost, s.39(2)",IF(AND(P250="L",H250="Cash",N(J250)&gt;=20000),"Loan of ₹20,000 or more repaid in cash: barred, s.188","OK")))))))))))))))</f>
        <v/>
      </c>
      <c r="P250">
        <f>IF(E250="","",IFERROR(VLOOKUP(E250,Lists!$A$2:$B$17,2,FALSE),"?"))</f>
        <v/>
      </c>
      <c r="Q250">
        <f>IF(L250="Cancelled",0,N(J250))</f>
        <v/>
      </c>
      <c r="R250">
        <f>IF(H250="Cash",Q250,0)</f>
        <v/>
      </c>
      <c r="S250">
        <f>IF(OR(P250&lt;&gt;"E",R250=0),0,SUMIFS($R$18:$R$317,$B$18:$B$317,B250,$D$18:$D$317,D250,$P$18:$P$317,"E"))</f>
        <v/>
      </c>
      <c r="T250">
        <f>IF(OR(P250&lt;&gt;"F",R250=0),0,SUMIFS($R$18:$R$317,$B$18:$B$317,B250,$D$18:$D$317,D250,$P$18:$P$317,"F"))</f>
        <v/>
      </c>
      <c r="U250">
        <f>IF(OR(P250&lt;&gt;"A",R250=0),0,SUMIFS($R$18:$R$317,$B$18:$B$317,B250,$D$18:$D$317,D250,$P$18:$P$317,"A"))</f>
        <v/>
      </c>
      <c r="V250">
        <f>IF(OR(N250="",N250="OK",L250="Cancelled"),0,1)</f>
        <v/>
      </c>
    </row>
    <row r="251">
      <c r="B251" s="22" t="n"/>
      <c r="C251" s="23">
        <f>IF(B251="","",$E$9&amp;TEXT(N($E$10)+233,"000"))</f>
        <v/>
      </c>
      <c r="D251" s="14" t="n"/>
      <c r="E251" s="14" t="n"/>
      <c r="F251" s="14" t="n"/>
      <c r="G251" s="24" t="n"/>
      <c r="H251" s="14" t="n"/>
      <c r="I251" s="24" t="n"/>
      <c r="J251" s="25" t="n"/>
      <c r="K251" s="14" t="n"/>
      <c r="L251" s="24" t="n"/>
      <c r="M251" s="26">
        <f>IF(OR(N(J251)=0,L251="Cancelled"),"",IF(AND(N(J251)&gt;5000,H251="Cash"),"Yes: ₹1","No"))</f>
        <v/>
      </c>
      <c r="N251" s="27">
        <f>IF(AND(B251="",D251="",N(J251)=0),"",IF(B251="","Enter the date",IF(AND(ROW()&gt;18,B250=""),"Use the next empty row: a skipped row leaves a gap in the voucher numbers",IF(D251="","Enter who was paid",IF(N(J251)=0,"Enter the amount",IF(E251="","Pick the head of account",IF(P251="?","Pick the head from the list",IF(H251="","Pick how it was paid",IF(L251="Cancelled","Cancelled: keep this number unused and write a fresh voucher",IF(AND(H251&lt;&gt;"Cash",I251=""),"Enter the cheque no., UTR or UPI reference",IF(AND(N($E$11)&gt;0,N(J251)&gt;N($E$11),K251=""),"Above your approval limit: get it approved before paying",IF(S251&gt;10000,"Cash paid to this person today is over ₹10,000: not deductible, s.36(4)",IF(T251&gt;35000,"Cash freight to this transporter today is over ₹35,000: not deductible, s.36(6)",IF(U251&gt;10000,"Asset paid in cash over ₹10,000 today: left out of its cost, s.39(2)",IF(AND(P251="L",H251="Cash",N(J251)&gt;=20000),"Loan of ₹20,000 or more repaid in cash: barred, s.188","OK")))))))))))))))</f>
        <v/>
      </c>
      <c r="P251">
        <f>IF(E251="","",IFERROR(VLOOKUP(E251,Lists!$A$2:$B$17,2,FALSE),"?"))</f>
        <v/>
      </c>
      <c r="Q251">
        <f>IF(L251="Cancelled",0,N(J251))</f>
        <v/>
      </c>
      <c r="R251">
        <f>IF(H251="Cash",Q251,0)</f>
        <v/>
      </c>
      <c r="S251">
        <f>IF(OR(P251&lt;&gt;"E",R251=0),0,SUMIFS($R$18:$R$317,$B$18:$B$317,B251,$D$18:$D$317,D251,$P$18:$P$317,"E"))</f>
        <v/>
      </c>
      <c r="T251">
        <f>IF(OR(P251&lt;&gt;"F",R251=0),0,SUMIFS($R$18:$R$317,$B$18:$B$317,B251,$D$18:$D$317,D251,$P$18:$P$317,"F"))</f>
        <v/>
      </c>
      <c r="U251">
        <f>IF(OR(P251&lt;&gt;"A",R251=0),0,SUMIFS($R$18:$R$317,$B$18:$B$317,B251,$D$18:$D$317,D251,$P$18:$P$317,"A"))</f>
        <v/>
      </c>
      <c r="V251">
        <f>IF(OR(N251="",N251="OK",L251="Cancelled"),0,1)</f>
        <v/>
      </c>
    </row>
    <row r="252">
      <c r="B252" s="22" t="n"/>
      <c r="C252" s="23">
        <f>IF(B252="","",$E$9&amp;TEXT(N($E$10)+234,"000"))</f>
        <v/>
      </c>
      <c r="D252" s="14" t="n"/>
      <c r="E252" s="14" t="n"/>
      <c r="F252" s="14" t="n"/>
      <c r="G252" s="24" t="n"/>
      <c r="H252" s="14" t="n"/>
      <c r="I252" s="24" t="n"/>
      <c r="J252" s="25" t="n"/>
      <c r="K252" s="14" t="n"/>
      <c r="L252" s="24" t="n"/>
      <c r="M252" s="26">
        <f>IF(OR(N(J252)=0,L252="Cancelled"),"",IF(AND(N(J252)&gt;5000,H252="Cash"),"Yes: ₹1","No"))</f>
        <v/>
      </c>
      <c r="N252" s="27">
        <f>IF(AND(B252="",D252="",N(J252)=0),"",IF(B252="","Enter the date",IF(AND(ROW()&gt;18,B251=""),"Use the next empty row: a skipped row leaves a gap in the voucher numbers",IF(D252="","Enter who was paid",IF(N(J252)=0,"Enter the amount",IF(E252="","Pick the head of account",IF(P252="?","Pick the head from the list",IF(H252="","Pick how it was paid",IF(L252="Cancelled","Cancelled: keep this number unused and write a fresh voucher",IF(AND(H252&lt;&gt;"Cash",I252=""),"Enter the cheque no., UTR or UPI reference",IF(AND(N($E$11)&gt;0,N(J252)&gt;N($E$11),K252=""),"Above your approval limit: get it approved before paying",IF(S252&gt;10000,"Cash paid to this person today is over ₹10,000: not deductible, s.36(4)",IF(T252&gt;35000,"Cash freight to this transporter today is over ₹35,000: not deductible, s.36(6)",IF(U252&gt;10000,"Asset paid in cash over ₹10,000 today: left out of its cost, s.39(2)",IF(AND(P252="L",H252="Cash",N(J252)&gt;=20000),"Loan of ₹20,000 or more repaid in cash: barred, s.188","OK")))))))))))))))</f>
        <v/>
      </c>
      <c r="P252">
        <f>IF(E252="","",IFERROR(VLOOKUP(E252,Lists!$A$2:$B$17,2,FALSE),"?"))</f>
        <v/>
      </c>
      <c r="Q252">
        <f>IF(L252="Cancelled",0,N(J252))</f>
        <v/>
      </c>
      <c r="R252">
        <f>IF(H252="Cash",Q252,0)</f>
        <v/>
      </c>
      <c r="S252">
        <f>IF(OR(P252&lt;&gt;"E",R252=0),0,SUMIFS($R$18:$R$317,$B$18:$B$317,B252,$D$18:$D$317,D252,$P$18:$P$317,"E"))</f>
        <v/>
      </c>
      <c r="T252">
        <f>IF(OR(P252&lt;&gt;"F",R252=0),0,SUMIFS($R$18:$R$317,$B$18:$B$317,B252,$D$18:$D$317,D252,$P$18:$P$317,"F"))</f>
        <v/>
      </c>
      <c r="U252">
        <f>IF(OR(P252&lt;&gt;"A",R252=0),0,SUMIFS($R$18:$R$317,$B$18:$B$317,B252,$D$18:$D$317,D252,$P$18:$P$317,"A"))</f>
        <v/>
      </c>
      <c r="V252">
        <f>IF(OR(N252="",N252="OK",L252="Cancelled"),0,1)</f>
        <v/>
      </c>
    </row>
    <row r="253">
      <c r="B253" s="22" t="n"/>
      <c r="C253" s="23">
        <f>IF(B253="","",$E$9&amp;TEXT(N($E$10)+235,"000"))</f>
        <v/>
      </c>
      <c r="D253" s="14" t="n"/>
      <c r="E253" s="14" t="n"/>
      <c r="F253" s="14" t="n"/>
      <c r="G253" s="24" t="n"/>
      <c r="H253" s="14" t="n"/>
      <c r="I253" s="24" t="n"/>
      <c r="J253" s="25" t="n"/>
      <c r="K253" s="14" t="n"/>
      <c r="L253" s="24" t="n"/>
      <c r="M253" s="26">
        <f>IF(OR(N(J253)=0,L253="Cancelled"),"",IF(AND(N(J253)&gt;5000,H253="Cash"),"Yes: ₹1","No"))</f>
        <v/>
      </c>
      <c r="N253" s="27">
        <f>IF(AND(B253="",D253="",N(J253)=0),"",IF(B253="","Enter the date",IF(AND(ROW()&gt;18,B252=""),"Use the next empty row: a skipped row leaves a gap in the voucher numbers",IF(D253="","Enter who was paid",IF(N(J253)=0,"Enter the amount",IF(E253="","Pick the head of account",IF(P253="?","Pick the head from the list",IF(H253="","Pick how it was paid",IF(L253="Cancelled","Cancelled: keep this number unused and write a fresh voucher",IF(AND(H253&lt;&gt;"Cash",I253=""),"Enter the cheque no., UTR or UPI reference",IF(AND(N($E$11)&gt;0,N(J253)&gt;N($E$11),K253=""),"Above your approval limit: get it approved before paying",IF(S253&gt;10000,"Cash paid to this person today is over ₹10,000: not deductible, s.36(4)",IF(T253&gt;35000,"Cash freight to this transporter today is over ₹35,000: not deductible, s.36(6)",IF(U253&gt;10000,"Asset paid in cash over ₹10,000 today: left out of its cost, s.39(2)",IF(AND(P253="L",H253="Cash",N(J253)&gt;=20000),"Loan of ₹20,000 or more repaid in cash: barred, s.188","OK")))))))))))))))</f>
        <v/>
      </c>
      <c r="P253">
        <f>IF(E253="","",IFERROR(VLOOKUP(E253,Lists!$A$2:$B$17,2,FALSE),"?"))</f>
        <v/>
      </c>
      <c r="Q253">
        <f>IF(L253="Cancelled",0,N(J253))</f>
        <v/>
      </c>
      <c r="R253">
        <f>IF(H253="Cash",Q253,0)</f>
        <v/>
      </c>
      <c r="S253">
        <f>IF(OR(P253&lt;&gt;"E",R253=0),0,SUMIFS($R$18:$R$317,$B$18:$B$317,B253,$D$18:$D$317,D253,$P$18:$P$317,"E"))</f>
        <v/>
      </c>
      <c r="T253">
        <f>IF(OR(P253&lt;&gt;"F",R253=0),0,SUMIFS($R$18:$R$317,$B$18:$B$317,B253,$D$18:$D$317,D253,$P$18:$P$317,"F"))</f>
        <v/>
      </c>
      <c r="U253">
        <f>IF(OR(P253&lt;&gt;"A",R253=0),0,SUMIFS($R$18:$R$317,$B$18:$B$317,B253,$D$18:$D$317,D253,$P$18:$P$317,"A"))</f>
        <v/>
      </c>
      <c r="V253">
        <f>IF(OR(N253="",N253="OK",L253="Cancelled"),0,1)</f>
        <v/>
      </c>
    </row>
    <row r="254">
      <c r="B254" s="22" t="n"/>
      <c r="C254" s="23">
        <f>IF(B254="","",$E$9&amp;TEXT(N($E$10)+236,"000"))</f>
        <v/>
      </c>
      <c r="D254" s="14" t="n"/>
      <c r="E254" s="14" t="n"/>
      <c r="F254" s="14" t="n"/>
      <c r="G254" s="24" t="n"/>
      <c r="H254" s="14" t="n"/>
      <c r="I254" s="24" t="n"/>
      <c r="J254" s="25" t="n"/>
      <c r="K254" s="14" t="n"/>
      <c r="L254" s="24" t="n"/>
      <c r="M254" s="26">
        <f>IF(OR(N(J254)=0,L254="Cancelled"),"",IF(AND(N(J254)&gt;5000,H254="Cash"),"Yes: ₹1","No"))</f>
        <v/>
      </c>
      <c r="N254" s="27">
        <f>IF(AND(B254="",D254="",N(J254)=0),"",IF(B254="","Enter the date",IF(AND(ROW()&gt;18,B253=""),"Use the next empty row: a skipped row leaves a gap in the voucher numbers",IF(D254="","Enter who was paid",IF(N(J254)=0,"Enter the amount",IF(E254="","Pick the head of account",IF(P254="?","Pick the head from the list",IF(H254="","Pick how it was paid",IF(L254="Cancelled","Cancelled: keep this number unused and write a fresh voucher",IF(AND(H254&lt;&gt;"Cash",I254=""),"Enter the cheque no., UTR or UPI reference",IF(AND(N($E$11)&gt;0,N(J254)&gt;N($E$11),K254=""),"Above your approval limit: get it approved before paying",IF(S254&gt;10000,"Cash paid to this person today is over ₹10,000: not deductible, s.36(4)",IF(T254&gt;35000,"Cash freight to this transporter today is over ₹35,000: not deductible, s.36(6)",IF(U254&gt;10000,"Asset paid in cash over ₹10,000 today: left out of its cost, s.39(2)",IF(AND(P254="L",H254="Cash",N(J254)&gt;=20000),"Loan of ₹20,000 or more repaid in cash: barred, s.188","OK")))))))))))))))</f>
        <v/>
      </c>
      <c r="P254">
        <f>IF(E254="","",IFERROR(VLOOKUP(E254,Lists!$A$2:$B$17,2,FALSE),"?"))</f>
        <v/>
      </c>
      <c r="Q254">
        <f>IF(L254="Cancelled",0,N(J254))</f>
        <v/>
      </c>
      <c r="R254">
        <f>IF(H254="Cash",Q254,0)</f>
        <v/>
      </c>
      <c r="S254">
        <f>IF(OR(P254&lt;&gt;"E",R254=0),0,SUMIFS($R$18:$R$317,$B$18:$B$317,B254,$D$18:$D$317,D254,$P$18:$P$317,"E"))</f>
        <v/>
      </c>
      <c r="T254">
        <f>IF(OR(P254&lt;&gt;"F",R254=0),0,SUMIFS($R$18:$R$317,$B$18:$B$317,B254,$D$18:$D$317,D254,$P$18:$P$317,"F"))</f>
        <v/>
      </c>
      <c r="U254">
        <f>IF(OR(P254&lt;&gt;"A",R254=0),0,SUMIFS($R$18:$R$317,$B$18:$B$317,B254,$D$18:$D$317,D254,$P$18:$P$317,"A"))</f>
        <v/>
      </c>
      <c r="V254">
        <f>IF(OR(N254="",N254="OK",L254="Cancelled"),0,1)</f>
        <v/>
      </c>
    </row>
    <row r="255">
      <c r="B255" s="22" t="n"/>
      <c r="C255" s="23">
        <f>IF(B255="","",$E$9&amp;TEXT(N($E$10)+237,"000"))</f>
        <v/>
      </c>
      <c r="D255" s="14" t="n"/>
      <c r="E255" s="14" t="n"/>
      <c r="F255" s="14" t="n"/>
      <c r="G255" s="24" t="n"/>
      <c r="H255" s="14" t="n"/>
      <c r="I255" s="24" t="n"/>
      <c r="J255" s="25" t="n"/>
      <c r="K255" s="14" t="n"/>
      <c r="L255" s="24" t="n"/>
      <c r="M255" s="26">
        <f>IF(OR(N(J255)=0,L255="Cancelled"),"",IF(AND(N(J255)&gt;5000,H255="Cash"),"Yes: ₹1","No"))</f>
        <v/>
      </c>
      <c r="N255" s="27">
        <f>IF(AND(B255="",D255="",N(J255)=0),"",IF(B255="","Enter the date",IF(AND(ROW()&gt;18,B254=""),"Use the next empty row: a skipped row leaves a gap in the voucher numbers",IF(D255="","Enter who was paid",IF(N(J255)=0,"Enter the amount",IF(E255="","Pick the head of account",IF(P255="?","Pick the head from the list",IF(H255="","Pick how it was paid",IF(L255="Cancelled","Cancelled: keep this number unused and write a fresh voucher",IF(AND(H255&lt;&gt;"Cash",I255=""),"Enter the cheque no., UTR or UPI reference",IF(AND(N($E$11)&gt;0,N(J255)&gt;N($E$11),K255=""),"Above your approval limit: get it approved before paying",IF(S255&gt;10000,"Cash paid to this person today is over ₹10,000: not deductible, s.36(4)",IF(T255&gt;35000,"Cash freight to this transporter today is over ₹35,000: not deductible, s.36(6)",IF(U255&gt;10000,"Asset paid in cash over ₹10,000 today: left out of its cost, s.39(2)",IF(AND(P255="L",H255="Cash",N(J255)&gt;=20000),"Loan of ₹20,000 or more repaid in cash: barred, s.188","OK")))))))))))))))</f>
        <v/>
      </c>
      <c r="P255">
        <f>IF(E255="","",IFERROR(VLOOKUP(E255,Lists!$A$2:$B$17,2,FALSE),"?"))</f>
        <v/>
      </c>
      <c r="Q255">
        <f>IF(L255="Cancelled",0,N(J255))</f>
        <v/>
      </c>
      <c r="R255">
        <f>IF(H255="Cash",Q255,0)</f>
        <v/>
      </c>
      <c r="S255">
        <f>IF(OR(P255&lt;&gt;"E",R255=0),0,SUMIFS($R$18:$R$317,$B$18:$B$317,B255,$D$18:$D$317,D255,$P$18:$P$317,"E"))</f>
        <v/>
      </c>
      <c r="T255">
        <f>IF(OR(P255&lt;&gt;"F",R255=0),0,SUMIFS($R$18:$R$317,$B$18:$B$317,B255,$D$18:$D$317,D255,$P$18:$P$317,"F"))</f>
        <v/>
      </c>
      <c r="U255">
        <f>IF(OR(P255&lt;&gt;"A",R255=0),0,SUMIFS($R$18:$R$317,$B$18:$B$317,B255,$D$18:$D$317,D255,$P$18:$P$317,"A"))</f>
        <v/>
      </c>
      <c r="V255">
        <f>IF(OR(N255="",N255="OK",L255="Cancelled"),0,1)</f>
        <v/>
      </c>
    </row>
    <row r="256">
      <c r="B256" s="22" t="n"/>
      <c r="C256" s="23">
        <f>IF(B256="","",$E$9&amp;TEXT(N($E$10)+238,"000"))</f>
        <v/>
      </c>
      <c r="D256" s="14" t="n"/>
      <c r="E256" s="14" t="n"/>
      <c r="F256" s="14" t="n"/>
      <c r="G256" s="24" t="n"/>
      <c r="H256" s="14" t="n"/>
      <c r="I256" s="24" t="n"/>
      <c r="J256" s="25" t="n"/>
      <c r="K256" s="14" t="n"/>
      <c r="L256" s="24" t="n"/>
      <c r="M256" s="26">
        <f>IF(OR(N(J256)=0,L256="Cancelled"),"",IF(AND(N(J256)&gt;5000,H256="Cash"),"Yes: ₹1","No"))</f>
        <v/>
      </c>
      <c r="N256" s="27">
        <f>IF(AND(B256="",D256="",N(J256)=0),"",IF(B256="","Enter the date",IF(AND(ROW()&gt;18,B255=""),"Use the next empty row: a skipped row leaves a gap in the voucher numbers",IF(D256="","Enter who was paid",IF(N(J256)=0,"Enter the amount",IF(E256="","Pick the head of account",IF(P256="?","Pick the head from the list",IF(H256="","Pick how it was paid",IF(L256="Cancelled","Cancelled: keep this number unused and write a fresh voucher",IF(AND(H256&lt;&gt;"Cash",I256=""),"Enter the cheque no., UTR or UPI reference",IF(AND(N($E$11)&gt;0,N(J256)&gt;N($E$11),K256=""),"Above your approval limit: get it approved before paying",IF(S256&gt;10000,"Cash paid to this person today is over ₹10,000: not deductible, s.36(4)",IF(T256&gt;35000,"Cash freight to this transporter today is over ₹35,000: not deductible, s.36(6)",IF(U256&gt;10000,"Asset paid in cash over ₹10,000 today: left out of its cost, s.39(2)",IF(AND(P256="L",H256="Cash",N(J256)&gt;=20000),"Loan of ₹20,000 or more repaid in cash: barred, s.188","OK")))))))))))))))</f>
        <v/>
      </c>
      <c r="P256">
        <f>IF(E256="","",IFERROR(VLOOKUP(E256,Lists!$A$2:$B$17,2,FALSE),"?"))</f>
        <v/>
      </c>
      <c r="Q256">
        <f>IF(L256="Cancelled",0,N(J256))</f>
        <v/>
      </c>
      <c r="R256">
        <f>IF(H256="Cash",Q256,0)</f>
        <v/>
      </c>
      <c r="S256">
        <f>IF(OR(P256&lt;&gt;"E",R256=0),0,SUMIFS($R$18:$R$317,$B$18:$B$317,B256,$D$18:$D$317,D256,$P$18:$P$317,"E"))</f>
        <v/>
      </c>
      <c r="T256">
        <f>IF(OR(P256&lt;&gt;"F",R256=0),0,SUMIFS($R$18:$R$317,$B$18:$B$317,B256,$D$18:$D$317,D256,$P$18:$P$317,"F"))</f>
        <v/>
      </c>
      <c r="U256">
        <f>IF(OR(P256&lt;&gt;"A",R256=0),0,SUMIFS($R$18:$R$317,$B$18:$B$317,B256,$D$18:$D$317,D256,$P$18:$P$317,"A"))</f>
        <v/>
      </c>
      <c r="V256">
        <f>IF(OR(N256="",N256="OK",L256="Cancelled"),0,1)</f>
        <v/>
      </c>
    </row>
    <row r="257">
      <c r="B257" s="22" t="n"/>
      <c r="C257" s="23">
        <f>IF(B257="","",$E$9&amp;TEXT(N($E$10)+239,"000"))</f>
        <v/>
      </c>
      <c r="D257" s="14" t="n"/>
      <c r="E257" s="14" t="n"/>
      <c r="F257" s="14" t="n"/>
      <c r="G257" s="24" t="n"/>
      <c r="H257" s="14" t="n"/>
      <c r="I257" s="24" t="n"/>
      <c r="J257" s="25" t="n"/>
      <c r="K257" s="14" t="n"/>
      <c r="L257" s="24" t="n"/>
      <c r="M257" s="26">
        <f>IF(OR(N(J257)=0,L257="Cancelled"),"",IF(AND(N(J257)&gt;5000,H257="Cash"),"Yes: ₹1","No"))</f>
        <v/>
      </c>
      <c r="N257" s="27">
        <f>IF(AND(B257="",D257="",N(J257)=0),"",IF(B257="","Enter the date",IF(AND(ROW()&gt;18,B256=""),"Use the next empty row: a skipped row leaves a gap in the voucher numbers",IF(D257="","Enter who was paid",IF(N(J257)=0,"Enter the amount",IF(E257="","Pick the head of account",IF(P257="?","Pick the head from the list",IF(H257="","Pick how it was paid",IF(L257="Cancelled","Cancelled: keep this number unused and write a fresh voucher",IF(AND(H257&lt;&gt;"Cash",I257=""),"Enter the cheque no., UTR or UPI reference",IF(AND(N($E$11)&gt;0,N(J257)&gt;N($E$11),K257=""),"Above your approval limit: get it approved before paying",IF(S257&gt;10000,"Cash paid to this person today is over ₹10,000: not deductible, s.36(4)",IF(T257&gt;35000,"Cash freight to this transporter today is over ₹35,000: not deductible, s.36(6)",IF(U257&gt;10000,"Asset paid in cash over ₹10,000 today: left out of its cost, s.39(2)",IF(AND(P257="L",H257="Cash",N(J257)&gt;=20000),"Loan of ₹20,000 or more repaid in cash: barred, s.188","OK")))))))))))))))</f>
        <v/>
      </c>
      <c r="P257">
        <f>IF(E257="","",IFERROR(VLOOKUP(E257,Lists!$A$2:$B$17,2,FALSE),"?"))</f>
        <v/>
      </c>
      <c r="Q257">
        <f>IF(L257="Cancelled",0,N(J257))</f>
        <v/>
      </c>
      <c r="R257">
        <f>IF(H257="Cash",Q257,0)</f>
        <v/>
      </c>
      <c r="S257">
        <f>IF(OR(P257&lt;&gt;"E",R257=0),0,SUMIFS($R$18:$R$317,$B$18:$B$317,B257,$D$18:$D$317,D257,$P$18:$P$317,"E"))</f>
        <v/>
      </c>
      <c r="T257">
        <f>IF(OR(P257&lt;&gt;"F",R257=0),0,SUMIFS($R$18:$R$317,$B$18:$B$317,B257,$D$18:$D$317,D257,$P$18:$P$317,"F"))</f>
        <v/>
      </c>
      <c r="U257">
        <f>IF(OR(P257&lt;&gt;"A",R257=0),0,SUMIFS($R$18:$R$317,$B$18:$B$317,B257,$D$18:$D$317,D257,$P$18:$P$317,"A"))</f>
        <v/>
      </c>
      <c r="V257">
        <f>IF(OR(N257="",N257="OK",L257="Cancelled"),0,1)</f>
        <v/>
      </c>
    </row>
    <row r="258">
      <c r="B258" s="22" t="n"/>
      <c r="C258" s="23">
        <f>IF(B258="","",$E$9&amp;TEXT(N($E$10)+240,"000"))</f>
        <v/>
      </c>
      <c r="D258" s="14" t="n"/>
      <c r="E258" s="14" t="n"/>
      <c r="F258" s="14" t="n"/>
      <c r="G258" s="24" t="n"/>
      <c r="H258" s="14" t="n"/>
      <c r="I258" s="24" t="n"/>
      <c r="J258" s="25" t="n"/>
      <c r="K258" s="14" t="n"/>
      <c r="L258" s="24" t="n"/>
      <c r="M258" s="26">
        <f>IF(OR(N(J258)=0,L258="Cancelled"),"",IF(AND(N(J258)&gt;5000,H258="Cash"),"Yes: ₹1","No"))</f>
        <v/>
      </c>
      <c r="N258" s="27">
        <f>IF(AND(B258="",D258="",N(J258)=0),"",IF(B258="","Enter the date",IF(AND(ROW()&gt;18,B257=""),"Use the next empty row: a skipped row leaves a gap in the voucher numbers",IF(D258="","Enter who was paid",IF(N(J258)=0,"Enter the amount",IF(E258="","Pick the head of account",IF(P258="?","Pick the head from the list",IF(H258="","Pick how it was paid",IF(L258="Cancelled","Cancelled: keep this number unused and write a fresh voucher",IF(AND(H258&lt;&gt;"Cash",I258=""),"Enter the cheque no., UTR or UPI reference",IF(AND(N($E$11)&gt;0,N(J258)&gt;N($E$11),K258=""),"Above your approval limit: get it approved before paying",IF(S258&gt;10000,"Cash paid to this person today is over ₹10,000: not deductible, s.36(4)",IF(T258&gt;35000,"Cash freight to this transporter today is over ₹35,000: not deductible, s.36(6)",IF(U258&gt;10000,"Asset paid in cash over ₹10,000 today: left out of its cost, s.39(2)",IF(AND(P258="L",H258="Cash",N(J258)&gt;=20000),"Loan of ₹20,000 or more repaid in cash: barred, s.188","OK")))))))))))))))</f>
        <v/>
      </c>
      <c r="P258">
        <f>IF(E258="","",IFERROR(VLOOKUP(E258,Lists!$A$2:$B$17,2,FALSE),"?"))</f>
        <v/>
      </c>
      <c r="Q258">
        <f>IF(L258="Cancelled",0,N(J258))</f>
        <v/>
      </c>
      <c r="R258">
        <f>IF(H258="Cash",Q258,0)</f>
        <v/>
      </c>
      <c r="S258">
        <f>IF(OR(P258&lt;&gt;"E",R258=0),0,SUMIFS($R$18:$R$317,$B$18:$B$317,B258,$D$18:$D$317,D258,$P$18:$P$317,"E"))</f>
        <v/>
      </c>
      <c r="T258">
        <f>IF(OR(P258&lt;&gt;"F",R258=0),0,SUMIFS($R$18:$R$317,$B$18:$B$317,B258,$D$18:$D$317,D258,$P$18:$P$317,"F"))</f>
        <v/>
      </c>
      <c r="U258">
        <f>IF(OR(P258&lt;&gt;"A",R258=0),0,SUMIFS($R$18:$R$317,$B$18:$B$317,B258,$D$18:$D$317,D258,$P$18:$P$317,"A"))</f>
        <v/>
      </c>
      <c r="V258">
        <f>IF(OR(N258="",N258="OK",L258="Cancelled"),0,1)</f>
        <v/>
      </c>
    </row>
    <row r="259">
      <c r="B259" s="22" t="n"/>
      <c r="C259" s="23">
        <f>IF(B259="","",$E$9&amp;TEXT(N($E$10)+241,"000"))</f>
        <v/>
      </c>
      <c r="D259" s="14" t="n"/>
      <c r="E259" s="14" t="n"/>
      <c r="F259" s="14" t="n"/>
      <c r="G259" s="24" t="n"/>
      <c r="H259" s="14" t="n"/>
      <c r="I259" s="24" t="n"/>
      <c r="J259" s="25" t="n"/>
      <c r="K259" s="14" t="n"/>
      <c r="L259" s="24" t="n"/>
      <c r="M259" s="26">
        <f>IF(OR(N(J259)=0,L259="Cancelled"),"",IF(AND(N(J259)&gt;5000,H259="Cash"),"Yes: ₹1","No"))</f>
        <v/>
      </c>
      <c r="N259" s="27">
        <f>IF(AND(B259="",D259="",N(J259)=0),"",IF(B259="","Enter the date",IF(AND(ROW()&gt;18,B258=""),"Use the next empty row: a skipped row leaves a gap in the voucher numbers",IF(D259="","Enter who was paid",IF(N(J259)=0,"Enter the amount",IF(E259="","Pick the head of account",IF(P259="?","Pick the head from the list",IF(H259="","Pick how it was paid",IF(L259="Cancelled","Cancelled: keep this number unused and write a fresh voucher",IF(AND(H259&lt;&gt;"Cash",I259=""),"Enter the cheque no., UTR or UPI reference",IF(AND(N($E$11)&gt;0,N(J259)&gt;N($E$11),K259=""),"Above your approval limit: get it approved before paying",IF(S259&gt;10000,"Cash paid to this person today is over ₹10,000: not deductible, s.36(4)",IF(T259&gt;35000,"Cash freight to this transporter today is over ₹35,000: not deductible, s.36(6)",IF(U259&gt;10000,"Asset paid in cash over ₹10,000 today: left out of its cost, s.39(2)",IF(AND(P259="L",H259="Cash",N(J259)&gt;=20000),"Loan of ₹20,000 or more repaid in cash: barred, s.188","OK")))))))))))))))</f>
        <v/>
      </c>
      <c r="P259">
        <f>IF(E259="","",IFERROR(VLOOKUP(E259,Lists!$A$2:$B$17,2,FALSE),"?"))</f>
        <v/>
      </c>
      <c r="Q259">
        <f>IF(L259="Cancelled",0,N(J259))</f>
        <v/>
      </c>
      <c r="R259">
        <f>IF(H259="Cash",Q259,0)</f>
        <v/>
      </c>
      <c r="S259">
        <f>IF(OR(P259&lt;&gt;"E",R259=0),0,SUMIFS($R$18:$R$317,$B$18:$B$317,B259,$D$18:$D$317,D259,$P$18:$P$317,"E"))</f>
        <v/>
      </c>
      <c r="T259">
        <f>IF(OR(P259&lt;&gt;"F",R259=0),0,SUMIFS($R$18:$R$317,$B$18:$B$317,B259,$D$18:$D$317,D259,$P$18:$P$317,"F"))</f>
        <v/>
      </c>
      <c r="U259">
        <f>IF(OR(P259&lt;&gt;"A",R259=0),0,SUMIFS($R$18:$R$317,$B$18:$B$317,B259,$D$18:$D$317,D259,$P$18:$P$317,"A"))</f>
        <v/>
      </c>
      <c r="V259">
        <f>IF(OR(N259="",N259="OK",L259="Cancelled"),0,1)</f>
        <v/>
      </c>
    </row>
    <row r="260">
      <c r="B260" s="22" t="n"/>
      <c r="C260" s="23">
        <f>IF(B260="","",$E$9&amp;TEXT(N($E$10)+242,"000"))</f>
        <v/>
      </c>
      <c r="D260" s="14" t="n"/>
      <c r="E260" s="14" t="n"/>
      <c r="F260" s="14" t="n"/>
      <c r="G260" s="24" t="n"/>
      <c r="H260" s="14" t="n"/>
      <c r="I260" s="24" t="n"/>
      <c r="J260" s="25" t="n"/>
      <c r="K260" s="14" t="n"/>
      <c r="L260" s="24" t="n"/>
      <c r="M260" s="26">
        <f>IF(OR(N(J260)=0,L260="Cancelled"),"",IF(AND(N(J260)&gt;5000,H260="Cash"),"Yes: ₹1","No"))</f>
        <v/>
      </c>
      <c r="N260" s="27">
        <f>IF(AND(B260="",D260="",N(J260)=0),"",IF(B260="","Enter the date",IF(AND(ROW()&gt;18,B259=""),"Use the next empty row: a skipped row leaves a gap in the voucher numbers",IF(D260="","Enter who was paid",IF(N(J260)=0,"Enter the amount",IF(E260="","Pick the head of account",IF(P260="?","Pick the head from the list",IF(H260="","Pick how it was paid",IF(L260="Cancelled","Cancelled: keep this number unused and write a fresh voucher",IF(AND(H260&lt;&gt;"Cash",I260=""),"Enter the cheque no., UTR or UPI reference",IF(AND(N($E$11)&gt;0,N(J260)&gt;N($E$11),K260=""),"Above your approval limit: get it approved before paying",IF(S260&gt;10000,"Cash paid to this person today is over ₹10,000: not deductible, s.36(4)",IF(T260&gt;35000,"Cash freight to this transporter today is over ₹35,000: not deductible, s.36(6)",IF(U260&gt;10000,"Asset paid in cash over ₹10,000 today: left out of its cost, s.39(2)",IF(AND(P260="L",H260="Cash",N(J260)&gt;=20000),"Loan of ₹20,000 or more repaid in cash: barred, s.188","OK")))))))))))))))</f>
        <v/>
      </c>
      <c r="P260">
        <f>IF(E260="","",IFERROR(VLOOKUP(E260,Lists!$A$2:$B$17,2,FALSE),"?"))</f>
        <v/>
      </c>
      <c r="Q260">
        <f>IF(L260="Cancelled",0,N(J260))</f>
        <v/>
      </c>
      <c r="R260">
        <f>IF(H260="Cash",Q260,0)</f>
        <v/>
      </c>
      <c r="S260">
        <f>IF(OR(P260&lt;&gt;"E",R260=0),0,SUMIFS($R$18:$R$317,$B$18:$B$317,B260,$D$18:$D$317,D260,$P$18:$P$317,"E"))</f>
        <v/>
      </c>
      <c r="T260">
        <f>IF(OR(P260&lt;&gt;"F",R260=0),0,SUMIFS($R$18:$R$317,$B$18:$B$317,B260,$D$18:$D$317,D260,$P$18:$P$317,"F"))</f>
        <v/>
      </c>
      <c r="U260">
        <f>IF(OR(P260&lt;&gt;"A",R260=0),0,SUMIFS($R$18:$R$317,$B$18:$B$317,B260,$D$18:$D$317,D260,$P$18:$P$317,"A"))</f>
        <v/>
      </c>
      <c r="V260">
        <f>IF(OR(N260="",N260="OK",L260="Cancelled"),0,1)</f>
        <v/>
      </c>
    </row>
    <row r="261">
      <c r="B261" s="22" t="n"/>
      <c r="C261" s="23">
        <f>IF(B261="","",$E$9&amp;TEXT(N($E$10)+243,"000"))</f>
        <v/>
      </c>
      <c r="D261" s="14" t="n"/>
      <c r="E261" s="14" t="n"/>
      <c r="F261" s="14" t="n"/>
      <c r="G261" s="24" t="n"/>
      <c r="H261" s="14" t="n"/>
      <c r="I261" s="24" t="n"/>
      <c r="J261" s="25" t="n"/>
      <c r="K261" s="14" t="n"/>
      <c r="L261" s="24" t="n"/>
      <c r="M261" s="26">
        <f>IF(OR(N(J261)=0,L261="Cancelled"),"",IF(AND(N(J261)&gt;5000,H261="Cash"),"Yes: ₹1","No"))</f>
        <v/>
      </c>
      <c r="N261" s="27">
        <f>IF(AND(B261="",D261="",N(J261)=0),"",IF(B261="","Enter the date",IF(AND(ROW()&gt;18,B260=""),"Use the next empty row: a skipped row leaves a gap in the voucher numbers",IF(D261="","Enter who was paid",IF(N(J261)=0,"Enter the amount",IF(E261="","Pick the head of account",IF(P261="?","Pick the head from the list",IF(H261="","Pick how it was paid",IF(L261="Cancelled","Cancelled: keep this number unused and write a fresh voucher",IF(AND(H261&lt;&gt;"Cash",I261=""),"Enter the cheque no., UTR or UPI reference",IF(AND(N($E$11)&gt;0,N(J261)&gt;N($E$11),K261=""),"Above your approval limit: get it approved before paying",IF(S261&gt;10000,"Cash paid to this person today is over ₹10,000: not deductible, s.36(4)",IF(T261&gt;35000,"Cash freight to this transporter today is over ₹35,000: not deductible, s.36(6)",IF(U261&gt;10000,"Asset paid in cash over ₹10,000 today: left out of its cost, s.39(2)",IF(AND(P261="L",H261="Cash",N(J261)&gt;=20000),"Loan of ₹20,000 or more repaid in cash: barred, s.188","OK")))))))))))))))</f>
        <v/>
      </c>
      <c r="P261">
        <f>IF(E261="","",IFERROR(VLOOKUP(E261,Lists!$A$2:$B$17,2,FALSE),"?"))</f>
        <v/>
      </c>
      <c r="Q261">
        <f>IF(L261="Cancelled",0,N(J261))</f>
        <v/>
      </c>
      <c r="R261">
        <f>IF(H261="Cash",Q261,0)</f>
        <v/>
      </c>
      <c r="S261">
        <f>IF(OR(P261&lt;&gt;"E",R261=0),0,SUMIFS($R$18:$R$317,$B$18:$B$317,B261,$D$18:$D$317,D261,$P$18:$P$317,"E"))</f>
        <v/>
      </c>
      <c r="T261">
        <f>IF(OR(P261&lt;&gt;"F",R261=0),0,SUMIFS($R$18:$R$317,$B$18:$B$317,B261,$D$18:$D$317,D261,$P$18:$P$317,"F"))</f>
        <v/>
      </c>
      <c r="U261">
        <f>IF(OR(P261&lt;&gt;"A",R261=0),0,SUMIFS($R$18:$R$317,$B$18:$B$317,B261,$D$18:$D$317,D261,$P$18:$P$317,"A"))</f>
        <v/>
      </c>
      <c r="V261">
        <f>IF(OR(N261="",N261="OK",L261="Cancelled"),0,1)</f>
        <v/>
      </c>
    </row>
    <row r="262">
      <c r="B262" s="22" t="n"/>
      <c r="C262" s="23">
        <f>IF(B262="","",$E$9&amp;TEXT(N($E$10)+244,"000"))</f>
        <v/>
      </c>
      <c r="D262" s="14" t="n"/>
      <c r="E262" s="14" t="n"/>
      <c r="F262" s="14" t="n"/>
      <c r="G262" s="24" t="n"/>
      <c r="H262" s="14" t="n"/>
      <c r="I262" s="24" t="n"/>
      <c r="J262" s="25" t="n"/>
      <c r="K262" s="14" t="n"/>
      <c r="L262" s="24" t="n"/>
      <c r="M262" s="26">
        <f>IF(OR(N(J262)=0,L262="Cancelled"),"",IF(AND(N(J262)&gt;5000,H262="Cash"),"Yes: ₹1","No"))</f>
        <v/>
      </c>
      <c r="N262" s="27">
        <f>IF(AND(B262="",D262="",N(J262)=0),"",IF(B262="","Enter the date",IF(AND(ROW()&gt;18,B261=""),"Use the next empty row: a skipped row leaves a gap in the voucher numbers",IF(D262="","Enter who was paid",IF(N(J262)=0,"Enter the amount",IF(E262="","Pick the head of account",IF(P262="?","Pick the head from the list",IF(H262="","Pick how it was paid",IF(L262="Cancelled","Cancelled: keep this number unused and write a fresh voucher",IF(AND(H262&lt;&gt;"Cash",I262=""),"Enter the cheque no., UTR or UPI reference",IF(AND(N($E$11)&gt;0,N(J262)&gt;N($E$11),K262=""),"Above your approval limit: get it approved before paying",IF(S262&gt;10000,"Cash paid to this person today is over ₹10,000: not deductible, s.36(4)",IF(T262&gt;35000,"Cash freight to this transporter today is over ₹35,000: not deductible, s.36(6)",IF(U262&gt;10000,"Asset paid in cash over ₹10,000 today: left out of its cost, s.39(2)",IF(AND(P262="L",H262="Cash",N(J262)&gt;=20000),"Loan of ₹20,000 or more repaid in cash: barred, s.188","OK")))))))))))))))</f>
        <v/>
      </c>
      <c r="P262">
        <f>IF(E262="","",IFERROR(VLOOKUP(E262,Lists!$A$2:$B$17,2,FALSE),"?"))</f>
        <v/>
      </c>
      <c r="Q262">
        <f>IF(L262="Cancelled",0,N(J262))</f>
        <v/>
      </c>
      <c r="R262">
        <f>IF(H262="Cash",Q262,0)</f>
        <v/>
      </c>
      <c r="S262">
        <f>IF(OR(P262&lt;&gt;"E",R262=0),0,SUMIFS($R$18:$R$317,$B$18:$B$317,B262,$D$18:$D$317,D262,$P$18:$P$317,"E"))</f>
        <v/>
      </c>
      <c r="T262">
        <f>IF(OR(P262&lt;&gt;"F",R262=0),0,SUMIFS($R$18:$R$317,$B$18:$B$317,B262,$D$18:$D$317,D262,$P$18:$P$317,"F"))</f>
        <v/>
      </c>
      <c r="U262">
        <f>IF(OR(P262&lt;&gt;"A",R262=0),0,SUMIFS($R$18:$R$317,$B$18:$B$317,B262,$D$18:$D$317,D262,$P$18:$P$317,"A"))</f>
        <v/>
      </c>
      <c r="V262">
        <f>IF(OR(N262="",N262="OK",L262="Cancelled"),0,1)</f>
        <v/>
      </c>
    </row>
    <row r="263">
      <c r="B263" s="22" t="n"/>
      <c r="C263" s="23">
        <f>IF(B263="","",$E$9&amp;TEXT(N($E$10)+245,"000"))</f>
        <v/>
      </c>
      <c r="D263" s="14" t="n"/>
      <c r="E263" s="14" t="n"/>
      <c r="F263" s="14" t="n"/>
      <c r="G263" s="24" t="n"/>
      <c r="H263" s="14" t="n"/>
      <c r="I263" s="24" t="n"/>
      <c r="J263" s="25" t="n"/>
      <c r="K263" s="14" t="n"/>
      <c r="L263" s="24" t="n"/>
      <c r="M263" s="26">
        <f>IF(OR(N(J263)=0,L263="Cancelled"),"",IF(AND(N(J263)&gt;5000,H263="Cash"),"Yes: ₹1","No"))</f>
        <v/>
      </c>
      <c r="N263" s="27">
        <f>IF(AND(B263="",D263="",N(J263)=0),"",IF(B263="","Enter the date",IF(AND(ROW()&gt;18,B262=""),"Use the next empty row: a skipped row leaves a gap in the voucher numbers",IF(D263="","Enter who was paid",IF(N(J263)=0,"Enter the amount",IF(E263="","Pick the head of account",IF(P263="?","Pick the head from the list",IF(H263="","Pick how it was paid",IF(L263="Cancelled","Cancelled: keep this number unused and write a fresh voucher",IF(AND(H263&lt;&gt;"Cash",I263=""),"Enter the cheque no., UTR or UPI reference",IF(AND(N($E$11)&gt;0,N(J263)&gt;N($E$11),K263=""),"Above your approval limit: get it approved before paying",IF(S263&gt;10000,"Cash paid to this person today is over ₹10,000: not deductible, s.36(4)",IF(T263&gt;35000,"Cash freight to this transporter today is over ₹35,000: not deductible, s.36(6)",IF(U263&gt;10000,"Asset paid in cash over ₹10,000 today: left out of its cost, s.39(2)",IF(AND(P263="L",H263="Cash",N(J263)&gt;=20000),"Loan of ₹20,000 or more repaid in cash: barred, s.188","OK")))))))))))))))</f>
        <v/>
      </c>
      <c r="P263">
        <f>IF(E263="","",IFERROR(VLOOKUP(E263,Lists!$A$2:$B$17,2,FALSE),"?"))</f>
        <v/>
      </c>
      <c r="Q263">
        <f>IF(L263="Cancelled",0,N(J263))</f>
        <v/>
      </c>
      <c r="R263">
        <f>IF(H263="Cash",Q263,0)</f>
        <v/>
      </c>
      <c r="S263">
        <f>IF(OR(P263&lt;&gt;"E",R263=0),0,SUMIFS($R$18:$R$317,$B$18:$B$317,B263,$D$18:$D$317,D263,$P$18:$P$317,"E"))</f>
        <v/>
      </c>
      <c r="T263">
        <f>IF(OR(P263&lt;&gt;"F",R263=0),0,SUMIFS($R$18:$R$317,$B$18:$B$317,B263,$D$18:$D$317,D263,$P$18:$P$317,"F"))</f>
        <v/>
      </c>
      <c r="U263">
        <f>IF(OR(P263&lt;&gt;"A",R263=0),0,SUMIFS($R$18:$R$317,$B$18:$B$317,B263,$D$18:$D$317,D263,$P$18:$P$317,"A"))</f>
        <v/>
      </c>
      <c r="V263">
        <f>IF(OR(N263="",N263="OK",L263="Cancelled"),0,1)</f>
        <v/>
      </c>
    </row>
    <row r="264">
      <c r="B264" s="22" t="n"/>
      <c r="C264" s="23">
        <f>IF(B264="","",$E$9&amp;TEXT(N($E$10)+246,"000"))</f>
        <v/>
      </c>
      <c r="D264" s="14" t="n"/>
      <c r="E264" s="14" t="n"/>
      <c r="F264" s="14" t="n"/>
      <c r="G264" s="24" t="n"/>
      <c r="H264" s="14" t="n"/>
      <c r="I264" s="24" t="n"/>
      <c r="J264" s="25" t="n"/>
      <c r="K264" s="14" t="n"/>
      <c r="L264" s="24" t="n"/>
      <c r="M264" s="26">
        <f>IF(OR(N(J264)=0,L264="Cancelled"),"",IF(AND(N(J264)&gt;5000,H264="Cash"),"Yes: ₹1","No"))</f>
        <v/>
      </c>
      <c r="N264" s="27">
        <f>IF(AND(B264="",D264="",N(J264)=0),"",IF(B264="","Enter the date",IF(AND(ROW()&gt;18,B263=""),"Use the next empty row: a skipped row leaves a gap in the voucher numbers",IF(D264="","Enter who was paid",IF(N(J264)=0,"Enter the amount",IF(E264="","Pick the head of account",IF(P264="?","Pick the head from the list",IF(H264="","Pick how it was paid",IF(L264="Cancelled","Cancelled: keep this number unused and write a fresh voucher",IF(AND(H264&lt;&gt;"Cash",I264=""),"Enter the cheque no., UTR or UPI reference",IF(AND(N($E$11)&gt;0,N(J264)&gt;N($E$11),K264=""),"Above your approval limit: get it approved before paying",IF(S264&gt;10000,"Cash paid to this person today is over ₹10,000: not deductible, s.36(4)",IF(T264&gt;35000,"Cash freight to this transporter today is over ₹35,000: not deductible, s.36(6)",IF(U264&gt;10000,"Asset paid in cash over ₹10,000 today: left out of its cost, s.39(2)",IF(AND(P264="L",H264="Cash",N(J264)&gt;=20000),"Loan of ₹20,000 or more repaid in cash: barred, s.188","OK")))))))))))))))</f>
        <v/>
      </c>
      <c r="P264">
        <f>IF(E264="","",IFERROR(VLOOKUP(E264,Lists!$A$2:$B$17,2,FALSE),"?"))</f>
        <v/>
      </c>
      <c r="Q264">
        <f>IF(L264="Cancelled",0,N(J264))</f>
        <v/>
      </c>
      <c r="R264">
        <f>IF(H264="Cash",Q264,0)</f>
        <v/>
      </c>
      <c r="S264">
        <f>IF(OR(P264&lt;&gt;"E",R264=0),0,SUMIFS($R$18:$R$317,$B$18:$B$317,B264,$D$18:$D$317,D264,$P$18:$P$317,"E"))</f>
        <v/>
      </c>
      <c r="T264">
        <f>IF(OR(P264&lt;&gt;"F",R264=0),0,SUMIFS($R$18:$R$317,$B$18:$B$317,B264,$D$18:$D$317,D264,$P$18:$P$317,"F"))</f>
        <v/>
      </c>
      <c r="U264">
        <f>IF(OR(P264&lt;&gt;"A",R264=0),0,SUMIFS($R$18:$R$317,$B$18:$B$317,B264,$D$18:$D$317,D264,$P$18:$P$317,"A"))</f>
        <v/>
      </c>
      <c r="V264">
        <f>IF(OR(N264="",N264="OK",L264="Cancelled"),0,1)</f>
        <v/>
      </c>
    </row>
    <row r="265">
      <c r="B265" s="22" t="n"/>
      <c r="C265" s="23">
        <f>IF(B265="","",$E$9&amp;TEXT(N($E$10)+247,"000"))</f>
        <v/>
      </c>
      <c r="D265" s="14" t="n"/>
      <c r="E265" s="14" t="n"/>
      <c r="F265" s="14" t="n"/>
      <c r="G265" s="24" t="n"/>
      <c r="H265" s="14" t="n"/>
      <c r="I265" s="24" t="n"/>
      <c r="J265" s="25" t="n"/>
      <c r="K265" s="14" t="n"/>
      <c r="L265" s="24" t="n"/>
      <c r="M265" s="26">
        <f>IF(OR(N(J265)=0,L265="Cancelled"),"",IF(AND(N(J265)&gt;5000,H265="Cash"),"Yes: ₹1","No"))</f>
        <v/>
      </c>
      <c r="N265" s="27">
        <f>IF(AND(B265="",D265="",N(J265)=0),"",IF(B265="","Enter the date",IF(AND(ROW()&gt;18,B264=""),"Use the next empty row: a skipped row leaves a gap in the voucher numbers",IF(D265="","Enter who was paid",IF(N(J265)=0,"Enter the amount",IF(E265="","Pick the head of account",IF(P265="?","Pick the head from the list",IF(H265="","Pick how it was paid",IF(L265="Cancelled","Cancelled: keep this number unused and write a fresh voucher",IF(AND(H265&lt;&gt;"Cash",I265=""),"Enter the cheque no., UTR or UPI reference",IF(AND(N($E$11)&gt;0,N(J265)&gt;N($E$11),K265=""),"Above your approval limit: get it approved before paying",IF(S265&gt;10000,"Cash paid to this person today is over ₹10,000: not deductible, s.36(4)",IF(T265&gt;35000,"Cash freight to this transporter today is over ₹35,000: not deductible, s.36(6)",IF(U265&gt;10000,"Asset paid in cash over ₹10,000 today: left out of its cost, s.39(2)",IF(AND(P265="L",H265="Cash",N(J265)&gt;=20000),"Loan of ₹20,000 or more repaid in cash: barred, s.188","OK")))))))))))))))</f>
        <v/>
      </c>
      <c r="P265">
        <f>IF(E265="","",IFERROR(VLOOKUP(E265,Lists!$A$2:$B$17,2,FALSE),"?"))</f>
        <v/>
      </c>
      <c r="Q265">
        <f>IF(L265="Cancelled",0,N(J265))</f>
        <v/>
      </c>
      <c r="R265">
        <f>IF(H265="Cash",Q265,0)</f>
        <v/>
      </c>
      <c r="S265">
        <f>IF(OR(P265&lt;&gt;"E",R265=0),0,SUMIFS($R$18:$R$317,$B$18:$B$317,B265,$D$18:$D$317,D265,$P$18:$P$317,"E"))</f>
        <v/>
      </c>
      <c r="T265">
        <f>IF(OR(P265&lt;&gt;"F",R265=0),0,SUMIFS($R$18:$R$317,$B$18:$B$317,B265,$D$18:$D$317,D265,$P$18:$P$317,"F"))</f>
        <v/>
      </c>
      <c r="U265">
        <f>IF(OR(P265&lt;&gt;"A",R265=0),0,SUMIFS($R$18:$R$317,$B$18:$B$317,B265,$D$18:$D$317,D265,$P$18:$P$317,"A"))</f>
        <v/>
      </c>
      <c r="V265">
        <f>IF(OR(N265="",N265="OK",L265="Cancelled"),0,1)</f>
        <v/>
      </c>
    </row>
    <row r="266">
      <c r="B266" s="22" t="n"/>
      <c r="C266" s="23">
        <f>IF(B266="","",$E$9&amp;TEXT(N($E$10)+248,"000"))</f>
        <v/>
      </c>
      <c r="D266" s="14" t="n"/>
      <c r="E266" s="14" t="n"/>
      <c r="F266" s="14" t="n"/>
      <c r="G266" s="24" t="n"/>
      <c r="H266" s="14" t="n"/>
      <c r="I266" s="24" t="n"/>
      <c r="J266" s="25" t="n"/>
      <c r="K266" s="14" t="n"/>
      <c r="L266" s="24" t="n"/>
      <c r="M266" s="26">
        <f>IF(OR(N(J266)=0,L266="Cancelled"),"",IF(AND(N(J266)&gt;5000,H266="Cash"),"Yes: ₹1","No"))</f>
        <v/>
      </c>
      <c r="N266" s="27">
        <f>IF(AND(B266="",D266="",N(J266)=0),"",IF(B266="","Enter the date",IF(AND(ROW()&gt;18,B265=""),"Use the next empty row: a skipped row leaves a gap in the voucher numbers",IF(D266="","Enter who was paid",IF(N(J266)=0,"Enter the amount",IF(E266="","Pick the head of account",IF(P266="?","Pick the head from the list",IF(H266="","Pick how it was paid",IF(L266="Cancelled","Cancelled: keep this number unused and write a fresh voucher",IF(AND(H266&lt;&gt;"Cash",I266=""),"Enter the cheque no., UTR or UPI reference",IF(AND(N($E$11)&gt;0,N(J266)&gt;N($E$11),K266=""),"Above your approval limit: get it approved before paying",IF(S266&gt;10000,"Cash paid to this person today is over ₹10,000: not deductible, s.36(4)",IF(T266&gt;35000,"Cash freight to this transporter today is over ₹35,000: not deductible, s.36(6)",IF(U266&gt;10000,"Asset paid in cash over ₹10,000 today: left out of its cost, s.39(2)",IF(AND(P266="L",H266="Cash",N(J266)&gt;=20000),"Loan of ₹20,000 or more repaid in cash: barred, s.188","OK")))))))))))))))</f>
        <v/>
      </c>
      <c r="P266">
        <f>IF(E266="","",IFERROR(VLOOKUP(E266,Lists!$A$2:$B$17,2,FALSE),"?"))</f>
        <v/>
      </c>
      <c r="Q266">
        <f>IF(L266="Cancelled",0,N(J266))</f>
        <v/>
      </c>
      <c r="R266">
        <f>IF(H266="Cash",Q266,0)</f>
        <v/>
      </c>
      <c r="S266">
        <f>IF(OR(P266&lt;&gt;"E",R266=0),0,SUMIFS($R$18:$R$317,$B$18:$B$317,B266,$D$18:$D$317,D266,$P$18:$P$317,"E"))</f>
        <v/>
      </c>
      <c r="T266">
        <f>IF(OR(P266&lt;&gt;"F",R266=0),0,SUMIFS($R$18:$R$317,$B$18:$B$317,B266,$D$18:$D$317,D266,$P$18:$P$317,"F"))</f>
        <v/>
      </c>
      <c r="U266">
        <f>IF(OR(P266&lt;&gt;"A",R266=0),0,SUMIFS($R$18:$R$317,$B$18:$B$317,B266,$D$18:$D$317,D266,$P$18:$P$317,"A"))</f>
        <v/>
      </c>
      <c r="V266">
        <f>IF(OR(N266="",N266="OK",L266="Cancelled"),0,1)</f>
        <v/>
      </c>
    </row>
    <row r="267">
      <c r="B267" s="22" t="n"/>
      <c r="C267" s="23">
        <f>IF(B267="","",$E$9&amp;TEXT(N($E$10)+249,"000"))</f>
        <v/>
      </c>
      <c r="D267" s="14" t="n"/>
      <c r="E267" s="14" t="n"/>
      <c r="F267" s="14" t="n"/>
      <c r="G267" s="24" t="n"/>
      <c r="H267" s="14" t="n"/>
      <c r="I267" s="24" t="n"/>
      <c r="J267" s="25" t="n"/>
      <c r="K267" s="14" t="n"/>
      <c r="L267" s="24" t="n"/>
      <c r="M267" s="26">
        <f>IF(OR(N(J267)=0,L267="Cancelled"),"",IF(AND(N(J267)&gt;5000,H267="Cash"),"Yes: ₹1","No"))</f>
        <v/>
      </c>
      <c r="N267" s="27">
        <f>IF(AND(B267="",D267="",N(J267)=0),"",IF(B267="","Enter the date",IF(AND(ROW()&gt;18,B266=""),"Use the next empty row: a skipped row leaves a gap in the voucher numbers",IF(D267="","Enter who was paid",IF(N(J267)=0,"Enter the amount",IF(E267="","Pick the head of account",IF(P267="?","Pick the head from the list",IF(H267="","Pick how it was paid",IF(L267="Cancelled","Cancelled: keep this number unused and write a fresh voucher",IF(AND(H267&lt;&gt;"Cash",I267=""),"Enter the cheque no., UTR or UPI reference",IF(AND(N($E$11)&gt;0,N(J267)&gt;N($E$11),K267=""),"Above your approval limit: get it approved before paying",IF(S267&gt;10000,"Cash paid to this person today is over ₹10,000: not deductible, s.36(4)",IF(T267&gt;35000,"Cash freight to this transporter today is over ₹35,000: not deductible, s.36(6)",IF(U267&gt;10000,"Asset paid in cash over ₹10,000 today: left out of its cost, s.39(2)",IF(AND(P267="L",H267="Cash",N(J267)&gt;=20000),"Loan of ₹20,000 or more repaid in cash: barred, s.188","OK")))))))))))))))</f>
        <v/>
      </c>
      <c r="P267">
        <f>IF(E267="","",IFERROR(VLOOKUP(E267,Lists!$A$2:$B$17,2,FALSE),"?"))</f>
        <v/>
      </c>
      <c r="Q267">
        <f>IF(L267="Cancelled",0,N(J267))</f>
        <v/>
      </c>
      <c r="R267">
        <f>IF(H267="Cash",Q267,0)</f>
        <v/>
      </c>
      <c r="S267">
        <f>IF(OR(P267&lt;&gt;"E",R267=0),0,SUMIFS($R$18:$R$317,$B$18:$B$317,B267,$D$18:$D$317,D267,$P$18:$P$317,"E"))</f>
        <v/>
      </c>
      <c r="T267">
        <f>IF(OR(P267&lt;&gt;"F",R267=0),0,SUMIFS($R$18:$R$317,$B$18:$B$317,B267,$D$18:$D$317,D267,$P$18:$P$317,"F"))</f>
        <v/>
      </c>
      <c r="U267">
        <f>IF(OR(P267&lt;&gt;"A",R267=0),0,SUMIFS($R$18:$R$317,$B$18:$B$317,B267,$D$18:$D$317,D267,$P$18:$P$317,"A"))</f>
        <v/>
      </c>
      <c r="V267">
        <f>IF(OR(N267="",N267="OK",L267="Cancelled"),0,1)</f>
        <v/>
      </c>
    </row>
    <row r="268">
      <c r="B268" s="22" t="n"/>
      <c r="C268" s="23">
        <f>IF(B268="","",$E$9&amp;TEXT(N($E$10)+250,"000"))</f>
        <v/>
      </c>
      <c r="D268" s="14" t="n"/>
      <c r="E268" s="14" t="n"/>
      <c r="F268" s="14" t="n"/>
      <c r="G268" s="24" t="n"/>
      <c r="H268" s="14" t="n"/>
      <c r="I268" s="24" t="n"/>
      <c r="J268" s="25" t="n"/>
      <c r="K268" s="14" t="n"/>
      <c r="L268" s="24" t="n"/>
      <c r="M268" s="26">
        <f>IF(OR(N(J268)=0,L268="Cancelled"),"",IF(AND(N(J268)&gt;5000,H268="Cash"),"Yes: ₹1","No"))</f>
        <v/>
      </c>
      <c r="N268" s="27">
        <f>IF(AND(B268="",D268="",N(J268)=0),"",IF(B268="","Enter the date",IF(AND(ROW()&gt;18,B267=""),"Use the next empty row: a skipped row leaves a gap in the voucher numbers",IF(D268="","Enter who was paid",IF(N(J268)=0,"Enter the amount",IF(E268="","Pick the head of account",IF(P268="?","Pick the head from the list",IF(H268="","Pick how it was paid",IF(L268="Cancelled","Cancelled: keep this number unused and write a fresh voucher",IF(AND(H268&lt;&gt;"Cash",I268=""),"Enter the cheque no., UTR or UPI reference",IF(AND(N($E$11)&gt;0,N(J268)&gt;N($E$11),K268=""),"Above your approval limit: get it approved before paying",IF(S268&gt;10000,"Cash paid to this person today is over ₹10,000: not deductible, s.36(4)",IF(T268&gt;35000,"Cash freight to this transporter today is over ₹35,000: not deductible, s.36(6)",IF(U268&gt;10000,"Asset paid in cash over ₹10,000 today: left out of its cost, s.39(2)",IF(AND(P268="L",H268="Cash",N(J268)&gt;=20000),"Loan of ₹20,000 or more repaid in cash: barred, s.188","OK")))))))))))))))</f>
        <v/>
      </c>
      <c r="P268">
        <f>IF(E268="","",IFERROR(VLOOKUP(E268,Lists!$A$2:$B$17,2,FALSE),"?"))</f>
        <v/>
      </c>
      <c r="Q268">
        <f>IF(L268="Cancelled",0,N(J268))</f>
        <v/>
      </c>
      <c r="R268">
        <f>IF(H268="Cash",Q268,0)</f>
        <v/>
      </c>
      <c r="S268">
        <f>IF(OR(P268&lt;&gt;"E",R268=0),0,SUMIFS($R$18:$R$317,$B$18:$B$317,B268,$D$18:$D$317,D268,$P$18:$P$317,"E"))</f>
        <v/>
      </c>
      <c r="T268">
        <f>IF(OR(P268&lt;&gt;"F",R268=0),0,SUMIFS($R$18:$R$317,$B$18:$B$317,B268,$D$18:$D$317,D268,$P$18:$P$317,"F"))</f>
        <v/>
      </c>
      <c r="U268">
        <f>IF(OR(P268&lt;&gt;"A",R268=0),0,SUMIFS($R$18:$R$317,$B$18:$B$317,B268,$D$18:$D$317,D268,$P$18:$P$317,"A"))</f>
        <v/>
      </c>
      <c r="V268">
        <f>IF(OR(N268="",N268="OK",L268="Cancelled"),0,1)</f>
        <v/>
      </c>
    </row>
    <row r="269">
      <c r="B269" s="22" t="n"/>
      <c r="C269" s="23">
        <f>IF(B269="","",$E$9&amp;TEXT(N($E$10)+251,"000"))</f>
        <v/>
      </c>
      <c r="D269" s="14" t="n"/>
      <c r="E269" s="14" t="n"/>
      <c r="F269" s="14" t="n"/>
      <c r="G269" s="24" t="n"/>
      <c r="H269" s="14" t="n"/>
      <c r="I269" s="24" t="n"/>
      <c r="J269" s="25" t="n"/>
      <c r="K269" s="14" t="n"/>
      <c r="L269" s="24" t="n"/>
      <c r="M269" s="26">
        <f>IF(OR(N(J269)=0,L269="Cancelled"),"",IF(AND(N(J269)&gt;5000,H269="Cash"),"Yes: ₹1","No"))</f>
        <v/>
      </c>
      <c r="N269" s="27">
        <f>IF(AND(B269="",D269="",N(J269)=0),"",IF(B269="","Enter the date",IF(AND(ROW()&gt;18,B268=""),"Use the next empty row: a skipped row leaves a gap in the voucher numbers",IF(D269="","Enter who was paid",IF(N(J269)=0,"Enter the amount",IF(E269="","Pick the head of account",IF(P269="?","Pick the head from the list",IF(H269="","Pick how it was paid",IF(L269="Cancelled","Cancelled: keep this number unused and write a fresh voucher",IF(AND(H269&lt;&gt;"Cash",I269=""),"Enter the cheque no., UTR or UPI reference",IF(AND(N($E$11)&gt;0,N(J269)&gt;N($E$11),K269=""),"Above your approval limit: get it approved before paying",IF(S269&gt;10000,"Cash paid to this person today is over ₹10,000: not deductible, s.36(4)",IF(T269&gt;35000,"Cash freight to this transporter today is over ₹35,000: not deductible, s.36(6)",IF(U269&gt;10000,"Asset paid in cash over ₹10,000 today: left out of its cost, s.39(2)",IF(AND(P269="L",H269="Cash",N(J269)&gt;=20000),"Loan of ₹20,000 or more repaid in cash: barred, s.188","OK")))))))))))))))</f>
        <v/>
      </c>
      <c r="P269">
        <f>IF(E269="","",IFERROR(VLOOKUP(E269,Lists!$A$2:$B$17,2,FALSE),"?"))</f>
        <v/>
      </c>
      <c r="Q269">
        <f>IF(L269="Cancelled",0,N(J269))</f>
        <v/>
      </c>
      <c r="R269">
        <f>IF(H269="Cash",Q269,0)</f>
        <v/>
      </c>
      <c r="S269">
        <f>IF(OR(P269&lt;&gt;"E",R269=0),0,SUMIFS($R$18:$R$317,$B$18:$B$317,B269,$D$18:$D$317,D269,$P$18:$P$317,"E"))</f>
        <v/>
      </c>
      <c r="T269">
        <f>IF(OR(P269&lt;&gt;"F",R269=0),0,SUMIFS($R$18:$R$317,$B$18:$B$317,B269,$D$18:$D$317,D269,$P$18:$P$317,"F"))</f>
        <v/>
      </c>
      <c r="U269">
        <f>IF(OR(P269&lt;&gt;"A",R269=0),0,SUMIFS($R$18:$R$317,$B$18:$B$317,B269,$D$18:$D$317,D269,$P$18:$P$317,"A"))</f>
        <v/>
      </c>
      <c r="V269">
        <f>IF(OR(N269="",N269="OK",L269="Cancelled"),0,1)</f>
        <v/>
      </c>
    </row>
    <row r="270">
      <c r="B270" s="22" t="n"/>
      <c r="C270" s="23">
        <f>IF(B270="","",$E$9&amp;TEXT(N($E$10)+252,"000"))</f>
        <v/>
      </c>
      <c r="D270" s="14" t="n"/>
      <c r="E270" s="14" t="n"/>
      <c r="F270" s="14" t="n"/>
      <c r="G270" s="24" t="n"/>
      <c r="H270" s="14" t="n"/>
      <c r="I270" s="24" t="n"/>
      <c r="J270" s="25" t="n"/>
      <c r="K270" s="14" t="n"/>
      <c r="L270" s="24" t="n"/>
      <c r="M270" s="26">
        <f>IF(OR(N(J270)=0,L270="Cancelled"),"",IF(AND(N(J270)&gt;5000,H270="Cash"),"Yes: ₹1","No"))</f>
        <v/>
      </c>
      <c r="N270" s="27">
        <f>IF(AND(B270="",D270="",N(J270)=0),"",IF(B270="","Enter the date",IF(AND(ROW()&gt;18,B269=""),"Use the next empty row: a skipped row leaves a gap in the voucher numbers",IF(D270="","Enter who was paid",IF(N(J270)=0,"Enter the amount",IF(E270="","Pick the head of account",IF(P270="?","Pick the head from the list",IF(H270="","Pick how it was paid",IF(L270="Cancelled","Cancelled: keep this number unused and write a fresh voucher",IF(AND(H270&lt;&gt;"Cash",I270=""),"Enter the cheque no., UTR or UPI reference",IF(AND(N($E$11)&gt;0,N(J270)&gt;N($E$11),K270=""),"Above your approval limit: get it approved before paying",IF(S270&gt;10000,"Cash paid to this person today is over ₹10,000: not deductible, s.36(4)",IF(T270&gt;35000,"Cash freight to this transporter today is over ₹35,000: not deductible, s.36(6)",IF(U270&gt;10000,"Asset paid in cash over ₹10,000 today: left out of its cost, s.39(2)",IF(AND(P270="L",H270="Cash",N(J270)&gt;=20000),"Loan of ₹20,000 or more repaid in cash: barred, s.188","OK")))))))))))))))</f>
        <v/>
      </c>
      <c r="P270">
        <f>IF(E270="","",IFERROR(VLOOKUP(E270,Lists!$A$2:$B$17,2,FALSE),"?"))</f>
        <v/>
      </c>
      <c r="Q270">
        <f>IF(L270="Cancelled",0,N(J270))</f>
        <v/>
      </c>
      <c r="R270">
        <f>IF(H270="Cash",Q270,0)</f>
        <v/>
      </c>
      <c r="S270">
        <f>IF(OR(P270&lt;&gt;"E",R270=0),0,SUMIFS($R$18:$R$317,$B$18:$B$317,B270,$D$18:$D$317,D270,$P$18:$P$317,"E"))</f>
        <v/>
      </c>
      <c r="T270">
        <f>IF(OR(P270&lt;&gt;"F",R270=0),0,SUMIFS($R$18:$R$317,$B$18:$B$317,B270,$D$18:$D$317,D270,$P$18:$P$317,"F"))</f>
        <v/>
      </c>
      <c r="U270">
        <f>IF(OR(P270&lt;&gt;"A",R270=0),0,SUMIFS($R$18:$R$317,$B$18:$B$317,B270,$D$18:$D$317,D270,$P$18:$P$317,"A"))</f>
        <v/>
      </c>
      <c r="V270">
        <f>IF(OR(N270="",N270="OK",L270="Cancelled"),0,1)</f>
        <v/>
      </c>
    </row>
    <row r="271">
      <c r="B271" s="22" t="n"/>
      <c r="C271" s="23">
        <f>IF(B271="","",$E$9&amp;TEXT(N($E$10)+253,"000"))</f>
        <v/>
      </c>
      <c r="D271" s="14" t="n"/>
      <c r="E271" s="14" t="n"/>
      <c r="F271" s="14" t="n"/>
      <c r="G271" s="24" t="n"/>
      <c r="H271" s="14" t="n"/>
      <c r="I271" s="24" t="n"/>
      <c r="J271" s="25" t="n"/>
      <c r="K271" s="14" t="n"/>
      <c r="L271" s="24" t="n"/>
      <c r="M271" s="26">
        <f>IF(OR(N(J271)=0,L271="Cancelled"),"",IF(AND(N(J271)&gt;5000,H271="Cash"),"Yes: ₹1","No"))</f>
        <v/>
      </c>
      <c r="N271" s="27">
        <f>IF(AND(B271="",D271="",N(J271)=0),"",IF(B271="","Enter the date",IF(AND(ROW()&gt;18,B270=""),"Use the next empty row: a skipped row leaves a gap in the voucher numbers",IF(D271="","Enter who was paid",IF(N(J271)=0,"Enter the amount",IF(E271="","Pick the head of account",IF(P271="?","Pick the head from the list",IF(H271="","Pick how it was paid",IF(L271="Cancelled","Cancelled: keep this number unused and write a fresh voucher",IF(AND(H271&lt;&gt;"Cash",I271=""),"Enter the cheque no., UTR or UPI reference",IF(AND(N($E$11)&gt;0,N(J271)&gt;N($E$11),K271=""),"Above your approval limit: get it approved before paying",IF(S271&gt;10000,"Cash paid to this person today is over ₹10,000: not deductible, s.36(4)",IF(T271&gt;35000,"Cash freight to this transporter today is over ₹35,000: not deductible, s.36(6)",IF(U271&gt;10000,"Asset paid in cash over ₹10,000 today: left out of its cost, s.39(2)",IF(AND(P271="L",H271="Cash",N(J271)&gt;=20000),"Loan of ₹20,000 or more repaid in cash: barred, s.188","OK")))))))))))))))</f>
        <v/>
      </c>
      <c r="P271">
        <f>IF(E271="","",IFERROR(VLOOKUP(E271,Lists!$A$2:$B$17,2,FALSE),"?"))</f>
        <v/>
      </c>
      <c r="Q271">
        <f>IF(L271="Cancelled",0,N(J271))</f>
        <v/>
      </c>
      <c r="R271">
        <f>IF(H271="Cash",Q271,0)</f>
        <v/>
      </c>
      <c r="S271">
        <f>IF(OR(P271&lt;&gt;"E",R271=0),0,SUMIFS($R$18:$R$317,$B$18:$B$317,B271,$D$18:$D$317,D271,$P$18:$P$317,"E"))</f>
        <v/>
      </c>
      <c r="T271">
        <f>IF(OR(P271&lt;&gt;"F",R271=0),0,SUMIFS($R$18:$R$317,$B$18:$B$317,B271,$D$18:$D$317,D271,$P$18:$P$317,"F"))</f>
        <v/>
      </c>
      <c r="U271">
        <f>IF(OR(P271&lt;&gt;"A",R271=0),0,SUMIFS($R$18:$R$317,$B$18:$B$317,B271,$D$18:$D$317,D271,$P$18:$P$317,"A"))</f>
        <v/>
      </c>
      <c r="V271">
        <f>IF(OR(N271="",N271="OK",L271="Cancelled"),0,1)</f>
        <v/>
      </c>
    </row>
    <row r="272">
      <c r="B272" s="22" t="n"/>
      <c r="C272" s="23">
        <f>IF(B272="","",$E$9&amp;TEXT(N($E$10)+254,"000"))</f>
        <v/>
      </c>
      <c r="D272" s="14" t="n"/>
      <c r="E272" s="14" t="n"/>
      <c r="F272" s="14" t="n"/>
      <c r="G272" s="24" t="n"/>
      <c r="H272" s="14" t="n"/>
      <c r="I272" s="24" t="n"/>
      <c r="J272" s="25" t="n"/>
      <c r="K272" s="14" t="n"/>
      <c r="L272" s="24" t="n"/>
      <c r="M272" s="26">
        <f>IF(OR(N(J272)=0,L272="Cancelled"),"",IF(AND(N(J272)&gt;5000,H272="Cash"),"Yes: ₹1","No"))</f>
        <v/>
      </c>
      <c r="N272" s="27">
        <f>IF(AND(B272="",D272="",N(J272)=0),"",IF(B272="","Enter the date",IF(AND(ROW()&gt;18,B271=""),"Use the next empty row: a skipped row leaves a gap in the voucher numbers",IF(D272="","Enter who was paid",IF(N(J272)=0,"Enter the amount",IF(E272="","Pick the head of account",IF(P272="?","Pick the head from the list",IF(H272="","Pick how it was paid",IF(L272="Cancelled","Cancelled: keep this number unused and write a fresh voucher",IF(AND(H272&lt;&gt;"Cash",I272=""),"Enter the cheque no., UTR or UPI reference",IF(AND(N($E$11)&gt;0,N(J272)&gt;N($E$11),K272=""),"Above your approval limit: get it approved before paying",IF(S272&gt;10000,"Cash paid to this person today is over ₹10,000: not deductible, s.36(4)",IF(T272&gt;35000,"Cash freight to this transporter today is over ₹35,000: not deductible, s.36(6)",IF(U272&gt;10000,"Asset paid in cash over ₹10,000 today: left out of its cost, s.39(2)",IF(AND(P272="L",H272="Cash",N(J272)&gt;=20000),"Loan of ₹20,000 or more repaid in cash: barred, s.188","OK")))))))))))))))</f>
        <v/>
      </c>
      <c r="P272">
        <f>IF(E272="","",IFERROR(VLOOKUP(E272,Lists!$A$2:$B$17,2,FALSE),"?"))</f>
        <v/>
      </c>
      <c r="Q272">
        <f>IF(L272="Cancelled",0,N(J272))</f>
        <v/>
      </c>
      <c r="R272">
        <f>IF(H272="Cash",Q272,0)</f>
        <v/>
      </c>
      <c r="S272">
        <f>IF(OR(P272&lt;&gt;"E",R272=0),0,SUMIFS($R$18:$R$317,$B$18:$B$317,B272,$D$18:$D$317,D272,$P$18:$P$317,"E"))</f>
        <v/>
      </c>
      <c r="T272">
        <f>IF(OR(P272&lt;&gt;"F",R272=0),0,SUMIFS($R$18:$R$317,$B$18:$B$317,B272,$D$18:$D$317,D272,$P$18:$P$317,"F"))</f>
        <v/>
      </c>
      <c r="U272">
        <f>IF(OR(P272&lt;&gt;"A",R272=0),0,SUMIFS($R$18:$R$317,$B$18:$B$317,B272,$D$18:$D$317,D272,$P$18:$P$317,"A"))</f>
        <v/>
      </c>
      <c r="V272">
        <f>IF(OR(N272="",N272="OK",L272="Cancelled"),0,1)</f>
        <v/>
      </c>
    </row>
    <row r="273">
      <c r="B273" s="22" t="n"/>
      <c r="C273" s="23">
        <f>IF(B273="","",$E$9&amp;TEXT(N($E$10)+255,"000"))</f>
        <v/>
      </c>
      <c r="D273" s="14" t="n"/>
      <c r="E273" s="14" t="n"/>
      <c r="F273" s="14" t="n"/>
      <c r="G273" s="24" t="n"/>
      <c r="H273" s="14" t="n"/>
      <c r="I273" s="24" t="n"/>
      <c r="J273" s="25" t="n"/>
      <c r="K273" s="14" t="n"/>
      <c r="L273" s="24" t="n"/>
      <c r="M273" s="26">
        <f>IF(OR(N(J273)=0,L273="Cancelled"),"",IF(AND(N(J273)&gt;5000,H273="Cash"),"Yes: ₹1","No"))</f>
        <v/>
      </c>
      <c r="N273" s="27">
        <f>IF(AND(B273="",D273="",N(J273)=0),"",IF(B273="","Enter the date",IF(AND(ROW()&gt;18,B272=""),"Use the next empty row: a skipped row leaves a gap in the voucher numbers",IF(D273="","Enter who was paid",IF(N(J273)=0,"Enter the amount",IF(E273="","Pick the head of account",IF(P273="?","Pick the head from the list",IF(H273="","Pick how it was paid",IF(L273="Cancelled","Cancelled: keep this number unused and write a fresh voucher",IF(AND(H273&lt;&gt;"Cash",I273=""),"Enter the cheque no., UTR or UPI reference",IF(AND(N($E$11)&gt;0,N(J273)&gt;N($E$11),K273=""),"Above your approval limit: get it approved before paying",IF(S273&gt;10000,"Cash paid to this person today is over ₹10,000: not deductible, s.36(4)",IF(T273&gt;35000,"Cash freight to this transporter today is over ₹35,000: not deductible, s.36(6)",IF(U273&gt;10000,"Asset paid in cash over ₹10,000 today: left out of its cost, s.39(2)",IF(AND(P273="L",H273="Cash",N(J273)&gt;=20000),"Loan of ₹20,000 or more repaid in cash: barred, s.188","OK")))))))))))))))</f>
        <v/>
      </c>
      <c r="P273">
        <f>IF(E273="","",IFERROR(VLOOKUP(E273,Lists!$A$2:$B$17,2,FALSE),"?"))</f>
        <v/>
      </c>
      <c r="Q273">
        <f>IF(L273="Cancelled",0,N(J273))</f>
        <v/>
      </c>
      <c r="R273">
        <f>IF(H273="Cash",Q273,0)</f>
        <v/>
      </c>
      <c r="S273">
        <f>IF(OR(P273&lt;&gt;"E",R273=0),0,SUMIFS($R$18:$R$317,$B$18:$B$317,B273,$D$18:$D$317,D273,$P$18:$P$317,"E"))</f>
        <v/>
      </c>
      <c r="T273">
        <f>IF(OR(P273&lt;&gt;"F",R273=0),0,SUMIFS($R$18:$R$317,$B$18:$B$317,B273,$D$18:$D$317,D273,$P$18:$P$317,"F"))</f>
        <v/>
      </c>
      <c r="U273">
        <f>IF(OR(P273&lt;&gt;"A",R273=0),0,SUMIFS($R$18:$R$317,$B$18:$B$317,B273,$D$18:$D$317,D273,$P$18:$P$317,"A"))</f>
        <v/>
      </c>
      <c r="V273">
        <f>IF(OR(N273="",N273="OK",L273="Cancelled"),0,1)</f>
        <v/>
      </c>
    </row>
    <row r="274">
      <c r="B274" s="22" t="n"/>
      <c r="C274" s="23">
        <f>IF(B274="","",$E$9&amp;TEXT(N($E$10)+256,"000"))</f>
        <v/>
      </c>
      <c r="D274" s="14" t="n"/>
      <c r="E274" s="14" t="n"/>
      <c r="F274" s="14" t="n"/>
      <c r="G274" s="24" t="n"/>
      <c r="H274" s="14" t="n"/>
      <c r="I274" s="24" t="n"/>
      <c r="J274" s="25" t="n"/>
      <c r="K274" s="14" t="n"/>
      <c r="L274" s="24" t="n"/>
      <c r="M274" s="26">
        <f>IF(OR(N(J274)=0,L274="Cancelled"),"",IF(AND(N(J274)&gt;5000,H274="Cash"),"Yes: ₹1","No"))</f>
        <v/>
      </c>
      <c r="N274" s="27">
        <f>IF(AND(B274="",D274="",N(J274)=0),"",IF(B274="","Enter the date",IF(AND(ROW()&gt;18,B273=""),"Use the next empty row: a skipped row leaves a gap in the voucher numbers",IF(D274="","Enter who was paid",IF(N(J274)=0,"Enter the amount",IF(E274="","Pick the head of account",IF(P274="?","Pick the head from the list",IF(H274="","Pick how it was paid",IF(L274="Cancelled","Cancelled: keep this number unused and write a fresh voucher",IF(AND(H274&lt;&gt;"Cash",I274=""),"Enter the cheque no., UTR or UPI reference",IF(AND(N($E$11)&gt;0,N(J274)&gt;N($E$11),K274=""),"Above your approval limit: get it approved before paying",IF(S274&gt;10000,"Cash paid to this person today is over ₹10,000: not deductible, s.36(4)",IF(T274&gt;35000,"Cash freight to this transporter today is over ₹35,000: not deductible, s.36(6)",IF(U274&gt;10000,"Asset paid in cash over ₹10,000 today: left out of its cost, s.39(2)",IF(AND(P274="L",H274="Cash",N(J274)&gt;=20000),"Loan of ₹20,000 or more repaid in cash: barred, s.188","OK")))))))))))))))</f>
        <v/>
      </c>
      <c r="P274">
        <f>IF(E274="","",IFERROR(VLOOKUP(E274,Lists!$A$2:$B$17,2,FALSE),"?"))</f>
        <v/>
      </c>
      <c r="Q274">
        <f>IF(L274="Cancelled",0,N(J274))</f>
        <v/>
      </c>
      <c r="R274">
        <f>IF(H274="Cash",Q274,0)</f>
        <v/>
      </c>
      <c r="S274">
        <f>IF(OR(P274&lt;&gt;"E",R274=0),0,SUMIFS($R$18:$R$317,$B$18:$B$317,B274,$D$18:$D$317,D274,$P$18:$P$317,"E"))</f>
        <v/>
      </c>
      <c r="T274">
        <f>IF(OR(P274&lt;&gt;"F",R274=0),0,SUMIFS($R$18:$R$317,$B$18:$B$317,B274,$D$18:$D$317,D274,$P$18:$P$317,"F"))</f>
        <v/>
      </c>
      <c r="U274">
        <f>IF(OR(P274&lt;&gt;"A",R274=0),0,SUMIFS($R$18:$R$317,$B$18:$B$317,B274,$D$18:$D$317,D274,$P$18:$P$317,"A"))</f>
        <v/>
      </c>
      <c r="V274">
        <f>IF(OR(N274="",N274="OK",L274="Cancelled"),0,1)</f>
        <v/>
      </c>
    </row>
    <row r="275">
      <c r="B275" s="22" t="n"/>
      <c r="C275" s="23">
        <f>IF(B275="","",$E$9&amp;TEXT(N($E$10)+257,"000"))</f>
        <v/>
      </c>
      <c r="D275" s="14" t="n"/>
      <c r="E275" s="14" t="n"/>
      <c r="F275" s="14" t="n"/>
      <c r="G275" s="24" t="n"/>
      <c r="H275" s="14" t="n"/>
      <c r="I275" s="24" t="n"/>
      <c r="J275" s="25" t="n"/>
      <c r="K275" s="14" t="n"/>
      <c r="L275" s="24" t="n"/>
      <c r="M275" s="26">
        <f>IF(OR(N(J275)=0,L275="Cancelled"),"",IF(AND(N(J275)&gt;5000,H275="Cash"),"Yes: ₹1","No"))</f>
        <v/>
      </c>
      <c r="N275" s="27">
        <f>IF(AND(B275="",D275="",N(J275)=0),"",IF(B275="","Enter the date",IF(AND(ROW()&gt;18,B274=""),"Use the next empty row: a skipped row leaves a gap in the voucher numbers",IF(D275="","Enter who was paid",IF(N(J275)=0,"Enter the amount",IF(E275="","Pick the head of account",IF(P275="?","Pick the head from the list",IF(H275="","Pick how it was paid",IF(L275="Cancelled","Cancelled: keep this number unused and write a fresh voucher",IF(AND(H275&lt;&gt;"Cash",I275=""),"Enter the cheque no., UTR or UPI reference",IF(AND(N($E$11)&gt;0,N(J275)&gt;N($E$11),K275=""),"Above your approval limit: get it approved before paying",IF(S275&gt;10000,"Cash paid to this person today is over ₹10,000: not deductible, s.36(4)",IF(T275&gt;35000,"Cash freight to this transporter today is over ₹35,000: not deductible, s.36(6)",IF(U275&gt;10000,"Asset paid in cash over ₹10,000 today: left out of its cost, s.39(2)",IF(AND(P275="L",H275="Cash",N(J275)&gt;=20000),"Loan of ₹20,000 or more repaid in cash: barred, s.188","OK")))))))))))))))</f>
        <v/>
      </c>
      <c r="P275">
        <f>IF(E275="","",IFERROR(VLOOKUP(E275,Lists!$A$2:$B$17,2,FALSE),"?"))</f>
        <v/>
      </c>
      <c r="Q275">
        <f>IF(L275="Cancelled",0,N(J275))</f>
        <v/>
      </c>
      <c r="R275">
        <f>IF(H275="Cash",Q275,0)</f>
        <v/>
      </c>
      <c r="S275">
        <f>IF(OR(P275&lt;&gt;"E",R275=0),0,SUMIFS($R$18:$R$317,$B$18:$B$317,B275,$D$18:$D$317,D275,$P$18:$P$317,"E"))</f>
        <v/>
      </c>
      <c r="T275">
        <f>IF(OR(P275&lt;&gt;"F",R275=0),0,SUMIFS($R$18:$R$317,$B$18:$B$317,B275,$D$18:$D$317,D275,$P$18:$P$317,"F"))</f>
        <v/>
      </c>
      <c r="U275">
        <f>IF(OR(P275&lt;&gt;"A",R275=0),0,SUMIFS($R$18:$R$317,$B$18:$B$317,B275,$D$18:$D$317,D275,$P$18:$P$317,"A"))</f>
        <v/>
      </c>
      <c r="V275">
        <f>IF(OR(N275="",N275="OK",L275="Cancelled"),0,1)</f>
        <v/>
      </c>
    </row>
    <row r="276">
      <c r="B276" s="22" t="n"/>
      <c r="C276" s="23">
        <f>IF(B276="","",$E$9&amp;TEXT(N($E$10)+258,"000"))</f>
        <v/>
      </c>
      <c r="D276" s="14" t="n"/>
      <c r="E276" s="14" t="n"/>
      <c r="F276" s="14" t="n"/>
      <c r="G276" s="24" t="n"/>
      <c r="H276" s="14" t="n"/>
      <c r="I276" s="24" t="n"/>
      <c r="J276" s="25" t="n"/>
      <c r="K276" s="14" t="n"/>
      <c r="L276" s="24" t="n"/>
      <c r="M276" s="26">
        <f>IF(OR(N(J276)=0,L276="Cancelled"),"",IF(AND(N(J276)&gt;5000,H276="Cash"),"Yes: ₹1","No"))</f>
        <v/>
      </c>
      <c r="N276" s="27">
        <f>IF(AND(B276="",D276="",N(J276)=0),"",IF(B276="","Enter the date",IF(AND(ROW()&gt;18,B275=""),"Use the next empty row: a skipped row leaves a gap in the voucher numbers",IF(D276="","Enter who was paid",IF(N(J276)=0,"Enter the amount",IF(E276="","Pick the head of account",IF(P276="?","Pick the head from the list",IF(H276="","Pick how it was paid",IF(L276="Cancelled","Cancelled: keep this number unused and write a fresh voucher",IF(AND(H276&lt;&gt;"Cash",I276=""),"Enter the cheque no., UTR or UPI reference",IF(AND(N($E$11)&gt;0,N(J276)&gt;N($E$11),K276=""),"Above your approval limit: get it approved before paying",IF(S276&gt;10000,"Cash paid to this person today is over ₹10,000: not deductible, s.36(4)",IF(T276&gt;35000,"Cash freight to this transporter today is over ₹35,000: not deductible, s.36(6)",IF(U276&gt;10000,"Asset paid in cash over ₹10,000 today: left out of its cost, s.39(2)",IF(AND(P276="L",H276="Cash",N(J276)&gt;=20000),"Loan of ₹20,000 or more repaid in cash: barred, s.188","OK")))))))))))))))</f>
        <v/>
      </c>
      <c r="P276">
        <f>IF(E276="","",IFERROR(VLOOKUP(E276,Lists!$A$2:$B$17,2,FALSE),"?"))</f>
        <v/>
      </c>
      <c r="Q276">
        <f>IF(L276="Cancelled",0,N(J276))</f>
        <v/>
      </c>
      <c r="R276">
        <f>IF(H276="Cash",Q276,0)</f>
        <v/>
      </c>
      <c r="S276">
        <f>IF(OR(P276&lt;&gt;"E",R276=0),0,SUMIFS($R$18:$R$317,$B$18:$B$317,B276,$D$18:$D$317,D276,$P$18:$P$317,"E"))</f>
        <v/>
      </c>
      <c r="T276">
        <f>IF(OR(P276&lt;&gt;"F",R276=0),0,SUMIFS($R$18:$R$317,$B$18:$B$317,B276,$D$18:$D$317,D276,$P$18:$P$317,"F"))</f>
        <v/>
      </c>
      <c r="U276">
        <f>IF(OR(P276&lt;&gt;"A",R276=0),0,SUMIFS($R$18:$R$317,$B$18:$B$317,B276,$D$18:$D$317,D276,$P$18:$P$317,"A"))</f>
        <v/>
      </c>
      <c r="V276">
        <f>IF(OR(N276="",N276="OK",L276="Cancelled"),0,1)</f>
        <v/>
      </c>
    </row>
    <row r="277">
      <c r="B277" s="22" t="n"/>
      <c r="C277" s="23">
        <f>IF(B277="","",$E$9&amp;TEXT(N($E$10)+259,"000"))</f>
        <v/>
      </c>
      <c r="D277" s="14" t="n"/>
      <c r="E277" s="14" t="n"/>
      <c r="F277" s="14" t="n"/>
      <c r="G277" s="24" t="n"/>
      <c r="H277" s="14" t="n"/>
      <c r="I277" s="24" t="n"/>
      <c r="J277" s="25" t="n"/>
      <c r="K277" s="14" t="n"/>
      <c r="L277" s="24" t="n"/>
      <c r="M277" s="26">
        <f>IF(OR(N(J277)=0,L277="Cancelled"),"",IF(AND(N(J277)&gt;5000,H277="Cash"),"Yes: ₹1","No"))</f>
        <v/>
      </c>
      <c r="N277" s="27">
        <f>IF(AND(B277="",D277="",N(J277)=0),"",IF(B277="","Enter the date",IF(AND(ROW()&gt;18,B276=""),"Use the next empty row: a skipped row leaves a gap in the voucher numbers",IF(D277="","Enter who was paid",IF(N(J277)=0,"Enter the amount",IF(E277="","Pick the head of account",IF(P277="?","Pick the head from the list",IF(H277="","Pick how it was paid",IF(L277="Cancelled","Cancelled: keep this number unused and write a fresh voucher",IF(AND(H277&lt;&gt;"Cash",I277=""),"Enter the cheque no., UTR or UPI reference",IF(AND(N($E$11)&gt;0,N(J277)&gt;N($E$11),K277=""),"Above your approval limit: get it approved before paying",IF(S277&gt;10000,"Cash paid to this person today is over ₹10,000: not deductible, s.36(4)",IF(T277&gt;35000,"Cash freight to this transporter today is over ₹35,000: not deductible, s.36(6)",IF(U277&gt;10000,"Asset paid in cash over ₹10,000 today: left out of its cost, s.39(2)",IF(AND(P277="L",H277="Cash",N(J277)&gt;=20000),"Loan of ₹20,000 or more repaid in cash: barred, s.188","OK")))))))))))))))</f>
        <v/>
      </c>
      <c r="P277">
        <f>IF(E277="","",IFERROR(VLOOKUP(E277,Lists!$A$2:$B$17,2,FALSE),"?"))</f>
        <v/>
      </c>
      <c r="Q277">
        <f>IF(L277="Cancelled",0,N(J277))</f>
        <v/>
      </c>
      <c r="R277">
        <f>IF(H277="Cash",Q277,0)</f>
        <v/>
      </c>
      <c r="S277">
        <f>IF(OR(P277&lt;&gt;"E",R277=0),0,SUMIFS($R$18:$R$317,$B$18:$B$317,B277,$D$18:$D$317,D277,$P$18:$P$317,"E"))</f>
        <v/>
      </c>
      <c r="T277">
        <f>IF(OR(P277&lt;&gt;"F",R277=0),0,SUMIFS($R$18:$R$317,$B$18:$B$317,B277,$D$18:$D$317,D277,$P$18:$P$317,"F"))</f>
        <v/>
      </c>
      <c r="U277">
        <f>IF(OR(P277&lt;&gt;"A",R277=0),0,SUMIFS($R$18:$R$317,$B$18:$B$317,B277,$D$18:$D$317,D277,$P$18:$P$317,"A"))</f>
        <v/>
      </c>
      <c r="V277">
        <f>IF(OR(N277="",N277="OK",L277="Cancelled"),0,1)</f>
        <v/>
      </c>
    </row>
    <row r="278">
      <c r="B278" s="22" t="n"/>
      <c r="C278" s="23">
        <f>IF(B278="","",$E$9&amp;TEXT(N($E$10)+260,"000"))</f>
        <v/>
      </c>
      <c r="D278" s="14" t="n"/>
      <c r="E278" s="14" t="n"/>
      <c r="F278" s="14" t="n"/>
      <c r="G278" s="24" t="n"/>
      <c r="H278" s="14" t="n"/>
      <c r="I278" s="24" t="n"/>
      <c r="J278" s="25" t="n"/>
      <c r="K278" s="14" t="n"/>
      <c r="L278" s="24" t="n"/>
      <c r="M278" s="26">
        <f>IF(OR(N(J278)=0,L278="Cancelled"),"",IF(AND(N(J278)&gt;5000,H278="Cash"),"Yes: ₹1","No"))</f>
        <v/>
      </c>
      <c r="N278" s="27">
        <f>IF(AND(B278="",D278="",N(J278)=0),"",IF(B278="","Enter the date",IF(AND(ROW()&gt;18,B277=""),"Use the next empty row: a skipped row leaves a gap in the voucher numbers",IF(D278="","Enter who was paid",IF(N(J278)=0,"Enter the amount",IF(E278="","Pick the head of account",IF(P278="?","Pick the head from the list",IF(H278="","Pick how it was paid",IF(L278="Cancelled","Cancelled: keep this number unused and write a fresh voucher",IF(AND(H278&lt;&gt;"Cash",I278=""),"Enter the cheque no., UTR or UPI reference",IF(AND(N($E$11)&gt;0,N(J278)&gt;N($E$11),K278=""),"Above your approval limit: get it approved before paying",IF(S278&gt;10000,"Cash paid to this person today is over ₹10,000: not deductible, s.36(4)",IF(T278&gt;35000,"Cash freight to this transporter today is over ₹35,000: not deductible, s.36(6)",IF(U278&gt;10000,"Asset paid in cash over ₹10,000 today: left out of its cost, s.39(2)",IF(AND(P278="L",H278="Cash",N(J278)&gt;=20000),"Loan of ₹20,000 or more repaid in cash: barred, s.188","OK")))))))))))))))</f>
        <v/>
      </c>
      <c r="P278">
        <f>IF(E278="","",IFERROR(VLOOKUP(E278,Lists!$A$2:$B$17,2,FALSE),"?"))</f>
        <v/>
      </c>
      <c r="Q278">
        <f>IF(L278="Cancelled",0,N(J278))</f>
        <v/>
      </c>
      <c r="R278">
        <f>IF(H278="Cash",Q278,0)</f>
        <v/>
      </c>
      <c r="S278">
        <f>IF(OR(P278&lt;&gt;"E",R278=0),0,SUMIFS($R$18:$R$317,$B$18:$B$317,B278,$D$18:$D$317,D278,$P$18:$P$317,"E"))</f>
        <v/>
      </c>
      <c r="T278">
        <f>IF(OR(P278&lt;&gt;"F",R278=0),0,SUMIFS($R$18:$R$317,$B$18:$B$317,B278,$D$18:$D$317,D278,$P$18:$P$317,"F"))</f>
        <v/>
      </c>
      <c r="U278">
        <f>IF(OR(P278&lt;&gt;"A",R278=0),0,SUMIFS($R$18:$R$317,$B$18:$B$317,B278,$D$18:$D$317,D278,$P$18:$P$317,"A"))</f>
        <v/>
      </c>
      <c r="V278">
        <f>IF(OR(N278="",N278="OK",L278="Cancelled"),0,1)</f>
        <v/>
      </c>
    </row>
    <row r="279">
      <c r="B279" s="22" t="n"/>
      <c r="C279" s="23">
        <f>IF(B279="","",$E$9&amp;TEXT(N($E$10)+261,"000"))</f>
        <v/>
      </c>
      <c r="D279" s="14" t="n"/>
      <c r="E279" s="14" t="n"/>
      <c r="F279" s="14" t="n"/>
      <c r="G279" s="24" t="n"/>
      <c r="H279" s="14" t="n"/>
      <c r="I279" s="24" t="n"/>
      <c r="J279" s="25" t="n"/>
      <c r="K279" s="14" t="n"/>
      <c r="L279" s="24" t="n"/>
      <c r="M279" s="26">
        <f>IF(OR(N(J279)=0,L279="Cancelled"),"",IF(AND(N(J279)&gt;5000,H279="Cash"),"Yes: ₹1","No"))</f>
        <v/>
      </c>
      <c r="N279" s="27">
        <f>IF(AND(B279="",D279="",N(J279)=0),"",IF(B279="","Enter the date",IF(AND(ROW()&gt;18,B278=""),"Use the next empty row: a skipped row leaves a gap in the voucher numbers",IF(D279="","Enter who was paid",IF(N(J279)=0,"Enter the amount",IF(E279="","Pick the head of account",IF(P279="?","Pick the head from the list",IF(H279="","Pick how it was paid",IF(L279="Cancelled","Cancelled: keep this number unused and write a fresh voucher",IF(AND(H279&lt;&gt;"Cash",I279=""),"Enter the cheque no., UTR or UPI reference",IF(AND(N($E$11)&gt;0,N(J279)&gt;N($E$11),K279=""),"Above your approval limit: get it approved before paying",IF(S279&gt;10000,"Cash paid to this person today is over ₹10,000: not deductible, s.36(4)",IF(T279&gt;35000,"Cash freight to this transporter today is over ₹35,000: not deductible, s.36(6)",IF(U279&gt;10000,"Asset paid in cash over ₹10,000 today: left out of its cost, s.39(2)",IF(AND(P279="L",H279="Cash",N(J279)&gt;=20000),"Loan of ₹20,000 or more repaid in cash: barred, s.188","OK")))))))))))))))</f>
        <v/>
      </c>
      <c r="P279">
        <f>IF(E279="","",IFERROR(VLOOKUP(E279,Lists!$A$2:$B$17,2,FALSE),"?"))</f>
        <v/>
      </c>
      <c r="Q279">
        <f>IF(L279="Cancelled",0,N(J279))</f>
        <v/>
      </c>
      <c r="R279">
        <f>IF(H279="Cash",Q279,0)</f>
        <v/>
      </c>
      <c r="S279">
        <f>IF(OR(P279&lt;&gt;"E",R279=0),0,SUMIFS($R$18:$R$317,$B$18:$B$317,B279,$D$18:$D$317,D279,$P$18:$P$317,"E"))</f>
        <v/>
      </c>
      <c r="T279">
        <f>IF(OR(P279&lt;&gt;"F",R279=0),0,SUMIFS($R$18:$R$317,$B$18:$B$317,B279,$D$18:$D$317,D279,$P$18:$P$317,"F"))</f>
        <v/>
      </c>
      <c r="U279">
        <f>IF(OR(P279&lt;&gt;"A",R279=0),0,SUMIFS($R$18:$R$317,$B$18:$B$317,B279,$D$18:$D$317,D279,$P$18:$P$317,"A"))</f>
        <v/>
      </c>
      <c r="V279">
        <f>IF(OR(N279="",N279="OK",L279="Cancelled"),0,1)</f>
        <v/>
      </c>
    </row>
    <row r="280">
      <c r="B280" s="22" t="n"/>
      <c r="C280" s="23">
        <f>IF(B280="","",$E$9&amp;TEXT(N($E$10)+262,"000"))</f>
        <v/>
      </c>
      <c r="D280" s="14" t="n"/>
      <c r="E280" s="14" t="n"/>
      <c r="F280" s="14" t="n"/>
      <c r="G280" s="24" t="n"/>
      <c r="H280" s="14" t="n"/>
      <c r="I280" s="24" t="n"/>
      <c r="J280" s="25" t="n"/>
      <c r="K280" s="14" t="n"/>
      <c r="L280" s="24" t="n"/>
      <c r="M280" s="26">
        <f>IF(OR(N(J280)=0,L280="Cancelled"),"",IF(AND(N(J280)&gt;5000,H280="Cash"),"Yes: ₹1","No"))</f>
        <v/>
      </c>
      <c r="N280" s="27">
        <f>IF(AND(B280="",D280="",N(J280)=0),"",IF(B280="","Enter the date",IF(AND(ROW()&gt;18,B279=""),"Use the next empty row: a skipped row leaves a gap in the voucher numbers",IF(D280="","Enter who was paid",IF(N(J280)=0,"Enter the amount",IF(E280="","Pick the head of account",IF(P280="?","Pick the head from the list",IF(H280="","Pick how it was paid",IF(L280="Cancelled","Cancelled: keep this number unused and write a fresh voucher",IF(AND(H280&lt;&gt;"Cash",I280=""),"Enter the cheque no., UTR or UPI reference",IF(AND(N($E$11)&gt;0,N(J280)&gt;N($E$11),K280=""),"Above your approval limit: get it approved before paying",IF(S280&gt;10000,"Cash paid to this person today is over ₹10,000: not deductible, s.36(4)",IF(T280&gt;35000,"Cash freight to this transporter today is over ₹35,000: not deductible, s.36(6)",IF(U280&gt;10000,"Asset paid in cash over ₹10,000 today: left out of its cost, s.39(2)",IF(AND(P280="L",H280="Cash",N(J280)&gt;=20000),"Loan of ₹20,000 or more repaid in cash: barred, s.188","OK")))))))))))))))</f>
        <v/>
      </c>
      <c r="P280">
        <f>IF(E280="","",IFERROR(VLOOKUP(E280,Lists!$A$2:$B$17,2,FALSE),"?"))</f>
        <v/>
      </c>
      <c r="Q280">
        <f>IF(L280="Cancelled",0,N(J280))</f>
        <v/>
      </c>
      <c r="R280">
        <f>IF(H280="Cash",Q280,0)</f>
        <v/>
      </c>
      <c r="S280">
        <f>IF(OR(P280&lt;&gt;"E",R280=0),0,SUMIFS($R$18:$R$317,$B$18:$B$317,B280,$D$18:$D$317,D280,$P$18:$P$317,"E"))</f>
        <v/>
      </c>
      <c r="T280">
        <f>IF(OR(P280&lt;&gt;"F",R280=0),0,SUMIFS($R$18:$R$317,$B$18:$B$317,B280,$D$18:$D$317,D280,$P$18:$P$317,"F"))</f>
        <v/>
      </c>
      <c r="U280">
        <f>IF(OR(P280&lt;&gt;"A",R280=0),0,SUMIFS($R$18:$R$317,$B$18:$B$317,B280,$D$18:$D$317,D280,$P$18:$P$317,"A"))</f>
        <v/>
      </c>
      <c r="V280">
        <f>IF(OR(N280="",N280="OK",L280="Cancelled"),0,1)</f>
        <v/>
      </c>
    </row>
    <row r="281">
      <c r="B281" s="22" t="n"/>
      <c r="C281" s="23">
        <f>IF(B281="","",$E$9&amp;TEXT(N($E$10)+263,"000"))</f>
        <v/>
      </c>
      <c r="D281" s="14" t="n"/>
      <c r="E281" s="14" t="n"/>
      <c r="F281" s="14" t="n"/>
      <c r="G281" s="24" t="n"/>
      <c r="H281" s="14" t="n"/>
      <c r="I281" s="24" t="n"/>
      <c r="J281" s="25" t="n"/>
      <c r="K281" s="14" t="n"/>
      <c r="L281" s="24" t="n"/>
      <c r="M281" s="26">
        <f>IF(OR(N(J281)=0,L281="Cancelled"),"",IF(AND(N(J281)&gt;5000,H281="Cash"),"Yes: ₹1","No"))</f>
        <v/>
      </c>
      <c r="N281" s="27">
        <f>IF(AND(B281="",D281="",N(J281)=0),"",IF(B281="","Enter the date",IF(AND(ROW()&gt;18,B280=""),"Use the next empty row: a skipped row leaves a gap in the voucher numbers",IF(D281="","Enter who was paid",IF(N(J281)=0,"Enter the amount",IF(E281="","Pick the head of account",IF(P281="?","Pick the head from the list",IF(H281="","Pick how it was paid",IF(L281="Cancelled","Cancelled: keep this number unused and write a fresh voucher",IF(AND(H281&lt;&gt;"Cash",I281=""),"Enter the cheque no., UTR or UPI reference",IF(AND(N($E$11)&gt;0,N(J281)&gt;N($E$11),K281=""),"Above your approval limit: get it approved before paying",IF(S281&gt;10000,"Cash paid to this person today is over ₹10,000: not deductible, s.36(4)",IF(T281&gt;35000,"Cash freight to this transporter today is over ₹35,000: not deductible, s.36(6)",IF(U281&gt;10000,"Asset paid in cash over ₹10,000 today: left out of its cost, s.39(2)",IF(AND(P281="L",H281="Cash",N(J281)&gt;=20000),"Loan of ₹20,000 or more repaid in cash: barred, s.188","OK")))))))))))))))</f>
        <v/>
      </c>
      <c r="P281">
        <f>IF(E281="","",IFERROR(VLOOKUP(E281,Lists!$A$2:$B$17,2,FALSE),"?"))</f>
        <v/>
      </c>
      <c r="Q281">
        <f>IF(L281="Cancelled",0,N(J281))</f>
        <v/>
      </c>
      <c r="R281">
        <f>IF(H281="Cash",Q281,0)</f>
        <v/>
      </c>
      <c r="S281">
        <f>IF(OR(P281&lt;&gt;"E",R281=0),0,SUMIFS($R$18:$R$317,$B$18:$B$317,B281,$D$18:$D$317,D281,$P$18:$P$317,"E"))</f>
        <v/>
      </c>
      <c r="T281">
        <f>IF(OR(P281&lt;&gt;"F",R281=0),0,SUMIFS($R$18:$R$317,$B$18:$B$317,B281,$D$18:$D$317,D281,$P$18:$P$317,"F"))</f>
        <v/>
      </c>
      <c r="U281">
        <f>IF(OR(P281&lt;&gt;"A",R281=0),0,SUMIFS($R$18:$R$317,$B$18:$B$317,B281,$D$18:$D$317,D281,$P$18:$P$317,"A"))</f>
        <v/>
      </c>
      <c r="V281">
        <f>IF(OR(N281="",N281="OK",L281="Cancelled"),0,1)</f>
        <v/>
      </c>
    </row>
    <row r="282">
      <c r="B282" s="22" t="n"/>
      <c r="C282" s="23">
        <f>IF(B282="","",$E$9&amp;TEXT(N($E$10)+264,"000"))</f>
        <v/>
      </c>
      <c r="D282" s="14" t="n"/>
      <c r="E282" s="14" t="n"/>
      <c r="F282" s="14" t="n"/>
      <c r="G282" s="24" t="n"/>
      <c r="H282" s="14" t="n"/>
      <c r="I282" s="24" t="n"/>
      <c r="J282" s="25" t="n"/>
      <c r="K282" s="14" t="n"/>
      <c r="L282" s="24" t="n"/>
      <c r="M282" s="26">
        <f>IF(OR(N(J282)=0,L282="Cancelled"),"",IF(AND(N(J282)&gt;5000,H282="Cash"),"Yes: ₹1","No"))</f>
        <v/>
      </c>
      <c r="N282" s="27">
        <f>IF(AND(B282="",D282="",N(J282)=0),"",IF(B282="","Enter the date",IF(AND(ROW()&gt;18,B281=""),"Use the next empty row: a skipped row leaves a gap in the voucher numbers",IF(D282="","Enter who was paid",IF(N(J282)=0,"Enter the amount",IF(E282="","Pick the head of account",IF(P282="?","Pick the head from the list",IF(H282="","Pick how it was paid",IF(L282="Cancelled","Cancelled: keep this number unused and write a fresh voucher",IF(AND(H282&lt;&gt;"Cash",I282=""),"Enter the cheque no., UTR or UPI reference",IF(AND(N($E$11)&gt;0,N(J282)&gt;N($E$11),K282=""),"Above your approval limit: get it approved before paying",IF(S282&gt;10000,"Cash paid to this person today is over ₹10,000: not deductible, s.36(4)",IF(T282&gt;35000,"Cash freight to this transporter today is over ₹35,000: not deductible, s.36(6)",IF(U282&gt;10000,"Asset paid in cash over ₹10,000 today: left out of its cost, s.39(2)",IF(AND(P282="L",H282="Cash",N(J282)&gt;=20000),"Loan of ₹20,000 or more repaid in cash: barred, s.188","OK")))))))))))))))</f>
        <v/>
      </c>
      <c r="P282">
        <f>IF(E282="","",IFERROR(VLOOKUP(E282,Lists!$A$2:$B$17,2,FALSE),"?"))</f>
        <v/>
      </c>
      <c r="Q282">
        <f>IF(L282="Cancelled",0,N(J282))</f>
        <v/>
      </c>
      <c r="R282">
        <f>IF(H282="Cash",Q282,0)</f>
        <v/>
      </c>
      <c r="S282">
        <f>IF(OR(P282&lt;&gt;"E",R282=0),0,SUMIFS($R$18:$R$317,$B$18:$B$317,B282,$D$18:$D$317,D282,$P$18:$P$317,"E"))</f>
        <v/>
      </c>
      <c r="T282">
        <f>IF(OR(P282&lt;&gt;"F",R282=0),0,SUMIFS($R$18:$R$317,$B$18:$B$317,B282,$D$18:$D$317,D282,$P$18:$P$317,"F"))</f>
        <v/>
      </c>
      <c r="U282">
        <f>IF(OR(P282&lt;&gt;"A",R282=0),0,SUMIFS($R$18:$R$317,$B$18:$B$317,B282,$D$18:$D$317,D282,$P$18:$P$317,"A"))</f>
        <v/>
      </c>
      <c r="V282">
        <f>IF(OR(N282="",N282="OK",L282="Cancelled"),0,1)</f>
        <v/>
      </c>
    </row>
    <row r="283">
      <c r="B283" s="22" t="n"/>
      <c r="C283" s="23">
        <f>IF(B283="","",$E$9&amp;TEXT(N($E$10)+265,"000"))</f>
        <v/>
      </c>
      <c r="D283" s="14" t="n"/>
      <c r="E283" s="14" t="n"/>
      <c r="F283" s="14" t="n"/>
      <c r="G283" s="24" t="n"/>
      <c r="H283" s="14" t="n"/>
      <c r="I283" s="24" t="n"/>
      <c r="J283" s="25" t="n"/>
      <c r="K283" s="14" t="n"/>
      <c r="L283" s="24" t="n"/>
      <c r="M283" s="26">
        <f>IF(OR(N(J283)=0,L283="Cancelled"),"",IF(AND(N(J283)&gt;5000,H283="Cash"),"Yes: ₹1","No"))</f>
        <v/>
      </c>
      <c r="N283" s="27">
        <f>IF(AND(B283="",D283="",N(J283)=0),"",IF(B283="","Enter the date",IF(AND(ROW()&gt;18,B282=""),"Use the next empty row: a skipped row leaves a gap in the voucher numbers",IF(D283="","Enter who was paid",IF(N(J283)=0,"Enter the amount",IF(E283="","Pick the head of account",IF(P283="?","Pick the head from the list",IF(H283="","Pick how it was paid",IF(L283="Cancelled","Cancelled: keep this number unused and write a fresh voucher",IF(AND(H283&lt;&gt;"Cash",I283=""),"Enter the cheque no., UTR or UPI reference",IF(AND(N($E$11)&gt;0,N(J283)&gt;N($E$11),K283=""),"Above your approval limit: get it approved before paying",IF(S283&gt;10000,"Cash paid to this person today is over ₹10,000: not deductible, s.36(4)",IF(T283&gt;35000,"Cash freight to this transporter today is over ₹35,000: not deductible, s.36(6)",IF(U283&gt;10000,"Asset paid in cash over ₹10,000 today: left out of its cost, s.39(2)",IF(AND(P283="L",H283="Cash",N(J283)&gt;=20000),"Loan of ₹20,000 or more repaid in cash: barred, s.188","OK")))))))))))))))</f>
        <v/>
      </c>
      <c r="P283">
        <f>IF(E283="","",IFERROR(VLOOKUP(E283,Lists!$A$2:$B$17,2,FALSE),"?"))</f>
        <v/>
      </c>
      <c r="Q283">
        <f>IF(L283="Cancelled",0,N(J283))</f>
        <v/>
      </c>
      <c r="R283">
        <f>IF(H283="Cash",Q283,0)</f>
        <v/>
      </c>
      <c r="S283">
        <f>IF(OR(P283&lt;&gt;"E",R283=0),0,SUMIFS($R$18:$R$317,$B$18:$B$317,B283,$D$18:$D$317,D283,$P$18:$P$317,"E"))</f>
        <v/>
      </c>
      <c r="T283">
        <f>IF(OR(P283&lt;&gt;"F",R283=0),0,SUMIFS($R$18:$R$317,$B$18:$B$317,B283,$D$18:$D$317,D283,$P$18:$P$317,"F"))</f>
        <v/>
      </c>
      <c r="U283">
        <f>IF(OR(P283&lt;&gt;"A",R283=0),0,SUMIFS($R$18:$R$317,$B$18:$B$317,B283,$D$18:$D$317,D283,$P$18:$P$317,"A"))</f>
        <v/>
      </c>
      <c r="V283">
        <f>IF(OR(N283="",N283="OK",L283="Cancelled"),0,1)</f>
        <v/>
      </c>
    </row>
    <row r="284">
      <c r="B284" s="22" t="n"/>
      <c r="C284" s="23">
        <f>IF(B284="","",$E$9&amp;TEXT(N($E$10)+266,"000"))</f>
        <v/>
      </c>
      <c r="D284" s="14" t="n"/>
      <c r="E284" s="14" t="n"/>
      <c r="F284" s="14" t="n"/>
      <c r="G284" s="24" t="n"/>
      <c r="H284" s="14" t="n"/>
      <c r="I284" s="24" t="n"/>
      <c r="J284" s="25" t="n"/>
      <c r="K284" s="14" t="n"/>
      <c r="L284" s="24" t="n"/>
      <c r="M284" s="26">
        <f>IF(OR(N(J284)=0,L284="Cancelled"),"",IF(AND(N(J284)&gt;5000,H284="Cash"),"Yes: ₹1","No"))</f>
        <v/>
      </c>
      <c r="N284" s="27">
        <f>IF(AND(B284="",D284="",N(J284)=0),"",IF(B284="","Enter the date",IF(AND(ROW()&gt;18,B283=""),"Use the next empty row: a skipped row leaves a gap in the voucher numbers",IF(D284="","Enter who was paid",IF(N(J284)=0,"Enter the amount",IF(E284="","Pick the head of account",IF(P284="?","Pick the head from the list",IF(H284="","Pick how it was paid",IF(L284="Cancelled","Cancelled: keep this number unused and write a fresh voucher",IF(AND(H284&lt;&gt;"Cash",I284=""),"Enter the cheque no., UTR or UPI reference",IF(AND(N($E$11)&gt;0,N(J284)&gt;N($E$11),K284=""),"Above your approval limit: get it approved before paying",IF(S284&gt;10000,"Cash paid to this person today is over ₹10,000: not deductible, s.36(4)",IF(T284&gt;35000,"Cash freight to this transporter today is over ₹35,000: not deductible, s.36(6)",IF(U284&gt;10000,"Asset paid in cash over ₹10,000 today: left out of its cost, s.39(2)",IF(AND(P284="L",H284="Cash",N(J284)&gt;=20000),"Loan of ₹20,000 or more repaid in cash: barred, s.188","OK")))))))))))))))</f>
        <v/>
      </c>
      <c r="P284">
        <f>IF(E284="","",IFERROR(VLOOKUP(E284,Lists!$A$2:$B$17,2,FALSE),"?"))</f>
        <v/>
      </c>
      <c r="Q284">
        <f>IF(L284="Cancelled",0,N(J284))</f>
        <v/>
      </c>
      <c r="R284">
        <f>IF(H284="Cash",Q284,0)</f>
        <v/>
      </c>
      <c r="S284">
        <f>IF(OR(P284&lt;&gt;"E",R284=0),0,SUMIFS($R$18:$R$317,$B$18:$B$317,B284,$D$18:$D$317,D284,$P$18:$P$317,"E"))</f>
        <v/>
      </c>
      <c r="T284">
        <f>IF(OR(P284&lt;&gt;"F",R284=0),0,SUMIFS($R$18:$R$317,$B$18:$B$317,B284,$D$18:$D$317,D284,$P$18:$P$317,"F"))</f>
        <v/>
      </c>
      <c r="U284">
        <f>IF(OR(P284&lt;&gt;"A",R284=0),0,SUMIFS($R$18:$R$317,$B$18:$B$317,B284,$D$18:$D$317,D284,$P$18:$P$317,"A"))</f>
        <v/>
      </c>
      <c r="V284">
        <f>IF(OR(N284="",N284="OK",L284="Cancelled"),0,1)</f>
        <v/>
      </c>
    </row>
    <row r="285">
      <c r="B285" s="22" t="n"/>
      <c r="C285" s="23">
        <f>IF(B285="","",$E$9&amp;TEXT(N($E$10)+267,"000"))</f>
        <v/>
      </c>
      <c r="D285" s="14" t="n"/>
      <c r="E285" s="14" t="n"/>
      <c r="F285" s="14" t="n"/>
      <c r="G285" s="24" t="n"/>
      <c r="H285" s="14" t="n"/>
      <c r="I285" s="24" t="n"/>
      <c r="J285" s="25" t="n"/>
      <c r="K285" s="14" t="n"/>
      <c r="L285" s="24" t="n"/>
      <c r="M285" s="26">
        <f>IF(OR(N(J285)=0,L285="Cancelled"),"",IF(AND(N(J285)&gt;5000,H285="Cash"),"Yes: ₹1","No"))</f>
        <v/>
      </c>
      <c r="N285" s="27">
        <f>IF(AND(B285="",D285="",N(J285)=0),"",IF(B285="","Enter the date",IF(AND(ROW()&gt;18,B284=""),"Use the next empty row: a skipped row leaves a gap in the voucher numbers",IF(D285="","Enter who was paid",IF(N(J285)=0,"Enter the amount",IF(E285="","Pick the head of account",IF(P285="?","Pick the head from the list",IF(H285="","Pick how it was paid",IF(L285="Cancelled","Cancelled: keep this number unused and write a fresh voucher",IF(AND(H285&lt;&gt;"Cash",I285=""),"Enter the cheque no., UTR or UPI reference",IF(AND(N($E$11)&gt;0,N(J285)&gt;N($E$11),K285=""),"Above your approval limit: get it approved before paying",IF(S285&gt;10000,"Cash paid to this person today is over ₹10,000: not deductible, s.36(4)",IF(T285&gt;35000,"Cash freight to this transporter today is over ₹35,000: not deductible, s.36(6)",IF(U285&gt;10000,"Asset paid in cash over ₹10,000 today: left out of its cost, s.39(2)",IF(AND(P285="L",H285="Cash",N(J285)&gt;=20000),"Loan of ₹20,000 or more repaid in cash: barred, s.188","OK")))))))))))))))</f>
        <v/>
      </c>
      <c r="P285">
        <f>IF(E285="","",IFERROR(VLOOKUP(E285,Lists!$A$2:$B$17,2,FALSE),"?"))</f>
        <v/>
      </c>
      <c r="Q285">
        <f>IF(L285="Cancelled",0,N(J285))</f>
        <v/>
      </c>
      <c r="R285">
        <f>IF(H285="Cash",Q285,0)</f>
        <v/>
      </c>
      <c r="S285">
        <f>IF(OR(P285&lt;&gt;"E",R285=0),0,SUMIFS($R$18:$R$317,$B$18:$B$317,B285,$D$18:$D$317,D285,$P$18:$P$317,"E"))</f>
        <v/>
      </c>
      <c r="T285">
        <f>IF(OR(P285&lt;&gt;"F",R285=0),0,SUMIFS($R$18:$R$317,$B$18:$B$317,B285,$D$18:$D$317,D285,$P$18:$P$317,"F"))</f>
        <v/>
      </c>
      <c r="U285">
        <f>IF(OR(P285&lt;&gt;"A",R285=0),0,SUMIFS($R$18:$R$317,$B$18:$B$317,B285,$D$18:$D$317,D285,$P$18:$P$317,"A"))</f>
        <v/>
      </c>
      <c r="V285">
        <f>IF(OR(N285="",N285="OK",L285="Cancelled"),0,1)</f>
        <v/>
      </c>
    </row>
    <row r="286">
      <c r="B286" s="22" t="n"/>
      <c r="C286" s="23">
        <f>IF(B286="","",$E$9&amp;TEXT(N($E$10)+268,"000"))</f>
        <v/>
      </c>
      <c r="D286" s="14" t="n"/>
      <c r="E286" s="14" t="n"/>
      <c r="F286" s="14" t="n"/>
      <c r="G286" s="24" t="n"/>
      <c r="H286" s="14" t="n"/>
      <c r="I286" s="24" t="n"/>
      <c r="J286" s="25" t="n"/>
      <c r="K286" s="14" t="n"/>
      <c r="L286" s="24" t="n"/>
      <c r="M286" s="26">
        <f>IF(OR(N(J286)=0,L286="Cancelled"),"",IF(AND(N(J286)&gt;5000,H286="Cash"),"Yes: ₹1","No"))</f>
        <v/>
      </c>
      <c r="N286" s="27">
        <f>IF(AND(B286="",D286="",N(J286)=0),"",IF(B286="","Enter the date",IF(AND(ROW()&gt;18,B285=""),"Use the next empty row: a skipped row leaves a gap in the voucher numbers",IF(D286="","Enter who was paid",IF(N(J286)=0,"Enter the amount",IF(E286="","Pick the head of account",IF(P286="?","Pick the head from the list",IF(H286="","Pick how it was paid",IF(L286="Cancelled","Cancelled: keep this number unused and write a fresh voucher",IF(AND(H286&lt;&gt;"Cash",I286=""),"Enter the cheque no., UTR or UPI reference",IF(AND(N($E$11)&gt;0,N(J286)&gt;N($E$11),K286=""),"Above your approval limit: get it approved before paying",IF(S286&gt;10000,"Cash paid to this person today is over ₹10,000: not deductible, s.36(4)",IF(T286&gt;35000,"Cash freight to this transporter today is over ₹35,000: not deductible, s.36(6)",IF(U286&gt;10000,"Asset paid in cash over ₹10,000 today: left out of its cost, s.39(2)",IF(AND(P286="L",H286="Cash",N(J286)&gt;=20000),"Loan of ₹20,000 or more repaid in cash: barred, s.188","OK")))))))))))))))</f>
        <v/>
      </c>
      <c r="P286">
        <f>IF(E286="","",IFERROR(VLOOKUP(E286,Lists!$A$2:$B$17,2,FALSE),"?"))</f>
        <v/>
      </c>
      <c r="Q286">
        <f>IF(L286="Cancelled",0,N(J286))</f>
        <v/>
      </c>
      <c r="R286">
        <f>IF(H286="Cash",Q286,0)</f>
        <v/>
      </c>
      <c r="S286">
        <f>IF(OR(P286&lt;&gt;"E",R286=0),0,SUMIFS($R$18:$R$317,$B$18:$B$317,B286,$D$18:$D$317,D286,$P$18:$P$317,"E"))</f>
        <v/>
      </c>
      <c r="T286">
        <f>IF(OR(P286&lt;&gt;"F",R286=0),0,SUMIFS($R$18:$R$317,$B$18:$B$317,B286,$D$18:$D$317,D286,$P$18:$P$317,"F"))</f>
        <v/>
      </c>
      <c r="U286">
        <f>IF(OR(P286&lt;&gt;"A",R286=0),0,SUMIFS($R$18:$R$317,$B$18:$B$317,B286,$D$18:$D$317,D286,$P$18:$P$317,"A"))</f>
        <v/>
      </c>
      <c r="V286">
        <f>IF(OR(N286="",N286="OK",L286="Cancelled"),0,1)</f>
        <v/>
      </c>
    </row>
    <row r="287">
      <c r="B287" s="22" t="n"/>
      <c r="C287" s="23">
        <f>IF(B287="","",$E$9&amp;TEXT(N($E$10)+269,"000"))</f>
        <v/>
      </c>
      <c r="D287" s="14" t="n"/>
      <c r="E287" s="14" t="n"/>
      <c r="F287" s="14" t="n"/>
      <c r="G287" s="24" t="n"/>
      <c r="H287" s="14" t="n"/>
      <c r="I287" s="24" t="n"/>
      <c r="J287" s="25" t="n"/>
      <c r="K287" s="14" t="n"/>
      <c r="L287" s="24" t="n"/>
      <c r="M287" s="26">
        <f>IF(OR(N(J287)=0,L287="Cancelled"),"",IF(AND(N(J287)&gt;5000,H287="Cash"),"Yes: ₹1","No"))</f>
        <v/>
      </c>
      <c r="N287" s="27">
        <f>IF(AND(B287="",D287="",N(J287)=0),"",IF(B287="","Enter the date",IF(AND(ROW()&gt;18,B286=""),"Use the next empty row: a skipped row leaves a gap in the voucher numbers",IF(D287="","Enter who was paid",IF(N(J287)=0,"Enter the amount",IF(E287="","Pick the head of account",IF(P287="?","Pick the head from the list",IF(H287="","Pick how it was paid",IF(L287="Cancelled","Cancelled: keep this number unused and write a fresh voucher",IF(AND(H287&lt;&gt;"Cash",I287=""),"Enter the cheque no., UTR or UPI reference",IF(AND(N($E$11)&gt;0,N(J287)&gt;N($E$11),K287=""),"Above your approval limit: get it approved before paying",IF(S287&gt;10000,"Cash paid to this person today is over ₹10,000: not deductible, s.36(4)",IF(T287&gt;35000,"Cash freight to this transporter today is over ₹35,000: not deductible, s.36(6)",IF(U287&gt;10000,"Asset paid in cash over ₹10,000 today: left out of its cost, s.39(2)",IF(AND(P287="L",H287="Cash",N(J287)&gt;=20000),"Loan of ₹20,000 or more repaid in cash: barred, s.188","OK")))))))))))))))</f>
        <v/>
      </c>
      <c r="P287">
        <f>IF(E287="","",IFERROR(VLOOKUP(E287,Lists!$A$2:$B$17,2,FALSE),"?"))</f>
        <v/>
      </c>
      <c r="Q287">
        <f>IF(L287="Cancelled",0,N(J287))</f>
        <v/>
      </c>
      <c r="R287">
        <f>IF(H287="Cash",Q287,0)</f>
        <v/>
      </c>
      <c r="S287">
        <f>IF(OR(P287&lt;&gt;"E",R287=0),0,SUMIFS($R$18:$R$317,$B$18:$B$317,B287,$D$18:$D$317,D287,$P$18:$P$317,"E"))</f>
        <v/>
      </c>
      <c r="T287">
        <f>IF(OR(P287&lt;&gt;"F",R287=0),0,SUMIFS($R$18:$R$317,$B$18:$B$317,B287,$D$18:$D$317,D287,$P$18:$P$317,"F"))</f>
        <v/>
      </c>
      <c r="U287">
        <f>IF(OR(P287&lt;&gt;"A",R287=0),0,SUMIFS($R$18:$R$317,$B$18:$B$317,B287,$D$18:$D$317,D287,$P$18:$P$317,"A"))</f>
        <v/>
      </c>
      <c r="V287">
        <f>IF(OR(N287="",N287="OK",L287="Cancelled"),0,1)</f>
        <v/>
      </c>
    </row>
    <row r="288">
      <c r="B288" s="22" t="n"/>
      <c r="C288" s="23">
        <f>IF(B288="","",$E$9&amp;TEXT(N($E$10)+270,"000"))</f>
        <v/>
      </c>
      <c r="D288" s="14" t="n"/>
      <c r="E288" s="14" t="n"/>
      <c r="F288" s="14" t="n"/>
      <c r="G288" s="24" t="n"/>
      <c r="H288" s="14" t="n"/>
      <c r="I288" s="24" t="n"/>
      <c r="J288" s="25" t="n"/>
      <c r="K288" s="14" t="n"/>
      <c r="L288" s="24" t="n"/>
      <c r="M288" s="26">
        <f>IF(OR(N(J288)=0,L288="Cancelled"),"",IF(AND(N(J288)&gt;5000,H288="Cash"),"Yes: ₹1","No"))</f>
        <v/>
      </c>
      <c r="N288" s="27">
        <f>IF(AND(B288="",D288="",N(J288)=0),"",IF(B288="","Enter the date",IF(AND(ROW()&gt;18,B287=""),"Use the next empty row: a skipped row leaves a gap in the voucher numbers",IF(D288="","Enter who was paid",IF(N(J288)=0,"Enter the amount",IF(E288="","Pick the head of account",IF(P288="?","Pick the head from the list",IF(H288="","Pick how it was paid",IF(L288="Cancelled","Cancelled: keep this number unused and write a fresh voucher",IF(AND(H288&lt;&gt;"Cash",I288=""),"Enter the cheque no., UTR or UPI reference",IF(AND(N($E$11)&gt;0,N(J288)&gt;N($E$11),K288=""),"Above your approval limit: get it approved before paying",IF(S288&gt;10000,"Cash paid to this person today is over ₹10,000: not deductible, s.36(4)",IF(T288&gt;35000,"Cash freight to this transporter today is over ₹35,000: not deductible, s.36(6)",IF(U288&gt;10000,"Asset paid in cash over ₹10,000 today: left out of its cost, s.39(2)",IF(AND(P288="L",H288="Cash",N(J288)&gt;=20000),"Loan of ₹20,000 or more repaid in cash: barred, s.188","OK")))))))))))))))</f>
        <v/>
      </c>
      <c r="P288">
        <f>IF(E288="","",IFERROR(VLOOKUP(E288,Lists!$A$2:$B$17,2,FALSE),"?"))</f>
        <v/>
      </c>
      <c r="Q288">
        <f>IF(L288="Cancelled",0,N(J288))</f>
        <v/>
      </c>
      <c r="R288">
        <f>IF(H288="Cash",Q288,0)</f>
        <v/>
      </c>
      <c r="S288">
        <f>IF(OR(P288&lt;&gt;"E",R288=0),0,SUMIFS($R$18:$R$317,$B$18:$B$317,B288,$D$18:$D$317,D288,$P$18:$P$317,"E"))</f>
        <v/>
      </c>
      <c r="T288">
        <f>IF(OR(P288&lt;&gt;"F",R288=0),0,SUMIFS($R$18:$R$317,$B$18:$B$317,B288,$D$18:$D$317,D288,$P$18:$P$317,"F"))</f>
        <v/>
      </c>
      <c r="U288">
        <f>IF(OR(P288&lt;&gt;"A",R288=0),0,SUMIFS($R$18:$R$317,$B$18:$B$317,B288,$D$18:$D$317,D288,$P$18:$P$317,"A"))</f>
        <v/>
      </c>
      <c r="V288">
        <f>IF(OR(N288="",N288="OK",L288="Cancelled"),0,1)</f>
        <v/>
      </c>
    </row>
    <row r="289">
      <c r="B289" s="22" t="n"/>
      <c r="C289" s="23">
        <f>IF(B289="","",$E$9&amp;TEXT(N($E$10)+271,"000"))</f>
        <v/>
      </c>
      <c r="D289" s="14" t="n"/>
      <c r="E289" s="14" t="n"/>
      <c r="F289" s="14" t="n"/>
      <c r="G289" s="24" t="n"/>
      <c r="H289" s="14" t="n"/>
      <c r="I289" s="24" t="n"/>
      <c r="J289" s="25" t="n"/>
      <c r="K289" s="14" t="n"/>
      <c r="L289" s="24" t="n"/>
      <c r="M289" s="26">
        <f>IF(OR(N(J289)=0,L289="Cancelled"),"",IF(AND(N(J289)&gt;5000,H289="Cash"),"Yes: ₹1","No"))</f>
        <v/>
      </c>
      <c r="N289" s="27">
        <f>IF(AND(B289="",D289="",N(J289)=0),"",IF(B289="","Enter the date",IF(AND(ROW()&gt;18,B288=""),"Use the next empty row: a skipped row leaves a gap in the voucher numbers",IF(D289="","Enter who was paid",IF(N(J289)=0,"Enter the amount",IF(E289="","Pick the head of account",IF(P289="?","Pick the head from the list",IF(H289="","Pick how it was paid",IF(L289="Cancelled","Cancelled: keep this number unused and write a fresh voucher",IF(AND(H289&lt;&gt;"Cash",I289=""),"Enter the cheque no., UTR or UPI reference",IF(AND(N($E$11)&gt;0,N(J289)&gt;N($E$11),K289=""),"Above your approval limit: get it approved before paying",IF(S289&gt;10000,"Cash paid to this person today is over ₹10,000: not deductible, s.36(4)",IF(T289&gt;35000,"Cash freight to this transporter today is over ₹35,000: not deductible, s.36(6)",IF(U289&gt;10000,"Asset paid in cash over ₹10,000 today: left out of its cost, s.39(2)",IF(AND(P289="L",H289="Cash",N(J289)&gt;=20000),"Loan of ₹20,000 or more repaid in cash: barred, s.188","OK")))))))))))))))</f>
        <v/>
      </c>
      <c r="P289">
        <f>IF(E289="","",IFERROR(VLOOKUP(E289,Lists!$A$2:$B$17,2,FALSE),"?"))</f>
        <v/>
      </c>
      <c r="Q289">
        <f>IF(L289="Cancelled",0,N(J289))</f>
        <v/>
      </c>
      <c r="R289">
        <f>IF(H289="Cash",Q289,0)</f>
        <v/>
      </c>
      <c r="S289">
        <f>IF(OR(P289&lt;&gt;"E",R289=0),0,SUMIFS($R$18:$R$317,$B$18:$B$317,B289,$D$18:$D$317,D289,$P$18:$P$317,"E"))</f>
        <v/>
      </c>
      <c r="T289">
        <f>IF(OR(P289&lt;&gt;"F",R289=0),0,SUMIFS($R$18:$R$317,$B$18:$B$317,B289,$D$18:$D$317,D289,$P$18:$P$317,"F"))</f>
        <v/>
      </c>
      <c r="U289">
        <f>IF(OR(P289&lt;&gt;"A",R289=0),0,SUMIFS($R$18:$R$317,$B$18:$B$317,B289,$D$18:$D$317,D289,$P$18:$P$317,"A"))</f>
        <v/>
      </c>
      <c r="V289">
        <f>IF(OR(N289="",N289="OK",L289="Cancelled"),0,1)</f>
        <v/>
      </c>
    </row>
    <row r="290">
      <c r="B290" s="22" t="n"/>
      <c r="C290" s="23">
        <f>IF(B290="","",$E$9&amp;TEXT(N($E$10)+272,"000"))</f>
        <v/>
      </c>
      <c r="D290" s="14" t="n"/>
      <c r="E290" s="14" t="n"/>
      <c r="F290" s="14" t="n"/>
      <c r="G290" s="24" t="n"/>
      <c r="H290" s="14" t="n"/>
      <c r="I290" s="24" t="n"/>
      <c r="J290" s="25" t="n"/>
      <c r="K290" s="14" t="n"/>
      <c r="L290" s="24" t="n"/>
      <c r="M290" s="26">
        <f>IF(OR(N(J290)=0,L290="Cancelled"),"",IF(AND(N(J290)&gt;5000,H290="Cash"),"Yes: ₹1","No"))</f>
        <v/>
      </c>
      <c r="N290" s="27">
        <f>IF(AND(B290="",D290="",N(J290)=0),"",IF(B290="","Enter the date",IF(AND(ROW()&gt;18,B289=""),"Use the next empty row: a skipped row leaves a gap in the voucher numbers",IF(D290="","Enter who was paid",IF(N(J290)=0,"Enter the amount",IF(E290="","Pick the head of account",IF(P290="?","Pick the head from the list",IF(H290="","Pick how it was paid",IF(L290="Cancelled","Cancelled: keep this number unused and write a fresh voucher",IF(AND(H290&lt;&gt;"Cash",I290=""),"Enter the cheque no., UTR or UPI reference",IF(AND(N($E$11)&gt;0,N(J290)&gt;N($E$11),K290=""),"Above your approval limit: get it approved before paying",IF(S290&gt;10000,"Cash paid to this person today is over ₹10,000: not deductible, s.36(4)",IF(T290&gt;35000,"Cash freight to this transporter today is over ₹35,000: not deductible, s.36(6)",IF(U290&gt;10000,"Asset paid in cash over ₹10,000 today: left out of its cost, s.39(2)",IF(AND(P290="L",H290="Cash",N(J290)&gt;=20000),"Loan of ₹20,000 or more repaid in cash: barred, s.188","OK")))))))))))))))</f>
        <v/>
      </c>
      <c r="P290">
        <f>IF(E290="","",IFERROR(VLOOKUP(E290,Lists!$A$2:$B$17,2,FALSE),"?"))</f>
        <v/>
      </c>
      <c r="Q290">
        <f>IF(L290="Cancelled",0,N(J290))</f>
        <v/>
      </c>
      <c r="R290">
        <f>IF(H290="Cash",Q290,0)</f>
        <v/>
      </c>
      <c r="S290">
        <f>IF(OR(P290&lt;&gt;"E",R290=0),0,SUMIFS($R$18:$R$317,$B$18:$B$317,B290,$D$18:$D$317,D290,$P$18:$P$317,"E"))</f>
        <v/>
      </c>
      <c r="T290">
        <f>IF(OR(P290&lt;&gt;"F",R290=0),0,SUMIFS($R$18:$R$317,$B$18:$B$317,B290,$D$18:$D$317,D290,$P$18:$P$317,"F"))</f>
        <v/>
      </c>
      <c r="U290">
        <f>IF(OR(P290&lt;&gt;"A",R290=0),0,SUMIFS($R$18:$R$317,$B$18:$B$317,B290,$D$18:$D$317,D290,$P$18:$P$317,"A"))</f>
        <v/>
      </c>
      <c r="V290">
        <f>IF(OR(N290="",N290="OK",L290="Cancelled"),0,1)</f>
        <v/>
      </c>
    </row>
    <row r="291">
      <c r="B291" s="22" t="n"/>
      <c r="C291" s="23">
        <f>IF(B291="","",$E$9&amp;TEXT(N($E$10)+273,"000"))</f>
        <v/>
      </c>
      <c r="D291" s="14" t="n"/>
      <c r="E291" s="14" t="n"/>
      <c r="F291" s="14" t="n"/>
      <c r="G291" s="24" t="n"/>
      <c r="H291" s="14" t="n"/>
      <c r="I291" s="24" t="n"/>
      <c r="J291" s="25" t="n"/>
      <c r="K291" s="14" t="n"/>
      <c r="L291" s="24" t="n"/>
      <c r="M291" s="26">
        <f>IF(OR(N(J291)=0,L291="Cancelled"),"",IF(AND(N(J291)&gt;5000,H291="Cash"),"Yes: ₹1","No"))</f>
        <v/>
      </c>
      <c r="N291" s="27">
        <f>IF(AND(B291="",D291="",N(J291)=0),"",IF(B291="","Enter the date",IF(AND(ROW()&gt;18,B290=""),"Use the next empty row: a skipped row leaves a gap in the voucher numbers",IF(D291="","Enter who was paid",IF(N(J291)=0,"Enter the amount",IF(E291="","Pick the head of account",IF(P291="?","Pick the head from the list",IF(H291="","Pick how it was paid",IF(L291="Cancelled","Cancelled: keep this number unused and write a fresh voucher",IF(AND(H291&lt;&gt;"Cash",I291=""),"Enter the cheque no., UTR or UPI reference",IF(AND(N($E$11)&gt;0,N(J291)&gt;N($E$11),K291=""),"Above your approval limit: get it approved before paying",IF(S291&gt;10000,"Cash paid to this person today is over ₹10,000: not deductible, s.36(4)",IF(T291&gt;35000,"Cash freight to this transporter today is over ₹35,000: not deductible, s.36(6)",IF(U291&gt;10000,"Asset paid in cash over ₹10,000 today: left out of its cost, s.39(2)",IF(AND(P291="L",H291="Cash",N(J291)&gt;=20000),"Loan of ₹20,000 or more repaid in cash: barred, s.188","OK")))))))))))))))</f>
        <v/>
      </c>
      <c r="P291">
        <f>IF(E291="","",IFERROR(VLOOKUP(E291,Lists!$A$2:$B$17,2,FALSE),"?"))</f>
        <v/>
      </c>
      <c r="Q291">
        <f>IF(L291="Cancelled",0,N(J291))</f>
        <v/>
      </c>
      <c r="R291">
        <f>IF(H291="Cash",Q291,0)</f>
        <v/>
      </c>
      <c r="S291">
        <f>IF(OR(P291&lt;&gt;"E",R291=0),0,SUMIFS($R$18:$R$317,$B$18:$B$317,B291,$D$18:$D$317,D291,$P$18:$P$317,"E"))</f>
        <v/>
      </c>
      <c r="T291">
        <f>IF(OR(P291&lt;&gt;"F",R291=0),0,SUMIFS($R$18:$R$317,$B$18:$B$317,B291,$D$18:$D$317,D291,$P$18:$P$317,"F"))</f>
        <v/>
      </c>
      <c r="U291">
        <f>IF(OR(P291&lt;&gt;"A",R291=0),0,SUMIFS($R$18:$R$317,$B$18:$B$317,B291,$D$18:$D$317,D291,$P$18:$P$317,"A"))</f>
        <v/>
      </c>
      <c r="V291">
        <f>IF(OR(N291="",N291="OK",L291="Cancelled"),0,1)</f>
        <v/>
      </c>
    </row>
    <row r="292">
      <c r="B292" s="22" t="n"/>
      <c r="C292" s="23">
        <f>IF(B292="","",$E$9&amp;TEXT(N($E$10)+274,"000"))</f>
        <v/>
      </c>
      <c r="D292" s="14" t="n"/>
      <c r="E292" s="14" t="n"/>
      <c r="F292" s="14" t="n"/>
      <c r="G292" s="24" t="n"/>
      <c r="H292" s="14" t="n"/>
      <c r="I292" s="24" t="n"/>
      <c r="J292" s="25" t="n"/>
      <c r="K292" s="14" t="n"/>
      <c r="L292" s="24" t="n"/>
      <c r="M292" s="26">
        <f>IF(OR(N(J292)=0,L292="Cancelled"),"",IF(AND(N(J292)&gt;5000,H292="Cash"),"Yes: ₹1","No"))</f>
        <v/>
      </c>
      <c r="N292" s="27">
        <f>IF(AND(B292="",D292="",N(J292)=0),"",IF(B292="","Enter the date",IF(AND(ROW()&gt;18,B291=""),"Use the next empty row: a skipped row leaves a gap in the voucher numbers",IF(D292="","Enter who was paid",IF(N(J292)=0,"Enter the amount",IF(E292="","Pick the head of account",IF(P292="?","Pick the head from the list",IF(H292="","Pick how it was paid",IF(L292="Cancelled","Cancelled: keep this number unused and write a fresh voucher",IF(AND(H292&lt;&gt;"Cash",I292=""),"Enter the cheque no., UTR or UPI reference",IF(AND(N($E$11)&gt;0,N(J292)&gt;N($E$11),K292=""),"Above your approval limit: get it approved before paying",IF(S292&gt;10000,"Cash paid to this person today is over ₹10,000: not deductible, s.36(4)",IF(T292&gt;35000,"Cash freight to this transporter today is over ₹35,000: not deductible, s.36(6)",IF(U292&gt;10000,"Asset paid in cash over ₹10,000 today: left out of its cost, s.39(2)",IF(AND(P292="L",H292="Cash",N(J292)&gt;=20000),"Loan of ₹20,000 or more repaid in cash: barred, s.188","OK")))))))))))))))</f>
        <v/>
      </c>
      <c r="P292">
        <f>IF(E292="","",IFERROR(VLOOKUP(E292,Lists!$A$2:$B$17,2,FALSE),"?"))</f>
        <v/>
      </c>
      <c r="Q292">
        <f>IF(L292="Cancelled",0,N(J292))</f>
        <v/>
      </c>
      <c r="R292">
        <f>IF(H292="Cash",Q292,0)</f>
        <v/>
      </c>
      <c r="S292">
        <f>IF(OR(P292&lt;&gt;"E",R292=0),0,SUMIFS($R$18:$R$317,$B$18:$B$317,B292,$D$18:$D$317,D292,$P$18:$P$317,"E"))</f>
        <v/>
      </c>
      <c r="T292">
        <f>IF(OR(P292&lt;&gt;"F",R292=0),0,SUMIFS($R$18:$R$317,$B$18:$B$317,B292,$D$18:$D$317,D292,$P$18:$P$317,"F"))</f>
        <v/>
      </c>
      <c r="U292">
        <f>IF(OR(P292&lt;&gt;"A",R292=0),0,SUMIFS($R$18:$R$317,$B$18:$B$317,B292,$D$18:$D$317,D292,$P$18:$P$317,"A"))</f>
        <v/>
      </c>
      <c r="V292">
        <f>IF(OR(N292="",N292="OK",L292="Cancelled"),0,1)</f>
        <v/>
      </c>
    </row>
    <row r="293">
      <c r="B293" s="22" t="n"/>
      <c r="C293" s="23">
        <f>IF(B293="","",$E$9&amp;TEXT(N($E$10)+275,"000"))</f>
        <v/>
      </c>
      <c r="D293" s="14" t="n"/>
      <c r="E293" s="14" t="n"/>
      <c r="F293" s="14" t="n"/>
      <c r="G293" s="24" t="n"/>
      <c r="H293" s="14" t="n"/>
      <c r="I293" s="24" t="n"/>
      <c r="J293" s="25" t="n"/>
      <c r="K293" s="14" t="n"/>
      <c r="L293" s="24" t="n"/>
      <c r="M293" s="26">
        <f>IF(OR(N(J293)=0,L293="Cancelled"),"",IF(AND(N(J293)&gt;5000,H293="Cash"),"Yes: ₹1","No"))</f>
        <v/>
      </c>
      <c r="N293" s="27">
        <f>IF(AND(B293="",D293="",N(J293)=0),"",IF(B293="","Enter the date",IF(AND(ROW()&gt;18,B292=""),"Use the next empty row: a skipped row leaves a gap in the voucher numbers",IF(D293="","Enter who was paid",IF(N(J293)=0,"Enter the amount",IF(E293="","Pick the head of account",IF(P293="?","Pick the head from the list",IF(H293="","Pick how it was paid",IF(L293="Cancelled","Cancelled: keep this number unused and write a fresh voucher",IF(AND(H293&lt;&gt;"Cash",I293=""),"Enter the cheque no., UTR or UPI reference",IF(AND(N($E$11)&gt;0,N(J293)&gt;N($E$11),K293=""),"Above your approval limit: get it approved before paying",IF(S293&gt;10000,"Cash paid to this person today is over ₹10,000: not deductible, s.36(4)",IF(T293&gt;35000,"Cash freight to this transporter today is over ₹35,000: not deductible, s.36(6)",IF(U293&gt;10000,"Asset paid in cash over ₹10,000 today: left out of its cost, s.39(2)",IF(AND(P293="L",H293="Cash",N(J293)&gt;=20000),"Loan of ₹20,000 or more repaid in cash: barred, s.188","OK")))))))))))))))</f>
        <v/>
      </c>
      <c r="P293">
        <f>IF(E293="","",IFERROR(VLOOKUP(E293,Lists!$A$2:$B$17,2,FALSE),"?"))</f>
        <v/>
      </c>
      <c r="Q293">
        <f>IF(L293="Cancelled",0,N(J293))</f>
        <v/>
      </c>
      <c r="R293">
        <f>IF(H293="Cash",Q293,0)</f>
        <v/>
      </c>
      <c r="S293">
        <f>IF(OR(P293&lt;&gt;"E",R293=0),0,SUMIFS($R$18:$R$317,$B$18:$B$317,B293,$D$18:$D$317,D293,$P$18:$P$317,"E"))</f>
        <v/>
      </c>
      <c r="T293">
        <f>IF(OR(P293&lt;&gt;"F",R293=0),0,SUMIFS($R$18:$R$317,$B$18:$B$317,B293,$D$18:$D$317,D293,$P$18:$P$317,"F"))</f>
        <v/>
      </c>
      <c r="U293">
        <f>IF(OR(P293&lt;&gt;"A",R293=0),0,SUMIFS($R$18:$R$317,$B$18:$B$317,B293,$D$18:$D$317,D293,$P$18:$P$317,"A"))</f>
        <v/>
      </c>
      <c r="V293">
        <f>IF(OR(N293="",N293="OK",L293="Cancelled"),0,1)</f>
        <v/>
      </c>
    </row>
    <row r="294">
      <c r="B294" s="22" t="n"/>
      <c r="C294" s="23">
        <f>IF(B294="","",$E$9&amp;TEXT(N($E$10)+276,"000"))</f>
        <v/>
      </c>
      <c r="D294" s="14" t="n"/>
      <c r="E294" s="14" t="n"/>
      <c r="F294" s="14" t="n"/>
      <c r="G294" s="24" t="n"/>
      <c r="H294" s="14" t="n"/>
      <c r="I294" s="24" t="n"/>
      <c r="J294" s="25" t="n"/>
      <c r="K294" s="14" t="n"/>
      <c r="L294" s="24" t="n"/>
      <c r="M294" s="26">
        <f>IF(OR(N(J294)=0,L294="Cancelled"),"",IF(AND(N(J294)&gt;5000,H294="Cash"),"Yes: ₹1","No"))</f>
        <v/>
      </c>
      <c r="N294" s="27">
        <f>IF(AND(B294="",D294="",N(J294)=0),"",IF(B294="","Enter the date",IF(AND(ROW()&gt;18,B293=""),"Use the next empty row: a skipped row leaves a gap in the voucher numbers",IF(D294="","Enter who was paid",IF(N(J294)=0,"Enter the amount",IF(E294="","Pick the head of account",IF(P294="?","Pick the head from the list",IF(H294="","Pick how it was paid",IF(L294="Cancelled","Cancelled: keep this number unused and write a fresh voucher",IF(AND(H294&lt;&gt;"Cash",I294=""),"Enter the cheque no., UTR or UPI reference",IF(AND(N($E$11)&gt;0,N(J294)&gt;N($E$11),K294=""),"Above your approval limit: get it approved before paying",IF(S294&gt;10000,"Cash paid to this person today is over ₹10,000: not deductible, s.36(4)",IF(T294&gt;35000,"Cash freight to this transporter today is over ₹35,000: not deductible, s.36(6)",IF(U294&gt;10000,"Asset paid in cash over ₹10,000 today: left out of its cost, s.39(2)",IF(AND(P294="L",H294="Cash",N(J294)&gt;=20000),"Loan of ₹20,000 or more repaid in cash: barred, s.188","OK")))))))))))))))</f>
        <v/>
      </c>
      <c r="P294">
        <f>IF(E294="","",IFERROR(VLOOKUP(E294,Lists!$A$2:$B$17,2,FALSE),"?"))</f>
        <v/>
      </c>
      <c r="Q294">
        <f>IF(L294="Cancelled",0,N(J294))</f>
        <v/>
      </c>
      <c r="R294">
        <f>IF(H294="Cash",Q294,0)</f>
        <v/>
      </c>
      <c r="S294">
        <f>IF(OR(P294&lt;&gt;"E",R294=0),0,SUMIFS($R$18:$R$317,$B$18:$B$317,B294,$D$18:$D$317,D294,$P$18:$P$317,"E"))</f>
        <v/>
      </c>
      <c r="T294">
        <f>IF(OR(P294&lt;&gt;"F",R294=0),0,SUMIFS($R$18:$R$317,$B$18:$B$317,B294,$D$18:$D$317,D294,$P$18:$P$317,"F"))</f>
        <v/>
      </c>
      <c r="U294">
        <f>IF(OR(P294&lt;&gt;"A",R294=0),0,SUMIFS($R$18:$R$317,$B$18:$B$317,B294,$D$18:$D$317,D294,$P$18:$P$317,"A"))</f>
        <v/>
      </c>
      <c r="V294">
        <f>IF(OR(N294="",N294="OK",L294="Cancelled"),0,1)</f>
        <v/>
      </c>
    </row>
    <row r="295">
      <c r="B295" s="22" t="n"/>
      <c r="C295" s="23">
        <f>IF(B295="","",$E$9&amp;TEXT(N($E$10)+277,"000"))</f>
        <v/>
      </c>
      <c r="D295" s="14" t="n"/>
      <c r="E295" s="14" t="n"/>
      <c r="F295" s="14" t="n"/>
      <c r="G295" s="24" t="n"/>
      <c r="H295" s="14" t="n"/>
      <c r="I295" s="24" t="n"/>
      <c r="J295" s="25" t="n"/>
      <c r="K295" s="14" t="n"/>
      <c r="L295" s="24" t="n"/>
      <c r="M295" s="26">
        <f>IF(OR(N(J295)=0,L295="Cancelled"),"",IF(AND(N(J295)&gt;5000,H295="Cash"),"Yes: ₹1","No"))</f>
        <v/>
      </c>
      <c r="N295" s="27">
        <f>IF(AND(B295="",D295="",N(J295)=0),"",IF(B295="","Enter the date",IF(AND(ROW()&gt;18,B294=""),"Use the next empty row: a skipped row leaves a gap in the voucher numbers",IF(D295="","Enter who was paid",IF(N(J295)=0,"Enter the amount",IF(E295="","Pick the head of account",IF(P295="?","Pick the head from the list",IF(H295="","Pick how it was paid",IF(L295="Cancelled","Cancelled: keep this number unused and write a fresh voucher",IF(AND(H295&lt;&gt;"Cash",I295=""),"Enter the cheque no., UTR or UPI reference",IF(AND(N($E$11)&gt;0,N(J295)&gt;N($E$11),K295=""),"Above your approval limit: get it approved before paying",IF(S295&gt;10000,"Cash paid to this person today is over ₹10,000: not deductible, s.36(4)",IF(T295&gt;35000,"Cash freight to this transporter today is over ₹35,000: not deductible, s.36(6)",IF(U295&gt;10000,"Asset paid in cash over ₹10,000 today: left out of its cost, s.39(2)",IF(AND(P295="L",H295="Cash",N(J295)&gt;=20000),"Loan of ₹20,000 or more repaid in cash: barred, s.188","OK")))))))))))))))</f>
        <v/>
      </c>
      <c r="P295">
        <f>IF(E295="","",IFERROR(VLOOKUP(E295,Lists!$A$2:$B$17,2,FALSE),"?"))</f>
        <v/>
      </c>
      <c r="Q295">
        <f>IF(L295="Cancelled",0,N(J295))</f>
        <v/>
      </c>
      <c r="R295">
        <f>IF(H295="Cash",Q295,0)</f>
        <v/>
      </c>
      <c r="S295">
        <f>IF(OR(P295&lt;&gt;"E",R295=0),0,SUMIFS($R$18:$R$317,$B$18:$B$317,B295,$D$18:$D$317,D295,$P$18:$P$317,"E"))</f>
        <v/>
      </c>
      <c r="T295">
        <f>IF(OR(P295&lt;&gt;"F",R295=0),0,SUMIFS($R$18:$R$317,$B$18:$B$317,B295,$D$18:$D$317,D295,$P$18:$P$317,"F"))</f>
        <v/>
      </c>
      <c r="U295">
        <f>IF(OR(P295&lt;&gt;"A",R295=0),0,SUMIFS($R$18:$R$317,$B$18:$B$317,B295,$D$18:$D$317,D295,$P$18:$P$317,"A"))</f>
        <v/>
      </c>
      <c r="V295">
        <f>IF(OR(N295="",N295="OK",L295="Cancelled"),0,1)</f>
        <v/>
      </c>
    </row>
    <row r="296">
      <c r="B296" s="22" t="n"/>
      <c r="C296" s="23">
        <f>IF(B296="","",$E$9&amp;TEXT(N($E$10)+278,"000"))</f>
        <v/>
      </c>
      <c r="D296" s="14" t="n"/>
      <c r="E296" s="14" t="n"/>
      <c r="F296" s="14" t="n"/>
      <c r="G296" s="24" t="n"/>
      <c r="H296" s="14" t="n"/>
      <c r="I296" s="24" t="n"/>
      <c r="J296" s="25" t="n"/>
      <c r="K296" s="14" t="n"/>
      <c r="L296" s="24" t="n"/>
      <c r="M296" s="26">
        <f>IF(OR(N(J296)=0,L296="Cancelled"),"",IF(AND(N(J296)&gt;5000,H296="Cash"),"Yes: ₹1","No"))</f>
        <v/>
      </c>
      <c r="N296" s="27">
        <f>IF(AND(B296="",D296="",N(J296)=0),"",IF(B296="","Enter the date",IF(AND(ROW()&gt;18,B295=""),"Use the next empty row: a skipped row leaves a gap in the voucher numbers",IF(D296="","Enter who was paid",IF(N(J296)=0,"Enter the amount",IF(E296="","Pick the head of account",IF(P296="?","Pick the head from the list",IF(H296="","Pick how it was paid",IF(L296="Cancelled","Cancelled: keep this number unused and write a fresh voucher",IF(AND(H296&lt;&gt;"Cash",I296=""),"Enter the cheque no., UTR or UPI reference",IF(AND(N($E$11)&gt;0,N(J296)&gt;N($E$11),K296=""),"Above your approval limit: get it approved before paying",IF(S296&gt;10000,"Cash paid to this person today is over ₹10,000: not deductible, s.36(4)",IF(T296&gt;35000,"Cash freight to this transporter today is over ₹35,000: not deductible, s.36(6)",IF(U296&gt;10000,"Asset paid in cash over ₹10,000 today: left out of its cost, s.39(2)",IF(AND(P296="L",H296="Cash",N(J296)&gt;=20000),"Loan of ₹20,000 or more repaid in cash: barred, s.188","OK")))))))))))))))</f>
        <v/>
      </c>
      <c r="P296">
        <f>IF(E296="","",IFERROR(VLOOKUP(E296,Lists!$A$2:$B$17,2,FALSE),"?"))</f>
        <v/>
      </c>
      <c r="Q296">
        <f>IF(L296="Cancelled",0,N(J296))</f>
        <v/>
      </c>
      <c r="R296">
        <f>IF(H296="Cash",Q296,0)</f>
        <v/>
      </c>
      <c r="S296">
        <f>IF(OR(P296&lt;&gt;"E",R296=0),0,SUMIFS($R$18:$R$317,$B$18:$B$317,B296,$D$18:$D$317,D296,$P$18:$P$317,"E"))</f>
        <v/>
      </c>
      <c r="T296">
        <f>IF(OR(P296&lt;&gt;"F",R296=0),0,SUMIFS($R$18:$R$317,$B$18:$B$317,B296,$D$18:$D$317,D296,$P$18:$P$317,"F"))</f>
        <v/>
      </c>
      <c r="U296">
        <f>IF(OR(P296&lt;&gt;"A",R296=0),0,SUMIFS($R$18:$R$317,$B$18:$B$317,B296,$D$18:$D$317,D296,$P$18:$P$317,"A"))</f>
        <v/>
      </c>
      <c r="V296">
        <f>IF(OR(N296="",N296="OK",L296="Cancelled"),0,1)</f>
        <v/>
      </c>
    </row>
    <row r="297">
      <c r="B297" s="22" t="n"/>
      <c r="C297" s="23">
        <f>IF(B297="","",$E$9&amp;TEXT(N($E$10)+279,"000"))</f>
        <v/>
      </c>
      <c r="D297" s="14" t="n"/>
      <c r="E297" s="14" t="n"/>
      <c r="F297" s="14" t="n"/>
      <c r="G297" s="24" t="n"/>
      <c r="H297" s="14" t="n"/>
      <c r="I297" s="24" t="n"/>
      <c r="J297" s="25" t="n"/>
      <c r="K297" s="14" t="n"/>
      <c r="L297" s="24" t="n"/>
      <c r="M297" s="26">
        <f>IF(OR(N(J297)=0,L297="Cancelled"),"",IF(AND(N(J297)&gt;5000,H297="Cash"),"Yes: ₹1","No"))</f>
        <v/>
      </c>
      <c r="N297" s="27">
        <f>IF(AND(B297="",D297="",N(J297)=0),"",IF(B297="","Enter the date",IF(AND(ROW()&gt;18,B296=""),"Use the next empty row: a skipped row leaves a gap in the voucher numbers",IF(D297="","Enter who was paid",IF(N(J297)=0,"Enter the amount",IF(E297="","Pick the head of account",IF(P297="?","Pick the head from the list",IF(H297="","Pick how it was paid",IF(L297="Cancelled","Cancelled: keep this number unused and write a fresh voucher",IF(AND(H297&lt;&gt;"Cash",I297=""),"Enter the cheque no., UTR or UPI reference",IF(AND(N($E$11)&gt;0,N(J297)&gt;N($E$11),K297=""),"Above your approval limit: get it approved before paying",IF(S297&gt;10000,"Cash paid to this person today is over ₹10,000: not deductible, s.36(4)",IF(T297&gt;35000,"Cash freight to this transporter today is over ₹35,000: not deductible, s.36(6)",IF(U297&gt;10000,"Asset paid in cash over ₹10,000 today: left out of its cost, s.39(2)",IF(AND(P297="L",H297="Cash",N(J297)&gt;=20000),"Loan of ₹20,000 or more repaid in cash: barred, s.188","OK")))))))))))))))</f>
        <v/>
      </c>
      <c r="P297">
        <f>IF(E297="","",IFERROR(VLOOKUP(E297,Lists!$A$2:$B$17,2,FALSE),"?"))</f>
        <v/>
      </c>
      <c r="Q297">
        <f>IF(L297="Cancelled",0,N(J297))</f>
        <v/>
      </c>
      <c r="R297">
        <f>IF(H297="Cash",Q297,0)</f>
        <v/>
      </c>
      <c r="S297">
        <f>IF(OR(P297&lt;&gt;"E",R297=0),0,SUMIFS($R$18:$R$317,$B$18:$B$317,B297,$D$18:$D$317,D297,$P$18:$P$317,"E"))</f>
        <v/>
      </c>
      <c r="T297">
        <f>IF(OR(P297&lt;&gt;"F",R297=0),0,SUMIFS($R$18:$R$317,$B$18:$B$317,B297,$D$18:$D$317,D297,$P$18:$P$317,"F"))</f>
        <v/>
      </c>
      <c r="U297">
        <f>IF(OR(P297&lt;&gt;"A",R297=0),0,SUMIFS($R$18:$R$317,$B$18:$B$317,B297,$D$18:$D$317,D297,$P$18:$P$317,"A"))</f>
        <v/>
      </c>
      <c r="V297">
        <f>IF(OR(N297="",N297="OK",L297="Cancelled"),0,1)</f>
        <v/>
      </c>
    </row>
    <row r="298">
      <c r="B298" s="22" t="n"/>
      <c r="C298" s="23">
        <f>IF(B298="","",$E$9&amp;TEXT(N($E$10)+280,"000"))</f>
        <v/>
      </c>
      <c r="D298" s="14" t="n"/>
      <c r="E298" s="14" t="n"/>
      <c r="F298" s="14" t="n"/>
      <c r="G298" s="24" t="n"/>
      <c r="H298" s="14" t="n"/>
      <c r="I298" s="24" t="n"/>
      <c r="J298" s="25" t="n"/>
      <c r="K298" s="14" t="n"/>
      <c r="L298" s="24" t="n"/>
      <c r="M298" s="26">
        <f>IF(OR(N(J298)=0,L298="Cancelled"),"",IF(AND(N(J298)&gt;5000,H298="Cash"),"Yes: ₹1","No"))</f>
        <v/>
      </c>
      <c r="N298" s="27">
        <f>IF(AND(B298="",D298="",N(J298)=0),"",IF(B298="","Enter the date",IF(AND(ROW()&gt;18,B297=""),"Use the next empty row: a skipped row leaves a gap in the voucher numbers",IF(D298="","Enter who was paid",IF(N(J298)=0,"Enter the amount",IF(E298="","Pick the head of account",IF(P298="?","Pick the head from the list",IF(H298="","Pick how it was paid",IF(L298="Cancelled","Cancelled: keep this number unused and write a fresh voucher",IF(AND(H298&lt;&gt;"Cash",I298=""),"Enter the cheque no., UTR or UPI reference",IF(AND(N($E$11)&gt;0,N(J298)&gt;N($E$11),K298=""),"Above your approval limit: get it approved before paying",IF(S298&gt;10000,"Cash paid to this person today is over ₹10,000: not deductible, s.36(4)",IF(T298&gt;35000,"Cash freight to this transporter today is over ₹35,000: not deductible, s.36(6)",IF(U298&gt;10000,"Asset paid in cash over ₹10,000 today: left out of its cost, s.39(2)",IF(AND(P298="L",H298="Cash",N(J298)&gt;=20000),"Loan of ₹20,000 or more repaid in cash: barred, s.188","OK")))))))))))))))</f>
        <v/>
      </c>
      <c r="P298">
        <f>IF(E298="","",IFERROR(VLOOKUP(E298,Lists!$A$2:$B$17,2,FALSE),"?"))</f>
        <v/>
      </c>
      <c r="Q298">
        <f>IF(L298="Cancelled",0,N(J298))</f>
        <v/>
      </c>
      <c r="R298">
        <f>IF(H298="Cash",Q298,0)</f>
        <v/>
      </c>
      <c r="S298">
        <f>IF(OR(P298&lt;&gt;"E",R298=0),0,SUMIFS($R$18:$R$317,$B$18:$B$317,B298,$D$18:$D$317,D298,$P$18:$P$317,"E"))</f>
        <v/>
      </c>
      <c r="T298">
        <f>IF(OR(P298&lt;&gt;"F",R298=0),0,SUMIFS($R$18:$R$317,$B$18:$B$317,B298,$D$18:$D$317,D298,$P$18:$P$317,"F"))</f>
        <v/>
      </c>
      <c r="U298">
        <f>IF(OR(P298&lt;&gt;"A",R298=0),0,SUMIFS($R$18:$R$317,$B$18:$B$317,B298,$D$18:$D$317,D298,$P$18:$P$317,"A"))</f>
        <v/>
      </c>
      <c r="V298">
        <f>IF(OR(N298="",N298="OK",L298="Cancelled"),0,1)</f>
        <v/>
      </c>
    </row>
    <row r="299">
      <c r="B299" s="22" t="n"/>
      <c r="C299" s="23">
        <f>IF(B299="","",$E$9&amp;TEXT(N($E$10)+281,"000"))</f>
        <v/>
      </c>
      <c r="D299" s="14" t="n"/>
      <c r="E299" s="14" t="n"/>
      <c r="F299" s="14" t="n"/>
      <c r="G299" s="24" t="n"/>
      <c r="H299" s="14" t="n"/>
      <c r="I299" s="24" t="n"/>
      <c r="J299" s="25" t="n"/>
      <c r="K299" s="14" t="n"/>
      <c r="L299" s="24" t="n"/>
      <c r="M299" s="26">
        <f>IF(OR(N(J299)=0,L299="Cancelled"),"",IF(AND(N(J299)&gt;5000,H299="Cash"),"Yes: ₹1","No"))</f>
        <v/>
      </c>
      <c r="N299" s="27">
        <f>IF(AND(B299="",D299="",N(J299)=0),"",IF(B299="","Enter the date",IF(AND(ROW()&gt;18,B298=""),"Use the next empty row: a skipped row leaves a gap in the voucher numbers",IF(D299="","Enter who was paid",IF(N(J299)=0,"Enter the amount",IF(E299="","Pick the head of account",IF(P299="?","Pick the head from the list",IF(H299="","Pick how it was paid",IF(L299="Cancelled","Cancelled: keep this number unused and write a fresh voucher",IF(AND(H299&lt;&gt;"Cash",I299=""),"Enter the cheque no., UTR or UPI reference",IF(AND(N($E$11)&gt;0,N(J299)&gt;N($E$11),K299=""),"Above your approval limit: get it approved before paying",IF(S299&gt;10000,"Cash paid to this person today is over ₹10,000: not deductible, s.36(4)",IF(T299&gt;35000,"Cash freight to this transporter today is over ₹35,000: not deductible, s.36(6)",IF(U299&gt;10000,"Asset paid in cash over ₹10,000 today: left out of its cost, s.39(2)",IF(AND(P299="L",H299="Cash",N(J299)&gt;=20000),"Loan of ₹20,000 or more repaid in cash: barred, s.188","OK")))))))))))))))</f>
        <v/>
      </c>
      <c r="P299">
        <f>IF(E299="","",IFERROR(VLOOKUP(E299,Lists!$A$2:$B$17,2,FALSE),"?"))</f>
        <v/>
      </c>
      <c r="Q299">
        <f>IF(L299="Cancelled",0,N(J299))</f>
        <v/>
      </c>
      <c r="R299">
        <f>IF(H299="Cash",Q299,0)</f>
        <v/>
      </c>
      <c r="S299">
        <f>IF(OR(P299&lt;&gt;"E",R299=0),0,SUMIFS($R$18:$R$317,$B$18:$B$317,B299,$D$18:$D$317,D299,$P$18:$P$317,"E"))</f>
        <v/>
      </c>
      <c r="T299">
        <f>IF(OR(P299&lt;&gt;"F",R299=0),0,SUMIFS($R$18:$R$317,$B$18:$B$317,B299,$D$18:$D$317,D299,$P$18:$P$317,"F"))</f>
        <v/>
      </c>
      <c r="U299">
        <f>IF(OR(P299&lt;&gt;"A",R299=0),0,SUMIFS($R$18:$R$317,$B$18:$B$317,B299,$D$18:$D$317,D299,$P$18:$P$317,"A"))</f>
        <v/>
      </c>
      <c r="V299">
        <f>IF(OR(N299="",N299="OK",L299="Cancelled"),0,1)</f>
        <v/>
      </c>
    </row>
    <row r="300">
      <c r="B300" s="22" t="n"/>
      <c r="C300" s="23">
        <f>IF(B300="","",$E$9&amp;TEXT(N($E$10)+282,"000"))</f>
        <v/>
      </c>
      <c r="D300" s="14" t="n"/>
      <c r="E300" s="14" t="n"/>
      <c r="F300" s="14" t="n"/>
      <c r="G300" s="24" t="n"/>
      <c r="H300" s="14" t="n"/>
      <c r="I300" s="24" t="n"/>
      <c r="J300" s="25" t="n"/>
      <c r="K300" s="14" t="n"/>
      <c r="L300" s="24" t="n"/>
      <c r="M300" s="26">
        <f>IF(OR(N(J300)=0,L300="Cancelled"),"",IF(AND(N(J300)&gt;5000,H300="Cash"),"Yes: ₹1","No"))</f>
        <v/>
      </c>
      <c r="N300" s="27">
        <f>IF(AND(B300="",D300="",N(J300)=0),"",IF(B300="","Enter the date",IF(AND(ROW()&gt;18,B299=""),"Use the next empty row: a skipped row leaves a gap in the voucher numbers",IF(D300="","Enter who was paid",IF(N(J300)=0,"Enter the amount",IF(E300="","Pick the head of account",IF(P300="?","Pick the head from the list",IF(H300="","Pick how it was paid",IF(L300="Cancelled","Cancelled: keep this number unused and write a fresh voucher",IF(AND(H300&lt;&gt;"Cash",I300=""),"Enter the cheque no., UTR or UPI reference",IF(AND(N($E$11)&gt;0,N(J300)&gt;N($E$11),K300=""),"Above your approval limit: get it approved before paying",IF(S300&gt;10000,"Cash paid to this person today is over ₹10,000: not deductible, s.36(4)",IF(T300&gt;35000,"Cash freight to this transporter today is over ₹35,000: not deductible, s.36(6)",IF(U300&gt;10000,"Asset paid in cash over ₹10,000 today: left out of its cost, s.39(2)",IF(AND(P300="L",H300="Cash",N(J300)&gt;=20000),"Loan of ₹20,000 or more repaid in cash: barred, s.188","OK")))))))))))))))</f>
        <v/>
      </c>
      <c r="P300">
        <f>IF(E300="","",IFERROR(VLOOKUP(E300,Lists!$A$2:$B$17,2,FALSE),"?"))</f>
        <v/>
      </c>
      <c r="Q300">
        <f>IF(L300="Cancelled",0,N(J300))</f>
        <v/>
      </c>
      <c r="R300">
        <f>IF(H300="Cash",Q300,0)</f>
        <v/>
      </c>
      <c r="S300">
        <f>IF(OR(P300&lt;&gt;"E",R300=0),0,SUMIFS($R$18:$R$317,$B$18:$B$317,B300,$D$18:$D$317,D300,$P$18:$P$317,"E"))</f>
        <v/>
      </c>
      <c r="T300">
        <f>IF(OR(P300&lt;&gt;"F",R300=0),0,SUMIFS($R$18:$R$317,$B$18:$B$317,B300,$D$18:$D$317,D300,$P$18:$P$317,"F"))</f>
        <v/>
      </c>
      <c r="U300">
        <f>IF(OR(P300&lt;&gt;"A",R300=0),0,SUMIFS($R$18:$R$317,$B$18:$B$317,B300,$D$18:$D$317,D300,$P$18:$P$317,"A"))</f>
        <v/>
      </c>
      <c r="V300">
        <f>IF(OR(N300="",N300="OK",L300="Cancelled"),0,1)</f>
        <v/>
      </c>
    </row>
    <row r="301">
      <c r="B301" s="22" t="n"/>
      <c r="C301" s="23">
        <f>IF(B301="","",$E$9&amp;TEXT(N($E$10)+283,"000"))</f>
        <v/>
      </c>
      <c r="D301" s="14" t="n"/>
      <c r="E301" s="14" t="n"/>
      <c r="F301" s="14" t="n"/>
      <c r="G301" s="24" t="n"/>
      <c r="H301" s="14" t="n"/>
      <c r="I301" s="24" t="n"/>
      <c r="J301" s="25" t="n"/>
      <c r="K301" s="14" t="n"/>
      <c r="L301" s="24" t="n"/>
      <c r="M301" s="26">
        <f>IF(OR(N(J301)=0,L301="Cancelled"),"",IF(AND(N(J301)&gt;5000,H301="Cash"),"Yes: ₹1","No"))</f>
        <v/>
      </c>
      <c r="N301" s="27">
        <f>IF(AND(B301="",D301="",N(J301)=0),"",IF(B301="","Enter the date",IF(AND(ROW()&gt;18,B300=""),"Use the next empty row: a skipped row leaves a gap in the voucher numbers",IF(D301="","Enter who was paid",IF(N(J301)=0,"Enter the amount",IF(E301="","Pick the head of account",IF(P301="?","Pick the head from the list",IF(H301="","Pick how it was paid",IF(L301="Cancelled","Cancelled: keep this number unused and write a fresh voucher",IF(AND(H301&lt;&gt;"Cash",I301=""),"Enter the cheque no., UTR or UPI reference",IF(AND(N($E$11)&gt;0,N(J301)&gt;N($E$11),K301=""),"Above your approval limit: get it approved before paying",IF(S301&gt;10000,"Cash paid to this person today is over ₹10,000: not deductible, s.36(4)",IF(T301&gt;35000,"Cash freight to this transporter today is over ₹35,000: not deductible, s.36(6)",IF(U301&gt;10000,"Asset paid in cash over ₹10,000 today: left out of its cost, s.39(2)",IF(AND(P301="L",H301="Cash",N(J301)&gt;=20000),"Loan of ₹20,000 or more repaid in cash: barred, s.188","OK")))))))))))))))</f>
        <v/>
      </c>
      <c r="P301">
        <f>IF(E301="","",IFERROR(VLOOKUP(E301,Lists!$A$2:$B$17,2,FALSE),"?"))</f>
        <v/>
      </c>
      <c r="Q301">
        <f>IF(L301="Cancelled",0,N(J301))</f>
        <v/>
      </c>
      <c r="R301">
        <f>IF(H301="Cash",Q301,0)</f>
        <v/>
      </c>
      <c r="S301">
        <f>IF(OR(P301&lt;&gt;"E",R301=0),0,SUMIFS($R$18:$R$317,$B$18:$B$317,B301,$D$18:$D$317,D301,$P$18:$P$317,"E"))</f>
        <v/>
      </c>
      <c r="T301">
        <f>IF(OR(P301&lt;&gt;"F",R301=0),0,SUMIFS($R$18:$R$317,$B$18:$B$317,B301,$D$18:$D$317,D301,$P$18:$P$317,"F"))</f>
        <v/>
      </c>
      <c r="U301">
        <f>IF(OR(P301&lt;&gt;"A",R301=0),0,SUMIFS($R$18:$R$317,$B$18:$B$317,B301,$D$18:$D$317,D301,$P$18:$P$317,"A"))</f>
        <v/>
      </c>
      <c r="V301">
        <f>IF(OR(N301="",N301="OK",L301="Cancelled"),0,1)</f>
        <v/>
      </c>
    </row>
    <row r="302">
      <c r="B302" s="22" t="n"/>
      <c r="C302" s="23">
        <f>IF(B302="","",$E$9&amp;TEXT(N($E$10)+284,"000"))</f>
        <v/>
      </c>
      <c r="D302" s="14" t="n"/>
      <c r="E302" s="14" t="n"/>
      <c r="F302" s="14" t="n"/>
      <c r="G302" s="24" t="n"/>
      <c r="H302" s="14" t="n"/>
      <c r="I302" s="24" t="n"/>
      <c r="J302" s="25" t="n"/>
      <c r="K302" s="14" t="n"/>
      <c r="L302" s="24" t="n"/>
      <c r="M302" s="26">
        <f>IF(OR(N(J302)=0,L302="Cancelled"),"",IF(AND(N(J302)&gt;5000,H302="Cash"),"Yes: ₹1","No"))</f>
        <v/>
      </c>
      <c r="N302" s="27">
        <f>IF(AND(B302="",D302="",N(J302)=0),"",IF(B302="","Enter the date",IF(AND(ROW()&gt;18,B301=""),"Use the next empty row: a skipped row leaves a gap in the voucher numbers",IF(D302="","Enter who was paid",IF(N(J302)=0,"Enter the amount",IF(E302="","Pick the head of account",IF(P302="?","Pick the head from the list",IF(H302="","Pick how it was paid",IF(L302="Cancelled","Cancelled: keep this number unused and write a fresh voucher",IF(AND(H302&lt;&gt;"Cash",I302=""),"Enter the cheque no., UTR or UPI reference",IF(AND(N($E$11)&gt;0,N(J302)&gt;N($E$11),K302=""),"Above your approval limit: get it approved before paying",IF(S302&gt;10000,"Cash paid to this person today is over ₹10,000: not deductible, s.36(4)",IF(T302&gt;35000,"Cash freight to this transporter today is over ₹35,000: not deductible, s.36(6)",IF(U302&gt;10000,"Asset paid in cash over ₹10,000 today: left out of its cost, s.39(2)",IF(AND(P302="L",H302="Cash",N(J302)&gt;=20000),"Loan of ₹20,000 or more repaid in cash: barred, s.188","OK")))))))))))))))</f>
        <v/>
      </c>
      <c r="P302">
        <f>IF(E302="","",IFERROR(VLOOKUP(E302,Lists!$A$2:$B$17,2,FALSE),"?"))</f>
        <v/>
      </c>
      <c r="Q302">
        <f>IF(L302="Cancelled",0,N(J302))</f>
        <v/>
      </c>
      <c r="R302">
        <f>IF(H302="Cash",Q302,0)</f>
        <v/>
      </c>
      <c r="S302">
        <f>IF(OR(P302&lt;&gt;"E",R302=0),0,SUMIFS($R$18:$R$317,$B$18:$B$317,B302,$D$18:$D$317,D302,$P$18:$P$317,"E"))</f>
        <v/>
      </c>
      <c r="T302">
        <f>IF(OR(P302&lt;&gt;"F",R302=0),0,SUMIFS($R$18:$R$317,$B$18:$B$317,B302,$D$18:$D$317,D302,$P$18:$P$317,"F"))</f>
        <v/>
      </c>
      <c r="U302">
        <f>IF(OR(P302&lt;&gt;"A",R302=0),0,SUMIFS($R$18:$R$317,$B$18:$B$317,B302,$D$18:$D$317,D302,$P$18:$P$317,"A"))</f>
        <v/>
      </c>
      <c r="V302">
        <f>IF(OR(N302="",N302="OK",L302="Cancelled"),0,1)</f>
        <v/>
      </c>
    </row>
    <row r="303">
      <c r="B303" s="22" t="n"/>
      <c r="C303" s="23">
        <f>IF(B303="","",$E$9&amp;TEXT(N($E$10)+285,"000"))</f>
        <v/>
      </c>
      <c r="D303" s="14" t="n"/>
      <c r="E303" s="14" t="n"/>
      <c r="F303" s="14" t="n"/>
      <c r="G303" s="24" t="n"/>
      <c r="H303" s="14" t="n"/>
      <c r="I303" s="24" t="n"/>
      <c r="J303" s="25" t="n"/>
      <c r="K303" s="14" t="n"/>
      <c r="L303" s="24" t="n"/>
      <c r="M303" s="26">
        <f>IF(OR(N(J303)=0,L303="Cancelled"),"",IF(AND(N(J303)&gt;5000,H303="Cash"),"Yes: ₹1","No"))</f>
        <v/>
      </c>
      <c r="N303" s="27">
        <f>IF(AND(B303="",D303="",N(J303)=0),"",IF(B303="","Enter the date",IF(AND(ROW()&gt;18,B302=""),"Use the next empty row: a skipped row leaves a gap in the voucher numbers",IF(D303="","Enter who was paid",IF(N(J303)=0,"Enter the amount",IF(E303="","Pick the head of account",IF(P303="?","Pick the head from the list",IF(H303="","Pick how it was paid",IF(L303="Cancelled","Cancelled: keep this number unused and write a fresh voucher",IF(AND(H303&lt;&gt;"Cash",I303=""),"Enter the cheque no., UTR or UPI reference",IF(AND(N($E$11)&gt;0,N(J303)&gt;N($E$11),K303=""),"Above your approval limit: get it approved before paying",IF(S303&gt;10000,"Cash paid to this person today is over ₹10,000: not deductible, s.36(4)",IF(T303&gt;35000,"Cash freight to this transporter today is over ₹35,000: not deductible, s.36(6)",IF(U303&gt;10000,"Asset paid in cash over ₹10,000 today: left out of its cost, s.39(2)",IF(AND(P303="L",H303="Cash",N(J303)&gt;=20000),"Loan of ₹20,000 or more repaid in cash: barred, s.188","OK")))))))))))))))</f>
        <v/>
      </c>
      <c r="P303">
        <f>IF(E303="","",IFERROR(VLOOKUP(E303,Lists!$A$2:$B$17,2,FALSE),"?"))</f>
        <v/>
      </c>
      <c r="Q303">
        <f>IF(L303="Cancelled",0,N(J303))</f>
        <v/>
      </c>
      <c r="R303">
        <f>IF(H303="Cash",Q303,0)</f>
        <v/>
      </c>
      <c r="S303">
        <f>IF(OR(P303&lt;&gt;"E",R303=0),0,SUMIFS($R$18:$R$317,$B$18:$B$317,B303,$D$18:$D$317,D303,$P$18:$P$317,"E"))</f>
        <v/>
      </c>
      <c r="T303">
        <f>IF(OR(P303&lt;&gt;"F",R303=0),0,SUMIFS($R$18:$R$317,$B$18:$B$317,B303,$D$18:$D$317,D303,$P$18:$P$317,"F"))</f>
        <v/>
      </c>
      <c r="U303">
        <f>IF(OR(P303&lt;&gt;"A",R303=0),0,SUMIFS($R$18:$R$317,$B$18:$B$317,B303,$D$18:$D$317,D303,$P$18:$P$317,"A"))</f>
        <v/>
      </c>
      <c r="V303">
        <f>IF(OR(N303="",N303="OK",L303="Cancelled"),0,1)</f>
        <v/>
      </c>
    </row>
    <row r="304">
      <c r="B304" s="22" t="n"/>
      <c r="C304" s="23">
        <f>IF(B304="","",$E$9&amp;TEXT(N($E$10)+286,"000"))</f>
        <v/>
      </c>
      <c r="D304" s="14" t="n"/>
      <c r="E304" s="14" t="n"/>
      <c r="F304" s="14" t="n"/>
      <c r="G304" s="24" t="n"/>
      <c r="H304" s="14" t="n"/>
      <c r="I304" s="24" t="n"/>
      <c r="J304" s="25" t="n"/>
      <c r="K304" s="14" t="n"/>
      <c r="L304" s="24" t="n"/>
      <c r="M304" s="26">
        <f>IF(OR(N(J304)=0,L304="Cancelled"),"",IF(AND(N(J304)&gt;5000,H304="Cash"),"Yes: ₹1","No"))</f>
        <v/>
      </c>
      <c r="N304" s="27">
        <f>IF(AND(B304="",D304="",N(J304)=0),"",IF(B304="","Enter the date",IF(AND(ROW()&gt;18,B303=""),"Use the next empty row: a skipped row leaves a gap in the voucher numbers",IF(D304="","Enter who was paid",IF(N(J304)=0,"Enter the amount",IF(E304="","Pick the head of account",IF(P304="?","Pick the head from the list",IF(H304="","Pick how it was paid",IF(L304="Cancelled","Cancelled: keep this number unused and write a fresh voucher",IF(AND(H304&lt;&gt;"Cash",I304=""),"Enter the cheque no., UTR or UPI reference",IF(AND(N($E$11)&gt;0,N(J304)&gt;N($E$11),K304=""),"Above your approval limit: get it approved before paying",IF(S304&gt;10000,"Cash paid to this person today is over ₹10,000: not deductible, s.36(4)",IF(T304&gt;35000,"Cash freight to this transporter today is over ₹35,000: not deductible, s.36(6)",IF(U304&gt;10000,"Asset paid in cash over ₹10,000 today: left out of its cost, s.39(2)",IF(AND(P304="L",H304="Cash",N(J304)&gt;=20000),"Loan of ₹20,000 or more repaid in cash: barred, s.188","OK")))))))))))))))</f>
        <v/>
      </c>
      <c r="P304">
        <f>IF(E304="","",IFERROR(VLOOKUP(E304,Lists!$A$2:$B$17,2,FALSE),"?"))</f>
        <v/>
      </c>
      <c r="Q304">
        <f>IF(L304="Cancelled",0,N(J304))</f>
        <v/>
      </c>
      <c r="R304">
        <f>IF(H304="Cash",Q304,0)</f>
        <v/>
      </c>
      <c r="S304">
        <f>IF(OR(P304&lt;&gt;"E",R304=0),0,SUMIFS($R$18:$R$317,$B$18:$B$317,B304,$D$18:$D$317,D304,$P$18:$P$317,"E"))</f>
        <v/>
      </c>
      <c r="T304">
        <f>IF(OR(P304&lt;&gt;"F",R304=0),0,SUMIFS($R$18:$R$317,$B$18:$B$317,B304,$D$18:$D$317,D304,$P$18:$P$317,"F"))</f>
        <v/>
      </c>
      <c r="U304">
        <f>IF(OR(P304&lt;&gt;"A",R304=0),0,SUMIFS($R$18:$R$317,$B$18:$B$317,B304,$D$18:$D$317,D304,$P$18:$P$317,"A"))</f>
        <v/>
      </c>
      <c r="V304">
        <f>IF(OR(N304="",N304="OK",L304="Cancelled"),0,1)</f>
        <v/>
      </c>
    </row>
    <row r="305">
      <c r="B305" s="22" t="n"/>
      <c r="C305" s="23">
        <f>IF(B305="","",$E$9&amp;TEXT(N($E$10)+287,"000"))</f>
        <v/>
      </c>
      <c r="D305" s="14" t="n"/>
      <c r="E305" s="14" t="n"/>
      <c r="F305" s="14" t="n"/>
      <c r="G305" s="24" t="n"/>
      <c r="H305" s="14" t="n"/>
      <c r="I305" s="24" t="n"/>
      <c r="J305" s="25" t="n"/>
      <c r="K305" s="14" t="n"/>
      <c r="L305" s="24" t="n"/>
      <c r="M305" s="26">
        <f>IF(OR(N(J305)=0,L305="Cancelled"),"",IF(AND(N(J305)&gt;5000,H305="Cash"),"Yes: ₹1","No"))</f>
        <v/>
      </c>
      <c r="N305" s="27">
        <f>IF(AND(B305="",D305="",N(J305)=0),"",IF(B305="","Enter the date",IF(AND(ROW()&gt;18,B304=""),"Use the next empty row: a skipped row leaves a gap in the voucher numbers",IF(D305="","Enter who was paid",IF(N(J305)=0,"Enter the amount",IF(E305="","Pick the head of account",IF(P305="?","Pick the head from the list",IF(H305="","Pick how it was paid",IF(L305="Cancelled","Cancelled: keep this number unused and write a fresh voucher",IF(AND(H305&lt;&gt;"Cash",I305=""),"Enter the cheque no., UTR or UPI reference",IF(AND(N($E$11)&gt;0,N(J305)&gt;N($E$11),K305=""),"Above your approval limit: get it approved before paying",IF(S305&gt;10000,"Cash paid to this person today is over ₹10,000: not deductible, s.36(4)",IF(T305&gt;35000,"Cash freight to this transporter today is over ₹35,000: not deductible, s.36(6)",IF(U305&gt;10000,"Asset paid in cash over ₹10,000 today: left out of its cost, s.39(2)",IF(AND(P305="L",H305="Cash",N(J305)&gt;=20000),"Loan of ₹20,000 or more repaid in cash: barred, s.188","OK")))))))))))))))</f>
        <v/>
      </c>
      <c r="P305">
        <f>IF(E305="","",IFERROR(VLOOKUP(E305,Lists!$A$2:$B$17,2,FALSE),"?"))</f>
        <v/>
      </c>
      <c r="Q305">
        <f>IF(L305="Cancelled",0,N(J305))</f>
        <v/>
      </c>
      <c r="R305">
        <f>IF(H305="Cash",Q305,0)</f>
        <v/>
      </c>
      <c r="S305">
        <f>IF(OR(P305&lt;&gt;"E",R305=0),0,SUMIFS($R$18:$R$317,$B$18:$B$317,B305,$D$18:$D$317,D305,$P$18:$P$317,"E"))</f>
        <v/>
      </c>
      <c r="T305">
        <f>IF(OR(P305&lt;&gt;"F",R305=0),0,SUMIFS($R$18:$R$317,$B$18:$B$317,B305,$D$18:$D$317,D305,$P$18:$P$317,"F"))</f>
        <v/>
      </c>
      <c r="U305">
        <f>IF(OR(P305&lt;&gt;"A",R305=0),0,SUMIFS($R$18:$R$317,$B$18:$B$317,B305,$D$18:$D$317,D305,$P$18:$P$317,"A"))</f>
        <v/>
      </c>
      <c r="V305">
        <f>IF(OR(N305="",N305="OK",L305="Cancelled"),0,1)</f>
        <v/>
      </c>
    </row>
    <row r="306">
      <c r="B306" s="22" t="n"/>
      <c r="C306" s="23">
        <f>IF(B306="","",$E$9&amp;TEXT(N($E$10)+288,"000"))</f>
        <v/>
      </c>
      <c r="D306" s="14" t="n"/>
      <c r="E306" s="14" t="n"/>
      <c r="F306" s="14" t="n"/>
      <c r="G306" s="24" t="n"/>
      <c r="H306" s="14" t="n"/>
      <c r="I306" s="24" t="n"/>
      <c r="J306" s="25" t="n"/>
      <c r="K306" s="14" t="n"/>
      <c r="L306" s="24" t="n"/>
      <c r="M306" s="26">
        <f>IF(OR(N(J306)=0,L306="Cancelled"),"",IF(AND(N(J306)&gt;5000,H306="Cash"),"Yes: ₹1","No"))</f>
        <v/>
      </c>
      <c r="N306" s="27">
        <f>IF(AND(B306="",D306="",N(J306)=0),"",IF(B306="","Enter the date",IF(AND(ROW()&gt;18,B305=""),"Use the next empty row: a skipped row leaves a gap in the voucher numbers",IF(D306="","Enter who was paid",IF(N(J306)=0,"Enter the amount",IF(E306="","Pick the head of account",IF(P306="?","Pick the head from the list",IF(H306="","Pick how it was paid",IF(L306="Cancelled","Cancelled: keep this number unused and write a fresh voucher",IF(AND(H306&lt;&gt;"Cash",I306=""),"Enter the cheque no., UTR or UPI reference",IF(AND(N($E$11)&gt;0,N(J306)&gt;N($E$11),K306=""),"Above your approval limit: get it approved before paying",IF(S306&gt;10000,"Cash paid to this person today is over ₹10,000: not deductible, s.36(4)",IF(T306&gt;35000,"Cash freight to this transporter today is over ₹35,000: not deductible, s.36(6)",IF(U306&gt;10000,"Asset paid in cash over ₹10,000 today: left out of its cost, s.39(2)",IF(AND(P306="L",H306="Cash",N(J306)&gt;=20000),"Loan of ₹20,000 or more repaid in cash: barred, s.188","OK")))))))))))))))</f>
        <v/>
      </c>
      <c r="P306">
        <f>IF(E306="","",IFERROR(VLOOKUP(E306,Lists!$A$2:$B$17,2,FALSE),"?"))</f>
        <v/>
      </c>
      <c r="Q306">
        <f>IF(L306="Cancelled",0,N(J306))</f>
        <v/>
      </c>
      <c r="R306">
        <f>IF(H306="Cash",Q306,0)</f>
        <v/>
      </c>
      <c r="S306">
        <f>IF(OR(P306&lt;&gt;"E",R306=0),0,SUMIFS($R$18:$R$317,$B$18:$B$317,B306,$D$18:$D$317,D306,$P$18:$P$317,"E"))</f>
        <v/>
      </c>
      <c r="T306">
        <f>IF(OR(P306&lt;&gt;"F",R306=0),0,SUMIFS($R$18:$R$317,$B$18:$B$317,B306,$D$18:$D$317,D306,$P$18:$P$317,"F"))</f>
        <v/>
      </c>
      <c r="U306">
        <f>IF(OR(P306&lt;&gt;"A",R306=0),0,SUMIFS($R$18:$R$317,$B$18:$B$317,B306,$D$18:$D$317,D306,$P$18:$P$317,"A"))</f>
        <v/>
      </c>
      <c r="V306">
        <f>IF(OR(N306="",N306="OK",L306="Cancelled"),0,1)</f>
        <v/>
      </c>
    </row>
    <row r="307">
      <c r="B307" s="22" t="n"/>
      <c r="C307" s="23">
        <f>IF(B307="","",$E$9&amp;TEXT(N($E$10)+289,"000"))</f>
        <v/>
      </c>
      <c r="D307" s="14" t="n"/>
      <c r="E307" s="14" t="n"/>
      <c r="F307" s="14" t="n"/>
      <c r="G307" s="24" t="n"/>
      <c r="H307" s="14" t="n"/>
      <c r="I307" s="24" t="n"/>
      <c r="J307" s="25" t="n"/>
      <c r="K307" s="14" t="n"/>
      <c r="L307" s="24" t="n"/>
      <c r="M307" s="26">
        <f>IF(OR(N(J307)=0,L307="Cancelled"),"",IF(AND(N(J307)&gt;5000,H307="Cash"),"Yes: ₹1","No"))</f>
        <v/>
      </c>
      <c r="N307" s="27">
        <f>IF(AND(B307="",D307="",N(J307)=0),"",IF(B307="","Enter the date",IF(AND(ROW()&gt;18,B306=""),"Use the next empty row: a skipped row leaves a gap in the voucher numbers",IF(D307="","Enter who was paid",IF(N(J307)=0,"Enter the amount",IF(E307="","Pick the head of account",IF(P307="?","Pick the head from the list",IF(H307="","Pick how it was paid",IF(L307="Cancelled","Cancelled: keep this number unused and write a fresh voucher",IF(AND(H307&lt;&gt;"Cash",I307=""),"Enter the cheque no., UTR or UPI reference",IF(AND(N($E$11)&gt;0,N(J307)&gt;N($E$11),K307=""),"Above your approval limit: get it approved before paying",IF(S307&gt;10000,"Cash paid to this person today is over ₹10,000: not deductible, s.36(4)",IF(T307&gt;35000,"Cash freight to this transporter today is over ₹35,000: not deductible, s.36(6)",IF(U307&gt;10000,"Asset paid in cash over ₹10,000 today: left out of its cost, s.39(2)",IF(AND(P307="L",H307="Cash",N(J307)&gt;=20000),"Loan of ₹20,000 or more repaid in cash: barred, s.188","OK")))))))))))))))</f>
        <v/>
      </c>
      <c r="P307">
        <f>IF(E307="","",IFERROR(VLOOKUP(E307,Lists!$A$2:$B$17,2,FALSE),"?"))</f>
        <v/>
      </c>
      <c r="Q307">
        <f>IF(L307="Cancelled",0,N(J307))</f>
        <v/>
      </c>
      <c r="R307">
        <f>IF(H307="Cash",Q307,0)</f>
        <v/>
      </c>
      <c r="S307">
        <f>IF(OR(P307&lt;&gt;"E",R307=0),0,SUMIFS($R$18:$R$317,$B$18:$B$317,B307,$D$18:$D$317,D307,$P$18:$P$317,"E"))</f>
        <v/>
      </c>
      <c r="T307">
        <f>IF(OR(P307&lt;&gt;"F",R307=0),0,SUMIFS($R$18:$R$317,$B$18:$B$317,B307,$D$18:$D$317,D307,$P$18:$P$317,"F"))</f>
        <v/>
      </c>
      <c r="U307">
        <f>IF(OR(P307&lt;&gt;"A",R307=0),0,SUMIFS($R$18:$R$317,$B$18:$B$317,B307,$D$18:$D$317,D307,$P$18:$P$317,"A"))</f>
        <v/>
      </c>
      <c r="V307">
        <f>IF(OR(N307="",N307="OK",L307="Cancelled"),0,1)</f>
        <v/>
      </c>
    </row>
    <row r="308">
      <c r="B308" s="22" t="n"/>
      <c r="C308" s="23">
        <f>IF(B308="","",$E$9&amp;TEXT(N($E$10)+290,"000"))</f>
        <v/>
      </c>
      <c r="D308" s="14" t="n"/>
      <c r="E308" s="14" t="n"/>
      <c r="F308" s="14" t="n"/>
      <c r="G308" s="24" t="n"/>
      <c r="H308" s="14" t="n"/>
      <c r="I308" s="24" t="n"/>
      <c r="J308" s="25" t="n"/>
      <c r="K308" s="14" t="n"/>
      <c r="L308" s="24" t="n"/>
      <c r="M308" s="26">
        <f>IF(OR(N(J308)=0,L308="Cancelled"),"",IF(AND(N(J308)&gt;5000,H308="Cash"),"Yes: ₹1","No"))</f>
        <v/>
      </c>
      <c r="N308" s="27">
        <f>IF(AND(B308="",D308="",N(J308)=0),"",IF(B308="","Enter the date",IF(AND(ROW()&gt;18,B307=""),"Use the next empty row: a skipped row leaves a gap in the voucher numbers",IF(D308="","Enter who was paid",IF(N(J308)=0,"Enter the amount",IF(E308="","Pick the head of account",IF(P308="?","Pick the head from the list",IF(H308="","Pick how it was paid",IF(L308="Cancelled","Cancelled: keep this number unused and write a fresh voucher",IF(AND(H308&lt;&gt;"Cash",I308=""),"Enter the cheque no., UTR or UPI reference",IF(AND(N($E$11)&gt;0,N(J308)&gt;N($E$11),K308=""),"Above your approval limit: get it approved before paying",IF(S308&gt;10000,"Cash paid to this person today is over ₹10,000: not deductible, s.36(4)",IF(T308&gt;35000,"Cash freight to this transporter today is over ₹35,000: not deductible, s.36(6)",IF(U308&gt;10000,"Asset paid in cash over ₹10,000 today: left out of its cost, s.39(2)",IF(AND(P308="L",H308="Cash",N(J308)&gt;=20000),"Loan of ₹20,000 or more repaid in cash: barred, s.188","OK")))))))))))))))</f>
        <v/>
      </c>
      <c r="P308">
        <f>IF(E308="","",IFERROR(VLOOKUP(E308,Lists!$A$2:$B$17,2,FALSE),"?"))</f>
        <v/>
      </c>
      <c r="Q308">
        <f>IF(L308="Cancelled",0,N(J308))</f>
        <v/>
      </c>
      <c r="R308">
        <f>IF(H308="Cash",Q308,0)</f>
        <v/>
      </c>
      <c r="S308">
        <f>IF(OR(P308&lt;&gt;"E",R308=0),0,SUMIFS($R$18:$R$317,$B$18:$B$317,B308,$D$18:$D$317,D308,$P$18:$P$317,"E"))</f>
        <v/>
      </c>
      <c r="T308">
        <f>IF(OR(P308&lt;&gt;"F",R308=0),0,SUMIFS($R$18:$R$317,$B$18:$B$317,B308,$D$18:$D$317,D308,$P$18:$P$317,"F"))</f>
        <v/>
      </c>
      <c r="U308">
        <f>IF(OR(P308&lt;&gt;"A",R308=0),0,SUMIFS($R$18:$R$317,$B$18:$B$317,B308,$D$18:$D$317,D308,$P$18:$P$317,"A"))</f>
        <v/>
      </c>
      <c r="V308">
        <f>IF(OR(N308="",N308="OK",L308="Cancelled"),0,1)</f>
        <v/>
      </c>
    </row>
    <row r="309">
      <c r="B309" s="22" t="n"/>
      <c r="C309" s="23">
        <f>IF(B309="","",$E$9&amp;TEXT(N($E$10)+291,"000"))</f>
        <v/>
      </c>
      <c r="D309" s="14" t="n"/>
      <c r="E309" s="14" t="n"/>
      <c r="F309" s="14" t="n"/>
      <c r="G309" s="24" t="n"/>
      <c r="H309" s="14" t="n"/>
      <c r="I309" s="24" t="n"/>
      <c r="J309" s="25" t="n"/>
      <c r="K309" s="14" t="n"/>
      <c r="L309" s="24" t="n"/>
      <c r="M309" s="26">
        <f>IF(OR(N(J309)=0,L309="Cancelled"),"",IF(AND(N(J309)&gt;5000,H309="Cash"),"Yes: ₹1","No"))</f>
        <v/>
      </c>
      <c r="N309" s="27">
        <f>IF(AND(B309="",D309="",N(J309)=0),"",IF(B309="","Enter the date",IF(AND(ROW()&gt;18,B308=""),"Use the next empty row: a skipped row leaves a gap in the voucher numbers",IF(D309="","Enter who was paid",IF(N(J309)=0,"Enter the amount",IF(E309="","Pick the head of account",IF(P309="?","Pick the head from the list",IF(H309="","Pick how it was paid",IF(L309="Cancelled","Cancelled: keep this number unused and write a fresh voucher",IF(AND(H309&lt;&gt;"Cash",I309=""),"Enter the cheque no., UTR or UPI reference",IF(AND(N($E$11)&gt;0,N(J309)&gt;N($E$11),K309=""),"Above your approval limit: get it approved before paying",IF(S309&gt;10000,"Cash paid to this person today is over ₹10,000: not deductible, s.36(4)",IF(T309&gt;35000,"Cash freight to this transporter today is over ₹35,000: not deductible, s.36(6)",IF(U309&gt;10000,"Asset paid in cash over ₹10,000 today: left out of its cost, s.39(2)",IF(AND(P309="L",H309="Cash",N(J309)&gt;=20000),"Loan of ₹20,000 or more repaid in cash: barred, s.188","OK")))))))))))))))</f>
        <v/>
      </c>
      <c r="P309">
        <f>IF(E309="","",IFERROR(VLOOKUP(E309,Lists!$A$2:$B$17,2,FALSE),"?"))</f>
        <v/>
      </c>
      <c r="Q309">
        <f>IF(L309="Cancelled",0,N(J309))</f>
        <v/>
      </c>
      <c r="R309">
        <f>IF(H309="Cash",Q309,0)</f>
        <v/>
      </c>
      <c r="S309">
        <f>IF(OR(P309&lt;&gt;"E",R309=0),0,SUMIFS($R$18:$R$317,$B$18:$B$317,B309,$D$18:$D$317,D309,$P$18:$P$317,"E"))</f>
        <v/>
      </c>
      <c r="T309">
        <f>IF(OR(P309&lt;&gt;"F",R309=0),0,SUMIFS($R$18:$R$317,$B$18:$B$317,B309,$D$18:$D$317,D309,$P$18:$P$317,"F"))</f>
        <v/>
      </c>
      <c r="U309">
        <f>IF(OR(P309&lt;&gt;"A",R309=0),0,SUMIFS($R$18:$R$317,$B$18:$B$317,B309,$D$18:$D$317,D309,$P$18:$P$317,"A"))</f>
        <v/>
      </c>
      <c r="V309">
        <f>IF(OR(N309="",N309="OK",L309="Cancelled"),0,1)</f>
        <v/>
      </c>
    </row>
    <row r="310">
      <c r="B310" s="22" t="n"/>
      <c r="C310" s="23">
        <f>IF(B310="","",$E$9&amp;TEXT(N($E$10)+292,"000"))</f>
        <v/>
      </c>
      <c r="D310" s="14" t="n"/>
      <c r="E310" s="14" t="n"/>
      <c r="F310" s="14" t="n"/>
      <c r="G310" s="24" t="n"/>
      <c r="H310" s="14" t="n"/>
      <c r="I310" s="24" t="n"/>
      <c r="J310" s="25" t="n"/>
      <c r="K310" s="14" t="n"/>
      <c r="L310" s="24" t="n"/>
      <c r="M310" s="26">
        <f>IF(OR(N(J310)=0,L310="Cancelled"),"",IF(AND(N(J310)&gt;5000,H310="Cash"),"Yes: ₹1","No"))</f>
        <v/>
      </c>
      <c r="N310" s="27">
        <f>IF(AND(B310="",D310="",N(J310)=0),"",IF(B310="","Enter the date",IF(AND(ROW()&gt;18,B309=""),"Use the next empty row: a skipped row leaves a gap in the voucher numbers",IF(D310="","Enter who was paid",IF(N(J310)=0,"Enter the amount",IF(E310="","Pick the head of account",IF(P310="?","Pick the head from the list",IF(H310="","Pick how it was paid",IF(L310="Cancelled","Cancelled: keep this number unused and write a fresh voucher",IF(AND(H310&lt;&gt;"Cash",I310=""),"Enter the cheque no., UTR or UPI reference",IF(AND(N($E$11)&gt;0,N(J310)&gt;N($E$11),K310=""),"Above your approval limit: get it approved before paying",IF(S310&gt;10000,"Cash paid to this person today is over ₹10,000: not deductible, s.36(4)",IF(T310&gt;35000,"Cash freight to this transporter today is over ₹35,000: not deductible, s.36(6)",IF(U310&gt;10000,"Asset paid in cash over ₹10,000 today: left out of its cost, s.39(2)",IF(AND(P310="L",H310="Cash",N(J310)&gt;=20000),"Loan of ₹20,000 or more repaid in cash: barred, s.188","OK")))))))))))))))</f>
        <v/>
      </c>
      <c r="P310">
        <f>IF(E310="","",IFERROR(VLOOKUP(E310,Lists!$A$2:$B$17,2,FALSE),"?"))</f>
        <v/>
      </c>
      <c r="Q310">
        <f>IF(L310="Cancelled",0,N(J310))</f>
        <v/>
      </c>
      <c r="R310">
        <f>IF(H310="Cash",Q310,0)</f>
        <v/>
      </c>
      <c r="S310">
        <f>IF(OR(P310&lt;&gt;"E",R310=0),0,SUMIFS($R$18:$R$317,$B$18:$B$317,B310,$D$18:$D$317,D310,$P$18:$P$317,"E"))</f>
        <v/>
      </c>
      <c r="T310">
        <f>IF(OR(P310&lt;&gt;"F",R310=0),0,SUMIFS($R$18:$R$317,$B$18:$B$317,B310,$D$18:$D$317,D310,$P$18:$P$317,"F"))</f>
        <v/>
      </c>
      <c r="U310">
        <f>IF(OR(P310&lt;&gt;"A",R310=0),0,SUMIFS($R$18:$R$317,$B$18:$B$317,B310,$D$18:$D$317,D310,$P$18:$P$317,"A"))</f>
        <v/>
      </c>
      <c r="V310">
        <f>IF(OR(N310="",N310="OK",L310="Cancelled"),0,1)</f>
        <v/>
      </c>
    </row>
    <row r="311">
      <c r="B311" s="22" t="n"/>
      <c r="C311" s="23">
        <f>IF(B311="","",$E$9&amp;TEXT(N($E$10)+293,"000"))</f>
        <v/>
      </c>
      <c r="D311" s="14" t="n"/>
      <c r="E311" s="14" t="n"/>
      <c r="F311" s="14" t="n"/>
      <c r="G311" s="24" t="n"/>
      <c r="H311" s="14" t="n"/>
      <c r="I311" s="24" t="n"/>
      <c r="J311" s="25" t="n"/>
      <c r="K311" s="14" t="n"/>
      <c r="L311" s="24" t="n"/>
      <c r="M311" s="26">
        <f>IF(OR(N(J311)=0,L311="Cancelled"),"",IF(AND(N(J311)&gt;5000,H311="Cash"),"Yes: ₹1","No"))</f>
        <v/>
      </c>
      <c r="N311" s="27">
        <f>IF(AND(B311="",D311="",N(J311)=0),"",IF(B311="","Enter the date",IF(AND(ROW()&gt;18,B310=""),"Use the next empty row: a skipped row leaves a gap in the voucher numbers",IF(D311="","Enter who was paid",IF(N(J311)=0,"Enter the amount",IF(E311="","Pick the head of account",IF(P311="?","Pick the head from the list",IF(H311="","Pick how it was paid",IF(L311="Cancelled","Cancelled: keep this number unused and write a fresh voucher",IF(AND(H311&lt;&gt;"Cash",I311=""),"Enter the cheque no., UTR or UPI reference",IF(AND(N($E$11)&gt;0,N(J311)&gt;N($E$11),K311=""),"Above your approval limit: get it approved before paying",IF(S311&gt;10000,"Cash paid to this person today is over ₹10,000: not deductible, s.36(4)",IF(T311&gt;35000,"Cash freight to this transporter today is over ₹35,000: not deductible, s.36(6)",IF(U311&gt;10000,"Asset paid in cash over ₹10,000 today: left out of its cost, s.39(2)",IF(AND(P311="L",H311="Cash",N(J311)&gt;=20000),"Loan of ₹20,000 or more repaid in cash: barred, s.188","OK")))))))))))))))</f>
        <v/>
      </c>
      <c r="P311">
        <f>IF(E311="","",IFERROR(VLOOKUP(E311,Lists!$A$2:$B$17,2,FALSE),"?"))</f>
        <v/>
      </c>
      <c r="Q311">
        <f>IF(L311="Cancelled",0,N(J311))</f>
        <v/>
      </c>
      <c r="R311">
        <f>IF(H311="Cash",Q311,0)</f>
        <v/>
      </c>
      <c r="S311">
        <f>IF(OR(P311&lt;&gt;"E",R311=0),0,SUMIFS($R$18:$R$317,$B$18:$B$317,B311,$D$18:$D$317,D311,$P$18:$P$317,"E"))</f>
        <v/>
      </c>
      <c r="T311">
        <f>IF(OR(P311&lt;&gt;"F",R311=0),0,SUMIFS($R$18:$R$317,$B$18:$B$317,B311,$D$18:$D$317,D311,$P$18:$P$317,"F"))</f>
        <v/>
      </c>
      <c r="U311">
        <f>IF(OR(P311&lt;&gt;"A",R311=0),0,SUMIFS($R$18:$R$317,$B$18:$B$317,B311,$D$18:$D$317,D311,$P$18:$P$317,"A"))</f>
        <v/>
      </c>
      <c r="V311">
        <f>IF(OR(N311="",N311="OK",L311="Cancelled"),0,1)</f>
        <v/>
      </c>
    </row>
    <row r="312">
      <c r="B312" s="22" t="n"/>
      <c r="C312" s="23">
        <f>IF(B312="","",$E$9&amp;TEXT(N($E$10)+294,"000"))</f>
        <v/>
      </c>
      <c r="D312" s="14" t="n"/>
      <c r="E312" s="14" t="n"/>
      <c r="F312" s="14" t="n"/>
      <c r="G312" s="24" t="n"/>
      <c r="H312" s="14" t="n"/>
      <c r="I312" s="24" t="n"/>
      <c r="J312" s="25" t="n"/>
      <c r="K312" s="14" t="n"/>
      <c r="L312" s="24" t="n"/>
      <c r="M312" s="26">
        <f>IF(OR(N(J312)=0,L312="Cancelled"),"",IF(AND(N(J312)&gt;5000,H312="Cash"),"Yes: ₹1","No"))</f>
        <v/>
      </c>
      <c r="N312" s="27">
        <f>IF(AND(B312="",D312="",N(J312)=0),"",IF(B312="","Enter the date",IF(AND(ROW()&gt;18,B311=""),"Use the next empty row: a skipped row leaves a gap in the voucher numbers",IF(D312="","Enter who was paid",IF(N(J312)=0,"Enter the amount",IF(E312="","Pick the head of account",IF(P312="?","Pick the head from the list",IF(H312="","Pick how it was paid",IF(L312="Cancelled","Cancelled: keep this number unused and write a fresh voucher",IF(AND(H312&lt;&gt;"Cash",I312=""),"Enter the cheque no., UTR or UPI reference",IF(AND(N($E$11)&gt;0,N(J312)&gt;N($E$11),K312=""),"Above your approval limit: get it approved before paying",IF(S312&gt;10000,"Cash paid to this person today is over ₹10,000: not deductible, s.36(4)",IF(T312&gt;35000,"Cash freight to this transporter today is over ₹35,000: not deductible, s.36(6)",IF(U312&gt;10000,"Asset paid in cash over ₹10,000 today: left out of its cost, s.39(2)",IF(AND(P312="L",H312="Cash",N(J312)&gt;=20000),"Loan of ₹20,000 or more repaid in cash: barred, s.188","OK")))))))))))))))</f>
        <v/>
      </c>
      <c r="P312">
        <f>IF(E312="","",IFERROR(VLOOKUP(E312,Lists!$A$2:$B$17,2,FALSE),"?"))</f>
        <v/>
      </c>
      <c r="Q312">
        <f>IF(L312="Cancelled",0,N(J312))</f>
        <v/>
      </c>
      <c r="R312">
        <f>IF(H312="Cash",Q312,0)</f>
        <v/>
      </c>
      <c r="S312">
        <f>IF(OR(P312&lt;&gt;"E",R312=0),0,SUMIFS($R$18:$R$317,$B$18:$B$317,B312,$D$18:$D$317,D312,$P$18:$P$317,"E"))</f>
        <v/>
      </c>
      <c r="T312">
        <f>IF(OR(P312&lt;&gt;"F",R312=0),0,SUMIFS($R$18:$R$317,$B$18:$B$317,B312,$D$18:$D$317,D312,$P$18:$P$317,"F"))</f>
        <v/>
      </c>
      <c r="U312">
        <f>IF(OR(P312&lt;&gt;"A",R312=0),0,SUMIFS($R$18:$R$317,$B$18:$B$317,B312,$D$18:$D$317,D312,$P$18:$P$317,"A"))</f>
        <v/>
      </c>
      <c r="V312">
        <f>IF(OR(N312="",N312="OK",L312="Cancelled"),0,1)</f>
        <v/>
      </c>
    </row>
    <row r="313">
      <c r="B313" s="22" t="n"/>
      <c r="C313" s="23">
        <f>IF(B313="","",$E$9&amp;TEXT(N($E$10)+295,"000"))</f>
        <v/>
      </c>
      <c r="D313" s="14" t="n"/>
      <c r="E313" s="14" t="n"/>
      <c r="F313" s="14" t="n"/>
      <c r="G313" s="24" t="n"/>
      <c r="H313" s="14" t="n"/>
      <c r="I313" s="24" t="n"/>
      <c r="J313" s="25" t="n"/>
      <c r="K313" s="14" t="n"/>
      <c r="L313" s="24" t="n"/>
      <c r="M313" s="26">
        <f>IF(OR(N(J313)=0,L313="Cancelled"),"",IF(AND(N(J313)&gt;5000,H313="Cash"),"Yes: ₹1","No"))</f>
        <v/>
      </c>
      <c r="N313" s="27">
        <f>IF(AND(B313="",D313="",N(J313)=0),"",IF(B313="","Enter the date",IF(AND(ROW()&gt;18,B312=""),"Use the next empty row: a skipped row leaves a gap in the voucher numbers",IF(D313="","Enter who was paid",IF(N(J313)=0,"Enter the amount",IF(E313="","Pick the head of account",IF(P313="?","Pick the head from the list",IF(H313="","Pick how it was paid",IF(L313="Cancelled","Cancelled: keep this number unused and write a fresh voucher",IF(AND(H313&lt;&gt;"Cash",I313=""),"Enter the cheque no., UTR or UPI reference",IF(AND(N($E$11)&gt;0,N(J313)&gt;N($E$11),K313=""),"Above your approval limit: get it approved before paying",IF(S313&gt;10000,"Cash paid to this person today is over ₹10,000: not deductible, s.36(4)",IF(T313&gt;35000,"Cash freight to this transporter today is over ₹35,000: not deductible, s.36(6)",IF(U313&gt;10000,"Asset paid in cash over ₹10,000 today: left out of its cost, s.39(2)",IF(AND(P313="L",H313="Cash",N(J313)&gt;=20000),"Loan of ₹20,000 or more repaid in cash: barred, s.188","OK")))))))))))))))</f>
        <v/>
      </c>
      <c r="P313">
        <f>IF(E313="","",IFERROR(VLOOKUP(E313,Lists!$A$2:$B$17,2,FALSE),"?"))</f>
        <v/>
      </c>
      <c r="Q313">
        <f>IF(L313="Cancelled",0,N(J313))</f>
        <v/>
      </c>
      <c r="R313">
        <f>IF(H313="Cash",Q313,0)</f>
        <v/>
      </c>
      <c r="S313">
        <f>IF(OR(P313&lt;&gt;"E",R313=0),0,SUMIFS($R$18:$R$317,$B$18:$B$317,B313,$D$18:$D$317,D313,$P$18:$P$317,"E"))</f>
        <v/>
      </c>
      <c r="T313">
        <f>IF(OR(P313&lt;&gt;"F",R313=0),0,SUMIFS($R$18:$R$317,$B$18:$B$317,B313,$D$18:$D$317,D313,$P$18:$P$317,"F"))</f>
        <v/>
      </c>
      <c r="U313">
        <f>IF(OR(P313&lt;&gt;"A",R313=0),0,SUMIFS($R$18:$R$317,$B$18:$B$317,B313,$D$18:$D$317,D313,$P$18:$P$317,"A"))</f>
        <v/>
      </c>
      <c r="V313">
        <f>IF(OR(N313="",N313="OK",L313="Cancelled"),0,1)</f>
        <v/>
      </c>
    </row>
    <row r="314">
      <c r="B314" s="22" t="n"/>
      <c r="C314" s="23">
        <f>IF(B314="","",$E$9&amp;TEXT(N($E$10)+296,"000"))</f>
        <v/>
      </c>
      <c r="D314" s="14" t="n"/>
      <c r="E314" s="14" t="n"/>
      <c r="F314" s="14" t="n"/>
      <c r="G314" s="24" t="n"/>
      <c r="H314" s="14" t="n"/>
      <c r="I314" s="24" t="n"/>
      <c r="J314" s="25" t="n"/>
      <c r="K314" s="14" t="n"/>
      <c r="L314" s="24" t="n"/>
      <c r="M314" s="26">
        <f>IF(OR(N(J314)=0,L314="Cancelled"),"",IF(AND(N(J314)&gt;5000,H314="Cash"),"Yes: ₹1","No"))</f>
        <v/>
      </c>
      <c r="N314" s="27">
        <f>IF(AND(B314="",D314="",N(J314)=0),"",IF(B314="","Enter the date",IF(AND(ROW()&gt;18,B313=""),"Use the next empty row: a skipped row leaves a gap in the voucher numbers",IF(D314="","Enter who was paid",IF(N(J314)=0,"Enter the amount",IF(E314="","Pick the head of account",IF(P314="?","Pick the head from the list",IF(H314="","Pick how it was paid",IF(L314="Cancelled","Cancelled: keep this number unused and write a fresh voucher",IF(AND(H314&lt;&gt;"Cash",I314=""),"Enter the cheque no., UTR or UPI reference",IF(AND(N($E$11)&gt;0,N(J314)&gt;N($E$11),K314=""),"Above your approval limit: get it approved before paying",IF(S314&gt;10000,"Cash paid to this person today is over ₹10,000: not deductible, s.36(4)",IF(T314&gt;35000,"Cash freight to this transporter today is over ₹35,000: not deductible, s.36(6)",IF(U314&gt;10000,"Asset paid in cash over ₹10,000 today: left out of its cost, s.39(2)",IF(AND(P314="L",H314="Cash",N(J314)&gt;=20000),"Loan of ₹20,000 or more repaid in cash: barred, s.188","OK")))))))))))))))</f>
        <v/>
      </c>
      <c r="P314">
        <f>IF(E314="","",IFERROR(VLOOKUP(E314,Lists!$A$2:$B$17,2,FALSE),"?"))</f>
        <v/>
      </c>
      <c r="Q314">
        <f>IF(L314="Cancelled",0,N(J314))</f>
        <v/>
      </c>
      <c r="R314">
        <f>IF(H314="Cash",Q314,0)</f>
        <v/>
      </c>
      <c r="S314">
        <f>IF(OR(P314&lt;&gt;"E",R314=0),0,SUMIFS($R$18:$R$317,$B$18:$B$317,B314,$D$18:$D$317,D314,$P$18:$P$317,"E"))</f>
        <v/>
      </c>
      <c r="T314">
        <f>IF(OR(P314&lt;&gt;"F",R314=0),0,SUMIFS($R$18:$R$317,$B$18:$B$317,B314,$D$18:$D$317,D314,$P$18:$P$317,"F"))</f>
        <v/>
      </c>
      <c r="U314">
        <f>IF(OR(P314&lt;&gt;"A",R314=0),0,SUMIFS($R$18:$R$317,$B$18:$B$317,B314,$D$18:$D$317,D314,$P$18:$P$317,"A"))</f>
        <v/>
      </c>
      <c r="V314">
        <f>IF(OR(N314="",N314="OK",L314="Cancelled"),0,1)</f>
        <v/>
      </c>
    </row>
    <row r="315">
      <c r="B315" s="22" t="n"/>
      <c r="C315" s="23">
        <f>IF(B315="","",$E$9&amp;TEXT(N($E$10)+297,"000"))</f>
        <v/>
      </c>
      <c r="D315" s="14" t="n"/>
      <c r="E315" s="14" t="n"/>
      <c r="F315" s="14" t="n"/>
      <c r="G315" s="24" t="n"/>
      <c r="H315" s="14" t="n"/>
      <c r="I315" s="24" t="n"/>
      <c r="J315" s="25" t="n"/>
      <c r="K315" s="14" t="n"/>
      <c r="L315" s="24" t="n"/>
      <c r="M315" s="26">
        <f>IF(OR(N(J315)=0,L315="Cancelled"),"",IF(AND(N(J315)&gt;5000,H315="Cash"),"Yes: ₹1","No"))</f>
        <v/>
      </c>
      <c r="N315" s="27">
        <f>IF(AND(B315="",D315="",N(J315)=0),"",IF(B315="","Enter the date",IF(AND(ROW()&gt;18,B314=""),"Use the next empty row: a skipped row leaves a gap in the voucher numbers",IF(D315="","Enter who was paid",IF(N(J315)=0,"Enter the amount",IF(E315="","Pick the head of account",IF(P315="?","Pick the head from the list",IF(H315="","Pick how it was paid",IF(L315="Cancelled","Cancelled: keep this number unused and write a fresh voucher",IF(AND(H315&lt;&gt;"Cash",I315=""),"Enter the cheque no., UTR or UPI reference",IF(AND(N($E$11)&gt;0,N(J315)&gt;N($E$11),K315=""),"Above your approval limit: get it approved before paying",IF(S315&gt;10000,"Cash paid to this person today is over ₹10,000: not deductible, s.36(4)",IF(T315&gt;35000,"Cash freight to this transporter today is over ₹35,000: not deductible, s.36(6)",IF(U315&gt;10000,"Asset paid in cash over ₹10,000 today: left out of its cost, s.39(2)",IF(AND(P315="L",H315="Cash",N(J315)&gt;=20000),"Loan of ₹20,000 or more repaid in cash: barred, s.188","OK")))))))))))))))</f>
        <v/>
      </c>
      <c r="P315">
        <f>IF(E315="","",IFERROR(VLOOKUP(E315,Lists!$A$2:$B$17,2,FALSE),"?"))</f>
        <v/>
      </c>
      <c r="Q315">
        <f>IF(L315="Cancelled",0,N(J315))</f>
        <v/>
      </c>
      <c r="R315">
        <f>IF(H315="Cash",Q315,0)</f>
        <v/>
      </c>
      <c r="S315">
        <f>IF(OR(P315&lt;&gt;"E",R315=0),0,SUMIFS($R$18:$R$317,$B$18:$B$317,B315,$D$18:$D$317,D315,$P$18:$P$317,"E"))</f>
        <v/>
      </c>
      <c r="T315">
        <f>IF(OR(P315&lt;&gt;"F",R315=0),0,SUMIFS($R$18:$R$317,$B$18:$B$317,B315,$D$18:$D$317,D315,$P$18:$P$317,"F"))</f>
        <v/>
      </c>
      <c r="U315">
        <f>IF(OR(P315&lt;&gt;"A",R315=0),0,SUMIFS($R$18:$R$317,$B$18:$B$317,B315,$D$18:$D$317,D315,$P$18:$P$317,"A"))</f>
        <v/>
      </c>
      <c r="V315">
        <f>IF(OR(N315="",N315="OK",L315="Cancelled"),0,1)</f>
        <v/>
      </c>
    </row>
    <row r="316">
      <c r="B316" s="22" t="n"/>
      <c r="C316" s="23">
        <f>IF(B316="","",$E$9&amp;TEXT(N($E$10)+298,"000"))</f>
        <v/>
      </c>
      <c r="D316" s="14" t="n"/>
      <c r="E316" s="14" t="n"/>
      <c r="F316" s="14" t="n"/>
      <c r="G316" s="24" t="n"/>
      <c r="H316" s="14" t="n"/>
      <c r="I316" s="24" t="n"/>
      <c r="J316" s="25" t="n"/>
      <c r="K316" s="14" t="n"/>
      <c r="L316" s="24" t="n"/>
      <c r="M316" s="26">
        <f>IF(OR(N(J316)=0,L316="Cancelled"),"",IF(AND(N(J316)&gt;5000,H316="Cash"),"Yes: ₹1","No"))</f>
        <v/>
      </c>
      <c r="N316" s="27">
        <f>IF(AND(B316="",D316="",N(J316)=0),"",IF(B316="","Enter the date",IF(AND(ROW()&gt;18,B315=""),"Use the next empty row: a skipped row leaves a gap in the voucher numbers",IF(D316="","Enter who was paid",IF(N(J316)=0,"Enter the amount",IF(E316="","Pick the head of account",IF(P316="?","Pick the head from the list",IF(H316="","Pick how it was paid",IF(L316="Cancelled","Cancelled: keep this number unused and write a fresh voucher",IF(AND(H316&lt;&gt;"Cash",I316=""),"Enter the cheque no., UTR or UPI reference",IF(AND(N($E$11)&gt;0,N(J316)&gt;N($E$11),K316=""),"Above your approval limit: get it approved before paying",IF(S316&gt;10000,"Cash paid to this person today is over ₹10,000: not deductible, s.36(4)",IF(T316&gt;35000,"Cash freight to this transporter today is over ₹35,000: not deductible, s.36(6)",IF(U316&gt;10000,"Asset paid in cash over ₹10,000 today: left out of its cost, s.39(2)",IF(AND(P316="L",H316="Cash",N(J316)&gt;=20000),"Loan of ₹20,000 or more repaid in cash: barred, s.188","OK")))))))))))))))</f>
        <v/>
      </c>
      <c r="P316">
        <f>IF(E316="","",IFERROR(VLOOKUP(E316,Lists!$A$2:$B$17,2,FALSE),"?"))</f>
        <v/>
      </c>
      <c r="Q316">
        <f>IF(L316="Cancelled",0,N(J316))</f>
        <v/>
      </c>
      <c r="R316">
        <f>IF(H316="Cash",Q316,0)</f>
        <v/>
      </c>
      <c r="S316">
        <f>IF(OR(P316&lt;&gt;"E",R316=0),0,SUMIFS($R$18:$R$317,$B$18:$B$317,B316,$D$18:$D$317,D316,$P$18:$P$317,"E"))</f>
        <v/>
      </c>
      <c r="T316">
        <f>IF(OR(P316&lt;&gt;"F",R316=0),0,SUMIFS($R$18:$R$317,$B$18:$B$317,B316,$D$18:$D$317,D316,$P$18:$P$317,"F"))</f>
        <v/>
      </c>
      <c r="U316">
        <f>IF(OR(P316&lt;&gt;"A",R316=0),0,SUMIFS($R$18:$R$317,$B$18:$B$317,B316,$D$18:$D$317,D316,$P$18:$P$317,"A"))</f>
        <v/>
      </c>
      <c r="V316">
        <f>IF(OR(N316="",N316="OK",L316="Cancelled"),0,1)</f>
        <v/>
      </c>
    </row>
    <row r="317">
      <c r="B317" s="22" t="n"/>
      <c r="C317" s="23">
        <f>IF(B317="","",$E$9&amp;TEXT(N($E$10)+299,"000"))</f>
        <v/>
      </c>
      <c r="D317" s="14" t="n"/>
      <c r="E317" s="14" t="n"/>
      <c r="F317" s="14" t="n"/>
      <c r="G317" s="24" t="n"/>
      <c r="H317" s="14" t="n"/>
      <c r="I317" s="24" t="n"/>
      <c r="J317" s="25" t="n"/>
      <c r="K317" s="14" t="n"/>
      <c r="L317" s="24" t="n"/>
      <c r="M317" s="26">
        <f>IF(OR(N(J317)=0,L317="Cancelled"),"",IF(AND(N(J317)&gt;5000,H317="Cash"),"Yes: ₹1","No"))</f>
        <v/>
      </c>
      <c r="N317" s="27">
        <f>IF(AND(B317="",D317="",N(J317)=0),"",IF(B317="","Enter the date",IF(AND(ROW()&gt;18,B316=""),"Use the next empty row: a skipped row leaves a gap in the voucher numbers",IF(D317="","Enter who was paid",IF(N(J317)=0,"Enter the amount",IF(E317="","Pick the head of account",IF(P317="?","Pick the head from the list",IF(H317="","Pick how it was paid",IF(L317="Cancelled","Cancelled: keep this number unused and write a fresh voucher",IF(AND(H317&lt;&gt;"Cash",I317=""),"Enter the cheque no., UTR or UPI reference",IF(AND(N($E$11)&gt;0,N(J317)&gt;N($E$11),K317=""),"Above your approval limit: get it approved before paying",IF(S317&gt;10000,"Cash paid to this person today is over ₹10,000: not deductible, s.36(4)",IF(T317&gt;35000,"Cash freight to this transporter today is over ₹35,000: not deductible, s.36(6)",IF(U317&gt;10000,"Asset paid in cash over ₹10,000 today: left out of its cost, s.39(2)",IF(AND(P317="L",H317="Cash",N(J317)&gt;=20000),"Loan of ₹20,000 or more repaid in cash: barred, s.188","OK")))))))))))))))</f>
        <v/>
      </c>
      <c r="P317">
        <f>IF(E317="","",IFERROR(VLOOKUP(E317,Lists!$A$2:$B$17,2,FALSE),"?"))</f>
        <v/>
      </c>
      <c r="Q317">
        <f>IF(L317="Cancelled",0,N(J317))</f>
        <v/>
      </c>
      <c r="R317">
        <f>IF(H317="Cash",Q317,0)</f>
        <v/>
      </c>
      <c r="S317">
        <f>IF(OR(P317&lt;&gt;"E",R317=0),0,SUMIFS($R$18:$R$317,$B$18:$B$317,B317,$D$18:$D$317,D317,$P$18:$P$317,"E"))</f>
        <v/>
      </c>
      <c r="T317">
        <f>IF(OR(P317&lt;&gt;"F",R317=0),0,SUMIFS($R$18:$R$317,$B$18:$B$317,B317,$D$18:$D$317,D317,$P$18:$P$317,"F"))</f>
        <v/>
      </c>
      <c r="U317">
        <f>IF(OR(P317&lt;&gt;"A",R317=0),0,SUMIFS($R$18:$R$317,$B$18:$B$317,B317,$D$18:$D$317,D317,$P$18:$P$317,"A"))</f>
        <v/>
      </c>
      <c r="V317">
        <f>IF(OR(N317="",N317="OK",L317="Cancelled"),0,1)</f>
        <v/>
      </c>
    </row>
    <row r="318" ht="18" customHeight="1">
      <c r="B318" s="28" t="inlineStr">
        <is>
          <t>Total</t>
        </is>
      </c>
      <c r="C318" s="29" t="n"/>
      <c r="D318" s="29" t="n"/>
      <c r="E318" s="29" t="n"/>
      <c r="F318" s="29" t="n"/>
      <c r="G318" s="29" t="n"/>
      <c r="H318" s="29" t="n"/>
      <c r="I318" s="29" t="n"/>
      <c r="J318" s="30">
        <f>SUM($Q$18:$Q$317)</f>
        <v/>
      </c>
      <c r="K318" s="29" t="n"/>
      <c r="L318" s="29" t="n"/>
      <c r="M318" s="29" t="n"/>
      <c r="N318" s="29" t="n"/>
    </row>
    <row r="319" ht="16" customHeight="1">
      <c r="B319" s="11" t="inlineStr">
        <is>
          <t>The total leaves out cancelled vouchers.</t>
        </is>
      </c>
    </row>
    <row r="320"/>
    <row r="321" ht="16" customHeight="1">
      <c r="B321" s="8" t="inlineStr">
        <is>
          <t>General guidance, not legal or tax advice. Cash limits are from the Income-tax Act, 2025; the stamp from the Indian Stamp Act, 1899; the GST payment voucher from the CGST Act, 2017. The Voucher Rules sheet sets out each one.</t>
        </is>
      </c>
      <c r="C321" s="9" t="n"/>
      <c r="D321" s="9" t="n"/>
      <c r="E321" s="9" t="n"/>
      <c r="F321" s="9" t="n"/>
      <c r="G321" s="9" t="n"/>
      <c r="H321" s="9" t="n"/>
      <c r="I321" s="9" t="n"/>
      <c r="J321" s="9" t="n"/>
      <c r="K321" s="9" t="n"/>
      <c r="L321" s="9" t="n"/>
      <c r="M321" s="9" t="n"/>
      <c r="N321" s="9" t="n"/>
    </row>
    <row r="322"/>
    <row r="323" ht="16" customHeight="1">
      <c r="B323"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1"/>
  <mergeCells count="25">
    <mergeCell ref="B11:D11"/>
    <mergeCell ref="B8:D8"/>
    <mergeCell ref="B319:N319"/>
    <mergeCell ref="E7:H7"/>
    <mergeCell ref="E14:F14"/>
    <mergeCell ref="B15:N15"/>
    <mergeCell ref="B10:D10"/>
    <mergeCell ref="B5:N5"/>
    <mergeCell ref="B9:D9"/>
    <mergeCell ref="B14:C14"/>
    <mergeCell ref="B3:N3"/>
    <mergeCell ref="B6:D6"/>
    <mergeCell ref="B321:N321"/>
    <mergeCell ref="E8:H8"/>
    <mergeCell ref="B12:N12"/>
    <mergeCell ref="B323:N323"/>
    <mergeCell ref="B7:D7"/>
    <mergeCell ref="K14:L14"/>
    <mergeCell ref="B2:N2"/>
    <mergeCell ref="E10:H10"/>
    <mergeCell ref="E9:H9"/>
    <mergeCell ref="E6:H6"/>
    <mergeCell ref="B13:N13"/>
    <mergeCell ref="H14:I14"/>
    <mergeCell ref="E11:H11"/>
  </mergeCells>
  <dataValidations count="7">
    <dataValidation sqref="E11" showDropDown="0" showInputMessage="0" showErrorMessage="1" allowBlank="1" errorTitle="Enter an amount" error="Enter the amount in rupees as a number, with no minus sign." type="decimal" operator="greaterThanOrEqual">
      <formula1>0</formula1>
    </dataValidation>
    <dataValidation sqref="E10" showDropDown="0" showInputMessage="0" showErrorMessage="1" allowBlank="1" errorTitle="Enter a number" error="Enter a whole number, such as 1." type="whole" operator="between">
      <formula1>1</formula1>
      <formula2>99999</formula2>
    </dataValidation>
    <dataValidation sqref="B18:B317" showDropDown="0" showInputMessage="0" showErrorMessage="1" allowBlank="1" errorTitle="Enter a date" error="Enter a date, for example 01-Apr-2026." type="date" operator="between">
      <formula1>DATE(2000,1,1)</formula1>
      <formula2>DATE(2100,12,31)</formula2>
    </dataValidation>
    <dataValidation sqref="J18:J317" showDropDown="0" showInputMessage="0" showErrorMessage="1" allowBlank="1" errorTitle="Enter an amount" error="Enter the amount in rupees as a number, with no minus sign." type="decimal" operator="greaterThanOrEqual">
      <formula1>0</formula1>
    </dataValidation>
    <dataValidation sqref="E18:E317" showDropDown="0" showInputMessage="0" showErrorMessage="1" allowBlank="1" errorTitle="Pick from the list" error="Pick an option from the drop-down list." type="list">
      <formula1>=Lists!$A$2:$A$17</formula1>
    </dataValidation>
    <dataValidation sqref="H18:H317" showDropDown="0" showInputMessage="0" showErrorMessage="1" allowBlank="1" errorTitle="Pick from the list" error="Pick an option from the drop-down list." type="list">
      <formula1>=Lists!$C$2:$C$6</formula1>
    </dataValidation>
    <dataValidation sqref="L18:L317" showDropDown="0" showInputMessage="0" showErrorMessage="1" allowBlank="1" errorTitle="Pick from the list" error="Pick an option from the drop-down list." type="list">
      <formula1>=Lists!$A$20:$A$20</formula1>
    </dataValidation>
  </dataValidations>
  <pageMargins left="0.3" right="0.3" top="0.4" bottom="0.4"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B2:L23"/>
  <sheetViews>
    <sheetView showGridLines="0" workbookViewId="0">
      <selection activeCell="A1" sqref="A1"/>
    </sheetView>
  </sheetViews>
  <sheetFormatPr baseColWidth="8" defaultRowHeight="15"/>
  <cols>
    <col width="2" customWidth="1" min="1" max="1"/>
    <col width="22" customWidth="1" min="2" max="2"/>
    <col width="14" customWidth="1" min="3" max="3"/>
    <col width="14" customWidth="1" min="4" max="4"/>
    <col width="14" customWidth="1" min="5" max="5"/>
    <col width="14" customWidth="1" min="6" max="6"/>
    <col width="14" customWidth="1" min="7" max="7"/>
    <col width="16" customWidth="1" min="8" max="8"/>
    <col width="2" customWidth="1" min="9" max="9"/>
    <col hidden="1" width="12" customWidth="1" min="11" max="11"/>
    <col hidden="1" width="12" customWidth="1" min="12" max="12"/>
    <col width="12" customWidth="1" min="13" max="13"/>
  </cols>
  <sheetData>
    <row r="2">
      <c r="B2" s="1" t="inlineStr">
        <is>
          <t>PRINT A VOUCHER</t>
        </is>
      </c>
      <c r="K2" s="31" t="inlineStr">
        <is>
          <t>row</t>
        </is>
      </c>
      <c r="L2" s="32">
        <f>IF($D$4="","",IFERROR(MATCH($D$4,'Example Register'!$C$18:$C$317,0),""))</f>
        <v/>
      </c>
    </row>
    <row r="3">
      <c r="B3" s="11" t="inlineStr">
        <is>
          <t>Pick the voucher number, then print this sheet. Have the person paid sign it before the money leaves. Rows 2 to 5 do not print.</t>
        </is>
      </c>
      <c r="K3" s="31" t="inlineStr">
        <is>
          <t>date</t>
        </is>
      </c>
      <c r="L3" s="32">
        <f>IF($L$2="","",INDEX('Example Register'!$B$18:$B$317,$L$2))</f>
        <v/>
      </c>
    </row>
    <row r="4">
      <c r="B4" s="12" t="inlineStr">
        <is>
          <t>Voucher number to print</t>
        </is>
      </c>
      <c r="C4" s="13" t="n"/>
      <c r="D4" s="33" t="inlineStr">
        <is>
          <t>CV/26-27/004</t>
        </is>
      </c>
      <c r="E4" s="15" t="n"/>
      <c r="K4" s="31" t="inlineStr">
        <is>
          <t>who</t>
        </is>
      </c>
      <c r="L4" s="32">
        <f>IF($L$2="","",INDEX('Example Register'!$D$18:$D$317,$L$2)&amp;"")</f>
        <v/>
      </c>
    </row>
    <row r="5">
      <c r="K5" s="31" t="inlineStr">
        <is>
          <t>head</t>
        </is>
      </c>
      <c r="L5" s="32">
        <f>IF($L$2="","",INDEX('Example Register'!$E$18:$E$317,$L$2)&amp;"")</f>
        <v/>
      </c>
    </row>
    <row r="6" ht="24" customHeight="1">
      <c r="B6" s="34">
        <f>IF('Example Register'!$E$6="","Name of the business",'Example Register'!$E$6)</f>
        <v/>
      </c>
      <c r="K6" s="31" t="inlineStr">
        <is>
          <t>being</t>
        </is>
      </c>
      <c r="L6" s="32">
        <f>IF($L$2="","",INDEX('Example Register'!$F$18:$F$317,$L$2)&amp;"")</f>
        <v/>
      </c>
    </row>
    <row r="7">
      <c r="B7" s="35">
        <f>TRIM('Example Register'!$E$7&amp;IF('Example Register'!$E$8="",""," | GSTIN: "&amp;'Example Register'!$E$8))</f>
        <v/>
      </c>
      <c r="K7" s="31" t="inlineStr">
        <is>
          <t>bill</t>
        </is>
      </c>
      <c r="L7" s="32">
        <f>IF($L$2="","",INDEX('Example Register'!$G$18:$G$317,$L$2)&amp;"")</f>
        <v/>
      </c>
    </row>
    <row r="8" ht="22" customHeight="1">
      <c r="B8" s="3">
        <f>IF($L$12="Cancelled","  CANCELLED",IF(OR($L$8="",$L$8="Cash"),"  CASH VOUCHER","  BANK PAYMENT VOUCHER"))</f>
        <v/>
      </c>
      <c r="C8" s="4" t="n"/>
      <c r="D8" s="4" t="n"/>
      <c r="E8" s="4" t="n"/>
      <c r="F8" s="4" t="n"/>
      <c r="G8" s="36" t="inlineStr">
        <is>
          <t>Debit voucher</t>
        </is>
      </c>
      <c r="H8" s="4" t="n"/>
      <c r="K8" s="31" t="inlineStr">
        <is>
          <t>mode</t>
        </is>
      </c>
      <c r="L8" s="32">
        <f>IF($L$2="","",INDEX('Example Register'!$H$18:$H$317,$L$2)&amp;"")</f>
        <v/>
      </c>
    </row>
    <row r="9" ht="20" customHeight="1">
      <c r="B9" s="12" t="inlineStr">
        <is>
          <t>Voucher no.</t>
        </is>
      </c>
      <c r="C9" s="37">
        <f>$D$4</f>
        <v/>
      </c>
      <c r="D9" s="7" t="n"/>
      <c r="F9" s="12" t="inlineStr">
        <is>
          <t>Date</t>
        </is>
      </c>
      <c r="G9" s="38">
        <f>IF($L$3="","",$L$3)</f>
        <v/>
      </c>
      <c r="H9" s="7" t="n"/>
      <c r="K9" s="31" t="inlineStr">
        <is>
          <t>ref</t>
        </is>
      </c>
      <c r="L9" s="32">
        <f>IF($L$2="","",INDEX('Example Register'!$I$18:$I$317,$L$2)&amp;"")</f>
        <v/>
      </c>
    </row>
    <row r="10" ht="30" customHeight="1">
      <c r="B10" s="12" t="inlineStr">
        <is>
          <t>Paid to</t>
        </is>
      </c>
      <c r="C10" s="39">
        <f>$L$4</f>
        <v/>
      </c>
      <c r="D10" s="7" t="n"/>
      <c r="E10" s="7" t="n"/>
      <c r="F10" s="7" t="n"/>
      <c r="G10" s="7" t="n"/>
      <c r="H10" s="7" t="n"/>
      <c r="K10" s="31" t="inlineStr">
        <is>
          <t>amt</t>
        </is>
      </c>
      <c r="L10" s="32">
        <f>IF($L$2="","",INDEX('Example Register'!$J$18:$J$317,$L$2))</f>
        <v/>
      </c>
    </row>
    <row r="11" ht="30" customHeight="1">
      <c r="B11" s="12" t="inlineStr">
        <is>
          <t>Debit (head of account)</t>
        </is>
      </c>
      <c r="C11" s="39">
        <f>$L$5</f>
        <v/>
      </c>
      <c r="D11" s="7" t="n"/>
      <c r="E11" s="7" t="n"/>
      <c r="F11" s="7" t="n"/>
      <c r="G11" s="7" t="n"/>
      <c r="H11" s="7" t="n"/>
      <c r="K11" s="31" t="inlineStr">
        <is>
          <t>appr</t>
        </is>
      </c>
      <c r="L11" s="32">
        <f>IF($L$2="","",INDEX('Example Register'!$K$18:$K$317,$L$2)&amp;"")</f>
        <v/>
      </c>
    </row>
    <row r="12" ht="30" customHeight="1">
      <c r="B12" s="12" t="inlineStr">
        <is>
          <t>Being</t>
        </is>
      </c>
      <c r="C12" s="39">
        <f>IF($L$6="","",$L$6&amp;IF($L$7="",""," (bill no. "&amp;$L$7&amp;")"))</f>
        <v/>
      </c>
      <c r="D12" s="7" t="n"/>
      <c r="E12" s="7" t="n"/>
      <c r="F12" s="7" t="n"/>
      <c r="G12" s="7" t="n"/>
      <c r="H12" s="7" t="n"/>
      <c r="K12" s="31" t="inlineStr">
        <is>
          <t>canc</t>
        </is>
      </c>
      <c r="L12" s="32">
        <f>IF($L$2="","",INDEX('Example Register'!$L$18:$L$317,$L$2)&amp;"")</f>
        <v/>
      </c>
    </row>
    <row r="13" ht="30" customHeight="1">
      <c r="B13" s="12" t="inlineStr">
        <is>
          <t>The sum of</t>
        </is>
      </c>
      <c r="C13" s="39">
        <f>$L$22</f>
        <v/>
      </c>
      <c r="D13" s="7" t="n"/>
      <c r="E13" s="7" t="n"/>
      <c r="F13" s="7" t="n"/>
      <c r="G13" s="7" t="n"/>
      <c r="H13" s="7" t="n"/>
      <c r="K13" s="31" t="inlineStr">
        <is>
          <t>stamp</t>
        </is>
      </c>
      <c r="L13" s="32">
        <f>IF($L$2="","",INDEX('Example Register'!$M$18:$M$317,$L$2)&amp;"")</f>
        <v/>
      </c>
    </row>
    <row r="14" ht="30" customHeight="1">
      <c r="B14" s="12" t="inlineStr">
        <is>
          <t>Paid by</t>
        </is>
      </c>
      <c r="C14" s="39">
        <f>IF($L$8="","",$L$8&amp;IF($L$9="","",", ref. "&amp;$L$9))</f>
        <v/>
      </c>
      <c r="D14" s="7" t="n"/>
      <c r="E14" s="7" t="n"/>
      <c r="F14" s="7" t="n"/>
      <c r="G14" s="7" t="n"/>
      <c r="H14" s="7" t="n"/>
      <c r="K14" s="31" t="inlineStr">
        <is>
          <t>check</t>
        </is>
      </c>
      <c r="L14" s="32">
        <f>IF($L$2="","",INDEX('Example Register'!$N$18:$N$317,$L$2)&amp;"")</f>
        <v/>
      </c>
    </row>
    <row r="15" ht="26" customHeight="1">
      <c r="B15" s="12" t="inlineStr">
        <is>
          <t>Amount (₹)</t>
        </is>
      </c>
      <c r="C15" s="40">
        <f>IF($L$10="","",$L$10)</f>
        <v/>
      </c>
      <c r="D15" s="7" t="n"/>
      <c r="K15" s="31" t="inlineStr">
        <is>
          <t>a</t>
        </is>
      </c>
      <c r="L15" s="32">
        <f>IF($L$10="",0,ROUND(N($L$10),2))</f>
        <v/>
      </c>
    </row>
    <row r="16">
      <c r="K16" s="31" t="inlineStr">
        <is>
          <t>cr</t>
        </is>
      </c>
      <c r="L16" s="32">
        <f>INT($L$15/10000000)</f>
        <v/>
      </c>
    </row>
    <row r="17">
      <c r="B17" s="41" t="inlineStr">
        <is>
          <t>Prepared by</t>
        </is>
      </c>
      <c r="C17" s="13" t="n"/>
      <c r="D17" s="41" t="inlineStr">
        <is>
          <t>Approved by</t>
        </is>
      </c>
      <c r="E17" s="13" t="n"/>
      <c r="F17" s="41" t="inlineStr">
        <is>
          <t>Received payment (signature of the person paid)</t>
        </is>
      </c>
      <c r="G17" s="13" t="n"/>
      <c r="H17" s="13" t="n"/>
      <c r="K17" s="31" t="inlineStr">
        <is>
          <t>lk</t>
        </is>
      </c>
      <c r="L17" s="32">
        <f>INT(MOD(INT($L$15),10000000)/100000)</f>
        <v/>
      </c>
    </row>
    <row r="18" ht="56" customHeight="1">
      <c r="B18" s="7" t="n"/>
      <c r="C18" s="7" t="n"/>
      <c r="D18" s="26">
        <f>$L$11</f>
        <v/>
      </c>
      <c r="E18" s="7" t="n"/>
      <c r="F18" s="42">
        <f>IF(LEFT($L$13,3)="Yes","Affix a ₹1 revenue stamp here and sign across it","")</f>
        <v/>
      </c>
      <c r="G18" s="7" t="n"/>
      <c r="H18" s="7" t="n"/>
      <c r="K18" s="31" t="inlineStr">
        <is>
          <t>th</t>
        </is>
      </c>
      <c r="L18" s="32">
        <f>INT(MOD(INT($L$15),100000)/1000)</f>
        <v/>
      </c>
    </row>
    <row r="19">
      <c r="K19" s="31" t="inlineStr">
        <is>
          <t>hu</t>
        </is>
      </c>
      <c r="L19" s="32">
        <f>INT(MOD(INT($L$15),1000)/100)</f>
        <v/>
      </c>
    </row>
    <row r="20">
      <c r="B20" s="16">
        <f>IF($D$4="","Pick a voucher number above.",IF($L$2="","No voucher with that number in the register.","Check for this voucher: "&amp;$L$14))</f>
        <v/>
      </c>
      <c r="K20" s="31" t="inlineStr">
        <is>
          <t>te</t>
        </is>
      </c>
      <c r="L20" s="32">
        <f>MOD(INT($L$15),100)</f>
        <v/>
      </c>
    </row>
    <row r="21">
      <c r="B21" s="11" t="inlineStr">
        <is>
          <t>This line sits below the print area, so it never prints on the voucher.</t>
        </is>
      </c>
      <c r="K21" s="31" t="inlineStr">
        <is>
          <t>ps</t>
        </is>
      </c>
      <c r="L21" s="32">
        <f>ROUND(($L$15-INT($L$15))*100,0)</f>
        <v/>
      </c>
    </row>
    <row r="22">
      <c r="K22" s="31" t="inlineStr">
        <is>
          <t>words</t>
        </is>
      </c>
      <c r="L22" s="32">
        <f>IF($L$15=0,"",IF($L$15&gt;=1000000000,"(amount too large to write in words)","Rupees "&amp;PROPER(TRIM(IF($L$16&gt;0,VLOOKUP($L$16,Lists!$D$2:$E$101,2,FALSE)&amp;" crore ","")&amp;IF($L$17&gt;0,VLOOKUP($L$17,Lists!$D$2:$E$101,2,FALSE)&amp;" lakh ","")&amp;IF($L$18&gt;0,VLOOKUP($L$18,Lists!$D$2:$E$101,2,FALSE)&amp;" thousand ","")&amp;IF($L$19&gt;0,VLOOKUP($L$19,Lists!$D$2:$E$101,2,FALSE)&amp;" hundred ","")&amp;IF($L$20&gt;0,VLOOKUP($L$20,Lists!$D$2:$E$101,2,FALSE),"")&amp;IF(INT($L$15)=0,"zero","")))&amp;IF($L$21&gt;0," and "&amp;PROPER(VLOOKUP($L$21,Lists!$D$2:$E$101,2,FALSE))&amp;" Paise","")&amp;" Only"))</f>
        <v/>
      </c>
    </row>
    <row r="23">
      <c r="B23"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25">
    <mergeCell ref="C10:H10"/>
    <mergeCell ref="F18:H18"/>
    <mergeCell ref="C15:D15"/>
    <mergeCell ref="B6:H6"/>
    <mergeCell ref="F17:H17"/>
    <mergeCell ref="C12:H12"/>
    <mergeCell ref="G8:H8"/>
    <mergeCell ref="B18:C18"/>
    <mergeCell ref="B20:H20"/>
    <mergeCell ref="C11:H11"/>
    <mergeCell ref="B7:H7"/>
    <mergeCell ref="C9:D9"/>
    <mergeCell ref="B8:F8"/>
    <mergeCell ref="B3:H3"/>
    <mergeCell ref="D17:E17"/>
    <mergeCell ref="B17:C17"/>
    <mergeCell ref="C13:H13"/>
    <mergeCell ref="B21:H21"/>
    <mergeCell ref="B2:H2"/>
    <mergeCell ref="D4:E4"/>
    <mergeCell ref="D18:E18"/>
    <mergeCell ref="B23:H23"/>
    <mergeCell ref="C14:H14"/>
    <mergeCell ref="G9:H9"/>
    <mergeCell ref="B4:C4"/>
  </mergeCells>
  <dataValidations count="1">
    <dataValidation sqref="D4" showDropDown="0" showInputMessage="0" showErrorMessage="0" allowBlank="1" type="list">
      <formula1>='Example Register'!$C$18:$C$317</formula1>
    </dataValidation>
  </dataValidations>
  <pageMargins left="0.4" right="0.4" top="0.4" bottom="0.4" header="0.5" footer="0.5"/>
  <pageSetup orientation="portrait" paperSize="9" fitToHeight="1" fitToWidth="1"/>
</worksheet>
</file>

<file path=xl/worksheets/sheet7.xml><?xml version="1.0" encoding="utf-8"?>
<worksheet xmlns="http://schemas.openxmlformats.org/spreadsheetml/2006/main">
  <sheetPr>
    <outlinePr summaryBelow="1" summaryRight="1"/>
    <pageSetUpPr/>
  </sheetPr>
  <dimension ref="A1:E101"/>
  <sheetViews>
    <sheetView workbookViewId="0">
      <selection activeCell="A1" sqref="A1"/>
    </sheetView>
  </sheetViews>
  <sheetFormatPr baseColWidth="8" defaultRowHeight="15"/>
  <cols>
    <col width="40" customWidth="1" min="1" max="1"/>
    <col width="8" customWidth="1" min="2" max="2"/>
    <col width="34" customWidth="1" min="3" max="3"/>
    <col width="6" customWidth="1" min="4" max="4"/>
    <col width="22" customWidth="1" min="5" max="5"/>
  </cols>
  <sheetData>
    <row r="1">
      <c r="A1" s="3" t="inlineStr">
        <is>
          <t>Head of account</t>
        </is>
      </c>
      <c r="B1" s="3" t="inlineStr">
        <is>
          <t>Kind</t>
        </is>
      </c>
      <c r="C1" s="3" t="inlineStr">
        <is>
          <t>How paid</t>
        </is>
      </c>
      <c r="D1" s="3" t="inlineStr">
        <is>
          <t>No.</t>
        </is>
      </c>
      <c r="E1" s="3" t="inlineStr">
        <is>
          <t>In words</t>
        </is>
      </c>
    </row>
    <row r="2">
      <c r="A2" s="39" t="inlineStr">
        <is>
          <t>Purchases (goods for sale)</t>
        </is>
      </c>
      <c r="B2" s="39" t="inlineStr">
        <is>
          <t>E</t>
        </is>
      </c>
      <c r="C2" s="39" t="inlineStr">
        <is>
          <t>Cash</t>
        </is>
      </c>
      <c r="D2" s="32" t="n">
        <v>0</v>
      </c>
      <c r="E2" s="32" t="inlineStr">
        <is>
          <t>zero</t>
        </is>
      </c>
    </row>
    <row r="3">
      <c r="A3" s="39" t="inlineStr">
        <is>
          <t>Staff wages and salary</t>
        </is>
      </c>
      <c r="B3" s="39" t="inlineStr">
        <is>
          <t>E</t>
        </is>
      </c>
      <c r="C3" s="39" t="inlineStr">
        <is>
          <t>UPI</t>
        </is>
      </c>
      <c r="D3" s="32" t="n">
        <v>1</v>
      </c>
      <c r="E3" s="32" t="inlineStr">
        <is>
          <t>one</t>
        </is>
      </c>
    </row>
    <row r="4">
      <c r="A4" s="39" t="inlineStr">
        <is>
          <t>Rent</t>
        </is>
      </c>
      <c r="B4" s="39" t="inlineStr">
        <is>
          <t>E</t>
        </is>
      </c>
      <c r="C4" s="39" t="inlineStr">
        <is>
          <t>Card</t>
        </is>
      </c>
      <c r="D4" s="32" t="n">
        <v>2</v>
      </c>
      <c r="E4" s="32" t="inlineStr">
        <is>
          <t>two</t>
        </is>
      </c>
    </row>
    <row r="5">
      <c r="A5" s="39" t="inlineStr">
        <is>
          <t>Electricity, gas and water</t>
        </is>
      </c>
      <c r="B5" s="39" t="inlineStr">
        <is>
          <t>E</t>
        </is>
      </c>
      <c r="C5" s="39" t="inlineStr">
        <is>
          <t>Account payee cheque</t>
        </is>
      </c>
      <c r="D5" s="32" t="n">
        <v>3</v>
      </c>
      <c r="E5" s="32" t="inlineStr">
        <is>
          <t>three</t>
        </is>
      </c>
    </row>
    <row r="6">
      <c r="A6" s="39" t="inlineStr">
        <is>
          <t>Repairs and maintenance</t>
        </is>
      </c>
      <c r="B6" s="39" t="inlineStr">
        <is>
          <t>E</t>
        </is>
      </c>
      <c r="C6" s="39" t="inlineStr">
        <is>
          <t>Bank transfer (NEFT, RTGS, IMPS)</t>
        </is>
      </c>
      <c r="D6" s="32" t="n">
        <v>4</v>
      </c>
      <c r="E6" s="32" t="inlineStr">
        <is>
          <t>four</t>
        </is>
      </c>
    </row>
    <row r="7">
      <c r="A7" s="39" t="inlineStr">
        <is>
          <t>Travel and conveyance</t>
        </is>
      </c>
      <c r="B7" s="39" t="inlineStr">
        <is>
          <t>E</t>
        </is>
      </c>
      <c r="D7" s="32" t="n">
        <v>5</v>
      </c>
      <c r="E7" s="32" t="inlineStr">
        <is>
          <t>five</t>
        </is>
      </c>
    </row>
    <row r="8">
      <c r="A8" s="39" t="inlineStr">
        <is>
          <t>Courier, printing and stationery</t>
        </is>
      </c>
      <c r="B8" s="39" t="inlineStr">
        <is>
          <t>E</t>
        </is>
      </c>
      <c r="D8" s="32" t="n">
        <v>6</v>
      </c>
      <c r="E8" s="32" t="inlineStr">
        <is>
          <t>six</t>
        </is>
      </c>
    </row>
    <row r="9">
      <c r="A9" s="39" t="inlineStr">
        <is>
          <t>Tea, snacks and staff welfare</t>
        </is>
      </c>
      <c r="B9" s="39" t="inlineStr">
        <is>
          <t>E</t>
        </is>
      </c>
      <c r="D9" s="32" t="n">
        <v>7</v>
      </c>
      <c r="E9" s="32" t="inlineStr">
        <is>
          <t>seven</t>
        </is>
      </c>
    </row>
    <row r="10">
      <c r="A10" s="39" t="inlineStr">
        <is>
          <t>Professional fees</t>
        </is>
      </c>
      <c r="B10" s="39" t="inlineStr">
        <is>
          <t>E</t>
        </is>
      </c>
      <c r="D10" s="32" t="n">
        <v>8</v>
      </c>
      <c r="E10" s="32" t="inlineStr">
        <is>
          <t>eight</t>
        </is>
      </c>
    </row>
    <row r="11">
      <c r="A11" s="39" t="inlineStr">
        <is>
          <t>Other business expense</t>
        </is>
      </c>
      <c r="B11" s="39" t="inlineStr">
        <is>
          <t>E</t>
        </is>
      </c>
      <c r="D11" s="32" t="n">
        <v>9</v>
      </c>
      <c r="E11" s="32" t="inlineStr">
        <is>
          <t>nine</t>
        </is>
      </c>
    </row>
    <row r="12">
      <c r="A12" s="39" t="inlineStr">
        <is>
          <t>Freight to goods transporter</t>
        </is>
      </c>
      <c r="B12" s="39" t="inlineStr">
        <is>
          <t>F</t>
        </is>
      </c>
      <c r="D12" s="32" t="n">
        <v>10</v>
      </c>
      <c r="E12" s="32" t="inlineStr">
        <is>
          <t>ten</t>
        </is>
      </c>
    </row>
    <row r="13">
      <c r="A13" s="39" t="inlineStr">
        <is>
          <t>Asset bought (equipment, furniture)</t>
        </is>
      </c>
      <c r="B13" s="39" t="inlineStr">
        <is>
          <t>A</t>
        </is>
      </c>
      <c r="D13" s="32" t="n">
        <v>11</v>
      </c>
      <c r="E13" s="32" t="inlineStr">
        <is>
          <t>eleven</t>
        </is>
      </c>
    </row>
    <row r="14">
      <c r="A14" s="39" t="inlineStr">
        <is>
          <t>Loan repaid</t>
        </is>
      </c>
      <c r="B14" s="39" t="inlineStr">
        <is>
          <t>L</t>
        </is>
      </c>
      <c r="D14" s="32" t="n">
        <v>12</v>
      </c>
      <c r="E14" s="32" t="inlineStr">
        <is>
          <t>twelve</t>
        </is>
      </c>
    </row>
    <row r="15">
      <c r="A15" s="39" t="inlineStr">
        <is>
          <t>Advance to staff</t>
        </is>
      </c>
      <c r="B15" s="39" t="inlineStr">
        <is>
          <t>X</t>
        </is>
      </c>
      <c r="D15" s="32" t="n">
        <v>13</v>
      </c>
      <c r="E15" s="32" t="inlineStr">
        <is>
          <t>thirteen</t>
        </is>
      </c>
    </row>
    <row r="16">
      <c r="A16" s="39" t="inlineStr">
        <is>
          <t>Owner's drawings</t>
        </is>
      </c>
      <c r="B16" s="39" t="inlineStr">
        <is>
          <t>X</t>
        </is>
      </c>
      <c r="D16" s="32" t="n">
        <v>14</v>
      </c>
      <c r="E16" s="32" t="inlineStr">
        <is>
          <t>fourteen</t>
        </is>
      </c>
    </row>
    <row r="17">
      <c r="A17" s="39" t="inlineStr">
        <is>
          <t>Other payment</t>
        </is>
      </c>
      <c r="B17" s="39" t="inlineStr">
        <is>
          <t>X</t>
        </is>
      </c>
      <c r="D17" s="32" t="n">
        <v>15</v>
      </c>
      <c r="E17" s="32" t="inlineStr">
        <is>
          <t>fifteen</t>
        </is>
      </c>
    </row>
    <row r="18">
      <c r="D18" s="32" t="n">
        <v>16</v>
      </c>
      <c r="E18" s="32" t="inlineStr">
        <is>
          <t>sixteen</t>
        </is>
      </c>
    </row>
    <row r="19">
      <c r="D19" s="32" t="n">
        <v>17</v>
      </c>
      <c r="E19" s="32" t="inlineStr">
        <is>
          <t>seventeen</t>
        </is>
      </c>
    </row>
    <row r="20">
      <c r="A20" s="39" t="inlineStr">
        <is>
          <t>Cancelled</t>
        </is>
      </c>
      <c r="D20" s="32" t="n">
        <v>18</v>
      </c>
      <c r="E20" s="32" t="inlineStr">
        <is>
          <t>eighteen</t>
        </is>
      </c>
    </row>
    <row r="21">
      <c r="D21" s="32" t="n">
        <v>19</v>
      </c>
      <c r="E21" s="32" t="inlineStr">
        <is>
          <t>nineteen</t>
        </is>
      </c>
    </row>
    <row r="22">
      <c r="D22" s="32" t="n">
        <v>20</v>
      </c>
      <c r="E22" s="32" t="inlineStr">
        <is>
          <t>twenty</t>
        </is>
      </c>
    </row>
    <row r="23">
      <c r="D23" s="32" t="n">
        <v>21</v>
      </c>
      <c r="E23" s="32" t="inlineStr">
        <is>
          <t>twenty-one</t>
        </is>
      </c>
    </row>
    <row r="24">
      <c r="D24" s="32" t="n">
        <v>22</v>
      </c>
      <c r="E24" s="32" t="inlineStr">
        <is>
          <t>twenty-two</t>
        </is>
      </c>
    </row>
    <row r="25">
      <c r="D25" s="32" t="n">
        <v>23</v>
      </c>
      <c r="E25" s="32" t="inlineStr">
        <is>
          <t>twenty-three</t>
        </is>
      </c>
    </row>
    <row r="26">
      <c r="D26" s="32" t="n">
        <v>24</v>
      </c>
      <c r="E26" s="32" t="inlineStr">
        <is>
          <t>twenty-four</t>
        </is>
      </c>
    </row>
    <row r="27">
      <c r="D27" s="32" t="n">
        <v>25</v>
      </c>
      <c r="E27" s="32" t="inlineStr">
        <is>
          <t>twenty-five</t>
        </is>
      </c>
    </row>
    <row r="28">
      <c r="D28" s="32" t="n">
        <v>26</v>
      </c>
      <c r="E28" s="32" t="inlineStr">
        <is>
          <t>twenty-six</t>
        </is>
      </c>
    </row>
    <row r="29">
      <c r="D29" s="32" t="n">
        <v>27</v>
      </c>
      <c r="E29" s="32" t="inlineStr">
        <is>
          <t>twenty-seven</t>
        </is>
      </c>
    </row>
    <row r="30">
      <c r="D30" s="32" t="n">
        <v>28</v>
      </c>
      <c r="E30" s="32" t="inlineStr">
        <is>
          <t>twenty-eight</t>
        </is>
      </c>
    </row>
    <row r="31">
      <c r="D31" s="32" t="n">
        <v>29</v>
      </c>
      <c r="E31" s="32" t="inlineStr">
        <is>
          <t>twenty-nine</t>
        </is>
      </c>
    </row>
    <row r="32">
      <c r="D32" s="32" t="n">
        <v>30</v>
      </c>
      <c r="E32" s="32" t="inlineStr">
        <is>
          <t>thirty</t>
        </is>
      </c>
    </row>
    <row r="33">
      <c r="D33" s="32" t="n">
        <v>31</v>
      </c>
      <c r="E33" s="32" t="inlineStr">
        <is>
          <t>thirty-one</t>
        </is>
      </c>
    </row>
    <row r="34">
      <c r="D34" s="32" t="n">
        <v>32</v>
      </c>
      <c r="E34" s="32" t="inlineStr">
        <is>
          <t>thirty-two</t>
        </is>
      </c>
    </row>
    <row r="35">
      <c r="D35" s="32" t="n">
        <v>33</v>
      </c>
      <c r="E35" s="32" t="inlineStr">
        <is>
          <t>thirty-three</t>
        </is>
      </c>
    </row>
    <row r="36">
      <c r="D36" s="32" t="n">
        <v>34</v>
      </c>
      <c r="E36" s="32" t="inlineStr">
        <is>
          <t>thirty-four</t>
        </is>
      </c>
    </row>
    <row r="37">
      <c r="D37" s="32" t="n">
        <v>35</v>
      </c>
      <c r="E37" s="32" t="inlineStr">
        <is>
          <t>thirty-five</t>
        </is>
      </c>
    </row>
    <row r="38">
      <c r="D38" s="32" t="n">
        <v>36</v>
      </c>
      <c r="E38" s="32" t="inlineStr">
        <is>
          <t>thirty-six</t>
        </is>
      </c>
    </row>
    <row r="39">
      <c r="D39" s="32" t="n">
        <v>37</v>
      </c>
      <c r="E39" s="32" t="inlineStr">
        <is>
          <t>thirty-seven</t>
        </is>
      </c>
    </row>
    <row r="40">
      <c r="D40" s="32" t="n">
        <v>38</v>
      </c>
      <c r="E40" s="32" t="inlineStr">
        <is>
          <t>thirty-eight</t>
        </is>
      </c>
    </row>
    <row r="41">
      <c r="D41" s="32" t="n">
        <v>39</v>
      </c>
      <c r="E41" s="32" t="inlineStr">
        <is>
          <t>thirty-nine</t>
        </is>
      </c>
    </row>
    <row r="42">
      <c r="D42" s="32" t="n">
        <v>40</v>
      </c>
      <c r="E42" s="32" t="inlineStr">
        <is>
          <t>forty</t>
        </is>
      </c>
    </row>
    <row r="43">
      <c r="D43" s="32" t="n">
        <v>41</v>
      </c>
      <c r="E43" s="32" t="inlineStr">
        <is>
          <t>forty-one</t>
        </is>
      </c>
    </row>
    <row r="44">
      <c r="D44" s="32" t="n">
        <v>42</v>
      </c>
      <c r="E44" s="32" t="inlineStr">
        <is>
          <t>forty-two</t>
        </is>
      </c>
    </row>
    <row r="45">
      <c r="D45" s="32" t="n">
        <v>43</v>
      </c>
      <c r="E45" s="32" t="inlineStr">
        <is>
          <t>forty-three</t>
        </is>
      </c>
    </row>
    <row r="46">
      <c r="D46" s="32" t="n">
        <v>44</v>
      </c>
      <c r="E46" s="32" t="inlineStr">
        <is>
          <t>forty-four</t>
        </is>
      </c>
    </row>
    <row r="47">
      <c r="D47" s="32" t="n">
        <v>45</v>
      </c>
      <c r="E47" s="32" t="inlineStr">
        <is>
          <t>forty-five</t>
        </is>
      </c>
    </row>
    <row r="48">
      <c r="D48" s="32" t="n">
        <v>46</v>
      </c>
      <c r="E48" s="32" t="inlineStr">
        <is>
          <t>forty-six</t>
        </is>
      </c>
    </row>
    <row r="49">
      <c r="D49" s="32" t="n">
        <v>47</v>
      </c>
      <c r="E49" s="32" t="inlineStr">
        <is>
          <t>forty-seven</t>
        </is>
      </c>
    </row>
    <row r="50">
      <c r="D50" s="32" t="n">
        <v>48</v>
      </c>
      <c r="E50" s="32" t="inlineStr">
        <is>
          <t>forty-eight</t>
        </is>
      </c>
    </row>
    <row r="51">
      <c r="D51" s="32" t="n">
        <v>49</v>
      </c>
      <c r="E51" s="32" t="inlineStr">
        <is>
          <t>forty-nine</t>
        </is>
      </c>
    </row>
    <row r="52">
      <c r="D52" s="32" t="n">
        <v>50</v>
      </c>
      <c r="E52" s="32" t="inlineStr">
        <is>
          <t>fifty</t>
        </is>
      </c>
    </row>
    <row r="53">
      <c r="D53" s="32" t="n">
        <v>51</v>
      </c>
      <c r="E53" s="32" t="inlineStr">
        <is>
          <t>fifty-one</t>
        </is>
      </c>
    </row>
    <row r="54">
      <c r="D54" s="32" t="n">
        <v>52</v>
      </c>
      <c r="E54" s="32" t="inlineStr">
        <is>
          <t>fifty-two</t>
        </is>
      </c>
    </row>
    <row r="55">
      <c r="D55" s="32" t="n">
        <v>53</v>
      </c>
      <c r="E55" s="32" t="inlineStr">
        <is>
          <t>fifty-three</t>
        </is>
      </c>
    </row>
    <row r="56">
      <c r="D56" s="32" t="n">
        <v>54</v>
      </c>
      <c r="E56" s="32" t="inlineStr">
        <is>
          <t>fifty-four</t>
        </is>
      </c>
    </row>
    <row r="57">
      <c r="D57" s="32" t="n">
        <v>55</v>
      </c>
      <c r="E57" s="32" t="inlineStr">
        <is>
          <t>fifty-five</t>
        </is>
      </c>
    </row>
    <row r="58">
      <c r="D58" s="32" t="n">
        <v>56</v>
      </c>
      <c r="E58" s="32" t="inlineStr">
        <is>
          <t>fifty-six</t>
        </is>
      </c>
    </row>
    <row r="59">
      <c r="D59" s="32" t="n">
        <v>57</v>
      </c>
      <c r="E59" s="32" t="inlineStr">
        <is>
          <t>fifty-seven</t>
        </is>
      </c>
    </row>
    <row r="60">
      <c r="D60" s="32" t="n">
        <v>58</v>
      </c>
      <c r="E60" s="32" t="inlineStr">
        <is>
          <t>fifty-eight</t>
        </is>
      </c>
    </row>
    <row r="61">
      <c r="D61" s="32" t="n">
        <v>59</v>
      </c>
      <c r="E61" s="32" t="inlineStr">
        <is>
          <t>fifty-nine</t>
        </is>
      </c>
    </row>
    <row r="62">
      <c r="D62" s="32" t="n">
        <v>60</v>
      </c>
      <c r="E62" s="32" t="inlineStr">
        <is>
          <t>sixty</t>
        </is>
      </c>
    </row>
    <row r="63">
      <c r="D63" s="32" t="n">
        <v>61</v>
      </c>
      <c r="E63" s="32" t="inlineStr">
        <is>
          <t>sixty-one</t>
        </is>
      </c>
    </row>
    <row r="64">
      <c r="D64" s="32" t="n">
        <v>62</v>
      </c>
      <c r="E64" s="32" t="inlineStr">
        <is>
          <t>sixty-two</t>
        </is>
      </c>
    </row>
    <row r="65">
      <c r="D65" s="32" t="n">
        <v>63</v>
      </c>
      <c r="E65" s="32" t="inlineStr">
        <is>
          <t>sixty-three</t>
        </is>
      </c>
    </row>
    <row r="66">
      <c r="D66" s="32" t="n">
        <v>64</v>
      </c>
      <c r="E66" s="32" t="inlineStr">
        <is>
          <t>sixty-four</t>
        </is>
      </c>
    </row>
    <row r="67">
      <c r="D67" s="32" t="n">
        <v>65</v>
      </c>
      <c r="E67" s="32" t="inlineStr">
        <is>
          <t>sixty-five</t>
        </is>
      </c>
    </row>
    <row r="68">
      <c r="D68" s="32" t="n">
        <v>66</v>
      </c>
      <c r="E68" s="32" t="inlineStr">
        <is>
          <t>sixty-six</t>
        </is>
      </c>
    </row>
    <row r="69">
      <c r="D69" s="32" t="n">
        <v>67</v>
      </c>
      <c r="E69" s="32" t="inlineStr">
        <is>
          <t>sixty-seven</t>
        </is>
      </c>
    </row>
    <row r="70">
      <c r="D70" s="32" t="n">
        <v>68</v>
      </c>
      <c r="E70" s="32" t="inlineStr">
        <is>
          <t>sixty-eight</t>
        </is>
      </c>
    </row>
    <row r="71">
      <c r="D71" s="32" t="n">
        <v>69</v>
      </c>
      <c r="E71" s="32" t="inlineStr">
        <is>
          <t>sixty-nine</t>
        </is>
      </c>
    </row>
    <row r="72">
      <c r="D72" s="32" t="n">
        <v>70</v>
      </c>
      <c r="E72" s="32" t="inlineStr">
        <is>
          <t>seventy</t>
        </is>
      </c>
    </row>
    <row r="73">
      <c r="D73" s="32" t="n">
        <v>71</v>
      </c>
      <c r="E73" s="32" t="inlineStr">
        <is>
          <t>seventy-one</t>
        </is>
      </c>
    </row>
    <row r="74">
      <c r="D74" s="32" t="n">
        <v>72</v>
      </c>
      <c r="E74" s="32" t="inlineStr">
        <is>
          <t>seventy-two</t>
        </is>
      </c>
    </row>
    <row r="75">
      <c r="D75" s="32" t="n">
        <v>73</v>
      </c>
      <c r="E75" s="32" t="inlineStr">
        <is>
          <t>seventy-three</t>
        </is>
      </c>
    </row>
    <row r="76">
      <c r="D76" s="32" t="n">
        <v>74</v>
      </c>
      <c r="E76" s="32" t="inlineStr">
        <is>
          <t>seventy-four</t>
        </is>
      </c>
    </row>
    <row r="77">
      <c r="D77" s="32" t="n">
        <v>75</v>
      </c>
      <c r="E77" s="32" t="inlineStr">
        <is>
          <t>seventy-five</t>
        </is>
      </c>
    </row>
    <row r="78">
      <c r="D78" s="32" t="n">
        <v>76</v>
      </c>
      <c r="E78" s="32" t="inlineStr">
        <is>
          <t>seventy-six</t>
        </is>
      </c>
    </row>
    <row r="79">
      <c r="D79" s="32" t="n">
        <v>77</v>
      </c>
      <c r="E79" s="32" t="inlineStr">
        <is>
          <t>seventy-seven</t>
        </is>
      </c>
    </row>
    <row r="80">
      <c r="D80" s="32" t="n">
        <v>78</v>
      </c>
      <c r="E80" s="32" t="inlineStr">
        <is>
          <t>seventy-eight</t>
        </is>
      </c>
    </row>
    <row r="81">
      <c r="D81" s="32" t="n">
        <v>79</v>
      </c>
      <c r="E81" s="32" t="inlineStr">
        <is>
          <t>seventy-nine</t>
        </is>
      </c>
    </row>
    <row r="82">
      <c r="D82" s="32" t="n">
        <v>80</v>
      </c>
      <c r="E82" s="32" t="inlineStr">
        <is>
          <t>eighty</t>
        </is>
      </c>
    </row>
    <row r="83">
      <c r="D83" s="32" t="n">
        <v>81</v>
      </c>
      <c r="E83" s="32" t="inlineStr">
        <is>
          <t>eighty-one</t>
        </is>
      </c>
    </row>
    <row r="84">
      <c r="D84" s="32" t="n">
        <v>82</v>
      </c>
      <c r="E84" s="32" t="inlineStr">
        <is>
          <t>eighty-two</t>
        </is>
      </c>
    </row>
    <row r="85">
      <c r="D85" s="32" t="n">
        <v>83</v>
      </c>
      <c r="E85" s="32" t="inlineStr">
        <is>
          <t>eighty-three</t>
        </is>
      </c>
    </row>
    <row r="86">
      <c r="D86" s="32" t="n">
        <v>84</v>
      </c>
      <c r="E86" s="32" t="inlineStr">
        <is>
          <t>eighty-four</t>
        </is>
      </c>
    </row>
    <row r="87">
      <c r="D87" s="32" t="n">
        <v>85</v>
      </c>
      <c r="E87" s="32" t="inlineStr">
        <is>
          <t>eighty-five</t>
        </is>
      </c>
    </row>
    <row r="88">
      <c r="D88" s="32" t="n">
        <v>86</v>
      </c>
      <c r="E88" s="32" t="inlineStr">
        <is>
          <t>eighty-six</t>
        </is>
      </c>
    </row>
    <row r="89">
      <c r="D89" s="32" t="n">
        <v>87</v>
      </c>
      <c r="E89" s="32" t="inlineStr">
        <is>
          <t>eighty-seven</t>
        </is>
      </c>
    </row>
    <row r="90">
      <c r="D90" s="32" t="n">
        <v>88</v>
      </c>
      <c r="E90" s="32" t="inlineStr">
        <is>
          <t>eighty-eight</t>
        </is>
      </c>
    </row>
    <row r="91">
      <c r="D91" s="32" t="n">
        <v>89</v>
      </c>
      <c r="E91" s="32" t="inlineStr">
        <is>
          <t>eighty-nine</t>
        </is>
      </c>
    </row>
    <row r="92">
      <c r="D92" s="32" t="n">
        <v>90</v>
      </c>
      <c r="E92" s="32" t="inlineStr">
        <is>
          <t>ninety</t>
        </is>
      </c>
    </row>
    <row r="93">
      <c r="D93" s="32" t="n">
        <v>91</v>
      </c>
      <c r="E93" s="32" t="inlineStr">
        <is>
          <t>ninety-one</t>
        </is>
      </c>
    </row>
    <row r="94">
      <c r="D94" s="32" t="n">
        <v>92</v>
      </c>
      <c r="E94" s="32" t="inlineStr">
        <is>
          <t>ninety-two</t>
        </is>
      </c>
    </row>
    <row r="95">
      <c r="D95" s="32" t="n">
        <v>93</v>
      </c>
      <c r="E95" s="32" t="inlineStr">
        <is>
          <t>ninety-three</t>
        </is>
      </c>
    </row>
    <row r="96">
      <c r="D96" s="32" t="n">
        <v>94</v>
      </c>
      <c r="E96" s="32" t="inlineStr">
        <is>
          <t>ninety-four</t>
        </is>
      </c>
    </row>
    <row r="97">
      <c r="D97" s="32" t="n">
        <v>95</v>
      </c>
      <c r="E97" s="32" t="inlineStr">
        <is>
          <t>ninety-five</t>
        </is>
      </c>
    </row>
    <row r="98">
      <c r="D98" s="32" t="n">
        <v>96</v>
      </c>
      <c r="E98" s="32" t="inlineStr">
        <is>
          <t>ninety-six</t>
        </is>
      </c>
    </row>
    <row r="99">
      <c r="D99" s="32" t="n">
        <v>97</v>
      </c>
      <c r="E99" s="32" t="inlineStr">
        <is>
          <t>ninety-seven</t>
        </is>
      </c>
    </row>
    <row r="100">
      <c r="D100" s="32" t="n">
        <v>98</v>
      </c>
      <c r="E100" s="32" t="inlineStr">
        <is>
          <t>ninety-eight</t>
        </is>
      </c>
    </row>
    <row r="101">
      <c r="D101" s="32" t="n">
        <v>99</v>
      </c>
      <c r="E101" s="32" t="inlineStr">
        <is>
          <t>ninety-nine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2026-10-28T11:20:25Z</dcterms:created>
  <dcterms:modified xmlns:dcterms="http://purl.org/dc/terms/" xmlns:xsi="http://www.w3.org/2001/XMLSchema-instance" xsi:type="dcterms:W3CDTF">2026-10-28T11:20:25Z</dcterms:modified>
</cp:coreProperties>
</file>