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afe Profile" sheetId="2" state="visible" r:id="rId2"/>
    <sheet xmlns:r="http://schemas.openxmlformats.org/officeDocument/2006/relationships" name="Equipment List" sheetId="3" state="visible" r:id="rId3"/>
    <sheet xmlns:r="http://schemas.openxmlformats.org/officeDocument/2006/relationships" name="Before You Buy" sheetId="4" state="visible" r:id="rId4"/>
    <sheet xmlns:r="http://schemas.openxmlformats.org/officeDocument/2006/relationships" name="Budget Summary" sheetId="5" state="visible" r:id="rId5"/>
    <sheet xmlns:r="http://schemas.openxmlformats.org/officeDocument/2006/relationships" name="Lists" sheetId="6" state="hidden" r:id="rId6"/>
  </sheets>
  <definedNames>
    <definedName name="_xlnm.Print_Area" localSheetId="0">'Instructions'!$A$1:$D$35</definedName>
    <definedName name="_xlnm.Print_Area" localSheetId="1">'Cafe Profile'!$A$1:$E$40</definedName>
    <definedName name="_xlnm.Print_Titles" localSheetId="2">'Equipment List'!$5:$5</definedName>
    <definedName name="_xlnm.Print_Area" localSheetId="2">'Equipment List'!$A$1:$J$86</definedName>
    <definedName name="_xlnm.Print_Area" localSheetId="3">'Before You Buy'!$A$1:$E$48</definedName>
    <definedName name="_xlnm.Print_Area" localSheetId="4">'Budget Summary'!$A$1:$H$30</definedName>
  </definedNames>
  <calcPr calcId="124519" fullCalcOnLoad="1"/>
</workbook>
</file>

<file path=xl/styles.xml><?xml version="1.0" encoding="utf-8"?>
<styleSheet xmlns="http://schemas.openxmlformats.org/spreadsheetml/2006/main">
  <numFmts count="3">
    <numFmt numFmtId="164" formatCode="[&gt;=100000]##\,##\,##0;#,##0"/>
    <numFmt numFmtId="165" formatCode="0.0"/>
    <numFmt numFmtId="166" formatCode="[&gt;=10000000]&quot;₹&quot;##\,##\,##\,##0;[&gt;=100000]&quot;₹&quot;##\,##\,##0;&quot;₹&quot;#,##0"/>
  </numFmts>
  <fonts count="11">
    <font>
      <name val="Calibri"/>
      <family val="2"/>
      <color theme="1"/>
      <sz val="11"/>
      <scheme val="minor"/>
    </font>
    <font>
      <name val="Calibri"/>
      <b val="1"/>
      <color rgb="00FFFFFF"/>
      <sz val="11"/>
    </font>
    <font>
      <name val="Calibri"/>
      <color rgb="001F2937"/>
      <sz val="10"/>
    </font>
    <font>
      <name val="Calibri"/>
      <b val="1"/>
      <color rgb="00FFFFFF"/>
      <sz val="14"/>
    </font>
    <font>
      <name val="Calibri"/>
      <i val="1"/>
      <color rgb="006B7280"/>
      <sz val="9"/>
    </font>
    <font>
      <name val="Calibri"/>
      <b val="1"/>
      <color rgb="00C52031"/>
      <sz val="12"/>
    </font>
    <font>
      <name val="Calibri"/>
      <b val="1"/>
      <color rgb="001F2937"/>
      <sz val="10"/>
    </font>
    <font>
      <name val="Calibri"/>
      <b val="1"/>
      <color rgb="00C52031"/>
      <sz val="11"/>
    </font>
    <font>
      <name val="Calibri"/>
      <b val="1"/>
      <color rgb="00FFFFFF"/>
      <sz val="13"/>
    </font>
    <font>
      <name val="Calibri"/>
      <color rgb="001F2937"/>
      <sz val="9"/>
    </font>
    <font>
      <name val="Calibri"/>
      <b val="1"/>
      <color rgb="001F2937"/>
      <sz val="11"/>
    </font>
  </fonts>
  <fills count="9">
    <fill>
      <patternFill/>
    </fill>
    <fill>
      <patternFill patternType="gray125"/>
    </fill>
    <fill>
      <patternFill patternType="solid">
        <fgColor rgb="00C52031"/>
        <bgColor rgb="00C52031"/>
      </patternFill>
    </fill>
    <fill>
      <patternFill patternType="solid">
        <fgColor rgb="00F9FAFB"/>
        <bgColor rgb="00F9FAFB"/>
      </patternFill>
    </fill>
    <fill>
      <patternFill patternType="solid">
        <fgColor rgb="00FFFDF5"/>
        <bgColor rgb="00FFFDF5"/>
      </patternFill>
    </fill>
    <fill>
      <patternFill patternType="solid">
        <fgColor rgb="00F3F4F6"/>
        <bgColor rgb="00F3F4F6"/>
      </patternFill>
    </fill>
    <fill>
      <patternFill patternType="solid">
        <fgColor rgb="00FFFBEB"/>
        <bgColor rgb="00FFFBEB"/>
      </patternFill>
    </fill>
    <fill>
      <patternFill patternType="solid">
        <fgColor rgb="00FEF2F2"/>
        <bgColor rgb="00FEF2F2"/>
      </patternFill>
    </fill>
    <fill>
      <patternFill patternType="solid">
        <fgColor rgb="00ECFDF5"/>
        <bgColor rgb="00ECFDF5"/>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62">
    <xf numFmtId="0" fontId="0" fillId="0" borderId="0" pivotButton="0" quotePrefix="0" xfId="0"/>
    <xf numFmtId="0" fontId="3" fillId="2" borderId="0" applyAlignment="1" pivotButton="0" quotePrefix="0" xfId="0">
      <alignment horizontal="left" vertical="center" wrapText="1"/>
    </xf>
    <xf numFmtId="0" fontId="0" fillId="2" borderId="0" pivotButton="0" quotePrefix="0" xfId="0"/>
    <xf numFmtId="0" fontId="4" fillId="0" borderId="0" applyAlignment="1" pivotButton="0" quotePrefix="0" xfId="0">
      <alignment horizontal="left" vertical="center" wrapText="1"/>
    </xf>
    <xf numFmtId="0" fontId="5" fillId="0" borderId="0" applyAlignment="1" pivotButton="0" quotePrefix="0" xfId="0">
      <alignment horizontal="left" vertical="center" wrapText="1"/>
    </xf>
    <xf numFmtId="0" fontId="2" fillId="0" borderId="0" applyAlignment="1" pivotButton="0" quotePrefix="0" xfId="0">
      <alignment horizontal="left" vertical="center" wrapText="1"/>
    </xf>
    <xf numFmtId="0" fontId="1" fillId="2" borderId="1" applyAlignment="1" pivotButton="0" quotePrefix="0" xfId="0">
      <alignment horizontal="left" vertical="center" wrapText="1"/>
    </xf>
    <xf numFmtId="0" fontId="6" fillId="3" borderId="1" applyAlignment="1" pivotButton="0" quotePrefix="0" xfId="0">
      <alignment horizontal="left" vertical="top" wrapText="1"/>
    </xf>
    <xf numFmtId="0" fontId="2" fillId="0" borderId="1" applyAlignment="1" pivotButton="0" quotePrefix="0" xfId="0">
      <alignment horizontal="left" vertical="top" wrapText="1"/>
    </xf>
    <xf numFmtId="0" fontId="6" fillId="4" borderId="1" applyAlignment="1" pivotButton="0" quotePrefix="0" xfId="0">
      <alignment horizontal="left" vertical="center" wrapText="1"/>
    </xf>
    <xf numFmtId="0" fontId="6" fillId="5" borderId="1" applyAlignment="1" pivotButton="0" quotePrefix="0" xfId="0">
      <alignment horizontal="left" vertical="center" wrapText="1"/>
    </xf>
    <xf numFmtId="0" fontId="6" fillId="6" borderId="1" applyAlignment="1" pivotButton="0" quotePrefix="0" xfId="0">
      <alignment horizontal="left" vertical="center" wrapText="1"/>
    </xf>
    <xf numFmtId="0" fontId="1" fillId="2" borderId="0" applyAlignment="1" pivotButton="0" quotePrefix="0" xfId="0">
      <alignment horizontal="left" vertical="center" wrapText="1"/>
    </xf>
    <xf numFmtId="0" fontId="2" fillId="3" borderId="1" applyAlignment="1" pivotButton="0" quotePrefix="0" xfId="0">
      <alignment horizontal="left" vertical="top" wrapText="1"/>
    </xf>
    <xf numFmtId="0" fontId="7" fillId="7" borderId="0" applyAlignment="1" pivotButton="0" quotePrefix="0" xfId="0">
      <alignment horizontal="left" vertical="center" wrapText="1"/>
    </xf>
    <xf numFmtId="0" fontId="0" fillId="7" borderId="0" pivotButton="0" quotePrefix="0" xfId="0"/>
    <xf numFmtId="0" fontId="6" fillId="6" borderId="1" applyAlignment="1" pivotButton="0" quotePrefix="0" xfId="0">
      <alignment horizontal="left" vertical="top" wrapText="1"/>
    </xf>
    <xf numFmtId="0" fontId="2" fillId="6" borderId="1" applyAlignment="1" pivotButton="0" quotePrefix="0" xfId="0">
      <alignment horizontal="left" vertical="top" wrapText="1"/>
    </xf>
    <xf numFmtId="0" fontId="4" fillId="0" borderId="0" applyAlignment="1" pivotButton="0" quotePrefix="0" xfId="0">
      <alignment horizontal="left" vertical="top" wrapText="1"/>
    </xf>
    <xf numFmtId="0" fontId="4" fillId="0" borderId="0" applyAlignment="1" pivotButton="0" quotePrefix="0" xfId="0">
      <alignment horizontal="center" vertical="center" wrapText="1"/>
    </xf>
    <xf numFmtId="0" fontId="8" fillId="2" borderId="0" applyAlignment="1" pivotButton="0" quotePrefix="0" xfId="0">
      <alignment horizontal="left" vertical="center" wrapText="1"/>
    </xf>
    <xf numFmtId="0" fontId="1" fillId="2" borderId="1" applyAlignment="1" pivotButton="0" quotePrefix="0" xfId="0">
      <alignment horizontal="center" vertical="center" wrapText="1"/>
    </xf>
    <xf numFmtId="164" fontId="2" fillId="4" borderId="1" applyAlignment="1" applyProtection="1" pivotButton="0" quotePrefix="0" xfId="0">
      <alignment horizontal="center" vertical="center" wrapText="1"/>
      <protection locked="0" hidden="0"/>
    </xf>
    <xf numFmtId="0" fontId="9" fillId="0" borderId="1" applyAlignment="1" pivotButton="0" quotePrefix="0" xfId="0">
      <alignment horizontal="left" vertical="top" wrapText="1"/>
    </xf>
    <xf numFmtId="9" fontId="2" fillId="4" borderId="1" applyAlignment="1" applyProtection="1" pivotButton="0" quotePrefix="0" xfId="0">
      <alignment horizontal="center" vertical="center" wrapText="1"/>
      <protection locked="0" hidden="0"/>
    </xf>
    <xf numFmtId="0" fontId="2" fillId="4" borderId="1" applyAlignment="1" applyProtection="1" pivotButton="0" quotePrefix="0" xfId="0">
      <alignment horizontal="center" vertical="center" wrapText="1"/>
      <protection locked="0" hidden="0"/>
    </xf>
    <xf numFmtId="0" fontId="10" fillId="5" borderId="0" applyAlignment="1" pivotButton="0" quotePrefix="0" xfId="0">
      <alignment horizontal="left" vertical="center" wrapText="1"/>
    </xf>
    <xf numFmtId="0" fontId="0" fillId="5" borderId="0" pivotButton="0" quotePrefix="0" xfId="0"/>
    <xf numFmtId="165" fontId="2" fillId="4" borderId="1" applyAlignment="1" applyProtection="1" pivotButton="0" quotePrefix="0" xfId="0">
      <alignment horizontal="center" vertical="center" wrapText="1"/>
      <protection locked="0" hidden="0"/>
    </xf>
    <xf numFmtId="0" fontId="10" fillId="5" borderId="1" applyAlignment="1" pivotButton="0" quotePrefix="0" xfId="0">
      <alignment horizontal="left" vertical="center" wrapText="1"/>
    </xf>
    <xf numFmtId="9" fontId="10" fillId="5" borderId="1" applyAlignment="1" pivotButton="0" quotePrefix="0" xfId="0">
      <alignment horizontal="center" vertical="center" wrapText="1"/>
    </xf>
    <xf numFmtId="0" fontId="6" fillId="5" borderId="1" applyAlignment="1" pivotButton="0" quotePrefix="0" xfId="0">
      <alignment horizontal="left" vertical="top" wrapText="1"/>
    </xf>
    <xf numFmtId="164" fontId="7" fillId="5" borderId="1" applyAlignment="1" pivotButton="0" quotePrefix="0" xfId="0">
      <alignment horizontal="center" vertical="center" wrapText="1"/>
    </xf>
    <xf numFmtId="165" fontId="7" fillId="5" borderId="1" applyAlignment="1" pivotButton="0" quotePrefix="0" xfId="0">
      <alignment horizontal="center" vertical="center" wrapText="1"/>
    </xf>
    <xf numFmtId="0" fontId="9" fillId="3" borderId="1" applyAlignment="1" pivotButton="0" quotePrefix="0" xfId="0">
      <alignment horizontal="left" vertical="top" wrapText="1"/>
    </xf>
    <xf numFmtId="0" fontId="6" fillId="0" borderId="1" applyAlignment="1" pivotButton="0" quotePrefix="0" xfId="0">
      <alignment horizontal="left" vertical="top" wrapText="1"/>
    </xf>
    <xf numFmtId="0" fontId="9" fillId="8" borderId="1" applyAlignment="1" pivotButton="0" quotePrefix="0" xfId="0">
      <alignment horizontal="center" vertical="center" wrapText="1"/>
    </xf>
    <xf numFmtId="164" fontId="2" fillId="5" borderId="1" applyAlignment="1" pivotButton="0" quotePrefix="0" xfId="0">
      <alignment horizontal="center" vertical="center" wrapText="1"/>
    </xf>
    <xf numFmtId="166" fontId="2" fillId="4" borderId="1" applyAlignment="1" applyProtection="1" pivotButton="0" quotePrefix="0" xfId="0">
      <alignment horizontal="right" vertical="center"/>
      <protection locked="0" hidden="0"/>
    </xf>
    <xf numFmtId="166" fontId="2" fillId="5" borderId="1" applyAlignment="1" pivotButton="0" quotePrefix="0" xfId="0">
      <alignment horizontal="right" vertical="center"/>
    </xf>
    <xf numFmtId="166" fontId="10" fillId="5" borderId="1" applyAlignment="1" pivotButton="0" quotePrefix="0" xfId="0">
      <alignment horizontal="right" vertical="center"/>
    </xf>
    <xf numFmtId="0" fontId="9" fillId="6" borderId="1" applyAlignment="1" pivotButton="0" quotePrefix="0" xfId="0">
      <alignment horizontal="left" vertical="top" wrapText="1"/>
    </xf>
    <xf numFmtId="0" fontId="9" fillId="0" borderId="1" applyAlignment="1" pivotButton="0" quotePrefix="0" xfId="0">
      <alignment horizontal="center" vertical="center" wrapText="1"/>
    </xf>
    <xf numFmtId="0" fontId="6" fillId="4" borderId="1" applyAlignment="1" applyProtection="1" pivotButton="0" quotePrefix="0" xfId="0">
      <alignment horizontal="left" vertical="top" wrapText="1"/>
      <protection locked="0" hidden="0"/>
    </xf>
    <xf numFmtId="0" fontId="9" fillId="4" borderId="1" applyAlignment="1" applyProtection="1" pivotButton="0" quotePrefix="0" xfId="0">
      <alignment horizontal="left" vertical="top" wrapText="1"/>
      <protection locked="0" hidden="0"/>
    </xf>
    <xf numFmtId="0" fontId="9" fillId="4" borderId="1" applyAlignment="1" applyProtection="1" pivotButton="0" quotePrefix="0" xfId="0">
      <alignment horizontal="center" vertical="center" wrapText="1"/>
      <protection locked="0" hidden="0"/>
    </xf>
    <xf numFmtId="0" fontId="4" fillId="0" borderId="1" applyAlignment="1" pivotButton="0" quotePrefix="0" xfId="0">
      <alignment horizontal="left" vertical="top" wrapText="1"/>
    </xf>
    <xf numFmtId="0" fontId="10" fillId="5" borderId="1" applyAlignment="1" pivotButton="0" quotePrefix="0" xfId="0">
      <alignment horizontal="center" vertical="center" wrapText="1"/>
    </xf>
    <xf numFmtId="166" fontId="7" fillId="5" borderId="1" applyAlignment="1" pivotButton="0" quotePrefix="0" xfId="0">
      <alignment horizontal="right" vertical="center"/>
    </xf>
    <xf numFmtId="0" fontId="9" fillId="5" borderId="1" applyAlignment="1" pivotButton="0" quotePrefix="0" xfId="0">
      <alignment horizontal="left" vertical="center" wrapText="1"/>
    </xf>
    <xf numFmtId="0" fontId="2" fillId="4" borderId="1" applyAlignment="1" applyProtection="1" pivotButton="0" quotePrefix="0" xfId="0">
      <alignment horizontal="left" vertical="top" wrapText="1"/>
      <protection locked="0" hidden="0"/>
    </xf>
    <xf numFmtId="0" fontId="6" fillId="3" borderId="1" applyAlignment="1" pivotButton="0" quotePrefix="0" xfId="0">
      <alignment horizontal="left" vertical="center" wrapText="1"/>
    </xf>
    <xf numFmtId="166" fontId="2" fillId="0" borderId="1" applyAlignment="1" pivotButton="0" quotePrefix="0" xfId="0">
      <alignment horizontal="right" vertical="center"/>
    </xf>
    <xf numFmtId="9" fontId="2" fillId="0" borderId="1" applyAlignment="1" pivotButton="0" quotePrefix="0" xfId="0">
      <alignment horizontal="center" vertical="center" wrapText="1"/>
    </xf>
    <xf numFmtId="1" fontId="2" fillId="0" borderId="1" applyAlignment="1" pivotButton="0" quotePrefix="0" xfId="0">
      <alignment horizontal="center" vertical="center" wrapText="1"/>
    </xf>
    <xf numFmtId="0" fontId="7" fillId="5" borderId="1" applyAlignment="1" pivotButton="0" quotePrefix="0" xfId="0">
      <alignment horizontal="center" vertical="center" wrapText="1"/>
    </xf>
    <xf numFmtId="1" fontId="7" fillId="5" borderId="1" applyAlignment="1" pivotButton="0" quotePrefix="0" xfId="0">
      <alignment horizontal="center" vertical="center" wrapText="1"/>
    </xf>
    <xf numFmtId="166" fontId="7" fillId="5" borderId="1" applyAlignment="1" pivotButton="0" quotePrefix="0" xfId="0">
      <alignment horizontal="center" vertical="center" wrapText="1"/>
    </xf>
    <xf numFmtId="0" fontId="0" fillId="5" borderId="1" pivotButton="0" quotePrefix="0" xfId="0"/>
    <xf numFmtId="9" fontId="7" fillId="5" borderId="1" applyAlignment="1" pivotButton="0" quotePrefix="0" xfId="0">
      <alignment horizontal="center" vertical="center" wrapText="1"/>
    </xf>
    <xf numFmtId="0" fontId="2" fillId="0" borderId="1" applyAlignment="1" pivotButton="0" quotePrefix="0" xfId="0">
      <alignment horizontal="left" vertical="center" wrapText="1"/>
    </xf>
    <xf numFmtId="0" fontId="6"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5"/>
  <sheetViews>
    <sheetView showGridLines="0" workbookViewId="0">
      <selection activeCell="A1" sqref="A1"/>
    </sheetView>
  </sheetViews>
  <sheetFormatPr baseColWidth="8" defaultRowHeight="15"/>
  <cols>
    <col width="3" customWidth="1" min="1" max="1"/>
    <col width="52" customWidth="1" min="2" max="2"/>
    <col width="46" customWidth="1" min="3" max="3"/>
    <col width="3" customWidth="1" min="4" max="4"/>
  </cols>
  <sheetData>
    <row r="1"/>
    <row r="2" ht="24" customHeight="1">
      <c r="B2" s="1" t="inlineStr">
        <is>
          <t>Cafe Equipment Planner</t>
        </is>
      </c>
      <c r="C2" s="2" t="n"/>
    </row>
    <row r="3" ht="40" customHeight="1">
      <c r="B3" s="3" t="inlineStr">
        <is>
          <t>What a cafe needs is written up everywhere, and so are the prices. How many of each is not. This file works that out from your seats, your busiest day and your menu, then turns it into a budget from your own supplier quotes.</t>
        </is>
      </c>
    </row>
    <row r="4"/>
    <row r="5">
      <c r="B5" s="4" t="inlineStr">
        <is>
          <t>What this file does</t>
        </is>
      </c>
    </row>
    <row r="6">
      <c r="B6" s="5" t="inlineStr">
        <is>
          <t>1. You describe the cafe once on the Cafe Profile sheet: seats, cups a day, menu style.</t>
        </is>
      </c>
    </row>
    <row r="7">
      <c r="B7" s="5" t="inlineStr">
        <is>
          <t>2. The Equipment List works out how many of each item that comes to.</t>
        </is>
      </c>
    </row>
    <row r="8">
      <c r="B8" s="5" t="inlineStr">
        <is>
          <t>3. You enter up to three supplier quotes per line. The sheet takes the lowest.</t>
        </is>
      </c>
    </row>
    <row r="9">
      <c r="B9" s="5" t="inlineStr">
        <is>
          <t>4. The Budget Summary totals it by group, and splits opening-day spend from what can wait.</t>
        </is>
      </c>
    </row>
    <row r="10"/>
    <row r="11">
      <c r="B11" s="4" t="inlineStr">
        <is>
          <t>The sheets</t>
        </is>
      </c>
    </row>
    <row r="12">
      <c r="B12" s="6" t="inlineStr">
        <is>
          <t>Sheet</t>
        </is>
      </c>
      <c r="C12" s="6" t="inlineStr">
        <is>
          <t>What you do on it</t>
        </is>
      </c>
    </row>
    <row r="13" ht="27" customHeight="1">
      <c r="B13" s="7" t="inlineStr">
        <is>
          <t>1. Instructions</t>
        </is>
      </c>
      <c r="C13" s="8" t="inlineStr">
        <is>
          <t>This page. Read the two rules at the bottom before you order anything.</t>
        </is>
      </c>
    </row>
    <row r="14" ht="53" customHeight="1">
      <c r="B14" s="7" t="inlineStr">
        <is>
          <t>2. Cafe Profile</t>
        </is>
      </c>
      <c r="C14" s="8" t="inlineStr">
        <is>
          <t>Your inputs. Seats, cups on your busiest day, menu style, whether you cook on site, and the assumptions behind every quantity. Cream cells are yours to change.</t>
        </is>
      </c>
    </row>
    <row r="15" ht="66" customHeight="1">
      <c r="B15" s="7" t="inlineStr">
        <is>
          <t>3. Equipment List</t>
        </is>
      </c>
      <c r="C15" s="8" t="inlineStr">
        <is>
          <t>Every item, in nine groups. Suggested quantity is calculated; your quantity and your three quotes are yours to enter. Six blank rows at the bottom take anything the list does not carry.</t>
        </is>
      </c>
    </row>
    <row r="16" ht="66" customHeight="1">
      <c r="B16" s="7" t="inlineStr">
        <is>
          <t>4. Before You Buy</t>
        </is>
      </c>
      <c r="C16" s="8" t="inlineStr">
        <is>
          <t>Water, which the law treats as an ingredient, the scale rule if you sell beans by weight, the single-use plastics you may not buy at all, and the questions to put to a supplier.</t>
        </is>
      </c>
    </row>
    <row r="17" ht="27" customHeight="1">
      <c r="B17" s="7" t="inlineStr">
        <is>
          <t>5. Budget Summary</t>
        </is>
      </c>
      <c r="C17" s="8" t="inlineStr">
        <is>
          <t>Totals by group, day one against later, and what you still have not priced.</t>
        </is>
      </c>
    </row>
    <row r="18"/>
    <row r="19">
      <c r="B19" s="4" t="inlineStr">
        <is>
          <t>How to read the colours</t>
        </is>
      </c>
    </row>
    <row r="20" ht="27" customHeight="1">
      <c r="B20" s="9" t="inlineStr">
        <is>
          <t>Cream cells</t>
        </is>
      </c>
      <c r="C20" s="8" t="inlineStr">
        <is>
          <t>You type in these. Everything else is calculated or fixed.</t>
        </is>
      </c>
    </row>
    <row r="21" ht="27" customHeight="1">
      <c r="B21" s="10" t="inlineStr">
        <is>
          <t>Grey cells</t>
        </is>
      </c>
      <c r="C21" s="8" t="inlineStr">
        <is>
          <t>Calculated. Changing one breaks the arithmetic below it.</t>
        </is>
      </c>
    </row>
    <row r="22" ht="27" customHeight="1">
      <c r="B22" s="11" t="inlineStr">
        <is>
          <t>Amber rows</t>
        </is>
      </c>
      <c r="C22" s="8" t="inlineStr">
        <is>
          <t>Something needs checking before you pay, usually a legal one.</t>
        </is>
      </c>
    </row>
    <row r="23"/>
    <row r="24">
      <c r="B24" s="12" t="inlineStr">
        <is>
          <t>About the prices</t>
        </is>
      </c>
      <c r="C24" s="2" t="n"/>
    </row>
    <row r="25" ht="53" customHeight="1">
      <c r="B25" s="13" t="inlineStr">
        <is>
          <t>This file does not print a price band, because our own cafe equipment guide already does that properly, with ranges checked against vendor quotes from real cafe onboardings. Use it for the going rate. What that guide cannot do is tell you how many, or what your own suppliers will charge you. That is this file: three quote columns a line, lowest taken, totalled by group.</t>
        </is>
      </c>
    </row>
    <row r="26" ht="27" customHeight="1">
      <c r="B26" s="13" t="inlineStr">
        <is>
          <t>Get all three quotes on the same written specification, and say whether the price includes GST. Quotes arrive both ways, and three quotes written differently are not comparable.</t>
        </is>
      </c>
    </row>
    <row r="27"/>
    <row r="28">
      <c r="B28" s="14" t="inlineStr">
        <is>
          <t>Before you order: two rules a cafe equipment list will not carry</t>
        </is>
      </c>
      <c r="C28" s="15" t="n"/>
    </row>
    <row r="29" ht="132" customHeight="1">
      <c r="B29" s="16" t="inlineStr">
        <is>
          <t>Water is potable water, whichever tier you are on</t>
        </is>
      </c>
      <c r="C29" s="17" t="inlineStr">
        <is>
          <t>Registered as a petty food business? Part I of Schedule 4 applies: the water used must be potable and a continuous potable supply has to be ensured. Hold a licence? Part II applies and is stricter: only potable water may be used as an INGREDIENT in processing and cooking, which in a cafe is most of what is in the cup, and ice and steam in direct contact with food must be made from potable water too.</t>
        </is>
      </c>
    </row>
    <row r="30" ht="80" customHeight="1">
      <c r="B30" s="16" t="inlineStr">
        <is>
          <t>On a licence: the tank register</t>
        </is>
      </c>
      <c r="C30" s="17" t="inlineStr">
        <is>
          <t>Part II also requires water storage tanks to be cleaned periodically and records of the cleaning to be maintained in a register. Not just clean tanks, a register. Part I carries no tank and no register duty at all, so check your tier before you rely on either.</t>
        </is>
      </c>
    </row>
    <row r="31"/>
    <row r="32"/>
    <row r="33" ht="53" customHeight="1">
      <c r="B33" s="18" t="inlineStr">
        <is>
          <t>This workbook is a planning aid, not legal or tax advice. A cafe needs its FSSAI registration or licence and its local trade and shop licences before it opens, and conditions differ by state, so confirm yours with your licensing authority before you commit to an order. Your FSSAI tier also decides which part of Schedule 4 binds you, so settle that first.</t>
        </is>
      </c>
    </row>
    <row r="34"/>
    <row r="35">
      <c r="B35" s="19"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12">
    <mergeCell ref="B6:C6"/>
    <mergeCell ref="B24:C24"/>
    <mergeCell ref="B2:C2"/>
    <mergeCell ref="B7:C7"/>
    <mergeCell ref="B25:C25"/>
    <mergeCell ref="B33:C33"/>
    <mergeCell ref="B3:C3"/>
    <mergeCell ref="B28:C28"/>
    <mergeCell ref="B26:C26"/>
    <mergeCell ref="B9:C9"/>
    <mergeCell ref="B8:C8"/>
    <mergeCell ref="B35:C35"/>
  </mergeCells>
  <printOptions horizontalCentered="1"/>
  <pageMargins left="0.3" right="0.3" top="0.4" bottom="0.4"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40"/>
  <sheetViews>
    <sheetView showGridLines="0" workbookViewId="0">
      <pane ySplit="5" topLeftCell="A6" activePane="bottomLeft" state="frozen"/>
      <selection pane="bottomLeft" activeCell="A1" sqref="A1"/>
    </sheetView>
  </sheetViews>
  <sheetFormatPr baseColWidth="8" defaultRowHeight="15"/>
  <cols>
    <col width="3" customWidth="1" min="1" max="1"/>
    <col width="44" customWidth="1" min="2" max="2"/>
    <col width="16" customWidth="1" min="3" max="3"/>
    <col width="52" customWidth="1" min="4" max="4"/>
    <col width="3" customWidth="1" min="5" max="5"/>
  </cols>
  <sheetData>
    <row r="1"/>
    <row r="2" ht="22" customHeight="1">
      <c r="B2" s="20" t="inlineStr">
        <is>
          <t>Your cafe</t>
        </is>
      </c>
      <c r="C2" s="2" t="n"/>
      <c r="D2" s="2" t="n"/>
    </row>
    <row r="3">
      <c r="B3" s="3" t="inlineStr">
        <is>
          <t>Fill the cream cells. Everything on the Equipment List follows from these.</t>
        </is>
      </c>
    </row>
    <row r="4"/>
    <row r="5">
      <c r="B5" s="6" t="inlineStr">
        <is>
          <t>Input</t>
        </is>
      </c>
      <c r="C5" s="21" t="inlineStr">
        <is>
          <t>Your answer</t>
        </is>
      </c>
      <c r="D5" s="6" t="inlineStr">
        <is>
          <t>Why it matters</t>
        </is>
      </c>
    </row>
    <row r="6" ht="40" customHeight="1">
      <c r="B6" s="7" t="inlineStr">
        <is>
          <t>Seats inside the cafe</t>
        </is>
      </c>
      <c r="C6" s="22" t="n">
        <v>30</v>
      </c>
      <c r="D6" s="23" t="inlineStr">
        <is>
          <t>Drives crockery and furniture. A cup is always in one of three places during service: on a table, in the wash, or on the shelf.</t>
        </is>
      </c>
    </row>
    <row r="7" ht="40" customHeight="1">
      <c r="B7" s="7" t="inlineStr">
        <is>
          <t>Cups sold on your busiest day</t>
        </is>
      </c>
      <c r="C7" s="22" t="n">
        <v>250</v>
      </c>
      <c r="D7" s="23" t="inlineStr">
        <is>
          <t>The single most useful number here. It drives the machine, the grinder and the bean storage, and none of it works off seats alone.</t>
        </is>
      </c>
    </row>
    <row r="8" ht="40" customHeight="1">
      <c r="B8" s="7" t="inlineStr">
        <is>
          <t>Share of that day in your busiest hour</t>
        </is>
      </c>
      <c r="C8" s="24" t="n">
        <v>0.2</v>
      </c>
      <c r="D8" s="23" t="inlineStr">
        <is>
          <t>Equipment is sized for the peak hour, not the day. A fifth of the day landing in one hour is a normal morning rush.</t>
        </is>
      </c>
    </row>
    <row r="9" ht="40" customHeight="1">
      <c r="B9" s="7" t="inlineStr">
        <is>
          <t>Menu style</t>
        </is>
      </c>
      <c r="C9" s="25" t="inlineStr">
        <is>
          <t>Espresso led</t>
        </is>
      </c>
      <c r="D9" s="23" t="inlineStr">
        <is>
          <t>Sets the cup mix below, and whether you need a second grinder. A chai and filter counter needs nothing like an espresso bar's kit.</t>
        </is>
      </c>
    </row>
    <row r="10" ht="40" customHeight="1">
      <c r="B10" s="7" t="inlineStr">
        <is>
          <t>Food on the menu at all</t>
        </is>
      </c>
      <c r="C10" s="25" t="inlineStr">
        <is>
          <t>Yes</t>
        </is>
      </c>
      <c r="D10" s="23" t="inlineStr">
        <is>
          <t>Bought in or made here, it still has to be displayed and held cold. Answer No and the chiller, the microwave and the probe thermometer drop out.</t>
        </is>
      </c>
    </row>
    <row r="11" ht="53" customHeight="1">
      <c r="B11" s="7" t="inlineStr">
        <is>
          <t>Food cooked on site</t>
        </is>
      </c>
      <c r="C11" s="25" t="inlineStr">
        <is>
          <t>No</t>
        </is>
      </c>
      <c r="D11" s="23" t="inlineStr">
        <is>
          <t>The expensive half of the fork. Answer No and the whole Food and kitchen group drops to zero: no griller, no oven, no prep table, and no exhaust hood, which is building work rather than a purchase.</t>
        </is>
      </c>
    </row>
    <row r="12" ht="40" customHeight="1">
      <c r="B12" s="7" t="inlineStr">
        <is>
          <t>Takeaway share of cups</t>
        </is>
      </c>
      <c r="C12" s="24" t="n">
        <v>0.4</v>
      </c>
      <c r="D12" s="23" t="inlineStr">
        <is>
          <t>Takeaway goes in paper, which is a consumable and not on this list. Only the dine-in share needs crockery.</t>
        </is>
      </c>
    </row>
    <row r="13"/>
    <row r="14">
      <c r="B14" s="26" t="inlineStr">
        <is>
          <t>Assumptions you can change</t>
        </is>
      </c>
      <c r="C14" s="27" t="n"/>
      <c r="D14" s="27" t="n"/>
    </row>
    <row r="15" ht="27" customHeight="1">
      <c r="B15" s="18" t="inlineStr">
        <is>
          <t>Starting points, not benchmarks. Each one is visible so you can argue with it, and every quantity on the list moves when you do.</t>
        </is>
      </c>
    </row>
    <row r="16" ht="40" customHeight="1">
      <c r="B16" s="7" t="inlineStr">
        <is>
          <t>Cups per group head per hour</t>
        </is>
      </c>
      <c r="C16" s="22" t="n">
        <v>50</v>
      </c>
      <c r="D16" s="23" t="inlineStr">
        <is>
          <t>What one group head can realistically pull and serve in an hour, including milk. Drop it if your drinks are slow or your barista is new.</t>
        </is>
      </c>
    </row>
    <row r="17" ht="40" customHeight="1">
      <c r="B17" s="7" t="inlineStr">
        <is>
          <t>Cup sets to stock per seat</t>
        </is>
      </c>
      <c r="C17" s="28" t="n">
        <v>3</v>
      </c>
      <c r="D17" s="23" t="inlineStr">
        <is>
          <t>Three covers the table, the wash and the shelf. Drop it to two only if you wash mid-service and can prove it.</t>
        </is>
      </c>
    </row>
    <row r="18" ht="27" customHeight="1">
      <c r="B18" s="7" t="inlineStr">
        <is>
          <t>Spares and breakage buffer</t>
        </is>
      </c>
      <c r="C18" s="24" t="n">
        <v>0.1</v>
      </c>
      <c r="D18" s="23" t="inlineStr">
        <is>
          <t>Crockery is a consumable. Chipped rims get binned, and a chipped rim is a hygiene point.</t>
        </is>
      </c>
    </row>
    <row r="19" ht="40" customHeight="1">
      <c r="B19" s="7" t="inlineStr">
        <is>
          <t>Beans per cup (grams)</t>
        </is>
      </c>
      <c r="C19" s="22" t="n">
        <v>18</v>
      </c>
      <c r="D19" s="23" t="inlineStr">
        <is>
          <t>A double shot is around 18 g. Set it from your own recipe. It sizes the grinder and the bean storage, not the machine.</t>
        </is>
      </c>
    </row>
    <row r="20"/>
    <row r="21">
      <c r="B21" s="26" t="inlineStr">
        <is>
          <t>Your cup mix</t>
        </is>
      </c>
      <c r="C21" s="27" t="n"/>
      <c r="D21" s="27" t="n"/>
    </row>
    <row r="22" ht="40" customHeight="1">
      <c r="B22" s="18" t="inlineStr">
        <is>
          <t>Crockery is the one group you cannot copy from another cafe. Your menu decides it. The split below starts from your menu style and re-balances itself to 100% if a shape drops out, so overwrite it with your own once the drinks list is fixed. If you do type your own, they need to add to 100%.</t>
        </is>
      </c>
    </row>
    <row r="23" ht="27" customHeight="1">
      <c r="B23" s="6" t="inlineStr">
        <is>
          <t>Cup or glass</t>
        </is>
      </c>
      <c r="C23" s="21" t="inlineStr">
        <is>
          <t>Share of drinks</t>
        </is>
      </c>
      <c r="D23" s="6" t="inlineStr">
        <is>
          <t>What it is for</t>
        </is>
      </c>
    </row>
    <row r="24">
      <c r="B24" s="7" t="inlineStr">
        <is>
          <t>Chai or filter coffee glass</t>
        </is>
      </c>
      <c r="C24" s="24">
        <f>IFERROR(Lists!$C$2/Lists!$C$8,0)</f>
        <v/>
      </c>
      <c r="D24" s="23" t="inlineStr">
        <is>
          <t>The cutting glass or the filter tumbler</t>
        </is>
      </c>
    </row>
    <row r="25">
      <c r="B25" s="7" t="inlineStr">
        <is>
          <t>Espresso cup</t>
        </is>
      </c>
      <c r="C25" s="24">
        <f>IFERROR(Lists!$C$3/Lists!$C$8,0)</f>
        <v/>
      </c>
      <c r="D25" s="23" t="inlineStr">
        <is>
          <t>Single and double shots, served short</t>
        </is>
      </c>
    </row>
    <row r="26">
      <c r="B26" s="7" t="inlineStr">
        <is>
          <t>Cappuccino cup</t>
        </is>
      </c>
      <c r="C26" s="24">
        <f>IFERROR(Lists!$C$4/Lists!$C$8,0)</f>
        <v/>
      </c>
      <c r="D26" s="23" t="inlineStr">
        <is>
          <t>The default milk drink</t>
        </is>
      </c>
    </row>
    <row r="27">
      <c r="B27" s="7" t="inlineStr">
        <is>
          <t>Latte or tall mug</t>
        </is>
      </c>
      <c r="C27" s="24">
        <f>IFERROR(Lists!$C$5/Lists!$C$8,0)</f>
        <v/>
      </c>
      <c r="D27" s="23" t="inlineStr">
        <is>
          <t>Longer milk drinks</t>
        </is>
      </c>
    </row>
    <row r="28">
      <c r="B28" s="7" t="inlineStr">
        <is>
          <t>Cold beverage glass</t>
        </is>
      </c>
      <c r="C28" s="24">
        <f>IFERROR(Lists!$C$6/Lists!$C$8,0)</f>
        <v/>
      </c>
      <c r="D28" s="23" t="inlineStr">
        <is>
          <t>Iced coffee, coolers, shakes</t>
        </is>
      </c>
    </row>
    <row r="29">
      <c r="B29" s="7" t="inlineStr">
        <is>
          <t>Water glass</t>
        </is>
      </c>
      <c r="C29" s="24">
        <f>IFERROR(Lists!$C$7/Lists!$C$8,0)</f>
        <v/>
      </c>
      <c r="D29" s="23" t="inlineStr">
        <is>
          <t>Served alongside, and more often than you plan for</t>
        </is>
      </c>
    </row>
    <row r="30" ht="27" customHeight="1">
      <c r="B30" s="29" t="inlineStr">
        <is>
          <t>Total</t>
        </is>
      </c>
      <c r="C30" s="30">
        <f>SUM(C24:C29)</f>
        <v/>
      </c>
      <c r="D30" s="23" t="inlineStr">
        <is>
          <t>If this is not 100%, your crockery quantities are under or over stated by the same margin.</t>
        </is>
      </c>
    </row>
    <row r="31"/>
    <row r="32">
      <c r="B32" s="12" t="inlineStr">
        <is>
          <t>What this works out to</t>
        </is>
      </c>
      <c r="C32" s="2" t="n"/>
      <c r="D32" s="2" t="n"/>
    </row>
    <row r="33">
      <c r="B33" s="6" t="inlineStr">
        <is>
          <t>Figure</t>
        </is>
      </c>
      <c r="C33" s="21" t="inlineStr">
        <is>
          <t>Value</t>
        </is>
      </c>
      <c r="D33" s="6" t="inlineStr">
        <is>
          <t>How it is worked out</t>
        </is>
      </c>
    </row>
    <row r="34" ht="27" customHeight="1">
      <c r="B34" s="31" t="inlineStr">
        <is>
          <t>Cups in your busiest hour</t>
        </is>
      </c>
      <c r="C34" s="32">
        <f>ROUND('Cafe Profile'!$C$7*'Cafe Profile'!$C$8,0)</f>
        <v/>
      </c>
      <c r="D34" s="23" t="inlineStr">
        <is>
          <t>The day's cups multiplied by the share landing in the peak hour.</t>
        </is>
      </c>
    </row>
    <row r="35" ht="40" customHeight="1">
      <c r="B35" s="31" t="inlineStr">
        <is>
          <t>Group heads you need</t>
        </is>
      </c>
      <c r="C35" s="32">
        <f>MAX(1,ROUNDUP('Cafe Profile'!$C$7*'Cafe Profile'!$C$8/MAX('Cafe Profile'!$C$16,1),0))</f>
        <v/>
      </c>
      <c r="D35" s="23" t="inlineStr">
        <is>
          <t>Peak-hour cups divided by what one group head can serve. This is what decides a one-group machine against a two-group.</t>
        </is>
      </c>
    </row>
    <row r="36" ht="40" customHeight="1">
      <c r="B36" s="31" t="inlineStr">
        <is>
          <t>Beans on your busiest day (kg)</t>
        </is>
      </c>
      <c r="C36" s="33">
        <f>ROUND('Cafe Profile'!$C$7*(1-'Cafe Profile'!$C$24-'Cafe Profile'!$C$29)*'Cafe Profile'!$C$19/1000,1)</f>
        <v/>
      </c>
      <c r="D36" s="23" t="inlineStr">
        <is>
          <t>Coffee cups multiplied by your dose. Chai and water are taken out. It sizes the grinder and the bean storage.</t>
        </is>
      </c>
    </row>
    <row r="37" ht="53" customHeight="1">
      <c r="B37" s="31" t="inlineStr">
        <is>
          <t>Crockery to stock</t>
        </is>
      </c>
      <c r="C37" s="32">
        <f>ROUNDUP('Cafe Profile'!$C$6*'Cafe Profile'!$C$17*(1-'Cafe Profile'!$C$12)*'Cafe Profile'!$C$24*(1+'Cafe Profile'!$C$18),0)+ROUNDUP('Cafe Profile'!$C$6*'Cafe Profile'!$C$17*(1-'Cafe Profile'!$C$12)*'Cafe Profile'!$C$25*(1+'Cafe Profile'!$C$18),0)+ROUNDUP('Cafe Profile'!$C$6*'Cafe Profile'!$C$17*(1-'Cafe Profile'!$C$12)*'Cafe Profile'!$C$26*(1+'Cafe Profile'!$C$18),0)+ROUNDUP('Cafe Profile'!$C$6*'Cafe Profile'!$C$17*(1-'Cafe Profile'!$C$12)*'Cafe Profile'!$C$27*(1+'Cafe Profile'!$C$18),0)+ROUNDUP('Cafe Profile'!$C$6*'Cafe Profile'!$C$17*(1-'Cafe Profile'!$C$12)*'Cafe Profile'!$C$28*(1+'Cafe Profile'!$C$18),0)+ROUNDUP('Cafe Profile'!$C$6*'Cafe Profile'!$C$17*(1-'Cafe Profile'!$C$12)*'Cafe Profile'!$C$29*(1+'Cafe Profile'!$C$18),0)</f>
        <v/>
      </c>
      <c r="D37" s="23" t="inlineStr">
        <is>
          <t>Each shape sized from seats, sets per seat, the dine-in share and its own share, then rounded up and added. The same arithmetic the crockery lines use, so the two sheets agree.</t>
        </is>
      </c>
    </row>
    <row r="38"/>
    <row r="39"/>
    <row r="40">
      <c r="B40" s="19"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8">
    <mergeCell ref="B3:D3"/>
    <mergeCell ref="B14:D14"/>
    <mergeCell ref="B22:D22"/>
    <mergeCell ref="B32:D32"/>
    <mergeCell ref="B40:D40"/>
    <mergeCell ref="B21:D21"/>
    <mergeCell ref="B15:D15"/>
    <mergeCell ref="B2:D2"/>
  </mergeCells>
  <dataValidations count="4">
    <dataValidation sqref="C9" showDropDown="0" showInputMessage="0" showErrorMessage="1" allowBlank="0" errorTitle="Pick from the list" error="Choose one of the three menu styles from the dropdown. Anything typed by hand is read as Espresso led." type="list" errorStyle="stop">
      <formula1>=Lists!$A$2:$A$4</formula1>
    </dataValidation>
    <dataValidation sqref="C10 C11" showDropDown="0" showInputMessage="0" showErrorMessage="1" allowBlank="0" errorTitle="Yes or No" error="Pick Yes or No from the dropdown. A typed N or Y is not read." type="list" errorStyle="stop">
      <formula1>=Lists!$A$7:$A$8</formula1>
    </dataValidation>
    <dataValidation sqref="C6 C12 C17 C18" showDropDown="0" showInputMessage="0" showErrorMessage="1" allowBlank="0" errorTitle="Numbers only" error="Enter a number of zero or more." type="decimal" errorStyle="stop" operator="greaterThanOrEqual">
      <formula1>0</formula1>
    </dataValidation>
    <dataValidation sqref="C7 C8 C16 C19" showDropDown="0" showInputMessage="0" showErrorMessage="1" allowBlank="0" errorTitle="More than zero" error="This one has to be more than zero. The group heads and everything sized from them are worked out from it, so a zero here gives you a plan that looks right and is not." type="decimal" errorStyle="stop" operator="greaterThan">
      <formula1>0</formula1>
    </dataValidation>
  </dataValidations>
  <printOptions horizontalCentered="1"/>
  <pageMargins left="0.3" right="0.3" top="0.4" bottom="0.4"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M86"/>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3" customWidth="1" min="1" max="1"/>
    <col width="18" customWidth="1" min="2" max="2"/>
    <col width="30" customWidth="1" min="3" max="3"/>
    <col width="44" customWidth="1" min="4" max="4"/>
    <col width="10" customWidth="1" min="5" max="5"/>
    <col width="11" customWidth="1" min="6" max="6"/>
    <col width="10" customWidth="1" min="7" max="7"/>
    <col width="13" customWidth="1" min="8" max="8"/>
    <col width="13" customWidth="1" min="9" max="9"/>
    <col width="13" customWidth="1" min="10" max="10"/>
    <col width="13" customWidth="1" min="11" max="11"/>
    <col width="14" customWidth="1" min="12" max="12"/>
    <col width="26" customWidth="1" min="13" max="13"/>
    <col width="3" customWidth="1" min="14" max="14"/>
  </cols>
  <sheetData>
    <row r="1"/>
    <row r="2" ht="22" customHeight="1">
      <c r="B2" s="20" t="inlineStr">
        <is>
          <t>Equipment list, quantities and quotes</t>
        </is>
      </c>
      <c r="C2" s="2" t="n"/>
      <c r="D2" s="2" t="n"/>
      <c r="E2" s="2" t="n"/>
      <c r="F2" s="2" t="n"/>
      <c r="G2" s="2" t="n"/>
      <c r="H2" s="2" t="n"/>
      <c r="I2" s="2" t="n"/>
      <c r="J2" s="2" t="n"/>
      <c r="K2" s="2" t="n"/>
      <c r="L2" s="2" t="n"/>
      <c r="M2" s="2" t="n"/>
    </row>
    <row r="3" ht="27" customHeight="1">
      <c r="B3" s="3" t="inlineStr">
        <is>
          <t>Suggested quantity is calculated from the Cafe Profile. Override it in Your qty whenever you know better. The totals follow Your qty, not the suggestion. Leave a line at zero to drop it from the budget. Where the Check column cites Part II or Part V, that duty sits on the licence tier; Part I, for registered petty businesses, is shorter. The Before You Buy sheet sets out which part binds you.</t>
        </is>
      </c>
    </row>
    <row r="4"/>
    <row r="5" ht="30" customHeight="1">
      <c r="B5" s="21" t="inlineStr">
        <is>
          <t>Group</t>
        </is>
      </c>
      <c r="C5" s="21" t="inlineStr">
        <is>
          <t>Item</t>
        </is>
      </c>
      <c r="D5" s="21" t="inlineStr">
        <is>
          <t>What to insist on</t>
        </is>
      </c>
      <c r="E5" s="21" t="inlineStr">
        <is>
          <t>Day one</t>
        </is>
      </c>
      <c r="F5" s="21" t="inlineStr">
        <is>
          <t>Suggested qty</t>
        </is>
      </c>
      <c r="G5" s="21" t="inlineStr">
        <is>
          <t>Your qty</t>
        </is>
      </c>
      <c r="H5" s="21" t="inlineStr">
        <is>
          <t>Quote 1 (₹/unit)</t>
        </is>
      </c>
      <c r="I5" s="21" t="inlineStr">
        <is>
          <t>Quote 2 (₹/unit)</t>
        </is>
      </c>
      <c r="J5" s="21" t="inlineStr">
        <is>
          <t>Quote 3 (₹/unit)</t>
        </is>
      </c>
      <c r="K5" s="21" t="inlineStr">
        <is>
          <t>Best quote</t>
        </is>
      </c>
      <c r="L5" s="21" t="inlineStr">
        <is>
          <t>Line total</t>
        </is>
      </c>
      <c r="M5" s="21" t="inlineStr">
        <is>
          <t>Check before you pay</t>
        </is>
      </c>
    </row>
    <row r="6" ht="53" customHeight="1">
      <c r="B6" s="34" t="inlineStr">
        <is>
          <t>Brewing</t>
        </is>
      </c>
      <c r="C6" s="35" t="inlineStr">
        <is>
          <t>Espresso machine</t>
        </is>
      </c>
      <c r="D6" s="23" t="inlineStr">
        <is>
          <t>Match the group heads to the Cafe Profile figure, not to the showroom. Ask what the boiler recovers at, because recovery is what fails in a rush, not power.</t>
        </is>
      </c>
      <c r="E6" s="36" t="inlineStr">
        <is>
          <t>Day one</t>
        </is>
      </c>
      <c r="F6" s="37">
        <f>IF('Cafe Profile'!$C$9="Chai and filter led",0,1)</f>
        <v/>
      </c>
      <c r="G6" s="22">
        <f>F6</f>
        <v/>
      </c>
      <c r="H6" s="38" t="n"/>
      <c r="I6" s="38" t="n"/>
      <c r="J6" s="38" t="n"/>
      <c r="K6" s="39">
        <f>IF(COUNTIF(H6:J6,"&gt;0")=0,"",MIN(IF(AND(ISNUMBER(H6),H6&gt;0),H6,9E+99),IF(AND(ISNUMBER(I6),I6&gt;0),I6,9E+99),IF(AND(ISNUMBER(J6),J6&gt;0),J6,9E+99)))</f>
        <v/>
      </c>
      <c r="L6" s="40">
        <f>IFERROR(G6*K6,"")</f>
        <v/>
      </c>
      <c r="M6" s="41" t="inlineStr">
        <is>
          <t>Sized from the group-head figure on the Cafe Profile.</t>
        </is>
      </c>
    </row>
    <row r="7" ht="40" customHeight="1">
      <c r="B7" s="34" t="inlineStr">
        <is>
          <t>Brewing</t>
        </is>
      </c>
      <c r="C7" s="35" t="inlineStr">
        <is>
          <t>Portafilters, spare</t>
        </is>
      </c>
      <c r="D7" s="23" t="inlineStr">
        <is>
          <t>Two per group head so one is always knocked out and clean. Machines ship with one each.</t>
        </is>
      </c>
      <c r="E7" s="36" t="inlineStr">
        <is>
          <t>Day one</t>
        </is>
      </c>
      <c r="F7" s="37">
        <f>2*'Cafe Profile'!$C$35*IF('Cafe Profile'!$C$9="Chai and filter led",0,1)</f>
        <v/>
      </c>
      <c r="G7" s="22">
        <f>F7</f>
        <v/>
      </c>
      <c r="H7" s="38" t="n"/>
      <c r="I7" s="38" t="n"/>
      <c r="J7" s="38" t="n"/>
      <c r="K7" s="39">
        <f>IF(COUNTIF(H7:J7,"&gt;0")=0,"",MIN(IF(AND(ISNUMBER(H7),H7&gt;0),H7,9E+99),IF(AND(ISNUMBER(I7),I7&gt;0),I7,9E+99),IF(AND(ISNUMBER(J7),J7&gt;0),J7,9E+99)))</f>
        <v/>
      </c>
      <c r="L7" s="40">
        <f>IFERROR(G7*K7,"")</f>
        <v/>
      </c>
      <c r="M7" s="23" t="inlineStr"/>
    </row>
    <row r="8" ht="27" customHeight="1">
      <c r="B8" s="34" t="inlineStr">
        <is>
          <t>Brewing</t>
        </is>
      </c>
      <c r="C8" s="35" t="inlineStr">
        <is>
          <t>Tamper, calibrated</t>
        </is>
      </c>
      <c r="D8" s="23" t="inlineStr">
        <is>
          <t>Sized to your basket. A tamper that is a millimetre small channels every shot.</t>
        </is>
      </c>
      <c r="E8" s="36" t="inlineStr">
        <is>
          <t>Day one</t>
        </is>
      </c>
      <c r="F8" s="37">
        <f>1*IF('Cafe Profile'!$C$9="Chai and filter led",0,1)</f>
        <v/>
      </c>
      <c r="G8" s="22">
        <f>F8</f>
        <v/>
      </c>
      <c r="H8" s="38" t="n"/>
      <c r="I8" s="38" t="n"/>
      <c r="J8" s="38" t="n"/>
      <c r="K8" s="39">
        <f>IF(COUNTIF(H8:J8,"&gt;0")=0,"",MIN(IF(AND(ISNUMBER(H8),H8&gt;0),H8,9E+99),IF(AND(ISNUMBER(I8),I8&gt;0),I8,9E+99),IF(AND(ISNUMBER(J8),J8&gt;0),J8,9E+99)))</f>
        <v/>
      </c>
      <c r="L8" s="40">
        <f>IFERROR(G8*K8,"")</f>
        <v/>
      </c>
      <c r="M8" s="23" t="inlineStr"/>
    </row>
    <row r="9" ht="27" customHeight="1">
      <c r="B9" s="34" t="inlineStr">
        <is>
          <t>Brewing</t>
        </is>
      </c>
      <c r="C9" s="35" t="inlineStr">
        <is>
          <t>Tamping mat and corner</t>
        </is>
      </c>
      <c r="D9" s="23" t="inlineStr">
        <is>
          <t>Saves the counter edge, which is the first thing to chip.</t>
        </is>
      </c>
      <c r="E9" s="36" t="inlineStr">
        <is>
          <t>Day one</t>
        </is>
      </c>
      <c r="F9" s="37">
        <f>1*IF('Cafe Profile'!$C$9="Chai and filter led",0,1)</f>
        <v/>
      </c>
      <c r="G9" s="22">
        <f>F9</f>
        <v/>
      </c>
      <c r="H9" s="38" t="n"/>
      <c r="I9" s="38" t="n"/>
      <c r="J9" s="38" t="n"/>
      <c r="K9" s="39">
        <f>IF(COUNTIF(H9:J9,"&gt;0")=0,"",MIN(IF(AND(ISNUMBER(H9),H9&gt;0),H9,9E+99),IF(AND(ISNUMBER(I9),I9&gt;0),I9,9E+99),IF(AND(ISNUMBER(J9),J9&gt;0),J9,9E+99)))</f>
        <v/>
      </c>
      <c r="L9" s="40">
        <f>IFERROR(G9*K9,"")</f>
        <v/>
      </c>
      <c r="M9" s="23" t="inlineStr"/>
    </row>
    <row r="10" ht="27" customHeight="1">
      <c r="B10" s="34" t="inlineStr">
        <is>
          <t>Brewing</t>
        </is>
      </c>
      <c r="C10" s="35" t="inlineStr">
        <is>
          <t>Knock box</t>
        </is>
      </c>
      <c r="D10" s="23" t="inlineStr">
        <is>
          <t>Under the counter or in it. A bin liner full of wet grounds splits.</t>
        </is>
      </c>
      <c r="E10" s="36" t="inlineStr">
        <is>
          <t>Day one</t>
        </is>
      </c>
      <c r="F10" s="37">
        <f>1*IF('Cafe Profile'!$C$9="Chai and filter led",0,1)</f>
        <v/>
      </c>
      <c r="G10" s="22">
        <f>F10</f>
        <v/>
      </c>
      <c r="H10" s="38" t="n"/>
      <c r="I10" s="38" t="n"/>
      <c r="J10" s="38" t="n"/>
      <c r="K10" s="39">
        <f>IF(COUNTIF(H10:J10,"&gt;0")=0,"",MIN(IF(AND(ISNUMBER(H10),H10&gt;0),H10,9E+99),IF(AND(ISNUMBER(I10),I10&gt;0),I10,9E+99),IF(AND(ISNUMBER(J10),J10&gt;0),J10,9E+99)))</f>
        <v/>
      </c>
      <c r="L10" s="40">
        <f>IFERROR(G10*K10,"")</f>
        <v/>
      </c>
      <c r="M10" s="23" t="inlineStr"/>
    </row>
    <row r="11" ht="27" customHeight="1">
      <c r="B11" s="34" t="inlineStr">
        <is>
          <t>Brewing</t>
        </is>
      </c>
      <c r="C11" s="35" t="inlineStr">
        <is>
          <t>Bench scale for dialling in</t>
        </is>
      </c>
      <c r="D11" s="23" t="inlineStr">
        <is>
          <t>Reads to 0.1 g. Dialling in by eye is how a bag of beans is wasted.</t>
        </is>
      </c>
      <c r="E11" s="36" t="inlineStr">
        <is>
          <t>Day one</t>
        </is>
      </c>
      <c r="F11" s="37">
        <f>1*IF('Cafe Profile'!$C$9="Chai and filter led",0,1)</f>
        <v/>
      </c>
      <c r="G11" s="22">
        <f>F11</f>
        <v/>
      </c>
      <c r="H11" s="38" t="n"/>
      <c r="I11" s="38" t="n"/>
      <c r="J11" s="38" t="n"/>
      <c r="K11" s="39">
        <f>IF(COUNTIF(H11:J11,"&gt;0")=0,"",MIN(IF(AND(ISNUMBER(H11),H11&gt;0),H11,9E+99),IF(AND(ISNUMBER(I11),I11&gt;0),I11,9E+99),IF(AND(ISNUMBER(J11),J11&gt;0),J11,9E+99)))</f>
        <v/>
      </c>
      <c r="L11" s="40">
        <f>IFERROR(G11*K11,"")</f>
        <v/>
      </c>
      <c r="M11" s="23" t="inlineStr"/>
    </row>
    <row r="12" ht="27" customHeight="1">
      <c r="B12" s="34" t="inlineStr">
        <is>
          <t>Brewing</t>
        </is>
      </c>
      <c r="C12" s="35" t="inlineStr">
        <is>
          <t>Filter or pour-over station</t>
        </is>
      </c>
      <c r="D12" s="23" t="inlineStr">
        <is>
          <t>Only if the menu carries brewed coffee. A specialty menu usually does.</t>
        </is>
      </c>
      <c r="E12" s="42" t="inlineStr">
        <is>
          <t>Later</t>
        </is>
      </c>
      <c r="F12" s="37">
        <f>1*IF('Cafe Profile'!$C$9="Specialty with food",1,0)</f>
        <v/>
      </c>
      <c r="G12" s="22">
        <f>F12</f>
        <v/>
      </c>
      <c r="H12" s="38" t="n"/>
      <c r="I12" s="38" t="n"/>
      <c r="J12" s="38" t="n"/>
      <c r="K12" s="39">
        <f>IF(COUNTIF(H12:J12,"&gt;0")=0,"",MIN(IF(AND(ISNUMBER(H12),H12&gt;0),H12,9E+99),IF(AND(ISNUMBER(I12),I12&gt;0),I12,9E+99),IF(AND(ISNUMBER(J12),J12&gt;0),J12,9E+99)))</f>
        <v/>
      </c>
      <c r="L12" s="40">
        <f>IFERROR(G12*K12,"")</f>
        <v/>
      </c>
      <c r="M12" s="23" t="inlineStr"/>
    </row>
    <row r="13" ht="27" customHeight="1">
      <c r="B13" s="34" t="inlineStr">
        <is>
          <t>Brewing</t>
        </is>
      </c>
      <c r="C13" s="35" t="inlineStr">
        <is>
          <t>Electric kettle, temperature controlled</t>
        </is>
      </c>
      <c r="D13" s="23" t="inlineStr">
        <is>
          <t>For pour-over, and for tea that is not boiled to death.</t>
        </is>
      </c>
      <c r="E13" s="36" t="inlineStr">
        <is>
          <t>Day one</t>
        </is>
      </c>
      <c r="F13" s="37">
        <f>1</f>
        <v/>
      </c>
      <c r="G13" s="22">
        <f>F13</f>
        <v/>
      </c>
      <c r="H13" s="38" t="n"/>
      <c r="I13" s="38" t="n"/>
      <c r="J13" s="38" t="n"/>
      <c r="K13" s="39">
        <f>IF(COUNTIF(H13:J13,"&gt;0")=0,"",MIN(IF(AND(ISNUMBER(H13),H13&gt;0),H13,9E+99),IF(AND(ISNUMBER(I13),I13&gt;0),I13,9E+99),IF(AND(ISNUMBER(J13),J13&gt;0),J13,9E+99)))</f>
        <v/>
      </c>
      <c r="L13" s="40">
        <f>IFERROR(G13*K13,"")</f>
        <v/>
      </c>
      <c r="M13" s="23" t="inlineStr"/>
    </row>
    <row r="14" ht="27" customHeight="1">
      <c r="B14" s="34" t="inlineStr">
        <is>
          <t>Brewing</t>
        </is>
      </c>
      <c r="C14" s="35" t="inlineStr">
        <is>
          <t>Tea and chai urn or induction cooktop</t>
        </is>
      </c>
      <c r="D14" s="23" t="inlineStr">
        <is>
          <t>The chai counter's equivalent of the espresso machine.</t>
        </is>
      </c>
      <c r="E14" s="36" t="inlineStr">
        <is>
          <t>Day one</t>
        </is>
      </c>
      <c r="F14" s="37">
        <f>2*IF('Cafe Profile'!$C$9="Chai and filter led",1,0)</f>
        <v/>
      </c>
      <c r="G14" s="22">
        <f>F14</f>
        <v/>
      </c>
      <c r="H14" s="38" t="n"/>
      <c r="I14" s="38" t="n"/>
      <c r="J14" s="38" t="n"/>
      <c r="K14" s="39">
        <f>IF(COUNTIF(H14:J14,"&gt;0")=0,"",MIN(IF(AND(ISNUMBER(H14),H14&gt;0),H14,9E+99),IF(AND(ISNUMBER(I14),I14&gt;0),I14,9E+99),IF(AND(ISNUMBER(J14),J14&gt;0),J14,9E+99)))</f>
        <v/>
      </c>
      <c r="L14" s="40">
        <f>IFERROR(G14*K14,"")</f>
        <v/>
      </c>
      <c r="M14" s="23" t="inlineStr"/>
    </row>
    <row r="15" ht="27" customHeight="1">
      <c r="B15" s="34" t="inlineStr">
        <is>
          <t>Brewing</t>
        </is>
      </c>
      <c r="C15" s="35" t="inlineStr">
        <is>
          <t>South Indian filter or decoction vessels</t>
        </is>
      </c>
      <c r="D15" s="23" t="inlineStr">
        <is>
          <t>Only on a filter coffee menu.</t>
        </is>
      </c>
      <c r="E15" s="42" t="inlineStr">
        <is>
          <t>Later</t>
        </is>
      </c>
      <c r="F15" s="37">
        <f>2*IF('Cafe Profile'!$C$9="Chai and filter led",1,0)</f>
        <v/>
      </c>
      <c r="G15" s="22">
        <f>F15</f>
        <v/>
      </c>
      <c r="H15" s="38" t="n"/>
      <c r="I15" s="38" t="n"/>
      <c r="J15" s="38" t="n"/>
      <c r="K15" s="39">
        <f>IF(COUNTIF(H15:J15,"&gt;0")=0,"",MIN(IF(AND(ISNUMBER(H15),H15&gt;0),H15,9E+99),IF(AND(ISNUMBER(I15),I15&gt;0),I15,9E+99),IF(AND(ISNUMBER(J15),J15&gt;0),J15,9E+99)))</f>
        <v/>
      </c>
      <c r="L15" s="40">
        <f>IFERROR(G15*K15,"")</f>
        <v/>
      </c>
      <c r="M15" s="23" t="inlineStr"/>
    </row>
    <row r="16" ht="53" customHeight="1">
      <c r="B16" s="34" t="inlineStr">
        <is>
          <t>Grinding</t>
        </is>
      </c>
      <c r="C16" s="35" t="inlineStr">
        <is>
          <t>Espresso grinder, on demand</t>
        </is>
      </c>
      <c r="D16" s="23" t="inlineStr">
        <is>
          <t>Spend here before you spend on the machine. The grinder decides the shot more than the machine does. Burr size and a stepless adjustment are what you are paying for.</t>
        </is>
      </c>
      <c r="E16" s="36" t="inlineStr">
        <is>
          <t>Day one</t>
        </is>
      </c>
      <c r="F16" s="37">
        <f>1*IF('Cafe Profile'!$C$9="Chai and filter led",0,1)</f>
        <v/>
      </c>
      <c r="G16" s="22">
        <f>F16</f>
        <v/>
      </c>
      <c r="H16" s="38" t="n"/>
      <c r="I16" s="38" t="n"/>
      <c r="J16" s="38" t="n"/>
      <c r="K16" s="39">
        <f>IF(COUNTIF(H16:J16,"&gt;0")=0,"",MIN(IF(AND(ISNUMBER(H16),H16&gt;0),H16,9E+99),IF(AND(ISNUMBER(I16),I16&gt;0),I16,9E+99),IF(AND(ISNUMBER(J16),J16&gt;0),J16,9E+99)))</f>
        <v/>
      </c>
      <c r="L16" s="40">
        <f>IFERROR(G16*K16,"")</f>
        <v/>
      </c>
      <c r="M16" s="23" t="inlineStr"/>
    </row>
    <row r="17" ht="27" customHeight="1">
      <c r="B17" s="34" t="inlineStr">
        <is>
          <t>Grinding</t>
        </is>
      </c>
      <c r="C17" s="35" t="inlineStr">
        <is>
          <t>Second grinder for decaf or filter</t>
        </is>
      </c>
      <c r="D17" s="23" t="inlineStr">
        <is>
          <t>One grinder cannot hold two recipes. Without it, decaf means purging good coffee.</t>
        </is>
      </c>
      <c r="E17" s="42" t="inlineStr">
        <is>
          <t>Later</t>
        </is>
      </c>
      <c r="F17" s="37">
        <f>1*IF('Cafe Profile'!$C$9="Specialty with food",1,0)</f>
        <v/>
      </c>
      <c r="G17" s="22">
        <f>F17</f>
        <v/>
      </c>
      <c r="H17" s="38" t="n"/>
      <c r="I17" s="38" t="n"/>
      <c r="J17" s="38" t="n"/>
      <c r="K17" s="39">
        <f>IF(COUNTIF(H17:J17,"&gt;0")=0,"",MIN(IF(AND(ISNUMBER(H17),H17&gt;0),H17,9E+99),IF(AND(ISNUMBER(I17),I17&gt;0),I17,9E+99),IF(AND(ISNUMBER(J17),J17&gt;0),J17,9E+99)))</f>
        <v/>
      </c>
      <c r="L17" s="40">
        <f>IFERROR(G17*K17,"")</f>
        <v/>
      </c>
      <c r="M17" s="23" t="inlineStr"/>
    </row>
    <row r="18" ht="27" customHeight="1">
      <c r="B18" s="34" t="inlineStr">
        <is>
          <t>Grinding</t>
        </is>
      </c>
      <c r="C18" s="35" t="inlineStr">
        <is>
          <t>Grinder brush and cleaning tablets</t>
        </is>
      </c>
      <c r="D18" s="23" t="inlineStr">
        <is>
          <t>Stale grounds in the burrs taste like stale grounds in the cup.</t>
        </is>
      </c>
      <c r="E18" s="36" t="inlineStr">
        <is>
          <t>Day one</t>
        </is>
      </c>
      <c r="F18" s="37">
        <f>1</f>
        <v/>
      </c>
      <c r="G18" s="22">
        <f>F18</f>
        <v/>
      </c>
      <c r="H18" s="38" t="n"/>
      <c r="I18" s="38" t="n"/>
      <c r="J18" s="38" t="n"/>
      <c r="K18" s="39">
        <f>IF(COUNTIF(H18:J18,"&gt;0")=0,"",MIN(IF(AND(ISNUMBER(H18),H18&gt;0),H18,9E+99),IF(AND(ISNUMBER(I18),I18&gt;0),I18,9E+99),IF(AND(ISNUMBER(J18),J18&gt;0),J18,9E+99)))</f>
        <v/>
      </c>
      <c r="L18" s="40">
        <f>IFERROR(G18*K18,"")</f>
        <v/>
      </c>
      <c r="M18" s="23" t="inlineStr"/>
    </row>
    <row r="19" ht="27" customHeight="1">
      <c r="B19" s="34" t="inlineStr">
        <is>
          <t>Milk and beverage</t>
        </is>
      </c>
      <c r="C19" s="35" t="inlineStr">
        <is>
          <t>Steaming jugs</t>
        </is>
      </c>
      <c r="D19" s="23" t="inlineStr">
        <is>
          <t>Two sizes, two per group head, so one is always rinsed. Stainless, not plated.</t>
        </is>
      </c>
      <c r="E19" s="36" t="inlineStr">
        <is>
          <t>Day one</t>
        </is>
      </c>
      <c r="F19" s="37">
        <f>4*'Cafe Profile'!$C$35*IF('Cafe Profile'!$C$9="Chai and filter led",0,1)</f>
        <v/>
      </c>
      <c r="G19" s="22">
        <f>F19</f>
        <v/>
      </c>
      <c r="H19" s="38" t="n"/>
      <c r="I19" s="38" t="n"/>
      <c r="J19" s="38" t="n"/>
      <c r="K19" s="39">
        <f>IF(COUNTIF(H19:J19,"&gt;0")=0,"",MIN(IF(AND(ISNUMBER(H19),H19&gt;0),H19,9E+99),IF(AND(ISNUMBER(I19),I19&gt;0),I19,9E+99),IF(AND(ISNUMBER(J19),J19&gt;0),J19,9E+99)))</f>
        <v/>
      </c>
      <c r="L19" s="40">
        <f>IFERROR(G19*K19,"")</f>
        <v/>
      </c>
      <c r="M19" s="23" t="inlineStr"/>
    </row>
    <row r="20" ht="27" customHeight="1">
      <c r="B20" s="34" t="inlineStr">
        <is>
          <t>Milk and beverage</t>
        </is>
      </c>
      <c r="C20" s="35" t="inlineStr">
        <is>
          <t>Milk thermometer</t>
        </is>
      </c>
      <c r="D20" s="23" t="inlineStr">
        <is>
          <t>Or a jug with one built in. Scalded milk is the most common complaint.</t>
        </is>
      </c>
      <c r="E20" s="36" t="inlineStr">
        <is>
          <t>Day one</t>
        </is>
      </c>
      <c r="F20" s="37">
        <f>2*IF('Cafe Profile'!$C$9="Chai and filter led",0,1)</f>
        <v/>
      </c>
      <c r="G20" s="22">
        <f>F20</f>
        <v/>
      </c>
      <c r="H20" s="38" t="n"/>
      <c r="I20" s="38" t="n"/>
      <c r="J20" s="38" t="n"/>
      <c r="K20" s="39">
        <f>IF(COUNTIF(H20:J20,"&gt;0")=0,"",MIN(IF(AND(ISNUMBER(H20),H20&gt;0),H20,9E+99),IF(AND(ISNUMBER(I20),I20&gt;0),I20,9E+99),IF(AND(ISNUMBER(J20),J20&gt;0),J20,9E+99)))</f>
        <v/>
      </c>
      <c r="L20" s="40">
        <f>IFERROR(G20*K20,"")</f>
        <v/>
      </c>
      <c r="M20" s="23" t="inlineStr"/>
    </row>
    <row r="21" ht="27" customHeight="1">
      <c r="B21" s="34" t="inlineStr">
        <is>
          <t>Milk and beverage</t>
        </is>
      </c>
      <c r="C21" s="35" t="inlineStr">
        <is>
          <t>Blender for cold drinks</t>
        </is>
      </c>
      <c r="D21" s="23" t="inlineStr">
        <is>
          <t>Only if the menu has shakes or frappes. It is loud, so plan where it sits.</t>
        </is>
      </c>
      <c r="E21" s="42" t="inlineStr">
        <is>
          <t>Later</t>
        </is>
      </c>
      <c r="F21" s="37">
        <f>1</f>
        <v/>
      </c>
      <c r="G21" s="22">
        <f>F21</f>
        <v/>
      </c>
      <c r="H21" s="38" t="n"/>
      <c r="I21" s="38" t="n"/>
      <c r="J21" s="38" t="n"/>
      <c r="K21" s="39">
        <f>IF(COUNTIF(H21:J21,"&gt;0")=0,"",MIN(IF(AND(ISNUMBER(H21),H21&gt;0),H21,9E+99),IF(AND(ISNUMBER(I21),I21&gt;0),I21,9E+99),IF(AND(ISNUMBER(J21),J21&gt;0),J21,9E+99)))</f>
        <v/>
      </c>
      <c r="L21" s="40">
        <f>IFERROR(G21*K21,"")</f>
        <v/>
      </c>
      <c r="M21" s="23" t="inlineStr"/>
    </row>
    <row r="22" ht="27" customHeight="1">
      <c r="B22" s="34" t="inlineStr">
        <is>
          <t>Milk and beverage</t>
        </is>
      </c>
      <c r="C22" s="35" t="inlineStr">
        <is>
          <t>Citrus juicer or press</t>
        </is>
      </c>
      <c r="D22" s="23" t="inlineStr">
        <is>
          <t>Only if you squeeze fresh. A hand press is enough at low volume.</t>
        </is>
      </c>
      <c r="E22" s="42" t="inlineStr">
        <is>
          <t>Later</t>
        </is>
      </c>
      <c r="F22" s="37">
        <f>1</f>
        <v/>
      </c>
      <c r="G22" s="22">
        <f>F22</f>
        <v/>
      </c>
      <c r="H22" s="38" t="n"/>
      <c r="I22" s="38" t="n"/>
      <c r="J22" s="38" t="n"/>
      <c r="K22" s="39">
        <f>IF(COUNTIF(H22:J22,"&gt;0")=0,"",MIN(IF(AND(ISNUMBER(H22),H22&gt;0),H22,9E+99),IF(AND(ISNUMBER(I22),I22&gt;0),I22,9E+99),IF(AND(ISNUMBER(J22),J22&gt;0),J22,9E+99)))</f>
        <v/>
      </c>
      <c r="L22" s="40">
        <f>IFERROR(G22*K22,"")</f>
        <v/>
      </c>
      <c r="M22" s="23" t="inlineStr"/>
    </row>
    <row r="23" ht="27" customHeight="1">
      <c r="B23" s="34" t="inlineStr">
        <is>
          <t>Milk and beverage</t>
        </is>
      </c>
      <c r="C23" s="35" t="inlineStr">
        <is>
          <t>Syrup pumps and bottles</t>
        </is>
      </c>
      <c r="D23" s="23" t="inlineStr">
        <is>
          <t>Labelled with contents and the date they were opened.</t>
        </is>
      </c>
      <c r="E23" s="36" t="inlineStr">
        <is>
          <t>Day one</t>
        </is>
      </c>
      <c r="F23" s="37">
        <f>6</f>
        <v/>
      </c>
      <c r="G23" s="22">
        <f>F23</f>
        <v/>
      </c>
      <c r="H23" s="38" t="n"/>
      <c r="I23" s="38" t="n"/>
      <c r="J23" s="38" t="n"/>
      <c r="K23" s="39">
        <f>IF(COUNTIF(H23:J23,"&gt;0")=0,"",MIN(IF(AND(ISNUMBER(H23),H23&gt;0),H23,9E+99),IF(AND(ISNUMBER(I23),I23&gt;0),I23,9E+99),IF(AND(ISNUMBER(J23),J23&gt;0),J23,9E+99)))</f>
        <v/>
      </c>
      <c r="L23" s="40">
        <f>IFERROR(G23*K23,"")</f>
        <v/>
      </c>
      <c r="M23" s="23" t="inlineStr"/>
    </row>
    <row r="24" ht="53" customHeight="1">
      <c r="B24" s="34" t="inlineStr">
        <is>
          <t>Milk and beverage</t>
        </is>
      </c>
      <c r="C24" s="35" t="inlineStr">
        <is>
          <t>Ice machine</t>
        </is>
      </c>
      <c r="D24" s="23" t="inlineStr">
        <is>
          <t>Cold drinks need their own ice. A freezer is not an ice machine, and bagged ice bought daily is both a running cost and a hygiene question you cannot answer.</t>
        </is>
      </c>
      <c r="E24" s="36" t="inlineStr">
        <is>
          <t>Day one</t>
        </is>
      </c>
      <c r="F24" s="37">
        <f>1</f>
        <v/>
      </c>
      <c r="G24" s="22">
        <f>F24</f>
        <v/>
      </c>
      <c r="H24" s="38" t="n"/>
      <c r="I24" s="38" t="n"/>
      <c r="J24" s="38" t="n"/>
      <c r="K24" s="39">
        <f>IF(COUNTIF(H24:J24,"&gt;0")=0,"",MIN(IF(AND(ISNUMBER(H24),H24&gt;0),H24,9E+99),IF(AND(ISNUMBER(I24),I24&gt;0),I24,9E+99),IF(AND(ISNUMBER(J24),J24&gt;0),J24,9E+99)))</f>
        <v/>
      </c>
      <c r="L24" s="40">
        <f>IFERROR(G24*K24,"")</f>
        <v/>
      </c>
      <c r="M24" s="41" t="inlineStr">
        <is>
          <t>Ice in contact with food must be made from potable water.</t>
        </is>
      </c>
    </row>
    <row r="25" ht="27" customHeight="1">
      <c r="B25" s="34" t="inlineStr">
        <is>
          <t>Milk and beverage</t>
        </is>
      </c>
      <c r="C25" s="35" t="inlineStr">
        <is>
          <t>Ice scoop and covered bin</t>
        </is>
      </c>
      <c r="D25" s="23" t="inlineStr">
        <is>
          <t>Never a glass, and never an open bin under the counter.</t>
        </is>
      </c>
      <c r="E25" s="36" t="inlineStr">
        <is>
          <t>Day one</t>
        </is>
      </c>
      <c r="F25" s="37">
        <f>2</f>
        <v/>
      </c>
      <c r="G25" s="22">
        <f>F25</f>
        <v/>
      </c>
      <c r="H25" s="38" t="n"/>
      <c r="I25" s="38" t="n"/>
      <c r="J25" s="38" t="n"/>
      <c r="K25" s="39">
        <f>IF(COUNTIF(H25:J25,"&gt;0")=0,"",MIN(IF(AND(ISNUMBER(H25),H25&gt;0),H25,9E+99),IF(AND(ISNUMBER(I25),I25&gt;0),I25,9E+99),IF(AND(ISNUMBER(J25),J25&gt;0),J25,9E+99)))</f>
        <v/>
      </c>
      <c r="L25" s="40">
        <f>IFERROR(G25*K25,"")</f>
        <v/>
      </c>
      <c r="M25" s="23" t="inlineStr"/>
    </row>
    <row r="26" ht="40" customHeight="1">
      <c r="B26" s="34" t="inlineStr">
        <is>
          <t>Water treatment</t>
        </is>
      </c>
      <c r="C26" s="35" t="inlineStr">
        <is>
          <t>Water test, before you buy anything</t>
        </is>
      </c>
      <c r="D26" s="23" t="inlineStr">
        <is>
          <t>Get the inlet water tested first. The result decides the softener and the RO, and the test costs less than replacing a boiler.</t>
        </is>
      </c>
      <c r="E26" s="36" t="inlineStr">
        <is>
          <t>Day one</t>
        </is>
      </c>
      <c r="F26" s="37">
        <f>1</f>
        <v/>
      </c>
      <c r="G26" s="22">
        <f>F26</f>
        <v/>
      </c>
      <c r="H26" s="38" t="n"/>
      <c r="I26" s="38" t="n"/>
      <c r="J26" s="38" t="n"/>
      <c r="K26" s="39">
        <f>IF(COUNTIF(H26:J26,"&gt;0")=0,"",MIN(IF(AND(ISNUMBER(H26),H26&gt;0),H26,9E+99),IF(AND(ISNUMBER(I26),I26&gt;0),I26,9E+99),IF(AND(ISNUMBER(J26),J26&gt;0),J26,9E+99)))</f>
        <v/>
      </c>
      <c r="L26" s="40">
        <f>IFERROR(G26*K26,"")</f>
        <v/>
      </c>
      <c r="M26" s="41" t="inlineStr">
        <is>
          <t>Only potable water may be used as an ingredient.</t>
        </is>
      </c>
    </row>
    <row r="27" ht="40" customHeight="1">
      <c r="B27" s="34" t="inlineStr">
        <is>
          <t>Water treatment</t>
        </is>
      </c>
      <c r="C27" s="35" t="inlineStr">
        <is>
          <t>RO or filtration unit</t>
        </is>
      </c>
      <c r="D27" s="23" t="inlineStr">
        <is>
          <t>Sized to the machine's inlet and your daily draw, not to the shop floor.</t>
        </is>
      </c>
      <c r="E27" s="36" t="inlineStr">
        <is>
          <t>Day one</t>
        </is>
      </c>
      <c r="F27" s="37">
        <f>1</f>
        <v/>
      </c>
      <c r="G27" s="22">
        <f>F27</f>
        <v/>
      </c>
      <c r="H27" s="38" t="n"/>
      <c r="I27" s="38" t="n"/>
      <c r="J27" s="38" t="n"/>
      <c r="K27" s="39">
        <f>IF(COUNTIF(H27:J27,"&gt;0")=0,"",MIN(IF(AND(ISNUMBER(H27),H27&gt;0),H27,9E+99),IF(AND(ISNUMBER(I27),I27&gt;0),I27,9E+99),IF(AND(ISNUMBER(J27),J27&gt;0),J27,9E+99)))</f>
        <v/>
      </c>
      <c r="L27" s="40">
        <f>IFERROR(G27*K27,"")</f>
        <v/>
      </c>
      <c r="M27" s="41" t="inlineStr">
        <is>
          <t>The water in the cup is an ingredient, not a utility.</t>
        </is>
      </c>
    </row>
    <row r="28" ht="40" customHeight="1">
      <c r="B28" s="34" t="inlineStr">
        <is>
          <t>Water treatment</t>
        </is>
      </c>
      <c r="C28" s="35" t="inlineStr">
        <is>
          <t>Water softener</t>
        </is>
      </c>
      <c r="D28" s="23" t="inlineStr">
        <is>
          <t>Scale is what kills an espresso boiler. The softener is cheaper than the boiler it saves.</t>
        </is>
      </c>
      <c r="E28" s="36" t="inlineStr">
        <is>
          <t>Day one</t>
        </is>
      </c>
      <c r="F28" s="37">
        <f>1</f>
        <v/>
      </c>
      <c r="G28" s="22">
        <f>F28</f>
        <v/>
      </c>
      <c r="H28" s="38" t="n"/>
      <c r="I28" s="38" t="n"/>
      <c r="J28" s="38" t="n"/>
      <c r="K28" s="39">
        <f>IF(COUNTIF(H28:J28,"&gt;0")=0,"",MIN(IF(AND(ISNUMBER(H28),H28&gt;0),H28,9E+99),IF(AND(ISNUMBER(I28),I28&gt;0),I28,9E+99),IF(AND(ISNUMBER(J28),J28&gt;0),J28,9E+99)))</f>
        <v/>
      </c>
      <c r="L28" s="40">
        <f>IFERROR(G28*K28,"")</f>
        <v/>
      </c>
      <c r="M28" s="23" t="inlineStr"/>
    </row>
    <row r="29" ht="27" customHeight="1">
      <c r="B29" s="34" t="inlineStr">
        <is>
          <t>Water treatment</t>
        </is>
      </c>
      <c r="C29" s="35" t="inlineStr">
        <is>
          <t>TDS meter</t>
        </is>
      </c>
      <c r="D29" s="23" t="inlineStr">
        <is>
          <t>So you can show the water going into the machine is what you think it is.</t>
        </is>
      </c>
      <c r="E29" s="36" t="inlineStr">
        <is>
          <t>Day one</t>
        </is>
      </c>
      <c r="F29" s="37">
        <f>1</f>
        <v/>
      </c>
      <c r="G29" s="22">
        <f>F29</f>
        <v/>
      </c>
      <c r="H29" s="38" t="n"/>
      <c r="I29" s="38" t="n"/>
      <c r="J29" s="38" t="n"/>
      <c r="K29" s="39">
        <f>IF(COUNTIF(H29:J29,"&gt;0")=0,"",MIN(IF(AND(ISNUMBER(H29),H29&gt;0),H29,9E+99),IF(AND(ISNUMBER(I29),I29&gt;0),I29,9E+99),IF(AND(ISNUMBER(J29),J29&gt;0),J29,9E+99)))</f>
        <v/>
      </c>
      <c r="L29" s="40">
        <f>IFERROR(G29*K29,"")</f>
        <v/>
      </c>
      <c r="M29" s="23" t="inlineStr"/>
    </row>
    <row r="30" ht="53" customHeight="1">
      <c r="B30" s="34" t="inlineStr">
        <is>
          <t>Water treatment</t>
        </is>
      </c>
      <c r="C30" s="35" t="inlineStr">
        <is>
          <t>Storage tank with a lid</t>
        </is>
      </c>
      <c r="D30" s="23" t="inlineStr">
        <is>
          <t>Covered, and on a cleaning schedule from day one.</t>
        </is>
      </c>
      <c r="E30" s="36" t="inlineStr">
        <is>
          <t>Day one</t>
        </is>
      </c>
      <c r="F30" s="37">
        <f>1</f>
        <v/>
      </c>
      <c r="G30" s="22">
        <f>F30</f>
        <v/>
      </c>
      <c r="H30" s="38" t="n"/>
      <c r="I30" s="38" t="n"/>
      <c r="J30" s="38" t="n"/>
      <c r="K30" s="39">
        <f>IF(COUNTIF(H30:J30,"&gt;0")=0,"",MIN(IF(AND(ISNUMBER(H30),H30&gt;0),H30,9E+99),IF(AND(ISNUMBER(I30),I30&gt;0),I30,9E+99),IF(AND(ISNUMBER(J30),J30&gt;0),J30,9E+99)))</f>
        <v/>
      </c>
      <c r="L30" s="40">
        <f>IFERROR(G30*K30,"")</f>
        <v/>
      </c>
      <c r="M30" s="41" t="inlineStr">
        <is>
          <t>Tanks must be cleaned periodically and the cleaning recorded in a register.</t>
        </is>
      </c>
    </row>
    <row r="31" ht="27" customHeight="1">
      <c r="B31" s="34" t="inlineStr">
        <is>
          <t>Water treatment</t>
        </is>
      </c>
      <c r="C31" s="35" t="inlineStr">
        <is>
          <t>Replacement filter cartridges, first year</t>
        </is>
      </c>
      <c r="D31" s="23" t="inlineStr">
        <is>
          <t>Budget the consumable now. A filter left in past its life is worse than no filter.</t>
        </is>
      </c>
      <c r="E31" s="36" t="inlineStr">
        <is>
          <t>Day one</t>
        </is>
      </c>
      <c r="F31" s="37">
        <f>2</f>
        <v/>
      </c>
      <c r="G31" s="22">
        <f>F31</f>
        <v/>
      </c>
      <c r="H31" s="38" t="n"/>
      <c r="I31" s="38" t="n"/>
      <c r="J31" s="38" t="n"/>
      <c r="K31" s="39">
        <f>IF(COUNTIF(H31:J31,"&gt;0")=0,"",MIN(IF(AND(ISNUMBER(H31),H31&gt;0),H31,9E+99),IF(AND(ISNUMBER(I31),I31&gt;0),I31,9E+99),IF(AND(ISNUMBER(J31),J31&gt;0),J31,9E+99)))</f>
        <v/>
      </c>
      <c r="L31" s="40">
        <f>IFERROR(G31*K31,"")</f>
        <v/>
      </c>
      <c r="M31" s="23" t="inlineStr"/>
    </row>
    <row r="32" ht="27" customHeight="1">
      <c r="B32" s="34" t="inlineStr">
        <is>
          <t>Refrigeration and storage</t>
        </is>
      </c>
      <c r="C32" s="35" t="inlineStr">
        <is>
          <t>Under-counter fridge</t>
        </is>
      </c>
      <c r="D32" s="23" t="inlineStr">
        <is>
          <t>Milk within reach of the machine. A barista walking to a back fridge loses the rush.</t>
        </is>
      </c>
      <c r="E32" s="36" t="inlineStr">
        <is>
          <t>Day one</t>
        </is>
      </c>
      <c r="F32" s="37">
        <f>1</f>
        <v/>
      </c>
      <c r="G32" s="22">
        <f>F32</f>
        <v/>
      </c>
      <c r="H32" s="38" t="n"/>
      <c r="I32" s="38" t="n"/>
      <c r="J32" s="38" t="n"/>
      <c r="K32" s="39">
        <f>IF(COUNTIF(H32:J32,"&gt;0")=0,"",MIN(IF(AND(ISNUMBER(H32),H32&gt;0),H32,9E+99),IF(AND(ISNUMBER(I32),I32&gt;0),I32,9E+99),IF(AND(ISNUMBER(J32),J32&gt;0),J32,9E+99)))</f>
        <v/>
      </c>
      <c r="L32" s="40">
        <f>IFERROR(G32*K32,"")</f>
        <v/>
      </c>
      <c r="M32" s="23" t="inlineStr"/>
    </row>
    <row r="33" ht="53" customHeight="1">
      <c r="B33" s="34" t="inlineStr">
        <is>
          <t>Refrigeration and storage</t>
        </is>
      </c>
      <c r="C33" s="35" t="inlineStr">
        <is>
          <t>Display chiller</t>
        </is>
      </c>
      <c r="D33" s="23" t="inlineStr">
        <is>
          <t>Needed whether the food is baked here or bought in, so it follows the menu rather than the kitchen. Check it holds temperature with the door opening every two minutes.</t>
        </is>
      </c>
      <c r="E33" s="36" t="inlineStr">
        <is>
          <t>Day one</t>
        </is>
      </c>
      <c r="F33" s="37">
        <f>1*IF('Cafe Profile'!$C$10="Yes",1,0)</f>
        <v/>
      </c>
      <c r="G33" s="22">
        <f>F33</f>
        <v/>
      </c>
      <c r="H33" s="38" t="n"/>
      <c r="I33" s="38" t="n"/>
      <c r="J33" s="38" t="n"/>
      <c r="K33" s="39">
        <f>IF(COUNTIF(H33:J33,"&gt;0")=0,"",MIN(IF(AND(ISNUMBER(H33),H33&gt;0),H33,9E+99),IF(AND(ISNUMBER(I33),I33&gt;0),I33,9E+99),IF(AND(ISNUMBER(J33),J33&gt;0),J33,9E+99)))</f>
        <v/>
      </c>
      <c r="L33" s="40">
        <f>IFERROR(G33*K33,"")</f>
        <v/>
      </c>
      <c r="M33" s="41" t="inlineStr">
        <is>
          <t>Chilled storage runs at 5 degrees C.</t>
        </is>
      </c>
    </row>
    <row r="34" ht="27" customHeight="1">
      <c r="B34" s="34" t="inlineStr">
        <is>
          <t>Refrigeration and storage</t>
        </is>
      </c>
      <c r="C34" s="35" t="inlineStr">
        <is>
          <t>Deep freezer</t>
        </is>
      </c>
      <c r="D34" s="23" t="inlineStr">
        <is>
          <t>For ice cream, frozen bakery, or ice backup.</t>
        </is>
      </c>
      <c r="E34" s="42" t="inlineStr">
        <is>
          <t>Later</t>
        </is>
      </c>
      <c r="F34" s="37">
        <f>1</f>
        <v/>
      </c>
      <c r="G34" s="22">
        <f>F34</f>
        <v/>
      </c>
      <c r="H34" s="38" t="n"/>
      <c r="I34" s="38" t="n"/>
      <c r="J34" s="38" t="n"/>
      <c r="K34" s="39">
        <f>IF(COUNTIF(H34:J34,"&gt;0")=0,"",MIN(IF(AND(ISNUMBER(H34),H34&gt;0),H34,9E+99),IF(AND(ISNUMBER(I34),I34&gt;0),I34,9E+99),IF(AND(ISNUMBER(J34),J34&gt;0),J34,9E+99)))</f>
        <v/>
      </c>
      <c r="L34" s="40">
        <f>IFERROR(G34*K34,"")</f>
        <v/>
      </c>
      <c r="M34" s="23" t="inlineStr"/>
    </row>
    <row r="35" ht="27" customHeight="1">
      <c r="B35" s="34" t="inlineStr">
        <is>
          <t>Refrigeration and storage</t>
        </is>
      </c>
      <c r="C35" s="35" t="inlineStr">
        <is>
          <t>Fridge and freezer thermometers</t>
        </is>
      </c>
      <c r="D35" s="23" t="inlineStr">
        <is>
          <t>Part V sets the temperatures. A thermometer is how you show you are meeting them.</t>
        </is>
      </c>
      <c r="E35" s="36" t="inlineStr">
        <is>
          <t>Day one</t>
        </is>
      </c>
      <c r="F35" s="37">
        <f>3</f>
        <v/>
      </c>
      <c r="G35" s="22">
        <f>F35</f>
        <v/>
      </c>
      <c r="H35" s="38" t="n"/>
      <c r="I35" s="38" t="n"/>
      <c r="J35" s="38" t="n"/>
      <c r="K35" s="39">
        <f>IF(COUNTIF(H35:J35,"&gt;0")=0,"",MIN(IF(AND(ISNUMBER(H35),H35&gt;0),H35,9E+99),IF(AND(ISNUMBER(I35),I35&gt;0),I35,9E+99),IF(AND(ISNUMBER(J35),J35&gt;0),J35,9E+99)))</f>
        <v/>
      </c>
      <c r="L35" s="40">
        <f>IFERROR(G35*K35,"")</f>
        <v/>
      </c>
      <c r="M35" s="41" t="inlineStr">
        <is>
          <t>Keep the readings with your cleaning schedule.</t>
        </is>
      </c>
    </row>
    <row r="36" ht="40" customHeight="1">
      <c r="B36" s="34" t="inlineStr">
        <is>
          <t>Refrigeration and storage</t>
        </is>
      </c>
      <c r="C36" s="35" t="inlineStr">
        <is>
          <t>Airtight bean storage</t>
        </is>
      </c>
      <c r="D36" s="23" t="inlineStr">
        <is>
          <t>Sized to about a week of beans, from the Cafe Profile figure. Light and air stale coffee faster than time does.</t>
        </is>
      </c>
      <c r="E36" s="36" t="inlineStr">
        <is>
          <t>Day one</t>
        </is>
      </c>
      <c r="F36" s="37">
        <f>4</f>
        <v/>
      </c>
      <c r="G36" s="22">
        <f>F36</f>
        <v/>
      </c>
      <c r="H36" s="38" t="n"/>
      <c r="I36" s="38" t="n"/>
      <c r="J36" s="38" t="n"/>
      <c r="K36" s="39">
        <f>IF(COUNTIF(H36:J36,"&gt;0")=0,"",MIN(IF(AND(ISNUMBER(H36),H36&gt;0),H36,9E+99),IF(AND(ISNUMBER(I36),I36&gt;0),I36,9E+99),IF(AND(ISNUMBER(J36),J36&gt;0),J36,9E+99)))</f>
        <v/>
      </c>
      <c r="L36" s="40">
        <f>IFERROR(G36*K36,"")</f>
        <v/>
      </c>
      <c r="M36" s="23" t="inlineStr"/>
    </row>
    <row r="37" ht="27" customHeight="1">
      <c r="B37" s="34" t="inlineStr">
        <is>
          <t>Refrigeration and storage</t>
        </is>
      </c>
      <c r="C37" s="35" t="inlineStr">
        <is>
          <t>Dry store shelving</t>
        </is>
      </c>
      <c r="D37" s="23" t="inlineStr">
        <is>
          <t>Off the floor and clear of the wall, so the store can actually be cleaned.</t>
        </is>
      </c>
      <c r="E37" s="36" t="inlineStr">
        <is>
          <t>Day one</t>
        </is>
      </c>
      <c r="F37" s="37">
        <f>1</f>
        <v/>
      </c>
      <c r="G37" s="22">
        <f>F37</f>
        <v/>
      </c>
      <c r="H37" s="38" t="n"/>
      <c r="I37" s="38" t="n"/>
      <c r="J37" s="38" t="n"/>
      <c r="K37" s="39">
        <f>IF(COUNTIF(H37:J37,"&gt;0")=0,"",MIN(IF(AND(ISNUMBER(H37),H37&gt;0),H37,9E+99),IF(AND(ISNUMBER(I37),I37&gt;0),I37,9E+99),IF(AND(ISNUMBER(J37),J37&gt;0),J37,9E+99)))</f>
        <v/>
      </c>
      <c r="L37" s="40">
        <f>IFERROR(G37*K37,"")</f>
        <v/>
      </c>
      <c r="M37" s="23" t="inlineStr"/>
    </row>
    <row r="38" ht="27" customHeight="1">
      <c r="B38" s="34" t="inlineStr">
        <is>
          <t>Refrigeration and storage</t>
        </is>
      </c>
      <c r="C38" s="35" t="inlineStr">
        <is>
          <t>Stock containers, labelled</t>
        </is>
      </c>
      <c r="D38" s="23" t="inlineStr">
        <is>
          <t>Food grade, lidded, datable.</t>
        </is>
      </c>
      <c r="E38" s="36" t="inlineStr">
        <is>
          <t>Day one</t>
        </is>
      </c>
      <c r="F38" s="37">
        <f>10</f>
        <v/>
      </c>
      <c r="G38" s="22">
        <f>F38</f>
        <v/>
      </c>
      <c r="H38" s="38" t="n"/>
      <c r="I38" s="38" t="n"/>
      <c r="J38" s="38" t="n"/>
      <c r="K38" s="39">
        <f>IF(COUNTIF(H38:J38,"&gt;0")=0,"",MIN(IF(AND(ISNUMBER(H38),H38&gt;0),H38,9E+99),IF(AND(ISNUMBER(I38),I38&gt;0),I38,9E+99),IF(AND(ISNUMBER(J38),J38&gt;0),J38,9E+99)))</f>
        <v/>
      </c>
      <c r="L38" s="40">
        <f>IFERROR(G38*K38,"")</f>
        <v/>
      </c>
      <c r="M38" s="23" t="inlineStr"/>
    </row>
    <row r="39" ht="27" customHeight="1">
      <c r="B39" s="34" t="inlineStr">
        <is>
          <t>Food and kitchen</t>
        </is>
      </c>
      <c r="C39" s="35" t="inlineStr">
        <is>
          <t>Sandwich griller or panini press</t>
        </is>
      </c>
      <c r="D39" s="23" t="inlineStr">
        <is>
          <t>The workhorse of a cafe food menu.</t>
        </is>
      </c>
      <c r="E39" s="36" t="inlineStr">
        <is>
          <t>Day one</t>
        </is>
      </c>
      <c r="F39" s="37">
        <f>1*IF('Cafe Profile'!$C$11="Yes",1,0)</f>
        <v/>
      </c>
      <c r="G39" s="22">
        <f>F39</f>
        <v/>
      </c>
      <c r="H39" s="38" t="n"/>
      <c r="I39" s="38" t="n"/>
      <c r="J39" s="38" t="n"/>
      <c r="K39" s="39">
        <f>IF(COUNTIF(H39:J39,"&gt;0")=0,"",MIN(IF(AND(ISNUMBER(H39),H39&gt;0),H39,9E+99),IF(AND(ISNUMBER(I39),I39&gt;0),I39,9E+99),IF(AND(ISNUMBER(J39),J39&gt;0),J39,9E+99)))</f>
        <v/>
      </c>
      <c r="L39" s="40">
        <f>IFERROR(G39*K39,"")</f>
        <v/>
      </c>
      <c r="M39" s="23" t="inlineStr"/>
    </row>
    <row r="40" ht="27" customHeight="1">
      <c r="B40" s="34" t="inlineStr">
        <is>
          <t>Food and kitchen</t>
        </is>
      </c>
      <c r="C40" s="35" t="inlineStr">
        <is>
          <t>Convection or deck oven</t>
        </is>
      </c>
      <c r="D40" s="23" t="inlineStr">
        <is>
          <t>Only if you bake or finish on site rather than buying in.</t>
        </is>
      </c>
      <c r="E40" s="36" t="inlineStr">
        <is>
          <t>Day one</t>
        </is>
      </c>
      <c r="F40" s="37">
        <f>1*IF('Cafe Profile'!$C$11="Yes",1,0)</f>
        <v/>
      </c>
      <c r="G40" s="22">
        <f>F40</f>
        <v/>
      </c>
      <c r="H40" s="38" t="n"/>
      <c r="I40" s="38" t="n"/>
      <c r="J40" s="38" t="n"/>
      <c r="K40" s="39">
        <f>IF(COUNTIF(H40:J40,"&gt;0")=0,"",MIN(IF(AND(ISNUMBER(H40),H40&gt;0),H40,9E+99),IF(AND(ISNUMBER(I40),I40&gt;0),I40,9E+99),IF(AND(ISNUMBER(J40),J40&gt;0),J40,9E+99)))</f>
        <v/>
      </c>
      <c r="L40" s="40">
        <f>IFERROR(G40*K40,"")</f>
        <v/>
      </c>
      <c r="M40" s="23" t="inlineStr"/>
    </row>
    <row r="41" ht="53" customHeight="1">
      <c r="B41" s="34" t="inlineStr">
        <is>
          <t>Food and kitchen</t>
        </is>
      </c>
      <c r="C41" s="35" t="inlineStr">
        <is>
          <t>Microwave</t>
        </is>
      </c>
      <c r="D41" s="23" t="inlineStr">
        <is>
          <t>For reheating, which has a minimum core temperature to hit. Bought-in food gets reheated too, so this follows the menu rather than the kitchen.</t>
        </is>
      </c>
      <c r="E41" s="36" t="inlineStr">
        <is>
          <t>Day one</t>
        </is>
      </c>
      <c r="F41" s="37">
        <f>1*IF('Cafe Profile'!$C$10="Yes",1,0)</f>
        <v/>
      </c>
      <c r="G41" s="22">
        <f>F41</f>
        <v/>
      </c>
      <c r="H41" s="38" t="n"/>
      <c r="I41" s="38" t="n"/>
      <c r="J41" s="38" t="n"/>
      <c r="K41" s="39">
        <f>IF(COUNTIF(H41:J41,"&gt;0")=0,"",MIN(IF(AND(ISNUMBER(H41),H41&gt;0),H41,9E+99),IF(AND(ISNUMBER(I41),I41&gt;0),I41,9E+99),IF(AND(ISNUMBER(J41),J41&gt;0),J41,9E+99)))</f>
        <v/>
      </c>
      <c r="L41" s="40">
        <f>IFERROR(G41*K41,"")</f>
        <v/>
      </c>
      <c r="M41" s="23" t="inlineStr"/>
    </row>
    <row r="42" ht="40" customHeight="1">
      <c r="B42" s="34" t="inlineStr">
        <is>
          <t>Food and kitchen</t>
        </is>
      </c>
      <c r="C42" s="35" t="inlineStr">
        <is>
          <t>Exhaust hood and ducting</t>
        </is>
      </c>
      <c r="D42" s="23" t="inlineStr">
        <is>
          <t>The line people forget when they add a kitchen late. It is building work, not a purchase.</t>
        </is>
      </c>
      <c r="E42" s="36" t="inlineStr">
        <is>
          <t>Day one</t>
        </is>
      </c>
      <c r="F42" s="37">
        <f>1*IF('Cafe Profile'!$C$11="Yes",1,0)</f>
        <v/>
      </c>
      <c r="G42" s="22">
        <f>F42</f>
        <v/>
      </c>
      <c r="H42" s="38" t="n"/>
      <c r="I42" s="38" t="n"/>
      <c r="J42" s="38" t="n"/>
      <c r="K42" s="39">
        <f>IF(COUNTIF(H42:J42,"&gt;0")=0,"",MIN(IF(AND(ISNUMBER(H42),H42&gt;0),H42,9E+99),IF(AND(ISNUMBER(I42),I42&gt;0),I42,9E+99),IF(AND(ISNUMBER(J42),J42&gt;0),J42,9E+99)))</f>
        <v/>
      </c>
      <c r="L42" s="40">
        <f>IFERROR(G42*K42,"")</f>
        <v/>
      </c>
      <c r="M42" s="23" t="inlineStr"/>
    </row>
    <row r="43">
      <c r="B43" s="34" t="inlineStr">
        <is>
          <t>Food and kitchen</t>
        </is>
      </c>
      <c r="C43" s="35" t="inlineStr">
        <is>
          <t>Prep table, stainless</t>
        </is>
      </c>
      <c r="D43" s="23" t="inlineStr">
        <is>
          <t>Separate from the service counter.</t>
        </is>
      </c>
      <c r="E43" s="36" t="inlineStr">
        <is>
          <t>Day one</t>
        </is>
      </c>
      <c r="F43" s="37">
        <f>1*IF('Cafe Profile'!$C$11="Yes",1,0)</f>
        <v/>
      </c>
      <c r="G43" s="22">
        <f>F43</f>
        <v/>
      </c>
      <c r="H43" s="38" t="n"/>
      <c r="I43" s="38" t="n"/>
      <c r="J43" s="38" t="n"/>
      <c r="K43" s="39">
        <f>IF(COUNTIF(H43:J43,"&gt;0")=0,"",MIN(IF(AND(ISNUMBER(H43),H43&gt;0),H43,9E+99),IF(AND(ISNUMBER(I43),I43&gt;0),I43,9E+99),IF(AND(ISNUMBER(J43),J43&gt;0),J43,9E+99)))</f>
        <v/>
      </c>
      <c r="L43" s="40">
        <f>IFERROR(G43*K43,"")</f>
        <v/>
      </c>
      <c r="M43" s="23" t="inlineStr"/>
    </row>
    <row r="44" ht="27" customHeight="1">
      <c r="B44" s="34" t="inlineStr">
        <is>
          <t>Food and kitchen</t>
        </is>
      </c>
      <c r="C44" s="35" t="inlineStr">
        <is>
          <t>Chopping boards, colour coded</t>
        </is>
      </c>
      <c r="D44" s="23" t="inlineStr">
        <is>
          <t>Part V wants separate boards for raw and ready-to-eat food.</t>
        </is>
      </c>
      <c r="E44" s="36" t="inlineStr">
        <is>
          <t>Day one</t>
        </is>
      </c>
      <c r="F44" s="37">
        <f>3*IF('Cafe Profile'!$C$11="Yes",1,0)</f>
        <v/>
      </c>
      <c r="G44" s="22">
        <f>F44</f>
        <v/>
      </c>
      <c r="H44" s="38" t="n"/>
      <c r="I44" s="38" t="n"/>
      <c r="J44" s="38" t="n"/>
      <c r="K44" s="39">
        <f>IF(COUNTIF(H44:J44,"&gt;0")=0,"",MIN(IF(AND(ISNUMBER(H44),H44&gt;0),H44,9E+99),IF(AND(ISNUMBER(I44),I44&gt;0),I44,9E+99),IF(AND(ISNUMBER(J44),J44&gt;0),J44,9E+99)))</f>
        <v/>
      </c>
      <c r="L44" s="40">
        <f>IFERROR(G44*K44,"")</f>
        <v/>
      </c>
      <c r="M44" s="23" t="inlineStr"/>
    </row>
    <row r="45" ht="27" customHeight="1">
      <c r="B45" s="34" t="inlineStr">
        <is>
          <t>Food and kitchen</t>
        </is>
      </c>
      <c r="C45" s="35" t="inlineStr">
        <is>
          <t>Kitchen knives and small tools</t>
        </is>
      </c>
      <c r="D45" s="23" t="inlineStr">
        <is>
          <t>Kept in the kitchen, not borrowed across the counter.</t>
        </is>
      </c>
      <c r="E45" s="36" t="inlineStr">
        <is>
          <t>Day one</t>
        </is>
      </c>
      <c r="F45" s="37">
        <f>1*IF('Cafe Profile'!$C$11="Yes",1,0)</f>
        <v/>
      </c>
      <c r="G45" s="22">
        <f>F45</f>
        <v/>
      </c>
      <c r="H45" s="38" t="n"/>
      <c r="I45" s="38" t="n"/>
      <c r="J45" s="38" t="n"/>
      <c r="K45" s="39">
        <f>IF(COUNTIF(H45:J45,"&gt;0")=0,"",MIN(IF(AND(ISNUMBER(H45),H45&gt;0),H45,9E+99),IF(AND(ISNUMBER(I45),I45&gt;0),I45,9E+99),IF(AND(ISNUMBER(J45),J45&gt;0),J45,9E+99)))</f>
        <v/>
      </c>
      <c r="L45" s="40">
        <f>IFERROR(G45*K45,"")</f>
        <v/>
      </c>
      <c r="M45" s="23" t="inlineStr"/>
    </row>
    <row r="46" ht="53" customHeight="1">
      <c r="B46" s="34" t="inlineStr">
        <is>
          <t>Food and kitchen</t>
        </is>
      </c>
      <c r="C46" s="35" t="inlineStr">
        <is>
          <t>Food probe thermometer</t>
        </is>
      </c>
      <c r="D46" s="23" t="inlineStr">
        <is>
          <t>Reheated food has a core temperature to reach, and this is how you show it. Needed for bought-in food as much as for food cooked here.</t>
        </is>
      </c>
      <c r="E46" s="36" t="inlineStr">
        <is>
          <t>Day one</t>
        </is>
      </c>
      <c r="F46" s="37">
        <f>1*IF('Cafe Profile'!$C$10="Yes",1,0)</f>
        <v/>
      </c>
      <c r="G46" s="22">
        <f>F46</f>
        <v/>
      </c>
      <c r="H46" s="38" t="n"/>
      <c r="I46" s="38" t="n"/>
      <c r="J46" s="38" t="n"/>
      <c r="K46" s="39">
        <f>IF(COUNTIF(H46:J46,"&gt;0")=0,"",MIN(IF(AND(ISNUMBER(H46),H46&gt;0),H46,9E+99),IF(AND(ISNUMBER(I46),I46&gt;0),I46,9E+99),IF(AND(ISNUMBER(J46),J46&gt;0),J46,9E+99)))</f>
        <v/>
      </c>
      <c r="L46" s="40">
        <f>IFERROR(G46*K46,"")</f>
        <v/>
      </c>
      <c r="M46" s="23" t="inlineStr"/>
    </row>
    <row r="47" ht="27" customHeight="1">
      <c r="B47" s="34" t="inlineStr">
        <is>
          <t>Front of house</t>
        </is>
      </c>
      <c r="C47" s="35" t="inlineStr">
        <is>
          <t>Chai or filter coffee glasses</t>
        </is>
      </c>
      <c r="D47" s="23" t="inlineStr">
        <is>
          <t>Tempered if you can get them. A chipped rim is why crockery gets binned.</t>
        </is>
      </c>
      <c r="E47" s="36" t="inlineStr">
        <is>
          <t>Day one</t>
        </is>
      </c>
      <c r="F47" s="37">
        <f>ROUNDUP('Cafe Profile'!$C$6*'Cafe Profile'!$C$17*(1-'Cafe Profile'!$C$12)*'Cafe Profile'!$C$24*(1+'Cafe Profile'!$C$18),0)</f>
        <v/>
      </c>
      <c r="G47" s="22">
        <f>F47</f>
        <v/>
      </c>
      <c r="H47" s="38" t="n"/>
      <c r="I47" s="38" t="n"/>
      <c r="J47" s="38" t="n"/>
      <c r="K47" s="39">
        <f>IF(COUNTIF(H47:J47,"&gt;0")=0,"",MIN(IF(AND(ISNUMBER(H47),H47&gt;0),H47,9E+99),IF(AND(ISNUMBER(I47),I47&gt;0),I47,9E+99),IF(AND(ISNUMBER(J47),J47&gt;0),J47,9E+99)))</f>
        <v/>
      </c>
      <c r="L47" s="40">
        <f>IFERROR(G47*K47,"")</f>
        <v/>
      </c>
      <c r="M47" s="23" t="inlineStr"/>
    </row>
    <row r="48" ht="27" customHeight="1">
      <c r="B48" s="34" t="inlineStr">
        <is>
          <t>Front of house</t>
        </is>
      </c>
      <c r="C48" s="35" t="inlineStr">
        <is>
          <t>Espresso cups and saucers</t>
        </is>
      </c>
      <c r="D48" s="23" t="inlineStr">
        <is>
          <t>Thick walled, and pre-warmed. A cold cup kills a good shot.</t>
        </is>
      </c>
      <c r="E48" s="36" t="inlineStr">
        <is>
          <t>Day one</t>
        </is>
      </c>
      <c r="F48" s="37">
        <f>ROUNDUP('Cafe Profile'!$C$6*'Cafe Profile'!$C$17*(1-'Cafe Profile'!$C$12)*'Cafe Profile'!$C$25*(1+'Cafe Profile'!$C$18),0)</f>
        <v/>
      </c>
      <c r="G48" s="22">
        <f>F48</f>
        <v/>
      </c>
      <c r="H48" s="38" t="n"/>
      <c r="I48" s="38" t="n"/>
      <c r="J48" s="38" t="n"/>
      <c r="K48" s="39">
        <f>IF(COUNTIF(H48:J48,"&gt;0")=0,"",MIN(IF(AND(ISNUMBER(H48),H48&gt;0),H48,9E+99),IF(AND(ISNUMBER(I48),I48&gt;0),I48,9E+99),IF(AND(ISNUMBER(J48),J48&gt;0),J48,9E+99)))</f>
        <v/>
      </c>
      <c r="L48" s="40">
        <f>IFERROR(G48*K48,"")</f>
        <v/>
      </c>
      <c r="M48" s="23" t="inlineStr"/>
    </row>
    <row r="49" ht="27" customHeight="1">
      <c r="B49" s="34" t="inlineStr">
        <is>
          <t>Front of house</t>
        </is>
      </c>
      <c r="C49" s="35" t="inlineStr">
        <is>
          <t>Cappuccino cups and saucers</t>
        </is>
      </c>
      <c r="D49" s="23" t="inlineStr">
        <is>
          <t>The size your recipe is built around. Changing cup size changes the drink.</t>
        </is>
      </c>
      <c r="E49" s="36" t="inlineStr">
        <is>
          <t>Day one</t>
        </is>
      </c>
      <c r="F49" s="37">
        <f>ROUNDUP('Cafe Profile'!$C$6*'Cafe Profile'!$C$17*(1-'Cafe Profile'!$C$12)*'Cafe Profile'!$C$26*(1+'Cafe Profile'!$C$18),0)</f>
        <v/>
      </c>
      <c r="G49" s="22">
        <f>F49</f>
        <v/>
      </c>
      <c r="H49" s="38" t="n"/>
      <c r="I49" s="38" t="n"/>
      <c r="J49" s="38" t="n"/>
      <c r="K49" s="39">
        <f>IF(COUNTIF(H49:J49,"&gt;0")=0,"",MIN(IF(AND(ISNUMBER(H49),H49&gt;0),H49,9E+99),IF(AND(ISNUMBER(I49),I49&gt;0),I49,9E+99),IF(AND(ISNUMBER(J49),J49&gt;0),J49,9E+99)))</f>
        <v/>
      </c>
      <c r="L49" s="40">
        <f>IFERROR(G49*K49,"")</f>
        <v/>
      </c>
      <c r="M49" s="23" t="inlineStr"/>
    </row>
    <row r="50" ht="27" customHeight="1">
      <c r="B50" s="34" t="inlineStr">
        <is>
          <t>Front of house</t>
        </is>
      </c>
      <c r="C50" s="35" t="inlineStr">
        <is>
          <t>Latte glasses or tall mugs</t>
        </is>
      </c>
      <c r="D50" s="23" t="inlineStr">
        <is>
          <t>Only the sizes your opening menu actually uses.</t>
        </is>
      </c>
      <c r="E50" s="36" t="inlineStr">
        <is>
          <t>Day one</t>
        </is>
      </c>
      <c r="F50" s="37">
        <f>ROUNDUP('Cafe Profile'!$C$6*'Cafe Profile'!$C$17*(1-'Cafe Profile'!$C$12)*'Cafe Profile'!$C$27*(1+'Cafe Profile'!$C$18),0)</f>
        <v/>
      </c>
      <c r="G50" s="22">
        <f>F50</f>
        <v/>
      </c>
      <c r="H50" s="38" t="n"/>
      <c r="I50" s="38" t="n"/>
      <c r="J50" s="38" t="n"/>
      <c r="K50" s="39">
        <f>IF(COUNTIF(H50:J50,"&gt;0")=0,"",MIN(IF(AND(ISNUMBER(H50),H50&gt;0),H50,9E+99),IF(AND(ISNUMBER(I50),I50&gt;0),I50,9E+99),IF(AND(ISNUMBER(J50),J50&gt;0),J50,9E+99)))</f>
        <v/>
      </c>
      <c r="L50" s="40">
        <f>IFERROR(G50*K50,"")</f>
        <v/>
      </c>
      <c r="M50" s="23" t="inlineStr"/>
    </row>
    <row r="51" ht="27" customHeight="1">
      <c r="B51" s="34" t="inlineStr">
        <is>
          <t>Front of house</t>
        </is>
      </c>
      <c r="C51" s="35" t="inlineStr">
        <is>
          <t>Cold beverage glasses</t>
        </is>
      </c>
      <c r="D51" s="23" t="inlineStr">
        <is>
          <t>Heavier base, because they take more handling.</t>
        </is>
      </c>
      <c r="E51" s="36" t="inlineStr">
        <is>
          <t>Day one</t>
        </is>
      </c>
      <c r="F51" s="37">
        <f>ROUNDUP('Cafe Profile'!$C$6*'Cafe Profile'!$C$17*(1-'Cafe Profile'!$C$12)*'Cafe Profile'!$C$28*(1+'Cafe Profile'!$C$18),0)</f>
        <v/>
      </c>
      <c r="G51" s="22">
        <f>F51</f>
        <v/>
      </c>
      <c r="H51" s="38" t="n"/>
      <c r="I51" s="38" t="n"/>
      <c r="J51" s="38" t="n"/>
      <c r="K51" s="39">
        <f>IF(COUNTIF(H51:J51,"&gt;0")=0,"",MIN(IF(AND(ISNUMBER(H51),H51&gt;0),H51,9E+99),IF(AND(ISNUMBER(I51),I51&gt;0),I51,9E+99),IF(AND(ISNUMBER(J51),J51&gt;0),J51,9E+99)))</f>
        <v/>
      </c>
      <c r="L51" s="40">
        <f>IFERROR(G51*K51,"")</f>
        <v/>
      </c>
      <c r="M51" s="23" t="inlineStr"/>
    </row>
    <row r="52">
      <c r="B52" s="34" t="inlineStr">
        <is>
          <t>Front of house</t>
        </is>
      </c>
      <c r="C52" s="35" t="inlineStr">
        <is>
          <t>Water glasses</t>
        </is>
      </c>
      <c r="D52" s="23" t="inlineStr">
        <is>
          <t>Used more often than anyone plans for.</t>
        </is>
      </c>
      <c r="E52" s="36" t="inlineStr">
        <is>
          <t>Day one</t>
        </is>
      </c>
      <c r="F52" s="37">
        <f>ROUNDUP('Cafe Profile'!$C$6*'Cafe Profile'!$C$17*(1-'Cafe Profile'!$C$12)*'Cafe Profile'!$C$29*(1+'Cafe Profile'!$C$18),0)</f>
        <v/>
      </c>
      <c r="G52" s="22">
        <f>F52</f>
        <v/>
      </c>
      <c r="H52" s="38" t="n"/>
      <c r="I52" s="38" t="n"/>
      <c r="J52" s="38" t="n"/>
      <c r="K52" s="39">
        <f>IF(COUNTIF(H52:J52,"&gt;0")=0,"",MIN(IF(AND(ISNUMBER(H52),H52&gt;0),H52,9E+99),IF(AND(ISNUMBER(I52),I52&gt;0),I52,9E+99),IF(AND(ISNUMBER(J52),J52&gt;0),J52,9E+99)))</f>
        <v/>
      </c>
      <c r="L52" s="40">
        <f>IFERROR(G52*K52,"")</f>
        <v/>
      </c>
      <c r="M52" s="23" t="inlineStr"/>
    </row>
    <row r="53" ht="53" customHeight="1">
      <c r="B53" s="34" t="inlineStr">
        <is>
          <t>Front of house</t>
        </is>
      </c>
      <c r="C53" s="35" t="inlineStr">
        <is>
          <t>Teaspoons and cutlery</t>
        </is>
      </c>
      <c r="D53" s="23" t="inlineStr">
        <is>
          <t>Count them on the closing checklist. They walk. Buy reusable, or compostable with the certificate: plain plastic cutlery is a prohibited single-use item.</t>
        </is>
      </c>
      <c r="E53" s="36" t="inlineStr">
        <is>
          <t>Day one</t>
        </is>
      </c>
      <c r="F53" s="37">
        <f>ROUNDUP('Cafe Profile'!$C$6*'Cafe Profile'!$C$17*(1+'Cafe Profile'!$C$18),0)</f>
        <v/>
      </c>
      <c r="G53" s="22">
        <f>F53</f>
        <v/>
      </c>
      <c r="H53" s="38" t="n"/>
      <c r="I53" s="38" t="n"/>
      <c r="J53" s="38" t="n"/>
      <c r="K53" s="39">
        <f>IF(COUNTIF(H53:J53,"&gt;0")=0,"",MIN(IF(AND(ISNUMBER(H53),H53&gt;0),H53,9E+99),IF(AND(ISNUMBER(I53),I53&gt;0),I53,9E+99),IF(AND(ISNUMBER(J53),J53&gt;0),J53,9E+99)))</f>
        <v/>
      </c>
      <c r="L53" s="40">
        <f>IFERROR(G53*K53,"")</f>
        <v/>
      </c>
      <c r="M53" s="41" t="inlineStr">
        <is>
          <t>Reusable only. See What you may not buy at all.</t>
        </is>
      </c>
    </row>
    <row r="54" ht="27" customHeight="1">
      <c r="B54" s="34" t="inlineStr">
        <is>
          <t>Front of house</t>
        </is>
      </c>
      <c r="C54" s="35" t="inlineStr">
        <is>
          <t>Trays</t>
        </is>
      </c>
      <c r="D54" s="23" t="inlineStr">
        <is>
          <t>Non-slip surface, sized to your busiest order.</t>
        </is>
      </c>
      <c r="E54" s="36" t="inlineStr">
        <is>
          <t>Day one</t>
        </is>
      </c>
      <c r="F54" s="37">
        <f>ROUNDUP('Cafe Profile'!$C$6/5,0)</f>
        <v/>
      </c>
      <c r="G54" s="22">
        <f>F54</f>
        <v/>
      </c>
      <c r="H54" s="38" t="n"/>
      <c r="I54" s="38" t="n"/>
      <c r="J54" s="38" t="n"/>
      <c r="K54" s="39">
        <f>IF(COUNTIF(H54:J54,"&gt;0")=0,"",MIN(IF(AND(ISNUMBER(H54),H54&gt;0),H54,9E+99),IF(AND(ISNUMBER(I54),I54&gt;0),I54,9E+99),IF(AND(ISNUMBER(J54),J54&gt;0),J54,9E+99)))</f>
        <v/>
      </c>
      <c r="L54" s="40">
        <f>IFERROR(G54*K54,"")</f>
        <v/>
      </c>
      <c r="M54" s="23" t="inlineStr"/>
    </row>
    <row r="55" ht="53" customHeight="1">
      <c r="B55" s="34" t="inlineStr">
        <is>
          <t>Front of house</t>
        </is>
      </c>
      <c r="C55" s="35" t="inlineStr">
        <is>
          <t>Tables and chairs</t>
        </is>
      </c>
      <c r="D55" s="23" t="inlineStr">
        <is>
          <t>Height matched, and stackable if you clear the floor to clean. Suggested at one table per three seats; set Your qty from your own layout.</t>
        </is>
      </c>
      <c r="E55" s="36" t="inlineStr">
        <is>
          <t>Day one</t>
        </is>
      </c>
      <c r="F55" s="37">
        <f>ROUNDUP('Cafe Profile'!$C$6/3,0)</f>
        <v/>
      </c>
      <c r="G55" s="22">
        <f>F55</f>
        <v/>
      </c>
      <c r="H55" s="38" t="n"/>
      <c r="I55" s="38" t="n"/>
      <c r="J55" s="38" t="n"/>
      <c r="K55" s="39">
        <f>IF(COUNTIF(H55:J55,"&gt;0")=0,"",MIN(IF(AND(ISNUMBER(H55),H55&gt;0),H55,9E+99),IF(AND(ISNUMBER(I55),I55&gt;0),I55,9E+99),IF(AND(ISNUMBER(J55),J55&gt;0),J55,9E+99)))</f>
        <v/>
      </c>
      <c r="L55" s="40">
        <f>IFERROR(G55*K55,"")</f>
        <v/>
      </c>
      <c r="M55" s="23" t="inlineStr"/>
    </row>
    <row r="56" ht="27" customHeight="1">
      <c r="B56" s="34" t="inlineStr">
        <is>
          <t>Front of house</t>
        </is>
      </c>
      <c r="C56" s="35" t="inlineStr">
        <is>
          <t>Counter and back counter</t>
        </is>
      </c>
      <c r="D56" s="23" t="inlineStr">
        <is>
          <t>Fit-out rather than a purchase, but it belongs in the budget.</t>
        </is>
      </c>
      <c r="E56" s="36" t="inlineStr">
        <is>
          <t>Day one</t>
        </is>
      </c>
      <c r="F56" s="37">
        <f>1</f>
        <v/>
      </c>
      <c r="G56" s="22">
        <f>F56</f>
        <v/>
      </c>
      <c r="H56" s="38" t="n"/>
      <c r="I56" s="38" t="n"/>
      <c r="J56" s="38" t="n"/>
      <c r="K56" s="39">
        <f>IF(COUNTIF(H56:J56,"&gt;0")=0,"",MIN(IF(AND(ISNUMBER(H56),H56&gt;0),H56,9E+99),IF(AND(ISNUMBER(I56),I56&gt;0),I56,9E+99),IF(AND(ISNUMBER(J56),J56&gt;0),J56,9E+99)))</f>
        <v/>
      </c>
      <c r="L56" s="40">
        <f>IFERROR(G56*K56,"")</f>
        <v/>
      </c>
      <c r="M56" s="23" t="inlineStr"/>
    </row>
    <row r="57" ht="27" customHeight="1">
      <c r="B57" s="34" t="inlineStr">
        <is>
          <t>Front of house</t>
        </is>
      </c>
      <c r="C57" s="35" t="inlineStr">
        <is>
          <t>Menu board or printed menus</t>
        </is>
      </c>
      <c r="D57" s="23" t="inlineStr">
        <is>
          <t>Prices shown must match what the till charges.</t>
        </is>
      </c>
      <c r="E57" s="36" t="inlineStr">
        <is>
          <t>Day one</t>
        </is>
      </c>
      <c r="F57" s="37">
        <f>1</f>
        <v/>
      </c>
      <c r="G57" s="22">
        <f>F57</f>
        <v/>
      </c>
      <c r="H57" s="38" t="n"/>
      <c r="I57" s="38" t="n"/>
      <c r="J57" s="38" t="n"/>
      <c r="K57" s="39">
        <f>IF(COUNTIF(H57:J57,"&gt;0")=0,"",MIN(IF(AND(ISNUMBER(H57),H57&gt;0),H57,9E+99),IF(AND(ISNUMBER(I57),I57&gt;0),I57,9E+99),IF(AND(ISNUMBER(J57),J57&gt;0),J57,9E+99)))</f>
        <v/>
      </c>
      <c r="L57" s="40">
        <f>IFERROR(G57*K57,"")</f>
        <v/>
      </c>
      <c r="M57" s="41" t="inlineStr">
        <is>
          <t>Price displayed and price charged must agree.</t>
        </is>
      </c>
    </row>
    <row r="58" ht="93" customHeight="1">
      <c r="B58" s="34" t="inlineStr">
        <is>
          <t>Front of house</t>
        </is>
      </c>
      <c r="C58" s="35" t="inlineStr">
        <is>
          <t>Takeaway cups, lids and carriers, opening stock</t>
        </is>
      </c>
      <c r="D58" s="23" t="inlineStr">
        <is>
          <t>A consumable rather than equipment, but it has to be there on day one. Buy paper or another permitted material: plastic cups, glasses, cutlery, straws, trays and stirrers are prohibited single-use plastics unless they are compostable, and carry bags have a thickness floor.</t>
        </is>
      </c>
      <c r="E58" s="36" t="inlineStr">
        <is>
          <t>Day one</t>
        </is>
      </c>
      <c r="F58" s="37">
        <f>1</f>
        <v/>
      </c>
      <c r="G58" s="22">
        <f>F58</f>
        <v/>
      </c>
      <c r="H58" s="38" t="n"/>
      <c r="I58" s="38" t="n"/>
      <c r="J58" s="38" t="n"/>
      <c r="K58" s="39">
        <f>IF(COUNTIF(H58:J58,"&gt;0")=0,"",MIN(IF(AND(ISNUMBER(H58),H58&gt;0),H58,9E+99),IF(AND(ISNUMBER(I58),I58&gt;0),I58,9E+99),IF(AND(ISNUMBER(J58),J58&gt;0),J58,9E+99)))</f>
        <v/>
      </c>
      <c r="L58" s="40">
        <f>IFERROR(G58*K58,"")</f>
        <v/>
      </c>
      <c r="M58" s="41" t="inlineStr">
        <is>
          <t>Check the single-use plastic rules before you order. See Before You Buy.</t>
        </is>
      </c>
    </row>
    <row r="59" ht="80" customHeight="1">
      <c r="B59" s="34" t="inlineStr">
        <is>
          <t>Cleaning and hygiene</t>
        </is>
      </c>
      <c r="C59" s="35" t="inlineStr">
        <is>
          <t>Three-sink wash setup with draining board</t>
        </is>
      </c>
      <c r="D59" s="23" t="inlineStr">
        <is>
          <t>Part V requires sinks with a draining board, detergent and hot water for utensils, crockery and cutlery, and a separate place for washing pots and pans. Separate sinks for washing raw food and cleaning equipment are required where necessary.</t>
        </is>
      </c>
      <c r="E59" s="36" t="inlineStr">
        <is>
          <t>Day one</t>
        </is>
      </c>
      <c r="F59" s="37">
        <f>1</f>
        <v/>
      </c>
      <c r="G59" s="22">
        <f>F59</f>
        <v/>
      </c>
      <c r="H59" s="38" t="n"/>
      <c r="I59" s="38" t="n"/>
      <c r="J59" s="38" t="n"/>
      <c r="K59" s="39">
        <f>IF(COUNTIF(H59:J59,"&gt;0")=0,"",MIN(IF(AND(ISNUMBER(H59),H59&gt;0),H59,9E+99),IF(AND(ISNUMBER(I59),I59&gt;0),I59,9E+99),IF(AND(ISNUMBER(J59),J59&gt;0),J59,9E+99)))</f>
        <v/>
      </c>
      <c r="L59" s="40">
        <f>IFERROR(G59*K59,"")</f>
        <v/>
      </c>
      <c r="M59" s="41" t="inlineStr">
        <is>
          <t>Schedule 4 Part V. A single sink does not meet it.</t>
        </is>
      </c>
    </row>
    <row r="60" ht="27" customHeight="1">
      <c r="B60" s="34" t="inlineStr">
        <is>
          <t>Cleaning and hygiene</t>
        </is>
      </c>
      <c r="C60" s="35" t="inlineStr">
        <is>
          <t>Cup and glass washer</t>
        </is>
      </c>
      <c r="D60" s="23" t="inlineStr">
        <is>
          <t>Faster than hand washing at volume, and it returns cups dry.</t>
        </is>
      </c>
      <c r="E60" s="42" t="inlineStr">
        <is>
          <t>Later</t>
        </is>
      </c>
      <c r="F60" s="37">
        <f>1</f>
        <v/>
      </c>
      <c r="G60" s="22">
        <f>F60</f>
        <v/>
      </c>
      <c r="H60" s="38" t="n"/>
      <c r="I60" s="38" t="n"/>
      <c r="J60" s="38" t="n"/>
      <c r="K60" s="39">
        <f>IF(COUNTIF(H60:J60,"&gt;0")=0,"",MIN(IF(AND(ISNUMBER(H60),H60&gt;0),H60,9E+99),IF(AND(ISNUMBER(I60),I60&gt;0),I60,9E+99),IF(AND(ISNUMBER(J60),J60&gt;0),J60,9E+99)))</f>
        <v/>
      </c>
      <c r="L60" s="40">
        <f>IFERROR(G60*K60,"")</f>
        <v/>
      </c>
      <c r="M60" s="23" t="inlineStr"/>
    </row>
    <row r="61" ht="27" customHeight="1">
      <c r="B61" s="34" t="inlineStr">
        <is>
          <t>Cleaning and hygiene</t>
        </is>
      </c>
      <c r="C61" s="35" t="inlineStr">
        <is>
          <t>Hand wash basin</t>
        </is>
      </c>
      <c r="D61" s="23" t="inlineStr">
        <is>
          <t>Separate from the wash sinks, with soap and a drying method.</t>
        </is>
      </c>
      <c r="E61" s="36" t="inlineStr">
        <is>
          <t>Day one</t>
        </is>
      </c>
      <c r="F61" s="37">
        <f>1</f>
        <v/>
      </c>
      <c r="G61" s="22">
        <f>F61</f>
        <v/>
      </c>
      <c r="H61" s="38" t="n"/>
      <c r="I61" s="38" t="n"/>
      <c r="J61" s="38" t="n"/>
      <c r="K61" s="39">
        <f>IF(COUNTIF(H61:J61,"&gt;0")=0,"",MIN(IF(AND(ISNUMBER(H61),H61&gt;0),H61,9E+99),IF(AND(ISNUMBER(I61),I61&gt;0),I61,9E+99),IF(AND(ISNUMBER(J61),J61&gt;0),J61,9E+99)))</f>
        <v/>
      </c>
      <c r="L61" s="40">
        <f>IFERROR(G61*K61,"")</f>
        <v/>
      </c>
      <c r="M61" s="41" t="inlineStr">
        <is>
          <t>Inspected. Keep soap and a drying method at it.</t>
        </is>
      </c>
    </row>
    <row r="62" ht="27" customHeight="1">
      <c r="B62" s="34" t="inlineStr">
        <is>
          <t>Cleaning and hygiene</t>
        </is>
      </c>
      <c r="C62" s="35" t="inlineStr">
        <is>
          <t>Group head cleaning kit and backflush detergent</t>
        </is>
      </c>
      <c r="D62" s="23" t="inlineStr">
        <is>
          <t>Daily, not weekly. Old coffee oils taste like old coffee oils.</t>
        </is>
      </c>
      <c r="E62" s="36" t="inlineStr">
        <is>
          <t>Day one</t>
        </is>
      </c>
      <c r="F62" s="37">
        <f>1</f>
        <v/>
      </c>
      <c r="G62" s="22">
        <f>F62</f>
        <v/>
      </c>
      <c r="H62" s="38" t="n"/>
      <c r="I62" s="38" t="n"/>
      <c r="J62" s="38" t="n"/>
      <c r="K62" s="39">
        <f>IF(COUNTIF(H62:J62,"&gt;0")=0,"",MIN(IF(AND(ISNUMBER(H62),H62&gt;0),H62,9E+99),IF(AND(ISNUMBER(I62),I62&gt;0),I62,9E+99),IF(AND(ISNUMBER(J62),J62&gt;0),J62,9E+99)))</f>
        <v/>
      </c>
      <c r="L62" s="40">
        <f>IFERROR(G62*K62,"")</f>
        <v/>
      </c>
      <c r="M62" s="23" t="inlineStr"/>
    </row>
    <row r="63" ht="40" customHeight="1">
      <c r="B63" s="34" t="inlineStr">
        <is>
          <t>Cleaning and hygiene</t>
        </is>
      </c>
      <c r="C63" s="35" t="inlineStr">
        <is>
          <t>Cloths, colour coded</t>
        </is>
      </c>
      <c r="D63" s="23" t="inlineStr">
        <is>
          <t>One colour for the counter, one for the steam wand, and the staff know which is which.</t>
        </is>
      </c>
      <c r="E63" s="36" t="inlineStr">
        <is>
          <t>Day one</t>
        </is>
      </c>
      <c r="F63" s="37">
        <f>12</f>
        <v/>
      </c>
      <c r="G63" s="22">
        <f>F63</f>
        <v/>
      </c>
      <c r="H63" s="38" t="n"/>
      <c r="I63" s="38" t="n"/>
      <c r="J63" s="38" t="n"/>
      <c r="K63" s="39">
        <f>IF(COUNTIF(H63:J63,"&gt;0")=0,"",MIN(IF(AND(ISNUMBER(H63),H63&gt;0),H63,9E+99),IF(AND(ISNUMBER(I63),I63&gt;0),I63,9E+99),IF(AND(ISNUMBER(J63),J63&gt;0),J63,9E+99)))</f>
        <v/>
      </c>
      <c r="L63" s="40">
        <f>IFERROR(G63*K63,"")</f>
        <v/>
      </c>
      <c r="M63" s="23" t="inlineStr"/>
    </row>
    <row r="64" ht="53" customHeight="1">
      <c r="B64" s="34" t="inlineStr">
        <is>
          <t>Cleaning and hygiene</t>
        </is>
      </c>
      <c r="C64" s="35" t="inlineStr">
        <is>
          <t>Food contact sanitiser</t>
        </is>
      </c>
      <c r="D64" s="23" t="inlineStr">
        <is>
          <t>Rated for food contact surfaces. Keep the label and the dilution chart.</t>
        </is>
      </c>
      <c r="E64" s="36" t="inlineStr">
        <is>
          <t>Day one</t>
        </is>
      </c>
      <c r="F64" s="37">
        <f>1</f>
        <v/>
      </c>
      <c r="G64" s="22">
        <f>F64</f>
        <v/>
      </c>
      <c r="H64" s="38" t="n"/>
      <c r="I64" s="38" t="n"/>
      <c r="J64" s="38" t="n"/>
      <c r="K64" s="39">
        <f>IF(COUNTIF(H64:J64,"&gt;0")=0,"",MIN(IF(AND(ISNUMBER(H64),H64&gt;0),H64,9E+99),IF(AND(ISNUMBER(I64),I64&gt;0),I64,9E+99),IF(AND(ISNUMBER(J64),J64&gt;0),J64,9E+99)))</f>
        <v/>
      </c>
      <c r="L64" s="40">
        <f>IFERROR(G64*K64,"")</f>
        <v/>
      </c>
      <c r="M64" s="41" t="inlineStr">
        <is>
          <t>Part V asks for a systematic cleaning schedule and instructions. Keep them.</t>
        </is>
      </c>
    </row>
    <row r="65" ht="27" customHeight="1">
      <c r="B65" s="34" t="inlineStr">
        <is>
          <t>Cleaning and hygiene</t>
        </is>
      </c>
      <c r="C65" s="35" t="inlineStr">
        <is>
          <t>Waste bins with lids, front and back</t>
        </is>
      </c>
      <c r="D65" s="23" t="inlineStr">
        <is>
          <t>A separate bin for wet waste, and everyone knows which it is.</t>
        </is>
      </c>
      <c r="E65" s="36" t="inlineStr">
        <is>
          <t>Day one</t>
        </is>
      </c>
      <c r="F65" s="37">
        <f>3</f>
        <v/>
      </c>
      <c r="G65" s="22">
        <f>F65</f>
        <v/>
      </c>
      <c r="H65" s="38" t="n"/>
      <c r="I65" s="38" t="n"/>
      <c r="J65" s="38" t="n"/>
      <c r="K65" s="39">
        <f>IF(COUNTIF(H65:J65,"&gt;0")=0,"",MIN(IF(AND(ISNUMBER(H65),H65&gt;0),H65,9E+99),IF(AND(ISNUMBER(I65),I65&gt;0),I65,9E+99),IF(AND(ISNUMBER(J65),J65&gt;0),J65,9E+99)))</f>
        <v/>
      </c>
      <c r="L65" s="40">
        <f>IFERROR(G65*K65,"")</f>
        <v/>
      </c>
      <c r="M65" s="23" t="inlineStr"/>
    </row>
    <row r="66" ht="27" customHeight="1">
      <c r="B66" s="34" t="inlineStr">
        <is>
          <t>Cleaning and hygiene</t>
        </is>
      </c>
      <c r="C66" s="35" t="inlineStr">
        <is>
          <t>First aid kit and burn kit</t>
        </is>
      </c>
      <c r="D66" s="23" t="inlineStr">
        <is>
          <t>Steam wands and hot milk are the usual cafe injuries.</t>
        </is>
      </c>
      <c r="E66" s="36" t="inlineStr">
        <is>
          <t>Day one</t>
        </is>
      </c>
      <c r="F66" s="37">
        <f>1</f>
        <v/>
      </c>
      <c r="G66" s="22">
        <f>F66</f>
        <v/>
      </c>
      <c r="H66" s="38" t="n"/>
      <c r="I66" s="38" t="n"/>
      <c r="J66" s="38" t="n"/>
      <c r="K66" s="39">
        <f>IF(COUNTIF(H66:J66,"&gt;0")=0,"",MIN(IF(AND(ISNUMBER(H66),H66&gt;0),H66,9E+99),IF(AND(ISNUMBER(I66),I66&gt;0),I66,9E+99),IF(AND(ISNUMBER(J66),J66&gt;0),J66,9E+99)))</f>
        <v/>
      </c>
      <c r="L66" s="40">
        <f>IFERROR(G66*K66,"")</f>
        <v/>
      </c>
      <c r="M66" s="23" t="inlineStr"/>
    </row>
    <row r="67" ht="27" customHeight="1">
      <c r="B67" s="34" t="inlineStr">
        <is>
          <t>Cleaning and hygiene</t>
        </is>
      </c>
      <c r="C67" s="35" t="inlineStr">
        <is>
          <t>Pest control service, first year</t>
        </is>
      </c>
      <c r="D67" s="23" t="inlineStr">
        <is>
          <t>Contracted, with records kept.</t>
        </is>
      </c>
      <c r="E67" s="36" t="inlineStr">
        <is>
          <t>Day one</t>
        </is>
      </c>
      <c r="F67" s="37">
        <f>1</f>
        <v/>
      </c>
      <c r="G67" s="22">
        <f>F67</f>
        <v/>
      </c>
      <c r="H67" s="38" t="n"/>
      <c r="I67" s="38" t="n"/>
      <c r="J67" s="38" t="n"/>
      <c r="K67" s="39">
        <f>IF(COUNTIF(H67:J67,"&gt;0")=0,"",MIN(IF(AND(ISNUMBER(H67),H67&gt;0),H67,9E+99),IF(AND(ISNUMBER(I67),I67&gt;0),I67,9E+99),IF(AND(ISNUMBER(J67),J67&gt;0),J67,9E+99)))</f>
        <v/>
      </c>
      <c r="L67" s="40">
        <f>IFERROR(G67*K67,"")</f>
        <v/>
      </c>
      <c r="M67" s="41" t="inlineStr">
        <is>
          <t>Keep the service records, they get asked for.</t>
        </is>
      </c>
    </row>
    <row r="68" ht="40" customHeight="1">
      <c r="B68" s="34" t="inlineStr">
        <is>
          <t>Billing and back office</t>
        </is>
      </c>
      <c r="C68" s="35" t="inlineStr">
        <is>
          <t>POS terminal</t>
        </is>
      </c>
      <c r="D68" s="23" t="inlineStr">
        <is>
          <t>It has to hold the recipe behind the drink, not just the price, or your bean count and your sales will never agree.</t>
        </is>
      </c>
      <c r="E68" s="36" t="inlineStr">
        <is>
          <t>Day one</t>
        </is>
      </c>
      <c r="F68" s="37">
        <f>1</f>
        <v/>
      </c>
      <c r="G68" s="22">
        <f>F68</f>
        <v/>
      </c>
      <c r="H68" s="38" t="n"/>
      <c r="I68" s="38" t="n"/>
      <c r="J68" s="38" t="n"/>
      <c r="K68" s="39">
        <f>IF(COUNTIF(H68:J68,"&gt;0")=0,"",MIN(IF(AND(ISNUMBER(H68),H68&gt;0),H68,9E+99),IF(AND(ISNUMBER(I68),I68&gt;0),I68,9E+99),IF(AND(ISNUMBER(J68),J68&gt;0),J68,9E+99)))</f>
        <v/>
      </c>
      <c r="L68" s="40">
        <f>IFERROR(G68*K68,"")</f>
        <v/>
      </c>
      <c r="M68" s="23" t="inlineStr"/>
    </row>
    <row r="69" ht="27" customHeight="1">
      <c r="B69" s="34" t="inlineStr">
        <is>
          <t>Billing and back office</t>
        </is>
      </c>
      <c r="C69" s="35" t="inlineStr">
        <is>
          <t>Bill printer</t>
        </is>
      </c>
      <c r="D69" s="23" t="inlineStr">
        <is>
          <t>Thermal, at the counter and clear of the wet zone.</t>
        </is>
      </c>
      <c r="E69" s="36" t="inlineStr">
        <is>
          <t>Day one</t>
        </is>
      </c>
      <c r="F69" s="37">
        <f>1</f>
        <v/>
      </c>
      <c r="G69" s="22">
        <f>F69</f>
        <v/>
      </c>
      <c r="H69" s="38" t="n"/>
      <c r="I69" s="38" t="n"/>
      <c r="J69" s="38" t="n"/>
      <c r="K69" s="39">
        <f>IF(COUNTIF(H69:J69,"&gt;0")=0,"",MIN(IF(AND(ISNUMBER(H69),H69&gt;0),H69,9E+99),IF(AND(ISNUMBER(I69),I69&gt;0),I69,9E+99),IF(AND(ISNUMBER(J69),J69&gt;0),J69,9E+99)))</f>
        <v/>
      </c>
      <c r="L69" s="40">
        <f>IFERROR(G69*K69,"")</f>
        <v/>
      </c>
      <c r="M69" s="23" t="inlineStr"/>
    </row>
    <row r="70" ht="27" customHeight="1">
      <c r="B70" s="34" t="inlineStr">
        <is>
          <t>Billing and back office</t>
        </is>
      </c>
      <c r="C70" s="35" t="inlineStr">
        <is>
          <t>KOT printer</t>
        </is>
      </c>
      <c r="D70" s="23" t="inlineStr">
        <is>
          <t>Only if there is a kitchen behind the counter.</t>
        </is>
      </c>
      <c r="E70" s="36" t="inlineStr">
        <is>
          <t>Day one</t>
        </is>
      </c>
      <c r="F70" s="37">
        <f>1*IF('Cafe Profile'!$C$11="Yes",1,0)</f>
        <v/>
      </c>
      <c r="G70" s="22">
        <f>F70</f>
        <v/>
      </c>
      <c r="H70" s="38" t="n"/>
      <c r="I70" s="38" t="n"/>
      <c r="J70" s="38" t="n"/>
      <c r="K70" s="39">
        <f>IF(COUNTIF(H70:J70,"&gt;0")=0,"",MIN(IF(AND(ISNUMBER(H70),H70&gt;0),H70,9E+99),IF(AND(ISNUMBER(I70),I70&gt;0),I70,9E+99),IF(AND(ISNUMBER(J70),J70&gt;0),J70,9E+99)))</f>
        <v/>
      </c>
      <c r="L70" s="40">
        <f>IFERROR(G70*K70,"")</f>
        <v/>
      </c>
      <c r="M70" s="23" t="inlineStr"/>
    </row>
    <row r="71" ht="27" customHeight="1">
      <c r="B71" s="34" t="inlineStr">
        <is>
          <t>Billing and back office</t>
        </is>
      </c>
      <c r="C71" s="35" t="inlineStr">
        <is>
          <t>Cash drawer</t>
        </is>
      </c>
      <c r="D71" s="23" t="inlineStr">
        <is>
          <t>Even on a mostly digital counter.</t>
        </is>
      </c>
      <c r="E71" s="36" t="inlineStr">
        <is>
          <t>Day one</t>
        </is>
      </c>
      <c r="F71" s="37">
        <f>1</f>
        <v/>
      </c>
      <c r="G71" s="22">
        <f>F71</f>
        <v/>
      </c>
      <c r="H71" s="38" t="n"/>
      <c r="I71" s="38" t="n"/>
      <c r="J71" s="38" t="n"/>
      <c r="K71" s="39">
        <f>IF(COUNTIF(H71:J71,"&gt;0")=0,"",MIN(IF(AND(ISNUMBER(H71),H71&gt;0),H71,9E+99),IF(AND(ISNUMBER(I71),I71&gt;0),I71,9E+99),IF(AND(ISNUMBER(J71),J71&gt;0),J71,9E+99)))</f>
        <v/>
      </c>
      <c r="L71" s="40">
        <f>IFERROR(G71*K71,"")</f>
        <v/>
      </c>
      <c r="M71" s="23" t="inlineStr"/>
    </row>
    <row r="72" ht="27" customHeight="1">
      <c r="B72" s="34" t="inlineStr">
        <is>
          <t>Billing and back office</t>
        </is>
      </c>
      <c r="C72" s="35" t="inlineStr">
        <is>
          <t>Card machine or QR standee</t>
        </is>
      </c>
      <c r="D72" s="23" t="inlineStr">
        <is>
          <t>Usually the bank's, but budget the rental.</t>
        </is>
      </c>
      <c r="E72" s="36" t="inlineStr">
        <is>
          <t>Day one</t>
        </is>
      </c>
      <c r="F72" s="37">
        <f>1</f>
        <v/>
      </c>
      <c r="G72" s="22">
        <f>F72</f>
        <v/>
      </c>
      <c r="H72" s="38" t="n"/>
      <c r="I72" s="38" t="n"/>
      <c r="J72" s="38" t="n"/>
      <c r="K72" s="39">
        <f>IF(COUNTIF(H72:J72,"&gt;0")=0,"",MIN(IF(AND(ISNUMBER(H72),H72&gt;0),H72,9E+99),IF(AND(ISNUMBER(I72),I72&gt;0),I72,9E+99),IF(AND(ISNUMBER(J72),J72&gt;0),J72,9E+99)))</f>
        <v/>
      </c>
      <c r="L72" s="40">
        <f>IFERROR(G72*K72,"")</f>
        <v/>
      </c>
      <c r="M72" s="23" t="inlineStr"/>
    </row>
    <row r="73" ht="53" customHeight="1">
      <c r="B73" s="34" t="inlineStr">
        <is>
          <t>Billing and back office</t>
        </is>
      </c>
      <c r="C73" s="35" t="inlineStr">
        <is>
          <t>Retail weighing scale</t>
        </is>
      </c>
      <c r="D73" s="23" t="inlineStr">
        <is>
          <t>Only if you sell beans by weight. If it decides the quantity you sell, it is a measure used in trade and has to be verified and stamped before it is put into use.</t>
        </is>
      </c>
      <c r="E73" s="42" t="inlineStr">
        <is>
          <t>Later</t>
        </is>
      </c>
      <c r="F73" s="37">
        <f>1</f>
        <v/>
      </c>
      <c r="G73" s="22">
        <f>F73</f>
        <v/>
      </c>
      <c r="H73" s="38" t="n"/>
      <c r="I73" s="38" t="n"/>
      <c r="J73" s="38" t="n"/>
      <c r="K73" s="39">
        <f>IF(COUNTIF(H73:J73,"&gt;0")=0,"",MIN(IF(AND(ISNUMBER(H73),H73&gt;0),H73,9E+99),IF(AND(ISNUMBER(I73),I73&gt;0),I73,9E+99),IF(AND(ISNUMBER(J73),J73&gt;0),J73,9E+99)))</f>
        <v/>
      </c>
      <c r="L73" s="40">
        <f>IFERROR(G73*K73,"")</f>
        <v/>
      </c>
      <c r="M73" s="41" t="inlineStr">
        <is>
          <t>Legal Metrology applies. See Before You Buy.</t>
        </is>
      </c>
    </row>
    <row r="74" ht="27" customHeight="1">
      <c r="B74" s="34" t="inlineStr">
        <is>
          <t>Billing and back office</t>
        </is>
      </c>
      <c r="C74" s="35" t="inlineStr">
        <is>
          <t>UPS or inverter for the till</t>
        </is>
      </c>
      <c r="D74" s="23" t="inlineStr">
        <is>
          <t>A power cut mid-service should not lose the open tabs.</t>
        </is>
      </c>
      <c r="E74" s="36" t="inlineStr">
        <is>
          <t>Day one</t>
        </is>
      </c>
      <c r="F74" s="37">
        <f>1</f>
        <v/>
      </c>
      <c r="G74" s="22">
        <f>F74</f>
        <v/>
      </c>
      <c r="H74" s="38" t="n"/>
      <c r="I74" s="38" t="n"/>
      <c r="J74" s="38" t="n"/>
      <c r="K74" s="39">
        <f>IF(COUNTIF(H74:J74,"&gt;0")=0,"",MIN(IF(AND(ISNUMBER(H74),H74&gt;0),H74,9E+99),IF(AND(ISNUMBER(I74),I74&gt;0),I74,9E+99),IF(AND(ISNUMBER(J74),J74&gt;0),J74,9E+99)))</f>
        <v/>
      </c>
      <c r="L74" s="40">
        <f>IFERROR(G74*K74,"")</f>
        <v/>
      </c>
      <c r="M74" s="23" t="inlineStr"/>
    </row>
    <row r="75" ht="40" customHeight="1">
      <c r="B75" s="34" t="inlineStr">
        <is>
          <t>Billing and back office</t>
        </is>
      </c>
      <c r="C75" s="35" t="inlineStr">
        <is>
          <t>Wi-Fi router and cabling</t>
        </is>
      </c>
      <c r="D75" s="23" t="inlineStr">
        <is>
          <t>The POS, the card machine and the guests all want it. Keep the guest network separate.</t>
        </is>
      </c>
      <c r="E75" s="36" t="inlineStr">
        <is>
          <t>Day one</t>
        </is>
      </c>
      <c r="F75" s="37">
        <f>1</f>
        <v/>
      </c>
      <c r="G75" s="22">
        <f>F75</f>
        <v/>
      </c>
      <c r="H75" s="38" t="n"/>
      <c r="I75" s="38" t="n"/>
      <c r="J75" s="38" t="n"/>
      <c r="K75" s="39">
        <f>IF(COUNTIF(H75:J75,"&gt;0")=0,"",MIN(IF(AND(ISNUMBER(H75),H75&gt;0),H75,9E+99),IF(AND(ISNUMBER(I75),I75&gt;0),I75,9E+99),IF(AND(ISNUMBER(J75),J75&gt;0),J75,9E+99)))</f>
        <v/>
      </c>
      <c r="L75" s="40">
        <f>IFERROR(G75*K75,"")</f>
        <v/>
      </c>
      <c r="M75" s="23" t="inlineStr"/>
    </row>
    <row r="76" ht="40" customHeight="1">
      <c r="B76" s="34" t="inlineStr">
        <is>
          <t>Your own items</t>
        </is>
      </c>
      <c r="C76" s="43" t="n"/>
      <c r="D76" s="44" t="n"/>
      <c r="E76" s="45" t="inlineStr">
        <is>
          <t>Day one</t>
        </is>
      </c>
      <c r="F76" s="37" t="n"/>
      <c r="G76" s="22" t="n"/>
      <c r="H76" s="38" t="n"/>
      <c r="I76" s="38" t="n"/>
      <c r="J76" s="38" t="n"/>
      <c r="K76" s="39">
        <f>IF(COUNTIF(H76:J76,"&gt;0")=0,"",MIN(IF(AND(ISNUMBER(H76),H76&gt;0),H76,9E+99),IF(AND(ISNUMBER(I76),I76&gt;0),I76,9E+99),IF(AND(ISNUMBER(J76),J76&gt;0),J76,9E+99)))</f>
        <v/>
      </c>
      <c r="L76" s="40">
        <f>IFERROR(G76*K76,"")</f>
        <v/>
      </c>
      <c r="M76" s="46" t="inlineStr">
        <is>
          <t>Anything the list does not carry. Type the item, spec and quantity.</t>
        </is>
      </c>
    </row>
    <row r="77" ht="40" customHeight="1">
      <c r="B77" s="34" t="inlineStr">
        <is>
          <t>Your own items</t>
        </is>
      </c>
      <c r="C77" s="43" t="n"/>
      <c r="D77" s="44" t="n"/>
      <c r="E77" s="45" t="inlineStr">
        <is>
          <t>Day one</t>
        </is>
      </c>
      <c r="F77" s="37" t="n"/>
      <c r="G77" s="22" t="n"/>
      <c r="H77" s="38" t="n"/>
      <c r="I77" s="38" t="n"/>
      <c r="J77" s="38" t="n"/>
      <c r="K77" s="39">
        <f>IF(COUNTIF(H77:J77,"&gt;0")=0,"",MIN(IF(AND(ISNUMBER(H77),H77&gt;0),H77,9E+99),IF(AND(ISNUMBER(I77),I77&gt;0),I77,9E+99),IF(AND(ISNUMBER(J77),J77&gt;0),J77,9E+99)))</f>
        <v/>
      </c>
      <c r="L77" s="40">
        <f>IFERROR(G77*K77,"")</f>
        <v/>
      </c>
      <c r="M77" s="46" t="inlineStr">
        <is>
          <t>Anything the list does not carry. Type the item, spec and quantity.</t>
        </is>
      </c>
    </row>
    <row r="78" ht="40" customHeight="1">
      <c r="B78" s="34" t="inlineStr">
        <is>
          <t>Your own items</t>
        </is>
      </c>
      <c r="C78" s="43" t="n"/>
      <c r="D78" s="44" t="n"/>
      <c r="E78" s="45" t="inlineStr">
        <is>
          <t>Day one</t>
        </is>
      </c>
      <c r="F78" s="37" t="n"/>
      <c r="G78" s="22" t="n"/>
      <c r="H78" s="38" t="n"/>
      <c r="I78" s="38" t="n"/>
      <c r="J78" s="38" t="n"/>
      <c r="K78" s="39">
        <f>IF(COUNTIF(H78:J78,"&gt;0")=0,"",MIN(IF(AND(ISNUMBER(H78),H78&gt;0),H78,9E+99),IF(AND(ISNUMBER(I78),I78&gt;0),I78,9E+99),IF(AND(ISNUMBER(J78),J78&gt;0),J78,9E+99)))</f>
        <v/>
      </c>
      <c r="L78" s="40">
        <f>IFERROR(G78*K78,"")</f>
        <v/>
      </c>
      <c r="M78" s="46" t="inlineStr">
        <is>
          <t>Anything the list does not carry. Type the item, spec and quantity.</t>
        </is>
      </c>
    </row>
    <row r="79" ht="40" customHeight="1">
      <c r="B79" s="34" t="inlineStr">
        <is>
          <t>Your own items</t>
        </is>
      </c>
      <c r="C79" s="43" t="n"/>
      <c r="D79" s="44" t="n"/>
      <c r="E79" s="45" t="inlineStr">
        <is>
          <t>Day one</t>
        </is>
      </c>
      <c r="F79" s="37" t="n"/>
      <c r="G79" s="22" t="n"/>
      <c r="H79" s="38" t="n"/>
      <c r="I79" s="38" t="n"/>
      <c r="J79" s="38" t="n"/>
      <c r="K79" s="39">
        <f>IF(COUNTIF(H79:J79,"&gt;0")=0,"",MIN(IF(AND(ISNUMBER(H79),H79&gt;0),H79,9E+99),IF(AND(ISNUMBER(I79),I79&gt;0),I79,9E+99),IF(AND(ISNUMBER(J79),J79&gt;0),J79,9E+99)))</f>
        <v/>
      </c>
      <c r="L79" s="40">
        <f>IFERROR(G79*K79,"")</f>
        <v/>
      </c>
      <c r="M79" s="46" t="inlineStr">
        <is>
          <t>Anything the list does not carry. Type the item, spec and quantity.</t>
        </is>
      </c>
    </row>
    <row r="80" ht="40" customHeight="1">
      <c r="B80" s="34" t="inlineStr">
        <is>
          <t>Your own items</t>
        </is>
      </c>
      <c r="C80" s="43" t="n"/>
      <c r="D80" s="44" t="n"/>
      <c r="E80" s="45" t="inlineStr">
        <is>
          <t>Day one</t>
        </is>
      </c>
      <c r="F80" s="37" t="n"/>
      <c r="G80" s="22" t="n"/>
      <c r="H80" s="38" t="n"/>
      <c r="I80" s="38" t="n"/>
      <c r="J80" s="38" t="n"/>
      <c r="K80" s="39">
        <f>IF(COUNTIF(H80:J80,"&gt;0")=0,"",MIN(IF(AND(ISNUMBER(H80),H80&gt;0),H80,9E+99),IF(AND(ISNUMBER(I80),I80&gt;0),I80,9E+99),IF(AND(ISNUMBER(J80),J80&gt;0),J80,9E+99)))</f>
        <v/>
      </c>
      <c r="L80" s="40">
        <f>IFERROR(G80*K80,"")</f>
        <v/>
      </c>
      <c r="M80" s="46" t="inlineStr">
        <is>
          <t>Anything the list does not carry. Type the item, spec and quantity.</t>
        </is>
      </c>
    </row>
    <row r="81" ht="40" customHeight="1">
      <c r="B81" s="34" t="inlineStr">
        <is>
          <t>Your own items</t>
        </is>
      </c>
      <c r="C81" s="43" t="n"/>
      <c r="D81" s="44" t="n"/>
      <c r="E81" s="45" t="inlineStr">
        <is>
          <t>Day one</t>
        </is>
      </c>
      <c r="F81" s="37" t="n"/>
      <c r="G81" s="22" t="n"/>
      <c r="H81" s="38" t="n"/>
      <c r="I81" s="38" t="n"/>
      <c r="J81" s="38" t="n"/>
      <c r="K81" s="39">
        <f>IF(COUNTIF(H81:J81,"&gt;0")=0,"",MIN(IF(AND(ISNUMBER(H81),H81&gt;0),H81,9E+99),IF(AND(ISNUMBER(I81),I81&gt;0),I81,9E+99),IF(AND(ISNUMBER(J81),J81&gt;0),J81,9E+99)))</f>
        <v/>
      </c>
      <c r="L81" s="40">
        <f>IFERROR(G81*K81,"")</f>
        <v/>
      </c>
      <c r="M81" s="46" t="inlineStr">
        <is>
          <t>Anything the list does not carry. Type the item, spec and quantity.</t>
        </is>
      </c>
    </row>
    <row r="82" ht="27" customHeight="1">
      <c r="B82" s="29" t="inlineStr">
        <is>
          <t>Total</t>
        </is>
      </c>
      <c r="C82" s="29" t="inlineStr">
        <is>
          <t>All items, at your quantities and your best quotes</t>
        </is>
      </c>
      <c r="D82" s="47" t="n"/>
      <c r="E82" s="47" t="n"/>
      <c r="F82" s="47" t="n"/>
      <c r="G82" s="47" t="n"/>
      <c r="H82" s="47" t="n"/>
      <c r="I82" s="47" t="n"/>
      <c r="J82" s="47" t="n"/>
      <c r="K82" s="47" t="n"/>
      <c r="L82" s="48">
        <f>SUM(L6:L81)</f>
        <v/>
      </c>
      <c r="M82" s="49" t="n"/>
    </row>
    <row r="83"/>
    <row r="84" ht="40" customHeight="1">
      <c r="B84" s="18" t="inlineStr">
        <is>
          <t>Best quote takes the lowest of the three figures you entered, so a blank column costs you nothing. A line with no quote at all shows as blank and is counted on the Budget Summary as still to price. Printing this sheet gives you the enquiry to send a supplier: it comes out landscape, one page wide, with the header repeated, and it stops after the three quote columns. Your best quotes, your line totals and your own notes sit outside the print area, so they stay with you.</t>
        </is>
      </c>
    </row>
    <row r="85"/>
    <row r="86">
      <c r="B86" s="19"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4">
    <mergeCell ref="B3:M3"/>
    <mergeCell ref="B2:M2"/>
    <mergeCell ref="B84:M84"/>
    <mergeCell ref="B86:M86"/>
  </mergeCells>
  <dataValidations count="2">
    <dataValidation sqref="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J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showDropDown="0" showInputMessage="0" showErrorMessage="1" allowBlank="1" errorTitle="Price per unit" error="Enter the supplier's price per unit in rupees, as a number. Leave it blank if they did not quote. Do not type 0." type="decimal" errorStyle="stop" operator="greaterThan">
      <formula1>0</formula1>
    </dataValidation>
    <dataValidation sqref="E76 E77 E78 E79 E80 E81" showDropDown="0" showInputMessage="0" showErrorMessage="1" allowBlank="1" errorTitle="Day one or Later" error="Pick Day one or Later from the dropdown." type="list" errorStyle="stop">
      <formula1>=Lists!$A$11:$A$12</formula1>
    </dataValidation>
  </dataValidations>
  <printOptions horizontalCentered="1"/>
  <pageMargins left="0.3" right="0.3" top="0.4" bottom="0.4"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D48"/>
  <sheetViews>
    <sheetView showGridLines="0" workbookViewId="0">
      <selection activeCell="A1" sqref="A1"/>
    </sheetView>
  </sheetViews>
  <sheetFormatPr baseColWidth="8" defaultRowHeight="15"/>
  <cols>
    <col width="3" customWidth="1" min="1" max="1"/>
    <col width="34" customWidth="1" min="2" max="2"/>
    <col width="62" customWidth="1" min="3" max="3"/>
    <col width="40" customWidth="1" min="4" max="4"/>
    <col width="3" customWidth="1" min="5" max="5"/>
  </cols>
  <sheetData>
    <row r="1"/>
    <row r="2" ht="22" customHeight="1">
      <c r="B2" s="20" t="inlineStr">
        <is>
          <t>Before you buy</t>
        </is>
      </c>
      <c r="C2" s="2" t="n"/>
      <c r="D2" s="2" t="n"/>
    </row>
    <row r="3" ht="40" customHeight="1">
      <c r="B3" s="3" t="inlineStr">
        <is>
          <t>A cafe equipment list will tell you to buy a water filter. It will not tell you that on a licence the law treats the water in the cup as an ingredient, or that the tank it sits in needs a cleaning register. Which of those binds you depends on your FSSAI tier, and the licences that let you open at all are a separate question again.</t>
        </is>
      </c>
    </row>
    <row r="4"/>
    <row r="5">
      <c r="B5" s="14" t="inlineStr">
        <is>
          <t>1. Water is an ingredient, not a utility</t>
        </is>
      </c>
      <c r="C5" s="15" t="n"/>
      <c r="D5" s="15" t="n"/>
    </row>
    <row r="6">
      <c r="B6" s="6" t="inlineStr">
        <is>
          <t>Point</t>
        </is>
      </c>
      <c r="C6" s="6" t="inlineStr">
        <is>
          <t>What it says</t>
        </is>
      </c>
      <c r="D6" s="6" t="inlineStr">
        <is>
          <t>What you do about it</t>
        </is>
      </c>
    </row>
    <row r="7" ht="66" customHeight="1">
      <c r="B7" s="7" t="inlineStr">
        <is>
          <t>Which part binds you</t>
        </is>
      </c>
      <c r="C7" s="8" t="inlineStr">
        <is>
          <t>Petty food businesses applying for REGISTRATION follow Part I of Schedule 4. Businesses applying for a LICENCE follow Part II, and Part V applies on top of Part II for catering and food service establishments. The tiers are set by turnover, so the part that binds you can change as you grow.</t>
        </is>
      </c>
      <c r="D7" s="17" t="inlineStr">
        <is>
          <t>Settle your tier first, then read the row that applies to it.</t>
        </is>
      </c>
    </row>
    <row r="8" ht="66" customHeight="1">
      <c r="B8" s="7" t="inlineStr">
        <is>
          <t>On registration: Part I</t>
        </is>
      </c>
      <c r="C8" s="8" t="inlineStr">
        <is>
          <t>Part I is shorter and softer. The water used must be potable, a continuous supply of potable water must be ensured, and where supply is intermittent there must be adequate storage for water used in food or washing. No ingredient wording, no tank register.</t>
        </is>
      </c>
      <c r="D8" s="17" t="inlineStr">
        <is>
          <t>Potable water is still the floor, whatever your tier.</t>
        </is>
      </c>
    </row>
    <row r="9" ht="53" customHeight="1">
      <c r="B9" s="7" t="inlineStr">
        <is>
          <t>On a licence: water in the cup</t>
        </is>
      </c>
      <c r="C9" s="8" t="inlineStr">
        <is>
          <t>Part II requires that only potable water, with appropriate facilities for its storage and distribution, be used as an ingredient in processing and cooking. In a cafe that is most of what you sell.</t>
        </is>
      </c>
      <c r="D9" s="17" t="inlineStr">
        <is>
          <t>Test the inlet water before you choose a filter, not after the boiler scales up.</t>
        </is>
      </c>
    </row>
    <row r="10" ht="53" customHeight="1">
      <c r="B10" s="7" t="inlineStr">
        <is>
          <t>Ice and steam</t>
        </is>
      </c>
      <c r="C10" s="8" t="inlineStr">
        <is>
          <t>The same part requires ice and steam used in direct contact with food to be made from potable water. Part V repeats it for beverages: water used in beverages should be potable, and ice should be made of potable water only.</t>
        </is>
      </c>
      <c r="D10" s="17" t="inlineStr">
        <is>
          <t>That covers your steam wand and your ice machine, both of which run off the same supply.</t>
        </is>
      </c>
    </row>
    <row r="11" ht="66" customHeight="1">
      <c r="B11" s="7" t="inlineStr">
        <is>
          <t>On a licence: the tank register</t>
        </is>
      </c>
      <c r="C11" s="8" t="inlineStr">
        <is>
          <t>Part II also requires water storage tanks to be cleaned periodically and records of the cleaning to be maintained in a register. The register is the part that gets missed. Part I carries no tank or register duty, so this one follows your tier.</t>
        </is>
      </c>
      <c r="D11" s="17" t="inlineStr">
        <is>
          <t>Start the register on the day the tank is installed, and keep it with your cleaning schedule.</t>
        </is>
      </c>
    </row>
    <row r="12" ht="40" customHeight="1">
      <c r="B12" s="7" t="inlineStr">
        <is>
          <t>Two water lines</t>
        </is>
      </c>
      <c r="C12" s="8" t="inlineStr">
        <is>
          <t>Non-potable water is allowed only for equipment that does not touch food, and its pipes have to be clearly distinguished from the potable ones.</t>
        </is>
      </c>
      <c r="D12" s="17" t="inlineStr">
        <is>
          <t>If a softener feeds only a boiler or a condenser, label the run.</t>
        </is>
      </c>
    </row>
    <row r="13" ht="40" customHeight="1">
      <c r="B13" s="7" t="inlineStr">
        <is>
          <t>The cleaning schedule</t>
        </is>
      </c>
      <c r="C13" s="8" t="inlineStr">
        <is>
          <t>Part V requires a systematic cleaning schedule and instructions, developed by the business, covering what is cleaned, how often, how, and with which products.</t>
        </is>
      </c>
      <c r="D13" s="17" t="inlineStr">
        <is>
          <t>Write it before opening and keep it where it can be produced.</t>
        </is>
      </c>
    </row>
    <row r="14"/>
    <row r="15">
      <c r="B15" s="14" t="inlineStr">
        <is>
          <t>2. If you sell beans by weight, the scale is a legal instrument</t>
        </is>
      </c>
      <c r="C15" s="15" t="n"/>
      <c r="D15" s="15" t="n"/>
    </row>
    <row r="16">
      <c r="B16" s="6" t="inlineStr">
        <is>
          <t>Point</t>
        </is>
      </c>
      <c r="C16" s="6" t="inlineStr">
        <is>
          <t>What it says</t>
        </is>
      </c>
      <c r="D16" s="6" t="inlineStr">
        <is>
          <t>What you do about it</t>
        </is>
      </c>
    </row>
    <row r="17" ht="53" customHeight="1">
      <c r="B17" s="7" t="inlineStr">
        <is>
          <t>When it applies</t>
        </is>
      </c>
      <c r="C17" s="8" t="inlineStr">
        <is>
          <t>A scale that decides the quantity you sell is a measure used in trade. Weighing beans into a bag for a customer is exactly that. A dosing scale behind the machine, used only to make the drink, is not.</t>
        </is>
      </c>
      <c r="D17" s="17" t="inlineStr">
        <is>
          <t>Decide which of your scales sells, and treat only those as instruments.</t>
        </is>
      </c>
    </row>
    <row r="18" ht="53" customHeight="1">
      <c r="B18" s="7" t="inlineStr">
        <is>
          <t>The obligation, section 24</t>
        </is>
      </c>
      <c r="C18" s="8" t="inlineStr">
        <is>
          <t>Section 24 of the Legal Metrology Act, 2009 requires a weight or measure to be verified and stamped before it is put into use. Verification and stamping is arranged through your state legal metrology department.</t>
        </is>
      </c>
      <c r="D18" s="17" t="inlineStr">
        <is>
          <t>Get it stamped before you open, and ask the supplier in writing whether the model is verifiable.</t>
        </is>
      </c>
    </row>
    <row r="19" ht="119" customHeight="1">
      <c r="B19" s="7" t="inlineStr">
        <is>
          <t>The penalty, section 33</t>
        </is>
      </c>
      <c r="C19" s="8" t="inlineStr">
        <is>
          <t>Using an unverified measure is punishable with a fine of not less than ₹2,000 and up to ₹10,000. A second or subsequent offence can bring imprisonment of up to one year, and a fine as well. Those are the amounts written in the Act for a first offence; it sets no separate ceiling for the fine on a second one. Both Jan Vishwas Acts also raise fines under the Acts they cover by ten per cent of the minimum every three years, so confirm the current figure with your state department.</t>
        </is>
      </c>
      <c r="D19" s="17" t="inlineStr">
        <is>
          <t>The cost of stamping is a rounding error against this.</t>
        </is>
      </c>
    </row>
    <row r="20" ht="40" customHeight="1">
      <c r="B20" s="7" t="inlineStr">
        <is>
          <t>Bags of beans on a shelf</t>
        </is>
      </c>
      <c r="C20" s="8" t="inlineStr">
        <is>
          <t>A pre-packed bag sold off the shelf is a packaged commodity, which carries its own declaration rules, and the penalties for those were restructured from 1 May 2026.</t>
        </is>
      </c>
      <c r="D20" s="17" t="inlineStr">
        <is>
          <t>If you pack beans to sell, take advice on the label before you print it.</t>
        </is>
      </c>
    </row>
    <row r="21"/>
    <row r="22">
      <c r="B22" s="14" t="inlineStr">
        <is>
          <t>3. What you may not buy at all</t>
        </is>
      </c>
      <c r="C22" s="15" t="n"/>
      <c r="D22" s="15" t="n"/>
    </row>
    <row r="23">
      <c r="B23" s="6" t="inlineStr">
        <is>
          <t>Point</t>
        </is>
      </c>
      <c r="C23" s="6" t="inlineStr">
        <is>
          <t>What it says</t>
        </is>
      </c>
      <c r="D23" s="6" t="inlineStr">
        <is>
          <t>What you do about it</t>
        </is>
      </c>
    </row>
    <row r="24" ht="80" customHeight="1">
      <c r="B24" s="7" t="inlineStr">
        <is>
          <t>Prohibited single-use plastics</t>
        </is>
      </c>
      <c r="C24" s="8" t="inlineStr">
        <is>
          <t>Since 1 July 2022 the manufacture, import, stocking, distribution, sale and use of identified single-use plastic items is prohibited. The list includes plastic cups, glasses, cutlery such as forks, spoons and knives, straws, trays and stirrers. A cafe buying takeaway stock is buying from exactly that list.</t>
        </is>
      </c>
      <c r="D24" s="17" t="inlineStr">
        <is>
          <t>Specify paper or another permitted material when you order, and keep the invoice showing what you bought.</t>
        </is>
      </c>
    </row>
    <row r="25" ht="119" customHeight="1">
      <c r="B25" s="7" t="inlineStr">
        <is>
          <t>Compostable is the carve-out, with a condition</t>
        </is>
      </c>
      <c r="C25" s="8" t="inlineStr">
        <is>
          <t>Sub-rule (3) of the same notification says the prohibition on that list does not apply to commodities made of compostable plastic. Separately, the 2024 amendment requires the maker of a compostable commodity to hold a certificate from the Central Pollution Control Board before selling it.</t>
        </is>
      </c>
      <c r="D25" s="17" t="inlineStr">
        <is>
          <t>So compostable takeaway ware is not caught by this central prohibition. Ask the supplier for the CPCB certificate and keep a copy with the invoice, because the claim is only as good as the certificate. States can and do go further than the centre on plastics, so check your own state's notification before a large order.</t>
        </is>
      </c>
    </row>
    <row r="26" ht="40" customHeight="1">
      <c r="B26" s="7" t="inlineStr">
        <is>
          <t>Carry bags</t>
        </is>
      </c>
      <c r="C26" s="8" t="inlineStr">
        <is>
          <t>Plastic carry bags below one hundred and twenty microns have been prohibited since 31 December 2022.</t>
        </is>
      </c>
      <c r="D26" s="17" t="inlineStr">
        <is>
          <t>If you bag takeaway orders, check the micron rating on the invoice, not on the bag.</t>
        </is>
      </c>
    </row>
    <row r="27" ht="40" customHeight="1">
      <c r="B27" s="7" t="inlineStr">
        <is>
          <t>Who enforces it</t>
        </is>
      </c>
      <c r="C27" s="8" t="inlineStr">
        <is>
          <t>Enforcement sits with the state pollution control boards and local bodies, and the rules are amended from time to time.</t>
        </is>
      </c>
      <c r="D27" s="17" t="inlineStr">
        <is>
          <t>Confirm the current list with your state pollution control board before a large order.</t>
        </is>
      </c>
    </row>
    <row r="28"/>
    <row r="29">
      <c r="B29" s="26" t="inlineStr">
        <is>
          <t>4. Questions to put to a supplier before you pay</t>
        </is>
      </c>
      <c r="C29" s="27" t="n"/>
      <c r="D29" s="27" t="n"/>
    </row>
    <row r="30">
      <c r="B30" s="6" t="inlineStr">
        <is>
          <t>Ask</t>
        </is>
      </c>
      <c r="C30" s="6" t="inlineStr">
        <is>
          <t>Why it matters</t>
        </is>
      </c>
      <c r="D30" s="6" t="inlineStr">
        <is>
          <t>Answer you got</t>
        </is>
      </c>
    </row>
    <row r="31" ht="27" customHeight="1">
      <c r="B31" s="7" t="inlineStr">
        <is>
          <t>What does the machine need at the inlet: water, power, drain?</t>
        </is>
      </c>
      <c r="C31" s="8" t="inlineStr">
        <is>
          <t>An espresso machine is plumbing and electrical work, not a delivery. The quote often excludes all three.</t>
        </is>
      </c>
      <c r="D31" s="50" t="n"/>
    </row>
    <row r="32" ht="40" customHeight="1">
      <c r="B32" s="7" t="inlineStr">
        <is>
          <t>Is the water treatment sized from my water test, or from the shop size?</t>
        </is>
      </c>
      <c r="C32" s="8" t="inlineStr">
        <is>
          <t>Sizing from floor area rather than from the test is how a boiler scales up in a year.</t>
        </is>
      </c>
      <c r="D32" s="50" t="n"/>
    </row>
    <row r="33" ht="27" customHeight="1">
      <c r="B33" s="7" t="inlineStr">
        <is>
          <t>What is the service interval, and who services it locally?</t>
        </is>
      </c>
      <c r="C33" s="8" t="inlineStr">
        <is>
          <t>A machine with no local engineer is a machine you will run without during a rush.</t>
        </is>
      </c>
      <c r="D33" s="50" t="n"/>
    </row>
    <row r="34" ht="27" customHeight="1">
      <c r="B34" s="7" t="inlineStr">
        <is>
          <t>What is the warranty, and what voids it?</t>
        </is>
      </c>
      <c r="C34" s="8" t="inlineStr">
        <is>
          <t>Untreated water voids more boiler warranties than anything else.</t>
        </is>
      </c>
      <c r="D34" s="50" t="n"/>
    </row>
    <row r="35" ht="27" customHeight="1">
      <c r="B35" s="7" t="inlineStr">
        <is>
          <t>Does the grinder hold its setting, and how is it adjusted?</t>
        </is>
      </c>
      <c r="C35" s="8" t="inlineStr">
        <is>
          <t>A grinder that drifts costs you a shot every few minutes.</t>
        </is>
      </c>
      <c r="D35" s="50" t="n"/>
    </row>
    <row r="36" ht="27" customHeight="1">
      <c r="B36" s="7" t="inlineStr">
        <is>
          <t>Is this food-grade stainless steel, or plated?</t>
        </is>
      </c>
      <c r="C36" s="8" t="inlineStr">
        <is>
          <t>Plating chips into drinks and the item then has to be binned.</t>
        </is>
      </c>
      <c r="D36" s="50" t="n"/>
    </row>
    <row r="37" ht="27" customHeight="1">
      <c r="B37" s="7" t="inlineStr">
        <is>
          <t>Is the retail scale verifiable under Legal Metrology?</t>
        </is>
      </c>
      <c r="C37" s="8" t="inlineStr">
        <is>
          <t>It does not arrive stamped. You need to know it can be.</t>
        </is>
      </c>
      <c r="D37" s="50" t="n"/>
    </row>
    <row r="38" ht="27" customHeight="1">
      <c r="B38" s="7" t="inlineStr">
        <is>
          <t>What is the lead time, and what is the penalty if it slips?</t>
        </is>
      </c>
      <c r="C38" s="8" t="inlineStr">
        <is>
          <t>The machine and the water treatment are the two that hold up an opening.</t>
        </is>
      </c>
      <c r="D38" s="50" t="n"/>
    </row>
    <row r="39" ht="27" customHeight="1">
      <c r="B39" s="7" t="inlineStr">
        <is>
          <t>Is GST included in the quoted price?</t>
        </is>
      </c>
      <c r="C39" s="8" t="inlineStr">
        <is>
          <t>Quotes arrive both ways, which makes three quotes uncomparable.</t>
        </is>
      </c>
      <c r="D39" s="50" t="n"/>
    </row>
    <row r="40" ht="27" customHeight="1">
      <c r="B40" s="7" t="inlineStr">
        <is>
          <t>Can I have the specification in writing with the quote?</t>
        </is>
      </c>
      <c r="C40" s="8" t="inlineStr">
        <is>
          <t>Only a written spec makes three quotes comparable.</t>
        </is>
      </c>
      <c r="D40" s="50" t="n"/>
    </row>
    <row r="41"/>
    <row r="42">
      <c r="B42" s="26" t="inlineStr">
        <is>
          <t>5. The order things arrive in</t>
        </is>
      </c>
      <c r="C42" s="27" t="n"/>
      <c r="D42" s="27" t="n"/>
    </row>
    <row r="43" ht="27" customHeight="1">
      <c r="B43" s="13" t="inlineStr">
        <is>
          <t>Everything marked Day one on the Equipment List is a launch blocker: service stops without it. Everything marked Later either improves the drink and the look, or protects the margin once you are trading, and can follow.</t>
        </is>
      </c>
    </row>
    <row r="44" ht="27" customHeight="1">
      <c r="B44" s="13" t="inlineStr">
        <is>
          <t>Two lines are underbought almost every time. The grinder, because the machine is the exciting purchase and the grinder is the one that decides the shot. And water treatment, which is invisible until the boiler scales up, and which the law has an opinion about.</t>
        </is>
      </c>
    </row>
    <row r="45"/>
    <row r="46" ht="106" customHeight="1">
      <c r="B46" s="18" t="inlineStr">
        <is>
          <t>Sources read 23-Sep-2026. Water and hygiene requirements from Schedule 4 of the Food Safety and Standards (Licensing and Registration of Food Businesses) Regulations, 2011, in FSSAI's own compendium, version II dated 09-11-2017: Part II paragraphs 4.1.1, 4.1.3, 4.1.4, 4.1.5 and 4.4, and Part V on catering and food service establishments. Legal Metrology Act, 2009, sections 24 and 33, neither of which was amended by the Jan Vishwas (Amendment of Provisions) Acts of 2023 or 2026; penalty amounts as restated in the Delhi Legal Metrology (Weights and Measures) Department's published penalties table. Single-use plastic prohibitions from the Plastic Waste Management Amendment Rules, 2021, notified 12 August 2021: identified items prohibited from 1 July 2022, carry bags below one hundred and twenty microns from 31 December 2022. Packaged commodity penalties as substituted by the Jan Vishwas (Amendment of Provisions) Act, 2026 (No. 8 of 2026), in force from 1 May 2026 by notification S.O. 2103(E) dated 27 April 2026. This is a planning aid, not legal advice.</t>
        </is>
      </c>
    </row>
    <row r="47"/>
    <row r="48">
      <c r="B48" s="19"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11">
    <mergeCell ref="B42:D42"/>
    <mergeCell ref="B3:D3"/>
    <mergeCell ref="B5:D5"/>
    <mergeCell ref="B29:D29"/>
    <mergeCell ref="B46:D46"/>
    <mergeCell ref="B48:D48"/>
    <mergeCell ref="B22:D22"/>
    <mergeCell ref="B44:D44"/>
    <mergeCell ref="B43:D43"/>
    <mergeCell ref="B15:D15"/>
    <mergeCell ref="B2:D2"/>
  </mergeCells>
  <printOptions horizontalCentered="1"/>
  <pageMargins left="0.3" right="0.3" top="0.4" bottom="0.4"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G30"/>
  <sheetViews>
    <sheetView showGridLines="0" workbookViewId="0">
      <selection activeCell="A1" sqref="A1"/>
    </sheetView>
  </sheetViews>
  <sheetFormatPr baseColWidth="8" defaultRowHeight="15"/>
  <cols>
    <col width="3" customWidth="1" min="1" max="1"/>
    <col width="30" customWidth="1" min="2" max="2"/>
    <col width="18" customWidth="1" min="3" max="3"/>
    <col width="18" customWidth="1" min="4" max="4"/>
    <col width="18" customWidth="1" min="5" max="5"/>
    <col width="14" customWidth="1" min="6" max="6"/>
    <col width="40" customWidth="1" min="7" max="7"/>
    <col width="3" customWidth="1" min="8" max="8"/>
  </cols>
  <sheetData>
    <row r="1"/>
    <row r="2" ht="22" customHeight="1">
      <c r="B2" s="20" t="inlineStr">
        <is>
          <t>Budget summary</t>
        </is>
      </c>
      <c r="C2" s="2" t="n"/>
      <c r="D2" s="2" t="n"/>
      <c r="E2" s="2" t="n"/>
      <c r="F2" s="2" t="n"/>
      <c r="G2" s="2" t="n"/>
    </row>
    <row r="3">
      <c r="B3" s="3" t="inlineStr">
        <is>
          <t>Everything here reads off the Equipment List. Nothing on this sheet is typed in.</t>
        </is>
      </c>
    </row>
    <row r="4"/>
    <row r="5" ht="28" customHeight="1">
      <c r="B5" s="6" t="inlineStr">
        <is>
          <t>Group</t>
        </is>
      </c>
      <c r="C5" s="21" t="inlineStr">
        <is>
          <t>Day one</t>
        </is>
      </c>
      <c r="D5" s="21" t="inlineStr">
        <is>
          <t>Later</t>
        </is>
      </c>
      <c r="E5" s="21" t="inlineStr">
        <is>
          <t>Group total</t>
        </is>
      </c>
      <c r="F5" s="21" t="inlineStr">
        <is>
          <t>Share</t>
        </is>
      </c>
      <c r="G5" s="21" t="inlineStr">
        <is>
          <t>Still to price</t>
        </is>
      </c>
    </row>
    <row r="6">
      <c r="B6" s="51" t="inlineStr">
        <is>
          <t>Brewing</t>
        </is>
      </c>
      <c r="C6" s="52">
        <f>SUMIFS('Equipment List'!$L$6:$L$81,'Equipment List'!$B$6:$B$81,$B6,'Equipment List'!$E$6:$E$81,"Day one")</f>
        <v/>
      </c>
      <c r="D6" s="52">
        <f>SUMIFS('Equipment List'!$L$6:$L$81,'Equipment List'!$B$6:$B$81,$B6,'Equipment List'!$E$6:$E$81,"Later")</f>
        <v/>
      </c>
      <c r="E6" s="40">
        <f>C6+D6</f>
        <v/>
      </c>
      <c r="F6" s="53">
        <f>IFERROR(E6/$E$16,"")</f>
        <v/>
      </c>
      <c r="G6" s="54">
        <f>SUMPRODUCT(('Equipment List'!$B$6:$B$81=$B6)*('Equipment List'!$K$6:$K$81="")*('Equipment List'!$G$6:$G$81&gt;0))</f>
        <v/>
      </c>
    </row>
    <row r="7">
      <c r="B7" s="51" t="inlineStr">
        <is>
          <t>Grinding</t>
        </is>
      </c>
      <c r="C7" s="52">
        <f>SUMIFS('Equipment List'!$L$6:$L$81,'Equipment List'!$B$6:$B$81,$B7,'Equipment List'!$E$6:$E$81,"Day one")</f>
        <v/>
      </c>
      <c r="D7" s="52">
        <f>SUMIFS('Equipment List'!$L$6:$L$81,'Equipment List'!$B$6:$B$81,$B7,'Equipment List'!$E$6:$E$81,"Later")</f>
        <v/>
      </c>
      <c r="E7" s="40">
        <f>C7+D7</f>
        <v/>
      </c>
      <c r="F7" s="53">
        <f>IFERROR(E7/$E$16,"")</f>
        <v/>
      </c>
      <c r="G7" s="54">
        <f>SUMPRODUCT(('Equipment List'!$B$6:$B$81=$B7)*('Equipment List'!$K$6:$K$81="")*('Equipment List'!$G$6:$G$81&gt;0))</f>
        <v/>
      </c>
    </row>
    <row r="8">
      <c r="B8" s="51" t="inlineStr">
        <is>
          <t>Milk and beverage</t>
        </is>
      </c>
      <c r="C8" s="52">
        <f>SUMIFS('Equipment List'!$L$6:$L$81,'Equipment List'!$B$6:$B$81,$B8,'Equipment List'!$E$6:$E$81,"Day one")</f>
        <v/>
      </c>
      <c r="D8" s="52">
        <f>SUMIFS('Equipment List'!$L$6:$L$81,'Equipment List'!$B$6:$B$81,$B8,'Equipment List'!$E$6:$E$81,"Later")</f>
        <v/>
      </c>
      <c r="E8" s="40">
        <f>C8+D8</f>
        <v/>
      </c>
      <c r="F8" s="53">
        <f>IFERROR(E8/$E$16,"")</f>
        <v/>
      </c>
      <c r="G8" s="54">
        <f>SUMPRODUCT(('Equipment List'!$B$6:$B$81=$B8)*('Equipment List'!$K$6:$K$81="")*('Equipment List'!$G$6:$G$81&gt;0))</f>
        <v/>
      </c>
    </row>
    <row r="9">
      <c r="B9" s="51" t="inlineStr">
        <is>
          <t>Water treatment</t>
        </is>
      </c>
      <c r="C9" s="52">
        <f>SUMIFS('Equipment List'!$L$6:$L$81,'Equipment List'!$B$6:$B$81,$B9,'Equipment List'!$E$6:$E$81,"Day one")</f>
        <v/>
      </c>
      <c r="D9" s="52">
        <f>SUMIFS('Equipment List'!$L$6:$L$81,'Equipment List'!$B$6:$B$81,$B9,'Equipment List'!$E$6:$E$81,"Later")</f>
        <v/>
      </c>
      <c r="E9" s="40">
        <f>C9+D9</f>
        <v/>
      </c>
      <c r="F9" s="53">
        <f>IFERROR(E9/$E$16,"")</f>
        <v/>
      </c>
      <c r="G9" s="54">
        <f>SUMPRODUCT(('Equipment List'!$B$6:$B$81=$B9)*('Equipment List'!$K$6:$K$81="")*('Equipment List'!$G$6:$G$81&gt;0))</f>
        <v/>
      </c>
    </row>
    <row r="10">
      <c r="B10" s="51" t="inlineStr">
        <is>
          <t>Refrigeration and storage</t>
        </is>
      </c>
      <c r="C10" s="52">
        <f>SUMIFS('Equipment List'!$L$6:$L$81,'Equipment List'!$B$6:$B$81,$B10,'Equipment List'!$E$6:$E$81,"Day one")</f>
        <v/>
      </c>
      <c r="D10" s="52">
        <f>SUMIFS('Equipment List'!$L$6:$L$81,'Equipment List'!$B$6:$B$81,$B10,'Equipment List'!$E$6:$E$81,"Later")</f>
        <v/>
      </c>
      <c r="E10" s="40">
        <f>C10+D10</f>
        <v/>
      </c>
      <c r="F10" s="53">
        <f>IFERROR(E10/$E$16,"")</f>
        <v/>
      </c>
      <c r="G10" s="54">
        <f>SUMPRODUCT(('Equipment List'!$B$6:$B$81=$B10)*('Equipment List'!$K$6:$K$81="")*('Equipment List'!$G$6:$G$81&gt;0))</f>
        <v/>
      </c>
    </row>
    <row r="11">
      <c r="B11" s="51" t="inlineStr">
        <is>
          <t>Food and kitchen</t>
        </is>
      </c>
      <c r="C11" s="52">
        <f>SUMIFS('Equipment List'!$L$6:$L$81,'Equipment List'!$B$6:$B$81,$B11,'Equipment List'!$E$6:$E$81,"Day one")</f>
        <v/>
      </c>
      <c r="D11" s="52">
        <f>SUMIFS('Equipment List'!$L$6:$L$81,'Equipment List'!$B$6:$B$81,$B11,'Equipment List'!$E$6:$E$81,"Later")</f>
        <v/>
      </c>
      <c r="E11" s="40">
        <f>C11+D11</f>
        <v/>
      </c>
      <c r="F11" s="53">
        <f>IFERROR(E11/$E$16,"")</f>
        <v/>
      </c>
      <c r="G11" s="54">
        <f>SUMPRODUCT(('Equipment List'!$B$6:$B$81=$B11)*('Equipment List'!$K$6:$K$81="")*('Equipment List'!$G$6:$G$81&gt;0))</f>
        <v/>
      </c>
    </row>
    <row r="12">
      <c r="B12" s="51" t="inlineStr">
        <is>
          <t>Front of house</t>
        </is>
      </c>
      <c r="C12" s="52">
        <f>SUMIFS('Equipment List'!$L$6:$L$81,'Equipment List'!$B$6:$B$81,$B12,'Equipment List'!$E$6:$E$81,"Day one")</f>
        <v/>
      </c>
      <c r="D12" s="52">
        <f>SUMIFS('Equipment List'!$L$6:$L$81,'Equipment List'!$B$6:$B$81,$B12,'Equipment List'!$E$6:$E$81,"Later")</f>
        <v/>
      </c>
      <c r="E12" s="40">
        <f>C12+D12</f>
        <v/>
      </c>
      <c r="F12" s="53">
        <f>IFERROR(E12/$E$16,"")</f>
        <v/>
      </c>
      <c r="G12" s="54">
        <f>SUMPRODUCT(('Equipment List'!$B$6:$B$81=$B12)*('Equipment List'!$K$6:$K$81="")*('Equipment List'!$G$6:$G$81&gt;0))</f>
        <v/>
      </c>
    </row>
    <row r="13">
      <c r="B13" s="51" t="inlineStr">
        <is>
          <t>Cleaning and hygiene</t>
        </is>
      </c>
      <c r="C13" s="52">
        <f>SUMIFS('Equipment List'!$L$6:$L$81,'Equipment List'!$B$6:$B$81,$B13,'Equipment List'!$E$6:$E$81,"Day one")</f>
        <v/>
      </c>
      <c r="D13" s="52">
        <f>SUMIFS('Equipment List'!$L$6:$L$81,'Equipment List'!$B$6:$B$81,$B13,'Equipment List'!$E$6:$E$81,"Later")</f>
        <v/>
      </c>
      <c r="E13" s="40">
        <f>C13+D13</f>
        <v/>
      </c>
      <c r="F13" s="53">
        <f>IFERROR(E13/$E$16,"")</f>
        <v/>
      </c>
      <c r="G13" s="54">
        <f>SUMPRODUCT(('Equipment List'!$B$6:$B$81=$B13)*('Equipment List'!$K$6:$K$81="")*('Equipment List'!$G$6:$G$81&gt;0))</f>
        <v/>
      </c>
    </row>
    <row r="14">
      <c r="B14" s="51" t="inlineStr">
        <is>
          <t>Billing and back office</t>
        </is>
      </c>
      <c r="C14" s="52">
        <f>SUMIFS('Equipment List'!$L$6:$L$81,'Equipment List'!$B$6:$B$81,$B14,'Equipment List'!$E$6:$E$81,"Day one")</f>
        <v/>
      </c>
      <c r="D14" s="52">
        <f>SUMIFS('Equipment List'!$L$6:$L$81,'Equipment List'!$B$6:$B$81,$B14,'Equipment List'!$E$6:$E$81,"Later")</f>
        <v/>
      </c>
      <c r="E14" s="40">
        <f>C14+D14</f>
        <v/>
      </c>
      <c r="F14" s="53">
        <f>IFERROR(E14/$E$16,"")</f>
        <v/>
      </c>
      <c r="G14" s="54">
        <f>SUMPRODUCT(('Equipment List'!$B$6:$B$81=$B14)*('Equipment List'!$K$6:$K$81="")*('Equipment List'!$G$6:$G$81&gt;0))</f>
        <v/>
      </c>
    </row>
    <row r="15">
      <c r="B15" s="51" t="inlineStr">
        <is>
          <t>Your own items</t>
        </is>
      </c>
      <c r="C15" s="52">
        <f>SUMIFS('Equipment List'!$L$6:$L$81,'Equipment List'!$B$6:$B$81,$B15,'Equipment List'!$E$6:$E$81,"Day one")</f>
        <v/>
      </c>
      <c r="D15" s="52">
        <f>SUMIFS('Equipment List'!$L$6:$L$81,'Equipment List'!$B$6:$B$81,$B15,'Equipment List'!$E$6:$E$81,"Later")</f>
        <v/>
      </c>
      <c r="E15" s="40">
        <f>C15+D15</f>
        <v/>
      </c>
      <c r="F15" s="53">
        <f>IFERROR(E15/$E$16,"")</f>
        <v/>
      </c>
      <c r="G15" s="54">
        <f>SUMPRODUCT(('Equipment List'!$B$6:$B$81=$B15)*('Equipment List'!$K$6:$K$81="")*('Equipment List'!$G$6:$G$81&gt;0))</f>
        <v/>
      </c>
    </row>
    <row r="16">
      <c r="B16" s="29" t="inlineStr">
        <is>
          <t>Total</t>
        </is>
      </c>
      <c r="C16" s="48">
        <f>SUM(C6:C15)</f>
        <v/>
      </c>
      <c r="D16" s="48">
        <f>SUM(D6:D15)</f>
        <v/>
      </c>
      <c r="E16" s="48">
        <f>SUM(E6:E15)</f>
        <v/>
      </c>
      <c r="F16" s="55" t="n"/>
      <c r="G16" s="56">
        <f>SUM(G6:G15)</f>
        <v/>
      </c>
    </row>
    <row r="17"/>
    <row r="18">
      <c r="B18" s="26" t="inlineStr">
        <is>
          <t>What this tells you</t>
        </is>
      </c>
      <c r="C18" s="27" t="n"/>
      <c r="D18" s="27" t="n"/>
      <c r="E18" s="27" t="n"/>
      <c r="F18" s="27" t="n"/>
      <c r="G18" s="27" t="n"/>
    </row>
    <row r="19">
      <c r="B19" s="6" t="inlineStr">
        <is>
          <t>Figure</t>
        </is>
      </c>
      <c r="C19" s="21" t="inlineStr">
        <is>
          <t>Value</t>
        </is>
      </c>
      <c r="D19" s="21" t="n"/>
      <c r="E19" s="21" t="n"/>
      <c r="F19" s="21" t="n"/>
      <c r="G19" s="6" t="inlineStr">
        <is>
          <t>Read it like this</t>
        </is>
      </c>
    </row>
    <row r="20" ht="27" customHeight="1">
      <c r="B20" s="7" t="inlineStr">
        <is>
          <t>Opening day spend</t>
        </is>
      </c>
      <c r="C20" s="57">
        <f>C16</f>
        <v/>
      </c>
      <c r="D20" s="58" t="n"/>
      <c r="E20" s="58" t="n"/>
      <c r="F20" s="58" t="n"/>
      <c r="G20" s="23" t="inlineStr">
        <is>
          <t>What has to be paid for before you can serve a cup.</t>
        </is>
      </c>
    </row>
    <row r="21" ht="27" customHeight="1">
      <c r="B21" s="7" t="inlineStr">
        <is>
          <t>Can wait</t>
        </is>
      </c>
      <c r="C21" s="57">
        <f>D16</f>
        <v/>
      </c>
      <c r="D21" s="58" t="n"/>
      <c r="E21" s="58" t="n"/>
      <c r="F21" s="58" t="n"/>
      <c r="G21" s="23" t="inlineStr">
        <is>
          <t>Spread this over the first menu review rather than the opening.</t>
        </is>
      </c>
    </row>
    <row r="22" ht="40" customHeight="1">
      <c r="B22" s="7" t="inlineStr">
        <is>
          <t>Brewing and grinding share</t>
        </is>
      </c>
      <c r="C22" s="59">
        <f>IFERROR((E6+E7)/E16,"")</f>
        <v/>
      </c>
      <c r="D22" s="58" t="n"/>
      <c r="E22" s="58" t="n"/>
      <c r="F22" s="58" t="n"/>
      <c r="G22" s="23" t="inlineStr">
        <is>
          <t>The machine and the grinder together. If the grinder is a rounding error inside this, look again.</t>
        </is>
      </c>
    </row>
    <row r="23" ht="27" customHeight="1">
      <c r="B23" s="7" t="inlineStr">
        <is>
          <t>Water treatment share</t>
        </is>
      </c>
      <c r="C23" s="59">
        <f>IFERROR(E9/E16,"")</f>
        <v/>
      </c>
      <c r="D23" s="58" t="n"/>
      <c r="E23" s="58" t="n"/>
      <c r="F23" s="58" t="n"/>
      <c r="G23" s="23" t="inlineStr">
        <is>
          <t>The most skipped line in a cafe build, and the first regret.</t>
        </is>
      </c>
    </row>
    <row r="24" ht="40" customHeight="1">
      <c r="B24" s="7" t="inlineStr">
        <is>
          <t>Lines still to price</t>
        </is>
      </c>
      <c r="C24" s="56">
        <f>G16</f>
        <v/>
      </c>
      <c r="D24" s="58" t="n"/>
      <c r="E24" s="58" t="n"/>
      <c r="F24" s="58" t="n"/>
      <c r="G24" s="23" t="inlineStr">
        <is>
          <t>Every line you have given a quantity but no quote. The total is understated until this is zero.</t>
        </is>
      </c>
    </row>
    <row r="25" ht="40" customHeight="1">
      <c r="B25" s="7" t="inlineStr">
        <is>
          <t>Cost per seat</t>
        </is>
      </c>
      <c r="C25" s="57">
        <f>IF(E16=0,"",IFERROR(E16/'Cafe Profile'!$C$6,""))</f>
        <v/>
      </c>
      <c r="D25" s="58" t="n"/>
      <c r="E25" s="58" t="n"/>
      <c r="F25" s="58" t="n"/>
      <c r="G25" s="23" t="inlineStr">
        <is>
          <t>Useful only against your own second outlet. Do not compare it to a published figure.</t>
        </is>
      </c>
    </row>
    <row r="26"/>
    <row r="27"/>
    <row r="28" ht="40" customHeight="1">
      <c r="B28" s="13" t="inlineStr">
        <is>
          <t>One line on this list pays for itself differently from the rest. Everything else brews, chills or washes. The POS counts. A cafe loses margin in millilitres and grams: an extra gram in the dose, a free refill that was never rung up, a syrup pump nobody charges for. A till that deducts stock item by item as you bill, and gives you a day-end inventory report, is what makes that gap visible.</t>
        </is>
      </c>
    </row>
    <row r="29"/>
    <row r="30">
      <c r="B30" s="19"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12">
    <mergeCell ref="B3:G3"/>
    <mergeCell ref="B2:G2"/>
    <mergeCell ref="C22:F22"/>
    <mergeCell ref="C23:F23"/>
    <mergeCell ref="B28:G28"/>
    <mergeCell ref="B30:G30"/>
    <mergeCell ref="C20:F20"/>
    <mergeCell ref="C21:F21"/>
    <mergeCell ref="B18:G18"/>
    <mergeCell ref="C25:F25"/>
    <mergeCell ref="C24:F24"/>
    <mergeCell ref="C19:F19"/>
  </mergeCells>
  <printOptions horizontalCentered="1"/>
  <pageMargins left="0.3" right="0.3" top="0.4" bottom="0.4"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8" customWidth="1" min="2" max="2"/>
    <col width="18" customWidth="1" min="3" max="3"/>
    <col width="18" customWidth="1" min="4" max="4"/>
  </cols>
  <sheetData>
    <row r="1">
      <c r="A1" s="12" t="inlineStr">
        <is>
          <t>Menu style</t>
        </is>
      </c>
      <c r="C1" s="12" t="inlineStr">
        <is>
          <t>Raw cup share</t>
        </is>
      </c>
    </row>
    <row r="2">
      <c r="A2" s="60" t="inlineStr">
        <is>
          <t>Chai and filter led</t>
        </is>
      </c>
      <c r="C2" s="5">
        <f>IF('Cafe Profile'!$C$9="Chai and filter led",0.55,IF('Cafe Profile'!$C$9="Specialty with food",0.1,0.1))</f>
        <v/>
      </c>
    </row>
    <row r="3">
      <c r="A3" s="60" t="inlineStr">
        <is>
          <t>Espresso led</t>
        </is>
      </c>
      <c r="C3" s="5">
        <f>IF('Cafe Profile'!$C$9="Chai and filter led",0.0,IF('Cafe Profile'!$C$9="Specialty with food",0.2,0.15))</f>
        <v/>
      </c>
    </row>
    <row r="4">
      <c r="A4" s="60" t="inlineStr">
        <is>
          <t>Specialty with food</t>
        </is>
      </c>
      <c r="C4" s="5">
        <f>IF('Cafe Profile'!$C$9="Chai and filter led",0.15,IF('Cafe Profile'!$C$9="Specialty with food",0.25,0.3))</f>
        <v/>
      </c>
    </row>
    <row r="5">
      <c r="C5" s="5">
        <f>IF('Cafe Profile'!$C$9="Chai and filter led",0.05,IF('Cafe Profile'!$C$9="Specialty with food",0.2,0.2))</f>
        <v/>
      </c>
    </row>
    <row r="6">
      <c r="A6" s="12" t="inlineStr">
        <is>
          <t>Yes or No</t>
        </is>
      </c>
      <c r="C6" s="5">
        <f>IF('Cafe Profile'!$C$9="Chai and filter led",0.1,IF('Cafe Profile'!$C$9="Specialty with food",0.15,0.2))</f>
        <v/>
      </c>
    </row>
    <row r="7">
      <c r="A7" s="60" t="inlineStr">
        <is>
          <t>Yes</t>
        </is>
      </c>
      <c r="C7" s="5">
        <f>IF('Cafe Profile'!$C$9="Chai and filter led",0.1,IF('Cafe Profile'!$C$9="Specialty with food",0.1,0.05))</f>
        <v/>
      </c>
    </row>
    <row r="8">
      <c r="A8" s="60" t="inlineStr">
        <is>
          <t>No</t>
        </is>
      </c>
      <c r="C8" s="61">
        <f>SUM(C2:C7)</f>
        <v/>
      </c>
    </row>
    <row r="9"/>
    <row r="10">
      <c r="A10" s="12" t="inlineStr">
        <is>
          <t>Day one or Later</t>
        </is>
      </c>
    </row>
    <row r="11">
      <c r="A11" s="60" t="inlineStr">
        <is>
          <t>Day one</t>
        </is>
      </c>
    </row>
    <row r="12">
      <c r="A12" s="60" t="inlineStr">
        <is>
          <t>Later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2026-09-24T12:10:56Z</dcterms:created>
  <dcterms:modified xmlns:dcterms="http://purl.org/dc/terms/" xmlns:xsi="http://www.w3.org/2001/XMLSchema-instance" xsi:type="dcterms:W3CDTF">2026-09-24T12:10:56Z</dcterms:modified>
</cp:coreProperties>
</file>